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IFERROR(__xludf.DUMMYFUNCTION("GOOGLEFINANCE(""NSE:HDFCBANK"", ""all"", DATE(2000,1,1),TODAY(), ""DAILY"")"),"Date")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IFERROR(__xludf.DUMMYFUNCTION("""COMPUTED_VALUE"""),36528.645833333336)</f>
        <v>36528.64583</v>
      </c>
      <c r="B2" s="2">
        <f>IFERROR(__xludf.DUMMYFUNCTION("""COMPUTED_VALUE"""),16.6)</f>
        <v>16.6</v>
      </c>
      <c r="C2" s="2">
        <f>IFERROR(__xludf.DUMMYFUNCTION("""COMPUTED_VALUE"""),17.0)</f>
        <v>17</v>
      </c>
      <c r="D2" s="2">
        <f>IFERROR(__xludf.DUMMYFUNCTION("""COMPUTED_VALUE"""),16.6)</f>
        <v>16.6</v>
      </c>
      <c r="E2" s="2">
        <f>IFERROR(__xludf.DUMMYFUNCTION("""COMPUTED_VALUE"""),17.0)</f>
        <v>17</v>
      </c>
      <c r="F2" s="2">
        <f>IFERROR(__xludf.DUMMYFUNCTION("""COMPUTED_VALUE"""),33259.0)</f>
        <v>33259</v>
      </c>
    </row>
    <row r="3">
      <c r="A3" s="3">
        <f>IFERROR(__xludf.DUMMYFUNCTION("""COMPUTED_VALUE"""),36529.645833333336)</f>
        <v>36529.64583</v>
      </c>
      <c r="B3" s="2">
        <f>IFERROR(__xludf.DUMMYFUNCTION("""COMPUTED_VALUE"""),18.2)</f>
        <v>18.2</v>
      </c>
      <c r="C3" s="2">
        <f>IFERROR(__xludf.DUMMYFUNCTION("""COMPUTED_VALUE"""),18.35)</f>
        <v>18.35</v>
      </c>
      <c r="D3" s="2">
        <f>IFERROR(__xludf.DUMMYFUNCTION("""COMPUTED_VALUE"""),17.1)</f>
        <v>17.1</v>
      </c>
      <c r="E3" s="2">
        <f>IFERROR(__xludf.DUMMYFUNCTION("""COMPUTED_VALUE"""),17.38)</f>
        <v>17.38</v>
      </c>
      <c r="F3" s="2">
        <f>IFERROR(__xludf.DUMMYFUNCTION("""COMPUTED_VALUE"""),168710.0)</f>
        <v>168710</v>
      </c>
    </row>
    <row r="4">
      <c r="A4" s="3">
        <f>IFERROR(__xludf.DUMMYFUNCTION("""COMPUTED_VALUE"""),36530.645833333336)</f>
        <v>36530.64583</v>
      </c>
      <c r="B4" s="2">
        <f>IFERROR(__xludf.DUMMYFUNCTION("""COMPUTED_VALUE"""),17.0)</f>
        <v>17</v>
      </c>
      <c r="C4" s="2">
        <f>IFERROR(__xludf.DUMMYFUNCTION("""COMPUTED_VALUE"""),17.39)</f>
        <v>17.39</v>
      </c>
      <c r="D4" s="2">
        <f>IFERROR(__xludf.DUMMYFUNCTION("""COMPUTED_VALUE"""),16.5)</f>
        <v>16.5</v>
      </c>
      <c r="E4" s="2">
        <f>IFERROR(__xludf.DUMMYFUNCTION("""COMPUTED_VALUE"""),16.7)</f>
        <v>16.7</v>
      </c>
      <c r="F4" s="2">
        <f>IFERROR(__xludf.DUMMYFUNCTION("""COMPUTED_VALUE"""),159820.0)</f>
        <v>159820</v>
      </c>
    </row>
    <row r="5">
      <c r="A5" s="3">
        <f>IFERROR(__xludf.DUMMYFUNCTION("""COMPUTED_VALUE"""),36531.645833333336)</f>
        <v>36531.64583</v>
      </c>
      <c r="B5" s="2">
        <f>IFERROR(__xludf.DUMMYFUNCTION("""COMPUTED_VALUE"""),16.8)</f>
        <v>16.8</v>
      </c>
      <c r="C5" s="2">
        <f>IFERROR(__xludf.DUMMYFUNCTION("""COMPUTED_VALUE"""),17.0)</f>
        <v>17</v>
      </c>
      <c r="D5" s="2">
        <f>IFERROR(__xludf.DUMMYFUNCTION("""COMPUTED_VALUE"""),16.53)</f>
        <v>16.53</v>
      </c>
      <c r="E5" s="2">
        <f>IFERROR(__xludf.DUMMYFUNCTION("""COMPUTED_VALUE"""),16.83)</f>
        <v>16.83</v>
      </c>
      <c r="F5" s="2">
        <f>IFERROR(__xludf.DUMMYFUNCTION("""COMPUTED_VALUE"""),85026.0)</f>
        <v>85026</v>
      </c>
    </row>
    <row r="6">
      <c r="A6" s="3">
        <f>IFERROR(__xludf.DUMMYFUNCTION("""COMPUTED_VALUE"""),36532.645833333336)</f>
        <v>36532.64583</v>
      </c>
      <c r="B6" s="2">
        <f>IFERROR(__xludf.DUMMYFUNCTION("""COMPUTED_VALUE"""),16.22)</f>
        <v>16.22</v>
      </c>
      <c r="C6" s="2">
        <f>IFERROR(__xludf.DUMMYFUNCTION("""COMPUTED_VALUE"""),17.1)</f>
        <v>17.1</v>
      </c>
      <c r="D6" s="2">
        <f>IFERROR(__xludf.DUMMYFUNCTION("""COMPUTED_VALUE"""),16.22)</f>
        <v>16.22</v>
      </c>
      <c r="E6" s="2">
        <f>IFERROR(__xludf.DUMMYFUNCTION("""COMPUTED_VALUE"""),16.84)</f>
        <v>16.84</v>
      </c>
      <c r="F6" s="2">
        <f>IFERROR(__xludf.DUMMYFUNCTION("""COMPUTED_VALUE"""),85144.0)</f>
        <v>85144</v>
      </c>
    </row>
    <row r="7">
      <c r="A7" s="3">
        <f>IFERROR(__xludf.DUMMYFUNCTION("""COMPUTED_VALUE"""),36535.645833333336)</f>
        <v>36535.64583</v>
      </c>
      <c r="B7" s="2">
        <f>IFERROR(__xludf.DUMMYFUNCTION("""COMPUTED_VALUE"""),17.29)</f>
        <v>17.29</v>
      </c>
      <c r="C7" s="2">
        <f>IFERROR(__xludf.DUMMYFUNCTION("""COMPUTED_VALUE"""),17.95)</f>
        <v>17.95</v>
      </c>
      <c r="D7" s="2">
        <f>IFERROR(__xludf.DUMMYFUNCTION("""COMPUTED_VALUE"""),16.5)</f>
        <v>16.5</v>
      </c>
      <c r="E7" s="2">
        <f>IFERROR(__xludf.DUMMYFUNCTION("""COMPUTED_VALUE"""),16.59)</f>
        <v>16.59</v>
      </c>
      <c r="F7" s="2">
        <f>IFERROR(__xludf.DUMMYFUNCTION("""COMPUTED_VALUE"""),100434.0)</f>
        <v>100434</v>
      </c>
    </row>
    <row r="8">
      <c r="A8" s="3">
        <f>IFERROR(__xludf.DUMMYFUNCTION("""COMPUTED_VALUE"""),36536.645833333336)</f>
        <v>36536.64583</v>
      </c>
      <c r="B8" s="2">
        <f>IFERROR(__xludf.DUMMYFUNCTION("""COMPUTED_VALUE"""),16.65)</f>
        <v>16.65</v>
      </c>
      <c r="C8" s="2">
        <f>IFERROR(__xludf.DUMMYFUNCTION("""COMPUTED_VALUE"""),16.79)</f>
        <v>16.79</v>
      </c>
      <c r="D8" s="2">
        <f>IFERROR(__xludf.DUMMYFUNCTION("""COMPUTED_VALUE"""),15.7)</f>
        <v>15.7</v>
      </c>
      <c r="E8" s="2">
        <f>IFERROR(__xludf.DUMMYFUNCTION("""COMPUTED_VALUE"""),16.34)</f>
        <v>16.34</v>
      </c>
      <c r="F8" s="2">
        <f>IFERROR(__xludf.DUMMYFUNCTION("""COMPUTED_VALUE"""),145784.0)</f>
        <v>145784</v>
      </c>
    </row>
    <row r="9">
      <c r="A9" s="3">
        <f>IFERROR(__xludf.DUMMYFUNCTION("""COMPUTED_VALUE"""),36537.645833333336)</f>
        <v>36537.64583</v>
      </c>
      <c r="B9" s="2">
        <f>IFERROR(__xludf.DUMMYFUNCTION("""COMPUTED_VALUE"""),16.38)</f>
        <v>16.38</v>
      </c>
      <c r="C9" s="2">
        <f>IFERROR(__xludf.DUMMYFUNCTION("""COMPUTED_VALUE"""),16.8)</f>
        <v>16.8</v>
      </c>
      <c r="D9" s="2">
        <f>IFERROR(__xludf.DUMMYFUNCTION("""COMPUTED_VALUE"""),16.23)</f>
        <v>16.23</v>
      </c>
      <c r="E9" s="2">
        <f>IFERROR(__xludf.DUMMYFUNCTION("""COMPUTED_VALUE"""),16.55)</f>
        <v>16.55</v>
      </c>
      <c r="F9" s="2">
        <f>IFERROR(__xludf.DUMMYFUNCTION("""COMPUTED_VALUE"""),85952.0)</f>
        <v>85952</v>
      </c>
    </row>
    <row r="10">
      <c r="A10" s="3">
        <f>IFERROR(__xludf.DUMMYFUNCTION("""COMPUTED_VALUE"""),36538.645833333336)</f>
        <v>36538.64583</v>
      </c>
      <c r="B10" s="2">
        <f>IFERROR(__xludf.DUMMYFUNCTION("""COMPUTED_VALUE"""),16.99)</f>
        <v>16.99</v>
      </c>
      <c r="C10" s="2">
        <f>IFERROR(__xludf.DUMMYFUNCTION("""COMPUTED_VALUE"""),16.99)</f>
        <v>16.99</v>
      </c>
      <c r="D10" s="2">
        <f>IFERROR(__xludf.DUMMYFUNCTION("""COMPUTED_VALUE"""),16.5)</f>
        <v>16.5</v>
      </c>
      <c r="E10" s="2">
        <f>IFERROR(__xludf.DUMMYFUNCTION("""COMPUTED_VALUE"""),16.51)</f>
        <v>16.51</v>
      </c>
      <c r="F10" s="2">
        <f>IFERROR(__xludf.DUMMYFUNCTION("""COMPUTED_VALUE"""),48276.0)</f>
        <v>48276</v>
      </c>
    </row>
    <row r="11">
      <c r="A11" s="3">
        <f>IFERROR(__xludf.DUMMYFUNCTION("""COMPUTED_VALUE"""),36539.645833333336)</f>
        <v>36539.64583</v>
      </c>
      <c r="B11" s="2">
        <f>IFERROR(__xludf.DUMMYFUNCTION("""COMPUTED_VALUE"""),16.8)</f>
        <v>16.8</v>
      </c>
      <c r="C11" s="2">
        <f>IFERROR(__xludf.DUMMYFUNCTION("""COMPUTED_VALUE"""),16.8)</f>
        <v>16.8</v>
      </c>
      <c r="D11" s="2">
        <f>IFERROR(__xludf.DUMMYFUNCTION("""COMPUTED_VALUE"""),16.4)</f>
        <v>16.4</v>
      </c>
      <c r="E11" s="2">
        <f>IFERROR(__xludf.DUMMYFUNCTION("""COMPUTED_VALUE"""),16.55)</f>
        <v>16.55</v>
      </c>
      <c r="F11" s="2">
        <f>IFERROR(__xludf.DUMMYFUNCTION("""COMPUTED_VALUE"""),58152.0)</f>
        <v>58152</v>
      </c>
    </row>
    <row r="12">
      <c r="A12" s="3">
        <f>IFERROR(__xludf.DUMMYFUNCTION("""COMPUTED_VALUE"""),36542.645833333336)</f>
        <v>36542.64583</v>
      </c>
      <c r="B12" s="2">
        <f>IFERROR(__xludf.DUMMYFUNCTION("""COMPUTED_VALUE"""),17.4)</f>
        <v>17.4</v>
      </c>
      <c r="C12" s="2">
        <f>IFERROR(__xludf.DUMMYFUNCTION("""COMPUTED_VALUE"""),17.87)</f>
        <v>17.87</v>
      </c>
      <c r="D12" s="2">
        <f>IFERROR(__xludf.DUMMYFUNCTION("""COMPUTED_VALUE"""),17.2)</f>
        <v>17.2</v>
      </c>
      <c r="E12" s="2">
        <f>IFERROR(__xludf.DUMMYFUNCTION("""COMPUTED_VALUE"""),17.87)</f>
        <v>17.87</v>
      </c>
      <c r="F12" s="2">
        <f>IFERROR(__xludf.DUMMYFUNCTION("""COMPUTED_VALUE"""),137404.0)</f>
        <v>137404</v>
      </c>
    </row>
    <row r="13">
      <c r="A13" s="3">
        <f>IFERROR(__xludf.DUMMYFUNCTION("""COMPUTED_VALUE"""),36543.645833333336)</f>
        <v>36543.64583</v>
      </c>
      <c r="B13" s="2">
        <f>IFERROR(__xludf.DUMMYFUNCTION("""COMPUTED_VALUE"""),17.87)</f>
        <v>17.87</v>
      </c>
      <c r="C13" s="2">
        <f>IFERROR(__xludf.DUMMYFUNCTION("""COMPUTED_VALUE"""),17.87)</f>
        <v>17.87</v>
      </c>
      <c r="D13" s="2">
        <f>IFERROR(__xludf.DUMMYFUNCTION("""COMPUTED_VALUE"""),16.45)</f>
        <v>16.45</v>
      </c>
      <c r="E13" s="2">
        <f>IFERROR(__xludf.DUMMYFUNCTION("""COMPUTED_VALUE"""),16.57)</f>
        <v>16.57</v>
      </c>
      <c r="F13" s="2">
        <f>IFERROR(__xludf.DUMMYFUNCTION("""COMPUTED_VALUE"""),255652.0)</f>
        <v>255652</v>
      </c>
    </row>
    <row r="14">
      <c r="A14" s="3">
        <f>IFERROR(__xludf.DUMMYFUNCTION("""COMPUTED_VALUE"""),36544.645833333336)</f>
        <v>36544.64583</v>
      </c>
      <c r="B14" s="2">
        <f>IFERROR(__xludf.DUMMYFUNCTION("""COMPUTED_VALUE"""),17.2)</f>
        <v>17.2</v>
      </c>
      <c r="C14" s="2">
        <f>IFERROR(__xludf.DUMMYFUNCTION("""COMPUTED_VALUE"""),17.9)</f>
        <v>17.9</v>
      </c>
      <c r="D14" s="2">
        <f>IFERROR(__xludf.DUMMYFUNCTION("""COMPUTED_VALUE"""),17.2)</f>
        <v>17.2</v>
      </c>
      <c r="E14" s="2">
        <f>IFERROR(__xludf.DUMMYFUNCTION("""COMPUTED_VALUE"""),17.9)</f>
        <v>17.9</v>
      </c>
      <c r="F14" s="2">
        <f>IFERROR(__xludf.DUMMYFUNCTION("""COMPUTED_VALUE"""),349818.0)</f>
        <v>349818</v>
      </c>
    </row>
    <row r="15">
      <c r="A15" s="3">
        <f>IFERROR(__xludf.DUMMYFUNCTION("""COMPUTED_VALUE"""),36545.645833333336)</f>
        <v>36545.64583</v>
      </c>
      <c r="B15" s="2">
        <f>IFERROR(__xludf.DUMMYFUNCTION("""COMPUTED_VALUE"""),18.48)</f>
        <v>18.48</v>
      </c>
      <c r="C15" s="2">
        <f>IFERROR(__xludf.DUMMYFUNCTION("""COMPUTED_VALUE"""),18.48)</f>
        <v>18.48</v>
      </c>
      <c r="D15" s="2">
        <f>IFERROR(__xludf.DUMMYFUNCTION("""COMPUTED_VALUE"""),17.6)</f>
        <v>17.6</v>
      </c>
      <c r="E15" s="2">
        <f>IFERROR(__xludf.DUMMYFUNCTION("""COMPUTED_VALUE"""),17.86)</f>
        <v>17.86</v>
      </c>
      <c r="F15" s="2">
        <f>IFERROR(__xludf.DUMMYFUNCTION("""COMPUTED_VALUE"""),269098.0)</f>
        <v>269098</v>
      </c>
    </row>
    <row r="16">
      <c r="A16" s="3">
        <f>IFERROR(__xludf.DUMMYFUNCTION("""COMPUTED_VALUE"""),36546.645833333336)</f>
        <v>36546.64583</v>
      </c>
      <c r="B16" s="2">
        <f>IFERROR(__xludf.DUMMYFUNCTION("""COMPUTED_VALUE"""),17.6)</f>
        <v>17.6</v>
      </c>
      <c r="C16" s="2">
        <f>IFERROR(__xludf.DUMMYFUNCTION("""COMPUTED_VALUE"""),19.2)</f>
        <v>19.2</v>
      </c>
      <c r="D16" s="2">
        <f>IFERROR(__xludf.DUMMYFUNCTION("""COMPUTED_VALUE"""),17.21)</f>
        <v>17.21</v>
      </c>
      <c r="E16" s="2">
        <f>IFERROR(__xludf.DUMMYFUNCTION("""COMPUTED_VALUE"""),18.82)</f>
        <v>18.82</v>
      </c>
      <c r="F16" s="2">
        <f>IFERROR(__xludf.DUMMYFUNCTION("""COMPUTED_VALUE"""),472329.0)</f>
        <v>472329</v>
      </c>
    </row>
    <row r="17">
      <c r="A17" s="3">
        <f>IFERROR(__xludf.DUMMYFUNCTION("""COMPUTED_VALUE"""),36549.645833333336)</f>
        <v>36549.64583</v>
      </c>
      <c r="B17" s="2">
        <f>IFERROR(__xludf.DUMMYFUNCTION("""COMPUTED_VALUE"""),19.88)</f>
        <v>19.88</v>
      </c>
      <c r="C17" s="2">
        <f>IFERROR(__xludf.DUMMYFUNCTION("""COMPUTED_VALUE"""),20.32)</f>
        <v>20.32</v>
      </c>
      <c r="D17" s="2">
        <f>IFERROR(__xludf.DUMMYFUNCTION("""COMPUTED_VALUE"""),19.3)</f>
        <v>19.3</v>
      </c>
      <c r="E17" s="2">
        <f>IFERROR(__xludf.DUMMYFUNCTION("""COMPUTED_VALUE"""),20.06)</f>
        <v>20.06</v>
      </c>
      <c r="F17" s="2">
        <f>IFERROR(__xludf.DUMMYFUNCTION("""COMPUTED_VALUE"""),449366.0)</f>
        <v>449366</v>
      </c>
    </row>
    <row r="18">
      <c r="A18" s="3">
        <f>IFERROR(__xludf.DUMMYFUNCTION("""COMPUTED_VALUE"""),36550.645833333336)</f>
        <v>36550.64583</v>
      </c>
      <c r="B18" s="2">
        <f>IFERROR(__xludf.DUMMYFUNCTION("""COMPUTED_VALUE"""),19.9)</f>
        <v>19.9</v>
      </c>
      <c r="C18" s="2">
        <f>IFERROR(__xludf.DUMMYFUNCTION("""COMPUTED_VALUE"""),21.66)</f>
        <v>21.66</v>
      </c>
      <c r="D18" s="2">
        <f>IFERROR(__xludf.DUMMYFUNCTION("""COMPUTED_VALUE"""),19.9)</f>
        <v>19.9</v>
      </c>
      <c r="E18" s="2">
        <f>IFERROR(__xludf.DUMMYFUNCTION("""COMPUTED_VALUE"""),21.66)</f>
        <v>21.66</v>
      </c>
      <c r="F18" s="2">
        <f>IFERROR(__xludf.DUMMYFUNCTION("""COMPUTED_VALUE"""),290291.0)</f>
        <v>290291</v>
      </c>
    </row>
    <row r="19">
      <c r="A19" s="3">
        <f>IFERROR(__xludf.DUMMYFUNCTION("""COMPUTED_VALUE"""),36552.645833333336)</f>
        <v>36552.64583</v>
      </c>
      <c r="B19" s="2">
        <f>IFERROR(__xludf.DUMMYFUNCTION("""COMPUTED_VALUE"""),22.4)</f>
        <v>22.4</v>
      </c>
      <c r="C19" s="2">
        <f>IFERROR(__xludf.DUMMYFUNCTION("""COMPUTED_VALUE"""),23.4)</f>
        <v>23.4</v>
      </c>
      <c r="D19" s="2">
        <f>IFERROR(__xludf.DUMMYFUNCTION("""COMPUTED_VALUE"""),22.13)</f>
        <v>22.13</v>
      </c>
      <c r="E19" s="2">
        <f>IFERROR(__xludf.DUMMYFUNCTION("""COMPUTED_VALUE"""),22.97)</f>
        <v>22.97</v>
      </c>
      <c r="F19" s="2">
        <f>IFERROR(__xludf.DUMMYFUNCTION("""COMPUTED_VALUE"""),563582.0)</f>
        <v>563582</v>
      </c>
    </row>
    <row r="20">
      <c r="A20" s="3">
        <f>IFERROR(__xludf.DUMMYFUNCTION("""COMPUTED_VALUE"""),36553.645833333336)</f>
        <v>36553.64583</v>
      </c>
      <c r="B20" s="2">
        <f>IFERROR(__xludf.DUMMYFUNCTION("""COMPUTED_VALUE"""),23.0)</f>
        <v>23</v>
      </c>
      <c r="C20" s="2">
        <f>IFERROR(__xludf.DUMMYFUNCTION("""COMPUTED_VALUE"""),23.3)</f>
        <v>23.3</v>
      </c>
      <c r="D20" s="2">
        <f>IFERROR(__xludf.DUMMYFUNCTION("""COMPUTED_VALUE"""),22.4)</f>
        <v>22.4</v>
      </c>
      <c r="E20" s="2">
        <f>IFERROR(__xludf.DUMMYFUNCTION("""COMPUTED_VALUE"""),22.79)</f>
        <v>22.79</v>
      </c>
      <c r="F20" s="2">
        <f>IFERROR(__xludf.DUMMYFUNCTION("""COMPUTED_VALUE"""),479165.0)</f>
        <v>479165</v>
      </c>
    </row>
    <row r="21">
      <c r="A21" s="3">
        <f>IFERROR(__xludf.DUMMYFUNCTION("""COMPUTED_VALUE"""),36556.645833333336)</f>
        <v>36556.64583</v>
      </c>
      <c r="B21" s="2">
        <f>IFERROR(__xludf.DUMMYFUNCTION("""COMPUTED_VALUE"""),23.01)</f>
        <v>23.01</v>
      </c>
      <c r="C21" s="2">
        <f>IFERROR(__xludf.DUMMYFUNCTION("""COMPUTED_VALUE"""),24.62)</f>
        <v>24.62</v>
      </c>
      <c r="D21" s="2">
        <f>IFERROR(__xludf.DUMMYFUNCTION("""COMPUTED_VALUE"""),23.01)</f>
        <v>23.01</v>
      </c>
      <c r="E21" s="2">
        <f>IFERROR(__xludf.DUMMYFUNCTION("""COMPUTED_VALUE"""),23.78)</f>
        <v>23.78</v>
      </c>
      <c r="F21" s="2">
        <f>IFERROR(__xludf.DUMMYFUNCTION("""COMPUTED_VALUE"""),637380.0)</f>
        <v>637380</v>
      </c>
    </row>
    <row r="22">
      <c r="A22" s="3">
        <f>IFERROR(__xludf.DUMMYFUNCTION("""COMPUTED_VALUE"""),36557.645833333336)</f>
        <v>36557.64583</v>
      </c>
      <c r="B22" s="2">
        <f>IFERROR(__xludf.DUMMYFUNCTION("""COMPUTED_VALUE"""),23.6)</f>
        <v>23.6</v>
      </c>
      <c r="C22" s="2">
        <f>IFERROR(__xludf.DUMMYFUNCTION("""COMPUTED_VALUE"""),24.4)</f>
        <v>24.4</v>
      </c>
      <c r="D22" s="2">
        <f>IFERROR(__xludf.DUMMYFUNCTION("""COMPUTED_VALUE"""),23.5)</f>
        <v>23.5</v>
      </c>
      <c r="E22" s="2">
        <f>IFERROR(__xludf.DUMMYFUNCTION("""COMPUTED_VALUE"""),24.1)</f>
        <v>24.1</v>
      </c>
      <c r="F22" s="2">
        <f>IFERROR(__xludf.DUMMYFUNCTION("""COMPUTED_VALUE"""),390779.0)</f>
        <v>390779</v>
      </c>
    </row>
    <row r="23">
      <c r="A23" s="3">
        <f>IFERROR(__xludf.DUMMYFUNCTION("""COMPUTED_VALUE"""),36558.645833333336)</f>
        <v>36558.64583</v>
      </c>
      <c r="B23" s="2">
        <f>IFERROR(__xludf.DUMMYFUNCTION("""COMPUTED_VALUE"""),26.02)</f>
        <v>26.02</v>
      </c>
      <c r="C23" s="2">
        <f>IFERROR(__xludf.DUMMYFUNCTION("""COMPUTED_VALUE"""),26.03)</f>
        <v>26.03</v>
      </c>
      <c r="D23" s="2">
        <f>IFERROR(__xludf.DUMMYFUNCTION("""COMPUTED_VALUE"""),23.9)</f>
        <v>23.9</v>
      </c>
      <c r="E23" s="2">
        <f>IFERROR(__xludf.DUMMYFUNCTION("""COMPUTED_VALUE"""),24.4)</f>
        <v>24.4</v>
      </c>
      <c r="F23" s="2">
        <f>IFERROR(__xludf.DUMMYFUNCTION("""COMPUTED_VALUE"""),343832.0)</f>
        <v>343832</v>
      </c>
    </row>
    <row r="24">
      <c r="A24" s="3">
        <f>IFERROR(__xludf.DUMMYFUNCTION("""COMPUTED_VALUE"""),36559.645833333336)</f>
        <v>36559.64583</v>
      </c>
      <c r="B24" s="2">
        <f>IFERROR(__xludf.DUMMYFUNCTION("""COMPUTED_VALUE"""),24.4)</f>
        <v>24.4</v>
      </c>
      <c r="C24" s="2">
        <f>IFERROR(__xludf.DUMMYFUNCTION("""COMPUTED_VALUE"""),25.0)</f>
        <v>25</v>
      </c>
      <c r="D24" s="2">
        <f>IFERROR(__xludf.DUMMYFUNCTION("""COMPUTED_VALUE"""),22.45)</f>
        <v>22.45</v>
      </c>
      <c r="E24" s="2">
        <f>IFERROR(__xludf.DUMMYFUNCTION("""COMPUTED_VALUE"""),22.6)</f>
        <v>22.6</v>
      </c>
      <c r="F24" s="2">
        <f>IFERROR(__xludf.DUMMYFUNCTION("""COMPUTED_VALUE"""),284687.0)</f>
        <v>284687</v>
      </c>
    </row>
    <row r="25">
      <c r="A25" s="3">
        <f>IFERROR(__xludf.DUMMYFUNCTION("""COMPUTED_VALUE"""),36560.645833333336)</f>
        <v>36560.64583</v>
      </c>
      <c r="B25" s="2">
        <f>IFERROR(__xludf.DUMMYFUNCTION("""COMPUTED_VALUE"""),23.0)</f>
        <v>23</v>
      </c>
      <c r="C25" s="2">
        <f>IFERROR(__xludf.DUMMYFUNCTION("""COMPUTED_VALUE"""),23.2)</f>
        <v>23.2</v>
      </c>
      <c r="D25" s="2">
        <f>IFERROR(__xludf.DUMMYFUNCTION("""COMPUTED_VALUE"""),21.75)</f>
        <v>21.75</v>
      </c>
      <c r="E25" s="2">
        <f>IFERROR(__xludf.DUMMYFUNCTION("""COMPUTED_VALUE"""),22.9)</f>
        <v>22.9</v>
      </c>
      <c r="F25" s="2">
        <f>IFERROR(__xludf.DUMMYFUNCTION("""COMPUTED_VALUE"""),265704.0)</f>
        <v>265704</v>
      </c>
    </row>
    <row r="26">
      <c r="A26" s="3">
        <f>IFERROR(__xludf.DUMMYFUNCTION("""COMPUTED_VALUE"""),36563.645833333336)</f>
        <v>36563.64583</v>
      </c>
      <c r="B26" s="2">
        <f>IFERROR(__xludf.DUMMYFUNCTION("""COMPUTED_VALUE"""),23.5)</f>
        <v>23.5</v>
      </c>
      <c r="C26" s="2">
        <f>IFERROR(__xludf.DUMMYFUNCTION("""COMPUTED_VALUE"""),24.73)</f>
        <v>24.73</v>
      </c>
      <c r="D26" s="2">
        <f>IFERROR(__xludf.DUMMYFUNCTION("""COMPUTED_VALUE"""),23.0)</f>
        <v>23</v>
      </c>
      <c r="E26" s="2">
        <f>IFERROR(__xludf.DUMMYFUNCTION("""COMPUTED_VALUE"""),24.67)</f>
        <v>24.67</v>
      </c>
      <c r="F26" s="2">
        <f>IFERROR(__xludf.DUMMYFUNCTION("""COMPUTED_VALUE"""),389035.0)</f>
        <v>389035</v>
      </c>
    </row>
    <row r="27">
      <c r="A27" s="3">
        <f>IFERROR(__xludf.DUMMYFUNCTION("""COMPUTED_VALUE"""),36564.645833333336)</f>
        <v>36564.64583</v>
      </c>
      <c r="B27" s="2">
        <f>IFERROR(__xludf.DUMMYFUNCTION("""COMPUTED_VALUE"""),25.0)</f>
        <v>25</v>
      </c>
      <c r="C27" s="2">
        <f>IFERROR(__xludf.DUMMYFUNCTION("""COMPUTED_VALUE"""),25.38)</f>
        <v>25.38</v>
      </c>
      <c r="D27" s="2">
        <f>IFERROR(__xludf.DUMMYFUNCTION("""COMPUTED_VALUE"""),24.01)</f>
        <v>24.01</v>
      </c>
      <c r="E27" s="2">
        <f>IFERROR(__xludf.DUMMYFUNCTION("""COMPUTED_VALUE"""),25.08)</f>
        <v>25.08</v>
      </c>
      <c r="F27" s="2">
        <f>IFERROR(__xludf.DUMMYFUNCTION("""COMPUTED_VALUE"""),305208.0)</f>
        <v>305208</v>
      </c>
    </row>
    <row r="28">
      <c r="A28" s="3">
        <f>IFERROR(__xludf.DUMMYFUNCTION("""COMPUTED_VALUE"""),36565.645833333336)</f>
        <v>36565.64583</v>
      </c>
      <c r="B28" s="2">
        <f>IFERROR(__xludf.DUMMYFUNCTION("""COMPUTED_VALUE"""),25.5)</f>
        <v>25.5</v>
      </c>
      <c r="C28" s="2">
        <f>IFERROR(__xludf.DUMMYFUNCTION("""COMPUTED_VALUE"""),26.1)</f>
        <v>26.1</v>
      </c>
      <c r="D28" s="2">
        <f>IFERROR(__xludf.DUMMYFUNCTION("""COMPUTED_VALUE"""),24.61)</f>
        <v>24.61</v>
      </c>
      <c r="E28" s="2">
        <f>IFERROR(__xludf.DUMMYFUNCTION("""COMPUTED_VALUE"""),25.25)</f>
        <v>25.25</v>
      </c>
      <c r="F28" s="2">
        <f>IFERROR(__xludf.DUMMYFUNCTION("""COMPUTED_VALUE"""),317233.0)</f>
        <v>317233</v>
      </c>
    </row>
    <row r="29">
      <c r="A29" s="3">
        <f>IFERROR(__xludf.DUMMYFUNCTION("""COMPUTED_VALUE"""),36566.645833333336)</f>
        <v>36566.64583</v>
      </c>
      <c r="B29" s="2">
        <f>IFERROR(__xludf.DUMMYFUNCTION("""COMPUTED_VALUE"""),25.0)</f>
        <v>25</v>
      </c>
      <c r="C29" s="2">
        <f>IFERROR(__xludf.DUMMYFUNCTION("""COMPUTED_VALUE"""),26.2)</f>
        <v>26.2</v>
      </c>
      <c r="D29" s="2">
        <f>IFERROR(__xludf.DUMMYFUNCTION("""COMPUTED_VALUE"""),24.83)</f>
        <v>24.83</v>
      </c>
      <c r="E29" s="2">
        <f>IFERROR(__xludf.DUMMYFUNCTION("""COMPUTED_VALUE"""),25.18)</f>
        <v>25.18</v>
      </c>
      <c r="F29" s="2">
        <f>IFERROR(__xludf.DUMMYFUNCTION("""COMPUTED_VALUE"""),210086.0)</f>
        <v>210086</v>
      </c>
    </row>
    <row r="30">
      <c r="A30" s="3">
        <f>IFERROR(__xludf.DUMMYFUNCTION("""COMPUTED_VALUE"""),36567.645833333336)</f>
        <v>36567.64583</v>
      </c>
      <c r="B30" s="2">
        <f>IFERROR(__xludf.DUMMYFUNCTION("""COMPUTED_VALUE"""),25.51)</f>
        <v>25.51</v>
      </c>
      <c r="C30" s="2">
        <f>IFERROR(__xludf.DUMMYFUNCTION("""COMPUTED_VALUE"""),25.9)</f>
        <v>25.9</v>
      </c>
      <c r="D30" s="2">
        <f>IFERROR(__xludf.DUMMYFUNCTION("""COMPUTED_VALUE"""),23.17)</f>
        <v>23.17</v>
      </c>
      <c r="E30" s="2">
        <f>IFERROR(__xludf.DUMMYFUNCTION("""COMPUTED_VALUE"""),23.21)</f>
        <v>23.21</v>
      </c>
      <c r="F30" s="2">
        <f>IFERROR(__xludf.DUMMYFUNCTION("""COMPUTED_VALUE"""),264823.0)</f>
        <v>264823</v>
      </c>
    </row>
    <row r="31">
      <c r="A31" s="3">
        <f>IFERROR(__xludf.DUMMYFUNCTION("""COMPUTED_VALUE"""),36570.645833333336)</f>
        <v>36570.64583</v>
      </c>
      <c r="B31" s="2">
        <f>IFERROR(__xludf.DUMMYFUNCTION("""COMPUTED_VALUE"""),23.5)</f>
        <v>23.5</v>
      </c>
      <c r="C31" s="2">
        <f>IFERROR(__xludf.DUMMYFUNCTION("""COMPUTED_VALUE"""),23.5)</f>
        <v>23.5</v>
      </c>
      <c r="D31" s="2">
        <f>IFERROR(__xludf.DUMMYFUNCTION("""COMPUTED_VALUE"""),22.02)</f>
        <v>22.02</v>
      </c>
      <c r="E31" s="2">
        <f>IFERROR(__xludf.DUMMYFUNCTION("""COMPUTED_VALUE"""),23.35)</f>
        <v>23.35</v>
      </c>
      <c r="F31" s="2">
        <f>IFERROR(__xludf.DUMMYFUNCTION("""COMPUTED_VALUE"""),252544.0)</f>
        <v>252544</v>
      </c>
    </row>
    <row r="32">
      <c r="A32" s="3">
        <f>IFERROR(__xludf.DUMMYFUNCTION("""COMPUTED_VALUE"""),36571.645833333336)</f>
        <v>36571.64583</v>
      </c>
      <c r="B32" s="2">
        <f>IFERROR(__xludf.DUMMYFUNCTION("""COMPUTED_VALUE"""),23.4)</f>
        <v>23.4</v>
      </c>
      <c r="C32" s="2">
        <f>IFERROR(__xludf.DUMMYFUNCTION("""COMPUTED_VALUE"""),23.5)</f>
        <v>23.5</v>
      </c>
      <c r="D32" s="2">
        <f>IFERROR(__xludf.DUMMYFUNCTION("""COMPUTED_VALUE"""),22.51)</f>
        <v>22.51</v>
      </c>
      <c r="E32" s="2">
        <f>IFERROR(__xludf.DUMMYFUNCTION("""COMPUTED_VALUE"""),22.76)</f>
        <v>22.76</v>
      </c>
      <c r="F32" s="2">
        <f>IFERROR(__xludf.DUMMYFUNCTION("""COMPUTED_VALUE"""),194087.0)</f>
        <v>194087</v>
      </c>
    </row>
    <row r="33">
      <c r="A33" s="3">
        <f>IFERROR(__xludf.DUMMYFUNCTION("""COMPUTED_VALUE"""),36572.645833333336)</f>
        <v>36572.64583</v>
      </c>
      <c r="B33" s="2">
        <f>IFERROR(__xludf.DUMMYFUNCTION("""COMPUTED_VALUE"""),24.49)</f>
        <v>24.49</v>
      </c>
      <c r="C33" s="2">
        <f>IFERROR(__xludf.DUMMYFUNCTION("""COMPUTED_VALUE"""),24.59)</f>
        <v>24.59</v>
      </c>
      <c r="D33" s="2">
        <f>IFERROR(__xludf.DUMMYFUNCTION("""COMPUTED_VALUE"""),23.0)</f>
        <v>23</v>
      </c>
      <c r="E33" s="2">
        <f>IFERROR(__xludf.DUMMYFUNCTION("""COMPUTED_VALUE"""),24.59)</f>
        <v>24.59</v>
      </c>
      <c r="F33" s="2">
        <f>IFERROR(__xludf.DUMMYFUNCTION("""COMPUTED_VALUE"""),70600.0)</f>
        <v>70600</v>
      </c>
    </row>
    <row r="34">
      <c r="A34" s="3">
        <f>IFERROR(__xludf.DUMMYFUNCTION("""COMPUTED_VALUE"""),36573.645833333336)</f>
        <v>36573.64583</v>
      </c>
      <c r="B34" s="2">
        <f>IFERROR(__xludf.DUMMYFUNCTION("""COMPUTED_VALUE"""),25.77)</f>
        <v>25.77</v>
      </c>
      <c r="C34" s="2">
        <f>IFERROR(__xludf.DUMMYFUNCTION("""COMPUTED_VALUE"""),25.77)</f>
        <v>25.77</v>
      </c>
      <c r="D34" s="2">
        <f>IFERROR(__xludf.DUMMYFUNCTION("""COMPUTED_VALUE"""),24.82)</f>
        <v>24.82</v>
      </c>
      <c r="E34" s="2">
        <f>IFERROR(__xludf.DUMMYFUNCTION("""COMPUTED_VALUE"""),25.04)</f>
        <v>25.04</v>
      </c>
      <c r="F34" s="2">
        <f>IFERROR(__xludf.DUMMYFUNCTION("""COMPUTED_VALUE"""),234160.0)</f>
        <v>234160</v>
      </c>
    </row>
    <row r="35">
      <c r="A35" s="3">
        <f>IFERROR(__xludf.DUMMYFUNCTION("""COMPUTED_VALUE"""),36574.645833333336)</f>
        <v>36574.64583</v>
      </c>
      <c r="B35" s="2">
        <f>IFERROR(__xludf.DUMMYFUNCTION("""COMPUTED_VALUE"""),25.1)</f>
        <v>25.1</v>
      </c>
      <c r="C35" s="2">
        <f>IFERROR(__xludf.DUMMYFUNCTION("""COMPUTED_VALUE"""),25.3)</f>
        <v>25.3</v>
      </c>
      <c r="D35" s="2">
        <f>IFERROR(__xludf.DUMMYFUNCTION("""COMPUTED_VALUE"""),23.9)</f>
        <v>23.9</v>
      </c>
      <c r="E35" s="2">
        <f>IFERROR(__xludf.DUMMYFUNCTION("""COMPUTED_VALUE"""),24.26)</f>
        <v>24.26</v>
      </c>
      <c r="F35" s="2">
        <f>IFERROR(__xludf.DUMMYFUNCTION("""COMPUTED_VALUE"""),118777.0)</f>
        <v>118777</v>
      </c>
    </row>
    <row r="36">
      <c r="A36" s="3">
        <f>IFERROR(__xludf.DUMMYFUNCTION("""COMPUTED_VALUE"""),36577.645833333336)</f>
        <v>36577.64583</v>
      </c>
      <c r="B36" s="2">
        <f>IFERROR(__xludf.DUMMYFUNCTION("""COMPUTED_VALUE"""),24.33)</f>
        <v>24.33</v>
      </c>
      <c r="C36" s="2">
        <f>IFERROR(__xludf.DUMMYFUNCTION("""COMPUTED_VALUE"""),24.8)</f>
        <v>24.8</v>
      </c>
      <c r="D36" s="2">
        <f>IFERROR(__xludf.DUMMYFUNCTION("""COMPUTED_VALUE"""),23.51)</f>
        <v>23.51</v>
      </c>
      <c r="E36" s="2">
        <f>IFERROR(__xludf.DUMMYFUNCTION("""COMPUTED_VALUE"""),23.62)</f>
        <v>23.62</v>
      </c>
      <c r="F36" s="2">
        <f>IFERROR(__xludf.DUMMYFUNCTION("""COMPUTED_VALUE"""),110472.0)</f>
        <v>110472</v>
      </c>
    </row>
    <row r="37">
      <c r="A37" s="3">
        <f>IFERROR(__xludf.DUMMYFUNCTION("""COMPUTED_VALUE"""),36578.645833333336)</f>
        <v>36578.64583</v>
      </c>
      <c r="B37" s="2">
        <f>IFERROR(__xludf.DUMMYFUNCTION("""COMPUTED_VALUE"""),23.61)</f>
        <v>23.61</v>
      </c>
      <c r="C37" s="2">
        <f>IFERROR(__xludf.DUMMYFUNCTION("""COMPUTED_VALUE"""),24.0)</f>
        <v>24</v>
      </c>
      <c r="D37" s="2">
        <f>IFERROR(__xludf.DUMMYFUNCTION("""COMPUTED_VALUE"""),21.73)</f>
        <v>21.73</v>
      </c>
      <c r="E37" s="2">
        <f>IFERROR(__xludf.DUMMYFUNCTION("""COMPUTED_VALUE"""),21.76)</f>
        <v>21.76</v>
      </c>
      <c r="F37" s="2">
        <f>IFERROR(__xludf.DUMMYFUNCTION("""COMPUTED_VALUE"""),174806.0)</f>
        <v>174806</v>
      </c>
    </row>
    <row r="38">
      <c r="A38" s="3">
        <f>IFERROR(__xludf.DUMMYFUNCTION("""COMPUTED_VALUE"""),36579.645833333336)</f>
        <v>36579.64583</v>
      </c>
      <c r="B38" s="2">
        <f>IFERROR(__xludf.DUMMYFUNCTION("""COMPUTED_VALUE"""),22.6)</f>
        <v>22.6</v>
      </c>
      <c r="C38" s="2">
        <f>IFERROR(__xludf.DUMMYFUNCTION("""COMPUTED_VALUE"""),23.49)</f>
        <v>23.49</v>
      </c>
      <c r="D38" s="2">
        <f>IFERROR(__xludf.DUMMYFUNCTION("""COMPUTED_VALUE"""),21.75)</f>
        <v>21.75</v>
      </c>
      <c r="E38" s="2">
        <f>IFERROR(__xludf.DUMMYFUNCTION("""COMPUTED_VALUE"""),21.95)</f>
        <v>21.95</v>
      </c>
      <c r="F38" s="2">
        <f>IFERROR(__xludf.DUMMYFUNCTION("""COMPUTED_VALUE"""),134508.0)</f>
        <v>134508</v>
      </c>
    </row>
    <row r="39">
      <c r="A39" s="3">
        <f>IFERROR(__xludf.DUMMYFUNCTION("""COMPUTED_VALUE"""),36580.645833333336)</f>
        <v>36580.64583</v>
      </c>
      <c r="B39" s="2">
        <f>IFERROR(__xludf.DUMMYFUNCTION("""COMPUTED_VALUE"""),22.2)</f>
        <v>22.2</v>
      </c>
      <c r="C39" s="2">
        <f>IFERROR(__xludf.DUMMYFUNCTION("""COMPUTED_VALUE"""),23.0)</f>
        <v>23</v>
      </c>
      <c r="D39" s="2">
        <f>IFERROR(__xludf.DUMMYFUNCTION("""COMPUTED_VALUE"""),21.55)</f>
        <v>21.55</v>
      </c>
      <c r="E39" s="2">
        <f>IFERROR(__xludf.DUMMYFUNCTION("""COMPUTED_VALUE"""),22.7)</f>
        <v>22.7</v>
      </c>
      <c r="F39" s="2">
        <f>IFERROR(__xludf.DUMMYFUNCTION("""COMPUTED_VALUE"""),87892.0)</f>
        <v>87892</v>
      </c>
    </row>
    <row r="40">
      <c r="A40" s="3">
        <f>IFERROR(__xludf.DUMMYFUNCTION("""COMPUTED_VALUE"""),36581.645833333336)</f>
        <v>36581.64583</v>
      </c>
      <c r="B40" s="2">
        <f>IFERROR(__xludf.DUMMYFUNCTION("""COMPUTED_VALUE"""),23.0)</f>
        <v>23</v>
      </c>
      <c r="C40" s="2">
        <f>IFERROR(__xludf.DUMMYFUNCTION("""COMPUTED_VALUE"""),23.4)</f>
        <v>23.4</v>
      </c>
      <c r="D40" s="2">
        <f>IFERROR(__xludf.DUMMYFUNCTION("""COMPUTED_VALUE"""),22.2)</f>
        <v>22.2</v>
      </c>
      <c r="E40" s="2">
        <f>IFERROR(__xludf.DUMMYFUNCTION("""COMPUTED_VALUE"""),22.7)</f>
        <v>22.7</v>
      </c>
      <c r="F40" s="2">
        <f>IFERROR(__xludf.DUMMYFUNCTION("""COMPUTED_VALUE"""),126532.0)</f>
        <v>126532</v>
      </c>
    </row>
    <row r="41">
      <c r="A41" s="3">
        <f>IFERROR(__xludf.DUMMYFUNCTION("""COMPUTED_VALUE"""),36584.645833333336)</f>
        <v>36584.64583</v>
      </c>
      <c r="B41" s="2">
        <f>IFERROR(__xludf.DUMMYFUNCTION("""COMPUTED_VALUE"""),22.99)</f>
        <v>22.99</v>
      </c>
      <c r="C41" s="2">
        <f>IFERROR(__xludf.DUMMYFUNCTION("""COMPUTED_VALUE"""),23.0)</f>
        <v>23</v>
      </c>
      <c r="D41" s="2">
        <f>IFERROR(__xludf.DUMMYFUNCTION("""COMPUTED_VALUE"""),22.0)</f>
        <v>22</v>
      </c>
      <c r="E41" s="2">
        <f>IFERROR(__xludf.DUMMYFUNCTION("""COMPUTED_VALUE"""),22.76)</f>
        <v>22.76</v>
      </c>
      <c r="F41" s="2">
        <f>IFERROR(__xludf.DUMMYFUNCTION("""COMPUTED_VALUE"""),85721.0)</f>
        <v>85721</v>
      </c>
    </row>
    <row r="42">
      <c r="A42" s="3">
        <f>IFERROR(__xludf.DUMMYFUNCTION("""COMPUTED_VALUE"""),36585.645833333336)</f>
        <v>36585.64583</v>
      </c>
      <c r="B42" s="2">
        <f>IFERROR(__xludf.DUMMYFUNCTION("""COMPUTED_VALUE"""),22.8)</f>
        <v>22.8</v>
      </c>
      <c r="C42" s="2">
        <f>IFERROR(__xludf.DUMMYFUNCTION("""COMPUTED_VALUE"""),23.9)</f>
        <v>23.9</v>
      </c>
      <c r="D42" s="2">
        <f>IFERROR(__xludf.DUMMYFUNCTION("""COMPUTED_VALUE"""),20.95)</f>
        <v>20.95</v>
      </c>
      <c r="E42" s="2">
        <f>IFERROR(__xludf.DUMMYFUNCTION("""COMPUTED_VALUE"""),21.68)</f>
        <v>21.68</v>
      </c>
      <c r="F42" s="2">
        <f>IFERROR(__xludf.DUMMYFUNCTION("""COMPUTED_VALUE"""),258688.0)</f>
        <v>258688</v>
      </c>
    </row>
    <row r="43">
      <c r="A43" s="3">
        <f>IFERROR(__xludf.DUMMYFUNCTION("""COMPUTED_VALUE"""),36586.645833333336)</f>
        <v>36586.64583</v>
      </c>
      <c r="B43" s="2">
        <f>IFERROR(__xludf.DUMMYFUNCTION("""COMPUTED_VALUE"""),21.8)</f>
        <v>21.8</v>
      </c>
      <c r="C43" s="2">
        <f>IFERROR(__xludf.DUMMYFUNCTION("""COMPUTED_VALUE"""),23.42)</f>
        <v>23.42</v>
      </c>
      <c r="D43" s="2">
        <f>IFERROR(__xludf.DUMMYFUNCTION("""COMPUTED_VALUE"""),21.8)</f>
        <v>21.8</v>
      </c>
      <c r="E43" s="2">
        <f>IFERROR(__xludf.DUMMYFUNCTION("""COMPUTED_VALUE"""),23.42)</f>
        <v>23.42</v>
      </c>
      <c r="F43" s="2">
        <f>IFERROR(__xludf.DUMMYFUNCTION("""COMPUTED_VALUE"""),32094.0)</f>
        <v>32094</v>
      </c>
    </row>
    <row r="44">
      <c r="A44" s="3">
        <f>IFERROR(__xludf.DUMMYFUNCTION("""COMPUTED_VALUE"""),36587.645833333336)</f>
        <v>36587.64583</v>
      </c>
      <c r="B44" s="2">
        <f>IFERROR(__xludf.DUMMYFUNCTION("""COMPUTED_VALUE"""),25.0)</f>
        <v>25</v>
      </c>
      <c r="C44" s="2">
        <f>IFERROR(__xludf.DUMMYFUNCTION("""COMPUTED_VALUE"""),25.29)</f>
        <v>25.29</v>
      </c>
      <c r="D44" s="2">
        <f>IFERROR(__xludf.DUMMYFUNCTION("""COMPUTED_VALUE"""),25.0)</f>
        <v>25</v>
      </c>
      <c r="E44" s="2">
        <f>IFERROR(__xludf.DUMMYFUNCTION("""COMPUTED_VALUE"""),25.29)</f>
        <v>25.29</v>
      </c>
      <c r="F44" s="2">
        <f>IFERROR(__xludf.DUMMYFUNCTION("""COMPUTED_VALUE"""),39936.0)</f>
        <v>39936</v>
      </c>
    </row>
    <row r="45">
      <c r="A45" s="3">
        <f>IFERROR(__xludf.DUMMYFUNCTION("""COMPUTED_VALUE"""),36588.645833333336)</f>
        <v>36588.64583</v>
      </c>
      <c r="B45" s="2">
        <f>IFERROR(__xludf.DUMMYFUNCTION("""COMPUTED_VALUE"""),27.32)</f>
        <v>27.32</v>
      </c>
      <c r="C45" s="2">
        <f>IFERROR(__xludf.DUMMYFUNCTION("""COMPUTED_VALUE"""),27.32)</f>
        <v>27.32</v>
      </c>
      <c r="D45" s="2">
        <f>IFERROR(__xludf.DUMMYFUNCTION("""COMPUTED_VALUE"""),27.32)</f>
        <v>27.32</v>
      </c>
      <c r="E45" s="2">
        <f>IFERROR(__xludf.DUMMYFUNCTION("""COMPUTED_VALUE"""),27.32)</f>
        <v>27.32</v>
      </c>
      <c r="F45" s="2">
        <f>IFERROR(__xludf.DUMMYFUNCTION("""COMPUTED_VALUE"""),64294.0)</f>
        <v>64294</v>
      </c>
    </row>
    <row r="46">
      <c r="A46" s="3">
        <f>IFERROR(__xludf.DUMMYFUNCTION("""COMPUTED_VALUE"""),36591.645833333336)</f>
        <v>36591.64583</v>
      </c>
      <c r="B46" s="2">
        <f>IFERROR(__xludf.DUMMYFUNCTION("""COMPUTED_VALUE"""),29.5)</f>
        <v>29.5</v>
      </c>
      <c r="C46" s="2">
        <f>IFERROR(__xludf.DUMMYFUNCTION("""COMPUTED_VALUE"""),29.5)</f>
        <v>29.5</v>
      </c>
      <c r="D46" s="2">
        <f>IFERROR(__xludf.DUMMYFUNCTION("""COMPUTED_VALUE"""),25.5)</f>
        <v>25.5</v>
      </c>
      <c r="E46" s="2">
        <f>IFERROR(__xludf.DUMMYFUNCTION("""COMPUTED_VALUE"""),26.61)</f>
        <v>26.61</v>
      </c>
      <c r="F46" s="2">
        <f>IFERROR(__xludf.DUMMYFUNCTION("""COMPUTED_VALUE"""),203641.0)</f>
        <v>203641</v>
      </c>
    </row>
    <row r="47">
      <c r="A47" s="3">
        <f>IFERROR(__xludf.DUMMYFUNCTION("""COMPUTED_VALUE"""),36592.645833333336)</f>
        <v>36592.64583</v>
      </c>
      <c r="B47" s="2">
        <f>IFERROR(__xludf.DUMMYFUNCTION("""COMPUTED_VALUE"""),26.5)</f>
        <v>26.5</v>
      </c>
      <c r="C47" s="2">
        <f>IFERROR(__xludf.DUMMYFUNCTION("""COMPUTED_VALUE"""),26.79)</f>
        <v>26.79</v>
      </c>
      <c r="D47" s="2">
        <f>IFERROR(__xludf.DUMMYFUNCTION("""COMPUTED_VALUE"""),25.5)</f>
        <v>25.5</v>
      </c>
      <c r="E47" s="2">
        <f>IFERROR(__xludf.DUMMYFUNCTION("""COMPUTED_VALUE"""),25.82)</f>
        <v>25.82</v>
      </c>
      <c r="F47" s="2">
        <f>IFERROR(__xludf.DUMMYFUNCTION("""COMPUTED_VALUE"""),162412.0)</f>
        <v>162412</v>
      </c>
    </row>
    <row r="48">
      <c r="A48" s="3">
        <f>IFERROR(__xludf.DUMMYFUNCTION("""COMPUTED_VALUE"""),36593.645833333336)</f>
        <v>36593.64583</v>
      </c>
      <c r="B48" s="2">
        <f>IFERROR(__xludf.DUMMYFUNCTION("""COMPUTED_VALUE"""),26.5)</f>
        <v>26.5</v>
      </c>
      <c r="C48" s="2">
        <f>IFERROR(__xludf.DUMMYFUNCTION("""COMPUTED_VALUE"""),27.89)</f>
        <v>27.89</v>
      </c>
      <c r="D48" s="2">
        <f>IFERROR(__xludf.DUMMYFUNCTION("""COMPUTED_VALUE"""),26.2)</f>
        <v>26.2</v>
      </c>
      <c r="E48" s="2">
        <f>IFERROR(__xludf.DUMMYFUNCTION("""COMPUTED_VALUE"""),27.21)</f>
        <v>27.21</v>
      </c>
      <c r="F48" s="2">
        <f>IFERROR(__xludf.DUMMYFUNCTION("""COMPUTED_VALUE"""),200477.0)</f>
        <v>200477</v>
      </c>
    </row>
    <row r="49">
      <c r="A49" s="3">
        <f>IFERROR(__xludf.DUMMYFUNCTION("""COMPUTED_VALUE"""),36594.645833333336)</f>
        <v>36594.64583</v>
      </c>
      <c r="B49" s="2">
        <f>IFERROR(__xludf.DUMMYFUNCTION("""COMPUTED_VALUE"""),27.02)</f>
        <v>27.02</v>
      </c>
      <c r="C49" s="2">
        <f>IFERROR(__xludf.DUMMYFUNCTION("""COMPUTED_VALUE"""),28.0)</f>
        <v>28</v>
      </c>
      <c r="D49" s="2">
        <f>IFERROR(__xludf.DUMMYFUNCTION("""COMPUTED_VALUE"""),25.1)</f>
        <v>25.1</v>
      </c>
      <c r="E49" s="2">
        <f>IFERROR(__xludf.DUMMYFUNCTION("""COMPUTED_VALUE"""),26.96)</f>
        <v>26.96</v>
      </c>
      <c r="F49" s="2">
        <f>IFERROR(__xludf.DUMMYFUNCTION("""COMPUTED_VALUE"""),133979.0)</f>
        <v>133979</v>
      </c>
    </row>
    <row r="50">
      <c r="A50" s="3">
        <f>IFERROR(__xludf.DUMMYFUNCTION("""COMPUTED_VALUE"""),36595.645833333336)</f>
        <v>36595.64583</v>
      </c>
      <c r="B50" s="2">
        <f>IFERROR(__xludf.DUMMYFUNCTION("""COMPUTED_VALUE"""),26.13)</f>
        <v>26.13</v>
      </c>
      <c r="C50" s="2">
        <f>IFERROR(__xludf.DUMMYFUNCTION("""COMPUTED_VALUE"""),26.3)</f>
        <v>26.3</v>
      </c>
      <c r="D50" s="2">
        <f>IFERROR(__xludf.DUMMYFUNCTION("""COMPUTED_VALUE"""),24.81)</f>
        <v>24.81</v>
      </c>
      <c r="E50" s="2">
        <f>IFERROR(__xludf.DUMMYFUNCTION("""COMPUTED_VALUE"""),25.42)</f>
        <v>25.42</v>
      </c>
      <c r="F50" s="2">
        <f>IFERROR(__xludf.DUMMYFUNCTION("""COMPUTED_VALUE"""),146833.0)</f>
        <v>146833</v>
      </c>
    </row>
    <row r="51">
      <c r="A51" s="3">
        <f>IFERROR(__xludf.DUMMYFUNCTION("""COMPUTED_VALUE"""),36598.645833333336)</f>
        <v>36598.64583</v>
      </c>
      <c r="B51" s="2">
        <f>IFERROR(__xludf.DUMMYFUNCTION("""COMPUTED_VALUE"""),25.0)</f>
        <v>25</v>
      </c>
      <c r="C51" s="2">
        <f>IFERROR(__xludf.DUMMYFUNCTION("""COMPUTED_VALUE"""),27.45)</f>
        <v>27.45</v>
      </c>
      <c r="D51" s="2">
        <f>IFERROR(__xludf.DUMMYFUNCTION("""COMPUTED_VALUE"""),25.0)</f>
        <v>25</v>
      </c>
      <c r="E51" s="2">
        <f>IFERROR(__xludf.DUMMYFUNCTION("""COMPUTED_VALUE"""),27.0)</f>
        <v>27</v>
      </c>
      <c r="F51" s="2">
        <f>IFERROR(__xludf.DUMMYFUNCTION("""COMPUTED_VALUE"""),207982.0)</f>
        <v>207982</v>
      </c>
    </row>
    <row r="52">
      <c r="A52" s="3">
        <f>IFERROR(__xludf.DUMMYFUNCTION("""COMPUTED_VALUE"""),36599.645833333336)</f>
        <v>36599.64583</v>
      </c>
      <c r="B52" s="2">
        <f>IFERROR(__xludf.DUMMYFUNCTION("""COMPUTED_VALUE"""),27.55)</f>
        <v>27.55</v>
      </c>
      <c r="C52" s="2">
        <f>IFERROR(__xludf.DUMMYFUNCTION("""COMPUTED_VALUE"""),28.0)</f>
        <v>28</v>
      </c>
      <c r="D52" s="2">
        <f>IFERROR(__xludf.DUMMYFUNCTION("""COMPUTED_VALUE"""),25.6)</f>
        <v>25.6</v>
      </c>
      <c r="E52" s="2">
        <f>IFERROR(__xludf.DUMMYFUNCTION("""COMPUTED_VALUE"""),26.54)</f>
        <v>26.54</v>
      </c>
      <c r="F52" s="2">
        <f>IFERROR(__xludf.DUMMYFUNCTION("""COMPUTED_VALUE"""),178202.0)</f>
        <v>178202</v>
      </c>
    </row>
    <row r="53">
      <c r="A53" s="3">
        <f>IFERROR(__xludf.DUMMYFUNCTION("""COMPUTED_VALUE"""),36600.645833333336)</f>
        <v>36600.64583</v>
      </c>
      <c r="B53" s="2">
        <f>IFERROR(__xludf.DUMMYFUNCTION("""COMPUTED_VALUE"""),27.0)</f>
        <v>27</v>
      </c>
      <c r="C53" s="2">
        <f>IFERROR(__xludf.DUMMYFUNCTION("""COMPUTED_VALUE"""),27.0)</f>
        <v>27</v>
      </c>
      <c r="D53" s="2">
        <f>IFERROR(__xludf.DUMMYFUNCTION("""COMPUTED_VALUE"""),24.7)</f>
        <v>24.7</v>
      </c>
      <c r="E53" s="2">
        <f>IFERROR(__xludf.DUMMYFUNCTION("""COMPUTED_VALUE"""),25.99)</f>
        <v>25.99</v>
      </c>
      <c r="F53" s="2">
        <f>IFERROR(__xludf.DUMMYFUNCTION("""COMPUTED_VALUE"""),82786.0)</f>
        <v>82786</v>
      </c>
    </row>
    <row r="54">
      <c r="A54" s="3">
        <f>IFERROR(__xludf.DUMMYFUNCTION("""COMPUTED_VALUE"""),36601.645833333336)</f>
        <v>36601.64583</v>
      </c>
      <c r="B54" s="2">
        <f>IFERROR(__xludf.DUMMYFUNCTION("""COMPUTED_VALUE"""),26.2)</f>
        <v>26.2</v>
      </c>
      <c r="C54" s="2">
        <f>IFERROR(__xludf.DUMMYFUNCTION("""COMPUTED_VALUE"""),26.2)</f>
        <v>26.2</v>
      </c>
      <c r="D54" s="2">
        <f>IFERROR(__xludf.DUMMYFUNCTION("""COMPUTED_VALUE"""),25.51)</f>
        <v>25.51</v>
      </c>
      <c r="E54" s="2">
        <f>IFERROR(__xludf.DUMMYFUNCTION("""COMPUTED_VALUE"""),25.7)</f>
        <v>25.7</v>
      </c>
      <c r="F54" s="2">
        <f>IFERROR(__xludf.DUMMYFUNCTION("""COMPUTED_VALUE"""),132464.0)</f>
        <v>132464</v>
      </c>
    </row>
    <row r="55">
      <c r="A55" s="3">
        <f>IFERROR(__xludf.DUMMYFUNCTION("""COMPUTED_VALUE"""),36606.645833333336)</f>
        <v>36606.64583</v>
      </c>
      <c r="B55" s="2">
        <f>IFERROR(__xludf.DUMMYFUNCTION("""COMPUTED_VALUE"""),26.0)</f>
        <v>26</v>
      </c>
      <c r="C55" s="2">
        <f>IFERROR(__xludf.DUMMYFUNCTION("""COMPUTED_VALUE"""),26.0)</f>
        <v>26</v>
      </c>
      <c r="D55" s="2">
        <f>IFERROR(__xludf.DUMMYFUNCTION("""COMPUTED_VALUE"""),24.67)</f>
        <v>24.67</v>
      </c>
      <c r="E55" s="2">
        <f>IFERROR(__xludf.DUMMYFUNCTION("""COMPUTED_VALUE"""),25.58)</f>
        <v>25.58</v>
      </c>
      <c r="F55" s="2">
        <f>IFERROR(__xludf.DUMMYFUNCTION("""COMPUTED_VALUE"""),160111.0)</f>
        <v>160111</v>
      </c>
    </row>
    <row r="56">
      <c r="A56" s="3">
        <f>IFERROR(__xludf.DUMMYFUNCTION("""COMPUTED_VALUE"""),36607.645833333336)</f>
        <v>36607.64583</v>
      </c>
      <c r="B56" s="2">
        <f>IFERROR(__xludf.DUMMYFUNCTION("""COMPUTED_VALUE"""),25.98)</f>
        <v>25.98</v>
      </c>
      <c r="C56" s="2">
        <f>IFERROR(__xludf.DUMMYFUNCTION("""COMPUTED_VALUE"""),26.5)</f>
        <v>26.5</v>
      </c>
      <c r="D56" s="2">
        <f>IFERROR(__xludf.DUMMYFUNCTION("""COMPUTED_VALUE"""),25.41)</f>
        <v>25.41</v>
      </c>
      <c r="E56" s="2">
        <f>IFERROR(__xludf.DUMMYFUNCTION("""COMPUTED_VALUE"""),26.12)</f>
        <v>26.12</v>
      </c>
      <c r="F56" s="2">
        <f>IFERROR(__xludf.DUMMYFUNCTION("""COMPUTED_VALUE"""),76130.0)</f>
        <v>76130</v>
      </c>
    </row>
    <row r="57">
      <c r="A57" s="3">
        <f>IFERROR(__xludf.DUMMYFUNCTION("""COMPUTED_VALUE"""),36608.645833333336)</f>
        <v>36608.64583</v>
      </c>
      <c r="B57" s="2">
        <f>IFERROR(__xludf.DUMMYFUNCTION("""COMPUTED_VALUE"""),25.83)</f>
        <v>25.83</v>
      </c>
      <c r="C57" s="2">
        <f>IFERROR(__xludf.DUMMYFUNCTION("""COMPUTED_VALUE"""),28.21)</f>
        <v>28.21</v>
      </c>
      <c r="D57" s="2">
        <f>IFERROR(__xludf.DUMMYFUNCTION("""COMPUTED_VALUE"""),25.83)</f>
        <v>25.83</v>
      </c>
      <c r="E57" s="2">
        <f>IFERROR(__xludf.DUMMYFUNCTION("""COMPUTED_VALUE"""),28.04)</f>
        <v>28.04</v>
      </c>
      <c r="F57" s="2">
        <f>IFERROR(__xludf.DUMMYFUNCTION("""COMPUTED_VALUE"""),253844.0)</f>
        <v>253844</v>
      </c>
    </row>
    <row r="58">
      <c r="A58" s="3">
        <f>IFERROR(__xludf.DUMMYFUNCTION("""COMPUTED_VALUE"""),36609.645833333336)</f>
        <v>36609.64583</v>
      </c>
      <c r="B58" s="2">
        <f>IFERROR(__xludf.DUMMYFUNCTION("""COMPUTED_VALUE"""),27.51)</f>
        <v>27.51</v>
      </c>
      <c r="C58" s="2">
        <f>IFERROR(__xludf.DUMMYFUNCTION("""COMPUTED_VALUE"""),27.78)</f>
        <v>27.78</v>
      </c>
      <c r="D58" s="2">
        <f>IFERROR(__xludf.DUMMYFUNCTION("""COMPUTED_VALUE"""),26.45)</f>
        <v>26.45</v>
      </c>
      <c r="E58" s="2">
        <f>IFERROR(__xludf.DUMMYFUNCTION("""COMPUTED_VALUE"""),27.34)</f>
        <v>27.34</v>
      </c>
      <c r="F58" s="2">
        <f>IFERROR(__xludf.DUMMYFUNCTION("""COMPUTED_VALUE"""),117154.0)</f>
        <v>117154</v>
      </c>
    </row>
    <row r="59">
      <c r="A59" s="3">
        <f>IFERROR(__xludf.DUMMYFUNCTION("""COMPUTED_VALUE"""),36612.645833333336)</f>
        <v>36612.64583</v>
      </c>
      <c r="B59" s="2">
        <f>IFERROR(__xludf.DUMMYFUNCTION("""COMPUTED_VALUE"""),27.5)</f>
        <v>27.5</v>
      </c>
      <c r="C59" s="2">
        <f>IFERROR(__xludf.DUMMYFUNCTION("""COMPUTED_VALUE"""),27.8)</f>
        <v>27.8</v>
      </c>
      <c r="D59" s="2">
        <f>IFERROR(__xludf.DUMMYFUNCTION("""COMPUTED_VALUE"""),26.63)</f>
        <v>26.63</v>
      </c>
      <c r="E59" s="2">
        <f>IFERROR(__xludf.DUMMYFUNCTION("""COMPUTED_VALUE"""),27.17)</f>
        <v>27.17</v>
      </c>
      <c r="F59" s="2">
        <f>IFERROR(__xludf.DUMMYFUNCTION("""COMPUTED_VALUE"""),61131.0)</f>
        <v>61131</v>
      </c>
    </row>
    <row r="60">
      <c r="A60" s="3">
        <f>IFERROR(__xludf.DUMMYFUNCTION("""COMPUTED_VALUE"""),36613.645833333336)</f>
        <v>36613.64583</v>
      </c>
      <c r="B60" s="2">
        <f>IFERROR(__xludf.DUMMYFUNCTION("""COMPUTED_VALUE"""),26.85)</f>
        <v>26.85</v>
      </c>
      <c r="C60" s="2">
        <f>IFERROR(__xludf.DUMMYFUNCTION("""COMPUTED_VALUE"""),27.85)</f>
        <v>27.85</v>
      </c>
      <c r="D60" s="2">
        <f>IFERROR(__xludf.DUMMYFUNCTION("""COMPUTED_VALUE"""),26.81)</f>
        <v>26.81</v>
      </c>
      <c r="E60" s="2">
        <f>IFERROR(__xludf.DUMMYFUNCTION("""COMPUTED_VALUE"""),27.51)</f>
        <v>27.51</v>
      </c>
      <c r="F60" s="2">
        <f>IFERROR(__xludf.DUMMYFUNCTION("""COMPUTED_VALUE"""),98364.0)</f>
        <v>98364</v>
      </c>
    </row>
    <row r="61">
      <c r="A61" s="3">
        <f>IFERROR(__xludf.DUMMYFUNCTION("""COMPUTED_VALUE"""),36614.645833333336)</f>
        <v>36614.64583</v>
      </c>
      <c r="B61" s="2">
        <f>IFERROR(__xludf.DUMMYFUNCTION("""COMPUTED_VALUE"""),27.6)</f>
        <v>27.6</v>
      </c>
      <c r="C61" s="2">
        <f>IFERROR(__xludf.DUMMYFUNCTION("""COMPUTED_VALUE"""),28.8)</f>
        <v>28.8</v>
      </c>
      <c r="D61" s="2">
        <f>IFERROR(__xludf.DUMMYFUNCTION("""COMPUTED_VALUE"""),26.31)</f>
        <v>26.31</v>
      </c>
      <c r="E61" s="2">
        <f>IFERROR(__xludf.DUMMYFUNCTION("""COMPUTED_VALUE"""),26.54)</f>
        <v>26.54</v>
      </c>
      <c r="F61" s="2">
        <f>IFERROR(__xludf.DUMMYFUNCTION("""COMPUTED_VALUE"""),98480.0)</f>
        <v>98480</v>
      </c>
    </row>
    <row r="62">
      <c r="A62" s="3">
        <f>IFERROR(__xludf.DUMMYFUNCTION("""COMPUTED_VALUE"""),36615.645833333336)</f>
        <v>36615.64583</v>
      </c>
      <c r="B62" s="2">
        <f>IFERROR(__xludf.DUMMYFUNCTION("""COMPUTED_VALUE"""),25.65)</f>
        <v>25.65</v>
      </c>
      <c r="C62" s="2">
        <f>IFERROR(__xludf.DUMMYFUNCTION("""COMPUTED_VALUE"""),26.6)</f>
        <v>26.6</v>
      </c>
      <c r="D62" s="2">
        <f>IFERROR(__xludf.DUMMYFUNCTION("""COMPUTED_VALUE"""),25.1)</f>
        <v>25.1</v>
      </c>
      <c r="E62" s="2">
        <f>IFERROR(__xludf.DUMMYFUNCTION("""COMPUTED_VALUE"""),26.26)</f>
        <v>26.26</v>
      </c>
      <c r="F62" s="2">
        <f>IFERROR(__xludf.DUMMYFUNCTION("""COMPUTED_VALUE"""),95368.0)</f>
        <v>95368</v>
      </c>
    </row>
    <row r="63">
      <c r="A63" s="3">
        <f>IFERROR(__xludf.DUMMYFUNCTION("""COMPUTED_VALUE"""),36616.645833333336)</f>
        <v>36616.64583</v>
      </c>
      <c r="B63" s="2">
        <f>IFERROR(__xludf.DUMMYFUNCTION("""COMPUTED_VALUE"""),25.3)</f>
        <v>25.3</v>
      </c>
      <c r="C63" s="2">
        <f>IFERROR(__xludf.DUMMYFUNCTION("""COMPUTED_VALUE"""),26.0)</f>
        <v>26</v>
      </c>
      <c r="D63" s="2">
        <f>IFERROR(__xludf.DUMMYFUNCTION("""COMPUTED_VALUE"""),25.2)</f>
        <v>25.2</v>
      </c>
      <c r="E63" s="2">
        <f>IFERROR(__xludf.DUMMYFUNCTION("""COMPUTED_VALUE"""),25.72)</f>
        <v>25.72</v>
      </c>
      <c r="F63" s="2">
        <f>IFERROR(__xludf.DUMMYFUNCTION("""COMPUTED_VALUE"""),74360.0)</f>
        <v>74360</v>
      </c>
    </row>
    <row r="64">
      <c r="A64" s="3">
        <f>IFERROR(__xludf.DUMMYFUNCTION("""COMPUTED_VALUE"""),36619.645833333336)</f>
        <v>36619.64583</v>
      </c>
      <c r="B64" s="2">
        <f>IFERROR(__xludf.DUMMYFUNCTION("""COMPUTED_VALUE"""),26.0)</f>
        <v>26</v>
      </c>
      <c r="C64" s="2">
        <f>IFERROR(__xludf.DUMMYFUNCTION("""COMPUTED_VALUE"""),27.3)</f>
        <v>27.3</v>
      </c>
      <c r="D64" s="2">
        <f>IFERROR(__xludf.DUMMYFUNCTION("""COMPUTED_VALUE"""),24.02)</f>
        <v>24.02</v>
      </c>
      <c r="E64" s="2">
        <f>IFERROR(__xludf.DUMMYFUNCTION("""COMPUTED_VALUE"""),24.72)</f>
        <v>24.72</v>
      </c>
      <c r="F64" s="2">
        <f>IFERROR(__xludf.DUMMYFUNCTION("""COMPUTED_VALUE"""),168588.0)</f>
        <v>168588</v>
      </c>
    </row>
    <row r="65">
      <c r="A65" s="3">
        <f>IFERROR(__xludf.DUMMYFUNCTION("""COMPUTED_VALUE"""),36620.645833333336)</f>
        <v>36620.64583</v>
      </c>
      <c r="B65" s="2">
        <f>IFERROR(__xludf.DUMMYFUNCTION("""COMPUTED_VALUE"""),24.3)</f>
        <v>24.3</v>
      </c>
      <c r="C65" s="2">
        <f>IFERROR(__xludf.DUMMYFUNCTION("""COMPUTED_VALUE"""),24.3)</f>
        <v>24.3</v>
      </c>
      <c r="D65" s="2">
        <f>IFERROR(__xludf.DUMMYFUNCTION("""COMPUTED_VALUE"""),22.74)</f>
        <v>22.74</v>
      </c>
      <c r="E65" s="2">
        <f>IFERROR(__xludf.DUMMYFUNCTION("""COMPUTED_VALUE"""),22.74)</f>
        <v>22.74</v>
      </c>
      <c r="F65" s="2">
        <f>IFERROR(__xludf.DUMMYFUNCTION("""COMPUTED_VALUE"""),71783.0)</f>
        <v>71783</v>
      </c>
    </row>
    <row r="66">
      <c r="A66" s="3">
        <f>IFERROR(__xludf.DUMMYFUNCTION("""COMPUTED_VALUE"""),36621.645833333336)</f>
        <v>36621.64583</v>
      </c>
      <c r="B66" s="2">
        <f>IFERROR(__xludf.DUMMYFUNCTION("""COMPUTED_VALUE"""),23.2)</f>
        <v>23.2</v>
      </c>
      <c r="C66" s="2">
        <f>IFERROR(__xludf.DUMMYFUNCTION("""COMPUTED_VALUE"""),23.2)</f>
        <v>23.2</v>
      </c>
      <c r="D66" s="2">
        <f>IFERROR(__xludf.DUMMYFUNCTION("""COMPUTED_VALUE"""),20.93)</f>
        <v>20.93</v>
      </c>
      <c r="E66" s="2">
        <f>IFERROR(__xludf.DUMMYFUNCTION("""COMPUTED_VALUE"""),20.93)</f>
        <v>20.93</v>
      </c>
      <c r="F66" s="2">
        <f>IFERROR(__xludf.DUMMYFUNCTION("""COMPUTED_VALUE"""),87281.0)</f>
        <v>87281</v>
      </c>
    </row>
    <row r="67">
      <c r="A67" s="3">
        <f>IFERROR(__xludf.DUMMYFUNCTION("""COMPUTED_VALUE"""),36622.645833333336)</f>
        <v>36622.64583</v>
      </c>
      <c r="B67" s="2">
        <f>IFERROR(__xludf.DUMMYFUNCTION("""COMPUTED_VALUE"""),20.7)</f>
        <v>20.7</v>
      </c>
      <c r="C67" s="2">
        <f>IFERROR(__xludf.DUMMYFUNCTION("""COMPUTED_VALUE"""),21.2)</f>
        <v>21.2</v>
      </c>
      <c r="D67" s="2">
        <f>IFERROR(__xludf.DUMMYFUNCTION("""COMPUTED_VALUE"""),19.26)</f>
        <v>19.26</v>
      </c>
      <c r="E67" s="2">
        <f>IFERROR(__xludf.DUMMYFUNCTION("""COMPUTED_VALUE"""),19.26)</f>
        <v>19.26</v>
      </c>
      <c r="F67" s="2">
        <f>IFERROR(__xludf.DUMMYFUNCTION("""COMPUTED_VALUE"""),83506.0)</f>
        <v>83506</v>
      </c>
    </row>
    <row r="68">
      <c r="A68" s="3">
        <f>IFERROR(__xludf.DUMMYFUNCTION("""COMPUTED_VALUE"""),36623.645833333336)</f>
        <v>36623.64583</v>
      </c>
      <c r="B68" s="2">
        <f>IFERROR(__xludf.DUMMYFUNCTION("""COMPUTED_VALUE"""),19.5)</f>
        <v>19.5</v>
      </c>
      <c r="C68" s="2">
        <f>IFERROR(__xludf.DUMMYFUNCTION("""COMPUTED_VALUE"""),20.8)</f>
        <v>20.8</v>
      </c>
      <c r="D68" s="2">
        <f>IFERROR(__xludf.DUMMYFUNCTION("""COMPUTED_VALUE"""),18.51)</f>
        <v>18.51</v>
      </c>
      <c r="E68" s="2">
        <f>IFERROR(__xludf.DUMMYFUNCTION("""COMPUTED_VALUE"""),20.8)</f>
        <v>20.8</v>
      </c>
      <c r="F68" s="2">
        <f>IFERROR(__xludf.DUMMYFUNCTION("""COMPUTED_VALUE"""),160929.0)</f>
        <v>160929</v>
      </c>
    </row>
    <row r="69">
      <c r="A69" s="3">
        <f>IFERROR(__xludf.DUMMYFUNCTION("""COMPUTED_VALUE"""),36626.645833333336)</f>
        <v>36626.64583</v>
      </c>
      <c r="B69" s="2">
        <f>IFERROR(__xludf.DUMMYFUNCTION("""COMPUTED_VALUE"""),22.45)</f>
        <v>22.45</v>
      </c>
      <c r="C69" s="2">
        <f>IFERROR(__xludf.DUMMYFUNCTION("""COMPUTED_VALUE"""),22.46)</f>
        <v>22.46</v>
      </c>
      <c r="D69" s="2">
        <f>IFERROR(__xludf.DUMMYFUNCTION("""COMPUTED_VALUE"""),22.0)</f>
        <v>22</v>
      </c>
      <c r="E69" s="2">
        <f>IFERROR(__xludf.DUMMYFUNCTION("""COMPUTED_VALUE"""),22.46)</f>
        <v>22.46</v>
      </c>
      <c r="F69" s="2">
        <f>IFERROR(__xludf.DUMMYFUNCTION("""COMPUTED_VALUE"""),156056.0)</f>
        <v>156056</v>
      </c>
    </row>
    <row r="70">
      <c r="A70" s="3">
        <f>IFERROR(__xludf.DUMMYFUNCTION("""COMPUTED_VALUE"""),36627.645833333336)</f>
        <v>36627.64583</v>
      </c>
      <c r="B70" s="2">
        <f>IFERROR(__xludf.DUMMYFUNCTION("""COMPUTED_VALUE"""),22.46)</f>
        <v>22.46</v>
      </c>
      <c r="C70" s="2">
        <f>IFERROR(__xludf.DUMMYFUNCTION("""COMPUTED_VALUE"""),23.49)</f>
        <v>23.49</v>
      </c>
      <c r="D70" s="2">
        <f>IFERROR(__xludf.DUMMYFUNCTION("""COMPUTED_VALUE"""),20.9)</f>
        <v>20.9</v>
      </c>
      <c r="E70" s="2">
        <f>IFERROR(__xludf.DUMMYFUNCTION("""COMPUTED_VALUE"""),22.62)</f>
        <v>22.62</v>
      </c>
      <c r="F70" s="2">
        <f>IFERROR(__xludf.DUMMYFUNCTION("""COMPUTED_VALUE"""),295933.0)</f>
        <v>295933</v>
      </c>
    </row>
    <row r="71">
      <c r="A71" s="3">
        <f>IFERROR(__xludf.DUMMYFUNCTION("""COMPUTED_VALUE"""),36628.645833333336)</f>
        <v>36628.64583</v>
      </c>
      <c r="B71" s="2">
        <f>IFERROR(__xludf.DUMMYFUNCTION("""COMPUTED_VALUE"""),23.8)</f>
        <v>23.8</v>
      </c>
      <c r="C71" s="2">
        <f>IFERROR(__xludf.DUMMYFUNCTION("""COMPUTED_VALUE"""),24.3)</f>
        <v>24.3</v>
      </c>
      <c r="D71" s="2">
        <f>IFERROR(__xludf.DUMMYFUNCTION("""COMPUTED_VALUE"""),22.3)</f>
        <v>22.3</v>
      </c>
      <c r="E71" s="2">
        <f>IFERROR(__xludf.DUMMYFUNCTION("""COMPUTED_VALUE"""),23.3)</f>
        <v>23.3</v>
      </c>
      <c r="F71" s="2">
        <f>IFERROR(__xludf.DUMMYFUNCTION("""COMPUTED_VALUE"""),130901.0)</f>
        <v>130901</v>
      </c>
    </row>
    <row r="72">
      <c r="A72" s="3">
        <f>IFERROR(__xludf.DUMMYFUNCTION("""COMPUTED_VALUE"""),36629.645833333336)</f>
        <v>36629.64583</v>
      </c>
      <c r="B72" s="2">
        <f>IFERROR(__xludf.DUMMYFUNCTION("""COMPUTED_VALUE"""),22.9)</f>
        <v>22.9</v>
      </c>
      <c r="C72" s="2">
        <f>IFERROR(__xludf.DUMMYFUNCTION("""COMPUTED_VALUE"""),23.4)</f>
        <v>23.4</v>
      </c>
      <c r="D72" s="2">
        <f>IFERROR(__xludf.DUMMYFUNCTION("""COMPUTED_VALUE"""),21.5)</f>
        <v>21.5</v>
      </c>
      <c r="E72" s="2">
        <f>IFERROR(__xludf.DUMMYFUNCTION("""COMPUTED_VALUE"""),23.15)</f>
        <v>23.15</v>
      </c>
      <c r="F72" s="2">
        <f>IFERROR(__xludf.DUMMYFUNCTION("""COMPUTED_VALUE"""),191316.0)</f>
        <v>191316</v>
      </c>
    </row>
    <row r="73">
      <c r="A73" s="3">
        <f>IFERROR(__xludf.DUMMYFUNCTION("""COMPUTED_VALUE"""),36633.645833333336)</f>
        <v>36633.64583</v>
      </c>
      <c r="B73" s="2">
        <f>IFERROR(__xludf.DUMMYFUNCTION("""COMPUTED_VALUE"""),22.5)</f>
        <v>22.5</v>
      </c>
      <c r="C73" s="2">
        <f>IFERROR(__xludf.DUMMYFUNCTION("""COMPUTED_VALUE"""),22.5)</f>
        <v>22.5</v>
      </c>
      <c r="D73" s="2">
        <f>IFERROR(__xludf.DUMMYFUNCTION("""COMPUTED_VALUE"""),21.3)</f>
        <v>21.3</v>
      </c>
      <c r="E73" s="2">
        <f>IFERROR(__xludf.DUMMYFUNCTION("""COMPUTED_VALUE"""),21.3)</f>
        <v>21.3</v>
      </c>
      <c r="F73" s="2">
        <f>IFERROR(__xludf.DUMMYFUNCTION("""COMPUTED_VALUE"""),128329.0)</f>
        <v>128329</v>
      </c>
    </row>
    <row r="74">
      <c r="A74" s="3">
        <f>IFERROR(__xludf.DUMMYFUNCTION("""COMPUTED_VALUE"""),36634.645833333336)</f>
        <v>36634.64583</v>
      </c>
      <c r="B74" s="2">
        <f>IFERROR(__xludf.DUMMYFUNCTION("""COMPUTED_VALUE"""),21.41)</f>
        <v>21.41</v>
      </c>
      <c r="C74" s="2">
        <f>IFERROR(__xludf.DUMMYFUNCTION("""COMPUTED_VALUE"""),22.49)</f>
        <v>22.49</v>
      </c>
      <c r="D74" s="2">
        <f>IFERROR(__xludf.DUMMYFUNCTION("""COMPUTED_VALUE"""),21.41)</f>
        <v>21.41</v>
      </c>
      <c r="E74" s="2">
        <f>IFERROR(__xludf.DUMMYFUNCTION("""COMPUTED_VALUE"""),22.21)</f>
        <v>22.21</v>
      </c>
      <c r="F74" s="2">
        <f>IFERROR(__xludf.DUMMYFUNCTION("""COMPUTED_VALUE"""),136898.0)</f>
        <v>136898</v>
      </c>
    </row>
    <row r="75">
      <c r="A75" s="3">
        <f>IFERROR(__xludf.DUMMYFUNCTION("""COMPUTED_VALUE"""),36635.645833333336)</f>
        <v>36635.64583</v>
      </c>
      <c r="B75" s="2">
        <f>IFERROR(__xludf.DUMMYFUNCTION("""COMPUTED_VALUE"""),22.9)</f>
        <v>22.9</v>
      </c>
      <c r="C75" s="2">
        <f>IFERROR(__xludf.DUMMYFUNCTION("""COMPUTED_VALUE"""),23.2)</f>
        <v>23.2</v>
      </c>
      <c r="D75" s="2">
        <f>IFERROR(__xludf.DUMMYFUNCTION("""COMPUTED_VALUE"""),21.9)</f>
        <v>21.9</v>
      </c>
      <c r="E75" s="2">
        <f>IFERROR(__xludf.DUMMYFUNCTION("""COMPUTED_VALUE"""),22.65)</f>
        <v>22.65</v>
      </c>
      <c r="F75" s="2">
        <f>IFERROR(__xludf.DUMMYFUNCTION("""COMPUTED_VALUE"""),140953.0)</f>
        <v>140953</v>
      </c>
    </row>
    <row r="76">
      <c r="A76" s="3">
        <f>IFERROR(__xludf.DUMMYFUNCTION("""COMPUTED_VALUE"""),36636.645833333336)</f>
        <v>36636.64583</v>
      </c>
      <c r="B76" s="2">
        <f>IFERROR(__xludf.DUMMYFUNCTION("""COMPUTED_VALUE"""),22.3)</f>
        <v>22.3</v>
      </c>
      <c r="C76" s="2">
        <f>IFERROR(__xludf.DUMMYFUNCTION("""COMPUTED_VALUE"""),22.7)</f>
        <v>22.7</v>
      </c>
      <c r="D76" s="2">
        <f>IFERROR(__xludf.DUMMYFUNCTION("""COMPUTED_VALUE"""),21.53)</f>
        <v>21.53</v>
      </c>
      <c r="E76" s="2">
        <f>IFERROR(__xludf.DUMMYFUNCTION("""COMPUTED_VALUE"""),22.57)</f>
        <v>22.57</v>
      </c>
      <c r="F76" s="2">
        <f>IFERROR(__xludf.DUMMYFUNCTION("""COMPUTED_VALUE"""),179397.0)</f>
        <v>179397</v>
      </c>
    </row>
    <row r="77">
      <c r="A77" s="3">
        <f>IFERROR(__xludf.DUMMYFUNCTION("""COMPUTED_VALUE"""),36640.645833333336)</f>
        <v>36640.64583</v>
      </c>
      <c r="B77" s="2">
        <f>IFERROR(__xludf.DUMMYFUNCTION("""COMPUTED_VALUE"""),22.5)</f>
        <v>22.5</v>
      </c>
      <c r="C77" s="2">
        <f>IFERROR(__xludf.DUMMYFUNCTION("""COMPUTED_VALUE"""),23.59)</f>
        <v>23.59</v>
      </c>
      <c r="D77" s="2">
        <f>IFERROR(__xludf.DUMMYFUNCTION("""COMPUTED_VALUE"""),22.45)</f>
        <v>22.45</v>
      </c>
      <c r="E77" s="2">
        <f>IFERROR(__xludf.DUMMYFUNCTION("""COMPUTED_VALUE"""),23.21)</f>
        <v>23.21</v>
      </c>
      <c r="F77" s="2">
        <f>IFERROR(__xludf.DUMMYFUNCTION("""COMPUTED_VALUE"""),198636.0)</f>
        <v>198636</v>
      </c>
    </row>
    <row r="78">
      <c r="A78" s="3">
        <f>IFERROR(__xludf.DUMMYFUNCTION("""COMPUTED_VALUE"""),36641.645833333336)</f>
        <v>36641.64583</v>
      </c>
      <c r="B78" s="2">
        <f>IFERROR(__xludf.DUMMYFUNCTION("""COMPUTED_VALUE"""),22.81)</f>
        <v>22.81</v>
      </c>
      <c r="C78" s="2">
        <f>IFERROR(__xludf.DUMMYFUNCTION("""COMPUTED_VALUE"""),23.5)</f>
        <v>23.5</v>
      </c>
      <c r="D78" s="2">
        <f>IFERROR(__xludf.DUMMYFUNCTION("""COMPUTED_VALUE"""),22.0)</f>
        <v>22</v>
      </c>
      <c r="E78" s="2">
        <f>IFERROR(__xludf.DUMMYFUNCTION("""COMPUTED_VALUE"""),23.1)</f>
        <v>23.1</v>
      </c>
      <c r="F78" s="2">
        <f>IFERROR(__xludf.DUMMYFUNCTION("""COMPUTED_VALUE"""),256016.0)</f>
        <v>256016</v>
      </c>
    </row>
    <row r="79">
      <c r="A79" s="3">
        <f>IFERROR(__xludf.DUMMYFUNCTION("""COMPUTED_VALUE"""),36642.645833333336)</f>
        <v>36642.64583</v>
      </c>
      <c r="B79" s="2">
        <f>IFERROR(__xludf.DUMMYFUNCTION("""COMPUTED_VALUE"""),23.99)</f>
        <v>23.99</v>
      </c>
      <c r="C79" s="2">
        <f>IFERROR(__xludf.DUMMYFUNCTION("""COMPUTED_VALUE"""),24.95)</f>
        <v>24.95</v>
      </c>
      <c r="D79" s="2">
        <f>IFERROR(__xludf.DUMMYFUNCTION("""COMPUTED_VALUE"""),23.13)</f>
        <v>23.13</v>
      </c>
      <c r="E79" s="2">
        <f>IFERROR(__xludf.DUMMYFUNCTION("""COMPUTED_VALUE"""),24.93)</f>
        <v>24.93</v>
      </c>
      <c r="F79" s="2">
        <f>IFERROR(__xludf.DUMMYFUNCTION("""COMPUTED_VALUE"""),188978.0)</f>
        <v>188978</v>
      </c>
    </row>
    <row r="80">
      <c r="A80" s="3">
        <f>IFERROR(__xludf.DUMMYFUNCTION("""COMPUTED_VALUE"""),36643.645833333336)</f>
        <v>36643.64583</v>
      </c>
      <c r="B80" s="2">
        <f>IFERROR(__xludf.DUMMYFUNCTION("""COMPUTED_VALUE"""),25.47)</f>
        <v>25.47</v>
      </c>
      <c r="C80" s="2">
        <f>IFERROR(__xludf.DUMMYFUNCTION("""COMPUTED_VALUE"""),25.5)</f>
        <v>25.5</v>
      </c>
      <c r="D80" s="2">
        <f>IFERROR(__xludf.DUMMYFUNCTION("""COMPUTED_VALUE"""),23.31)</f>
        <v>23.31</v>
      </c>
      <c r="E80" s="2">
        <f>IFERROR(__xludf.DUMMYFUNCTION("""COMPUTED_VALUE"""),24.55)</f>
        <v>24.55</v>
      </c>
      <c r="F80" s="2">
        <f>IFERROR(__xludf.DUMMYFUNCTION("""COMPUTED_VALUE"""),255768.0)</f>
        <v>255768</v>
      </c>
    </row>
    <row r="81">
      <c r="A81" s="3">
        <f>IFERROR(__xludf.DUMMYFUNCTION("""COMPUTED_VALUE"""),36644.645833333336)</f>
        <v>36644.64583</v>
      </c>
      <c r="B81" s="2">
        <f>IFERROR(__xludf.DUMMYFUNCTION("""COMPUTED_VALUE"""),24.21)</f>
        <v>24.21</v>
      </c>
      <c r="C81" s="2">
        <f>IFERROR(__xludf.DUMMYFUNCTION("""COMPUTED_VALUE"""),24.95)</f>
        <v>24.95</v>
      </c>
      <c r="D81" s="2">
        <f>IFERROR(__xludf.DUMMYFUNCTION("""COMPUTED_VALUE"""),24.01)</f>
        <v>24.01</v>
      </c>
      <c r="E81" s="2">
        <f>IFERROR(__xludf.DUMMYFUNCTION("""COMPUTED_VALUE"""),24.52)</f>
        <v>24.52</v>
      </c>
      <c r="F81" s="2">
        <f>IFERROR(__xludf.DUMMYFUNCTION("""COMPUTED_VALUE"""),167249.0)</f>
        <v>167249</v>
      </c>
    </row>
    <row r="82">
      <c r="A82" s="3">
        <f>IFERROR(__xludf.DUMMYFUNCTION("""COMPUTED_VALUE"""),36648.645833333336)</f>
        <v>36648.64583</v>
      </c>
      <c r="B82" s="2">
        <f>IFERROR(__xludf.DUMMYFUNCTION("""COMPUTED_VALUE"""),24.7)</f>
        <v>24.7</v>
      </c>
      <c r="C82" s="2">
        <f>IFERROR(__xludf.DUMMYFUNCTION("""COMPUTED_VALUE"""),25.4)</f>
        <v>25.4</v>
      </c>
      <c r="D82" s="2">
        <f>IFERROR(__xludf.DUMMYFUNCTION("""COMPUTED_VALUE"""),24.0)</f>
        <v>24</v>
      </c>
      <c r="E82" s="2">
        <f>IFERROR(__xludf.DUMMYFUNCTION("""COMPUTED_VALUE"""),25.12)</f>
        <v>25.12</v>
      </c>
      <c r="F82" s="2">
        <f>IFERROR(__xludf.DUMMYFUNCTION("""COMPUTED_VALUE"""),253873.0)</f>
        <v>253873</v>
      </c>
    </row>
    <row r="83">
      <c r="A83" s="3">
        <f>IFERROR(__xludf.DUMMYFUNCTION("""COMPUTED_VALUE"""),36649.645833333336)</f>
        <v>36649.64583</v>
      </c>
      <c r="B83" s="2">
        <f>IFERROR(__xludf.DUMMYFUNCTION("""COMPUTED_VALUE"""),24.3)</f>
        <v>24.3</v>
      </c>
      <c r="C83" s="2">
        <f>IFERROR(__xludf.DUMMYFUNCTION("""COMPUTED_VALUE"""),24.99)</f>
        <v>24.99</v>
      </c>
      <c r="D83" s="2">
        <f>IFERROR(__xludf.DUMMYFUNCTION("""COMPUTED_VALUE"""),23.25)</f>
        <v>23.25</v>
      </c>
      <c r="E83" s="2">
        <f>IFERROR(__xludf.DUMMYFUNCTION("""COMPUTED_VALUE"""),24.62)</f>
        <v>24.62</v>
      </c>
      <c r="F83" s="2">
        <f>IFERROR(__xludf.DUMMYFUNCTION("""COMPUTED_VALUE"""),222892.0)</f>
        <v>222892</v>
      </c>
    </row>
    <row r="84">
      <c r="A84" s="3">
        <f>IFERROR(__xludf.DUMMYFUNCTION("""COMPUTED_VALUE"""),36650.645833333336)</f>
        <v>36650.64583</v>
      </c>
      <c r="B84" s="2">
        <f>IFERROR(__xludf.DUMMYFUNCTION("""COMPUTED_VALUE"""),25.49)</f>
        <v>25.49</v>
      </c>
      <c r="C84" s="2">
        <f>IFERROR(__xludf.DUMMYFUNCTION("""COMPUTED_VALUE"""),25.7)</f>
        <v>25.7</v>
      </c>
      <c r="D84" s="2">
        <f>IFERROR(__xludf.DUMMYFUNCTION("""COMPUTED_VALUE"""),24.61)</f>
        <v>24.61</v>
      </c>
      <c r="E84" s="2">
        <f>IFERROR(__xludf.DUMMYFUNCTION("""COMPUTED_VALUE"""),25.08)</f>
        <v>25.08</v>
      </c>
      <c r="F84" s="2">
        <f>IFERROR(__xludf.DUMMYFUNCTION("""COMPUTED_VALUE"""),172245.0)</f>
        <v>172245</v>
      </c>
    </row>
    <row r="85">
      <c r="A85" s="3">
        <f>IFERROR(__xludf.DUMMYFUNCTION("""COMPUTED_VALUE"""),36651.645833333336)</f>
        <v>36651.64583</v>
      </c>
      <c r="B85" s="2">
        <f>IFERROR(__xludf.DUMMYFUNCTION("""COMPUTED_VALUE"""),24.85)</f>
        <v>24.85</v>
      </c>
      <c r="C85" s="2">
        <f>IFERROR(__xludf.DUMMYFUNCTION("""COMPUTED_VALUE"""),27.0)</f>
        <v>27</v>
      </c>
      <c r="D85" s="2">
        <f>IFERROR(__xludf.DUMMYFUNCTION("""COMPUTED_VALUE"""),24.73)</f>
        <v>24.73</v>
      </c>
      <c r="E85" s="2">
        <f>IFERROR(__xludf.DUMMYFUNCTION("""COMPUTED_VALUE"""),25.99)</f>
        <v>25.99</v>
      </c>
      <c r="F85" s="2">
        <f>IFERROR(__xludf.DUMMYFUNCTION("""COMPUTED_VALUE"""),284419.0)</f>
        <v>284419</v>
      </c>
    </row>
    <row r="86">
      <c r="A86" s="3">
        <f>IFERROR(__xludf.DUMMYFUNCTION("""COMPUTED_VALUE"""),36654.645833333336)</f>
        <v>36654.64583</v>
      </c>
      <c r="B86" s="2">
        <f>IFERROR(__xludf.DUMMYFUNCTION("""COMPUTED_VALUE"""),26.5)</f>
        <v>26.5</v>
      </c>
      <c r="C86" s="2">
        <f>IFERROR(__xludf.DUMMYFUNCTION("""COMPUTED_VALUE"""),27.5)</f>
        <v>27.5</v>
      </c>
      <c r="D86" s="2">
        <f>IFERROR(__xludf.DUMMYFUNCTION("""COMPUTED_VALUE"""),25.6)</f>
        <v>25.6</v>
      </c>
      <c r="E86" s="2">
        <f>IFERROR(__xludf.DUMMYFUNCTION("""COMPUTED_VALUE"""),26.05)</f>
        <v>26.05</v>
      </c>
      <c r="F86" s="2">
        <f>IFERROR(__xludf.DUMMYFUNCTION("""COMPUTED_VALUE"""),138220.0)</f>
        <v>138220</v>
      </c>
    </row>
    <row r="87">
      <c r="A87" s="3">
        <f>IFERROR(__xludf.DUMMYFUNCTION("""COMPUTED_VALUE"""),36655.645833333336)</f>
        <v>36655.64583</v>
      </c>
      <c r="B87" s="2">
        <f>IFERROR(__xludf.DUMMYFUNCTION("""COMPUTED_VALUE"""),25.6)</f>
        <v>25.6</v>
      </c>
      <c r="C87" s="2">
        <f>IFERROR(__xludf.DUMMYFUNCTION("""COMPUTED_VALUE"""),26.5)</f>
        <v>26.5</v>
      </c>
      <c r="D87" s="2">
        <f>IFERROR(__xludf.DUMMYFUNCTION("""COMPUTED_VALUE"""),25.3)</f>
        <v>25.3</v>
      </c>
      <c r="E87" s="2">
        <f>IFERROR(__xludf.DUMMYFUNCTION("""COMPUTED_VALUE"""),26.14)</f>
        <v>26.14</v>
      </c>
      <c r="F87" s="2">
        <f>IFERROR(__xludf.DUMMYFUNCTION("""COMPUTED_VALUE"""),114288.0)</f>
        <v>114288</v>
      </c>
    </row>
    <row r="88">
      <c r="A88" s="3">
        <f>IFERROR(__xludf.DUMMYFUNCTION("""COMPUTED_VALUE"""),36656.645833333336)</f>
        <v>36656.64583</v>
      </c>
      <c r="B88" s="2">
        <f>IFERROR(__xludf.DUMMYFUNCTION("""COMPUTED_VALUE"""),26.0)</f>
        <v>26</v>
      </c>
      <c r="C88" s="2">
        <f>IFERROR(__xludf.DUMMYFUNCTION("""COMPUTED_VALUE"""),26.5)</f>
        <v>26.5</v>
      </c>
      <c r="D88" s="2">
        <f>IFERROR(__xludf.DUMMYFUNCTION("""COMPUTED_VALUE"""),25.2)</f>
        <v>25.2</v>
      </c>
      <c r="E88" s="2">
        <f>IFERROR(__xludf.DUMMYFUNCTION("""COMPUTED_VALUE"""),26.27)</f>
        <v>26.27</v>
      </c>
      <c r="F88" s="2">
        <f>IFERROR(__xludf.DUMMYFUNCTION("""COMPUTED_VALUE"""),187477.0)</f>
        <v>187477</v>
      </c>
    </row>
    <row r="89">
      <c r="A89" s="3">
        <f>IFERROR(__xludf.DUMMYFUNCTION("""COMPUTED_VALUE"""),36657.645833333336)</f>
        <v>36657.64583</v>
      </c>
      <c r="B89" s="2">
        <f>IFERROR(__xludf.DUMMYFUNCTION("""COMPUTED_VALUE"""),25.51)</f>
        <v>25.51</v>
      </c>
      <c r="C89" s="2">
        <f>IFERROR(__xludf.DUMMYFUNCTION("""COMPUTED_VALUE"""),27.09)</f>
        <v>27.09</v>
      </c>
      <c r="D89" s="2">
        <f>IFERROR(__xludf.DUMMYFUNCTION("""COMPUTED_VALUE"""),25.41)</f>
        <v>25.41</v>
      </c>
      <c r="E89" s="2">
        <f>IFERROR(__xludf.DUMMYFUNCTION("""COMPUTED_VALUE"""),26.58)</f>
        <v>26.58</v>
      </c>
      <c r="F89" s="2">
        <f>IFERROR(__xludf.DUMMYFUNCTION("""COMPUTED_VALUE"""),243138.0)</f>
        <v>243138</v>
      </c>
    </row>
    <row r="90">
      <c r="A90" s="3">
        <f>IFERROR(__xludf.DUMMYFUNCTION("""COMPUTED_VALUE"""),36658.645833333336)</f>
        <v>36658.64583</v>
      </c>
      <c r="B90" s="2">
        <f>IFERROR(__xludf.DUMMYFUNCTION("""COMPUTED_VALUE"""),27.14)</f>
        <v>27.14</v>
      </c>
      <c r="C90" s="2">
        <f>IFERROR(__xludf.DUMMYFUNCTION("""COMPUTED_VALUE"""),27.14)</f>
        <v>27.14</v>
      </c>
      <c r="D90" s="2">
        <f>IFERROR(__xludf.DUMMYFUNCTION("""COMPUTED_VALUE"""),26.01)</f>
        <v>26.01</v>
      </c>
      <c r="E90" s="2">
        <f>IFERROR(__xludf.DUMMYFUNCTION("""COMPUTED_VALUE"""),26.21)</f>
        <v>26.21</v>
      </c>
      <c r="F90" s="2">
        <f>IFERROR(__xludf.DUMMYFUNCTION("""COMPUTED_VALUE"""),129698.0)</f>
        <v>129698</v>
      </c>
    </row>
    <row r="91">
      <c r="A91" s="3">
        <f>IFERROR(__xludf.DUMMYFUNCTION("""COMPUTED_VALUE"""),36661.645833333336)</f>
        <v>36661.64583</v>
      </c>
      <c r="B91" s="2">
        <f>IFERROR(__xludf.DUMMYFUNCTION("""COMPUTED_VALUE"""),25.81)</f>
        <v>25.81</v>
      </c>
      <c r="C91" s="2">
        <f>IFERROR(__xludf.DUMMYFUNCTION("""COMPUTED_VALUE"""),26.2)</f>
        <v>26.2</v>
      </c>
      <c r="D91" s="2">
        <f>IFERROR(__xludf.DUMMYFUNCTION("""COMPUTED_VALUE"""),25.1)</f>
        <v>25.1</v>
      </c>
      <c r="E91" s="2">
        <f>IFERROR(__xludf.DUMMYFUNCTION("""COMPUTED_VALUE"""),25.71)</f>
        <v>25.71</v>
      </c>
      <c r="F91" s="2">
        <f>IFERROR(__xludf.DUMMYFUNCTION("""COMPUTED_VALUE"""),165313.0)</f>
        <v>165313</v>
      </c>
    </row>
    <row r="92">
      <c r="A92" s="3">
        <f>IFERROR(__xludf.DUMMYFUNCTION("""COMPUTED_VALUE"""),36662.645833333336)</f>
        <v>36662.64583</v>
      </c>
      <c r="B92" s="2">
        <f>IFERROR(__xludf.DUMMYFUNCTION("""COMPUTED_VALUE"""),25.7)</f>
        <v>25.7</v>
      </c>
      <c r="C92" s="2">
        <f>IFERROR(__xludf.DUMMYFUNCTION("""COMPUTED_VALUE"""),26.18)</f>
        <v>26.18</v>
      </c>
      <c r="D92" s="2">
        <f>IFERROR(__xludf.DUMMYFUNCTION("""COMPUTED_VALUE"""),25.5)</f>
        <v>25.5</v>
      </c>
      <c r="E92" s="2">
        <f>IFERROR(__xludf.DUMMYFUNCTION("""COMPUTED_VALUE"""),25.63)</f>
        <v>25.63</v>
      </c>
      <c r="F92" s="2">
        <f>IFERROR(__xludf.DUMMYFUNCTION("""COMPUTED_VALUE"""),107407.0)</f>
        <v>107407</v>
      </c>
    </row>
    <row r="93">
      <c r="A93" s="3">
        <f>IFERROR(__xludf.DUMMYFUNCTION("""COMPUTED_VALUE"""),36663.645833333336)</f>
        <v>36663.64583</v>
      </c>
      <c r="B93" s="2">
        <f>IFERROR(__xludf.DUMMYFUNCTION("""COMPUTED_VALUE"""),26.0)</f>
        <v>26</v>
      </c>
      <c r="C93" s="2">
        <f>IFERROR(__xludf.DUMMYFUNCTION("""COMPUTED_VALUE"""),26.1)</f>
        <v>26.1</v>
      </c>
      <c r="D93" s="2">
        <f>IFERROR(__xludf.DUMMYFUNCTION("""COMPUTED_VALUE"""),25.51)</f>
        <v>25.51</v>
      </c>
      <c r="E93" s="2">
        <f>IFERROR(__xludf.DUMMYFUNCTION("""COMPUTED_VALUE"""),25.81)</f>
        <v>25.81</v>
      </c>
      <c r="F93" s="2">
        <f>IFERROR(__xludf.DUMMYFUNCTION("""COMPUTED_VALUE"""),80143.0)</f>
        <v>80143</v>
      </c>
    </row>
    <row r="94">
      <c r="A94" s="3">
        <f>IFERROR(__xludf.DUMMYFUNCTION("""COMPUTED_VALUE"""),36664.645833333336)</f>
        <v>36664.64583</v>
      </c>
      <c r="B94" s="2">
        <f>IFERROR(__xludf.DUMMYFUNCTION("""COMPUTED_VALUE"""),25.51)</f>
        <v>25.51</v>
      </c>
      <c r="C94" s="2">
        <f>IFERROR(__xludf.DUMMYFUNCTION("""COMPUTED_VALUE"""),25.9)</f>
        <v>25.9</v>
      </c>
      <c r="D94" s="2">
        <f>IFERROR(__xludf.DUMMYFUNCTION("""COMPUTED_VALUE"""),25.5)</f>
        <v>25.5</v>
      </c>
      <c r="E94" s="2">
        <f>IFERROR(__xludf.DUMMYFUNCTION("""COMPUTED_VALUE"""),25.61)</f>
        <v>25.61</v>
      </c>
      <c r="F94" s="2">
        <f>IFERROR(__xludf.DUMMYFUNCTION("""COMPUTED_VALUE"""),48871.0)</f>
        <v>48871</v>
      </c>
    </row>
    <row r="95">
      <c r="A95" s="3">
        <f>IFERROR(__xludf.DUMMYFUNCTION("""COMPUTED_VALUE"""),36665.645833333336)</f>
        <v>36665.64583</v>
      </c>
      <c r="B95" s="2">
        <f>IFERROR(__xludf.DUMMYFUNCTION("""COMPUTED_VALUE"""),25.21)</f>
        <v>25.21</v>
      </c>
      <c r="C95" s="2">
        <f>IFERROR(__xludf.DUMMYFUNCTION("""COMPUTED_VALUE"""),26.05)</f>
        <v>26.05</v>
      </c>
      <c r="D95" s="2">
        <f>IFERROR(__xludf.DUMMYFUNCTION("""COMPUTED_VALUE"""),25.21)</f>
        <v>25.21</v>
      </c>
      <c r="E95" s="2">
        <f>IFERROR(__xludf.DUMMYFUNCTION("""COMPUTED_VALUE"""),25.58)</f>
        <v>25.58</v>
      </c>
      <c r="F95" s="2">
        <f>IFERROR(__xludf.DUMMYFUNCTION("""COMPUTED_VALUE"""),216905.0)</f>
        <v>216905</v>
      </c>
    </row>
    <row r="96">
      <c r="A96" s="3">
        <f>IFERROR(__xludf.DUMMYFUNCTION("""COMPUTED_VALUE"""),36668.645833333336)</f>
        <v>36668.64583</v>
      </c>
      <c r="B96" s="2">
        <f>IFERROR(__xludf.DUMMYFUNCTION("""COMPUTED_VALUE"""),25.6)</f>
        <v>25.6</v>
      </c>
      <c r="C96" s="2">
        <f>IFERROR(__xludf.DUMMYFUNCTION("""COMPUTED_VALUE"""),25.79)</f>
        <v>25.79</v>
      </c>
      <c r="D96" s="2">
        <f>IFERROR(__xludf.DUMMYFUNCTION("""COMPUTED_VALUE"""),24.33)</f>
        <v>24.33</v>
      </c>
      <c r="E96" s="2">
        <f>IFERROR(__xludf.DUMMYFUNCTION("""COMPUTED_VALUE"""),24.89)</f>
        <v>24.89</v>
      </c>
      <c r="F96" s="2">
        <f>IFERROR(__xludf.DUMMYFUNCTION("""COMPUTED_VALUE"""),110150.0)</f>
        <v>110150</v>
      </c>
    </row>
    <row r="97">
      <c r="A97" s="3">
        <f>IFERROR(__xludf.DUMMYFUNCTION("""COMPUTED_VALUE"""),36669.645833333336)</f>
        <v>36669.64583</v>
      </c>
      <c r="B97" s="2">
        <f>IFERROR(__xludf.DUMMYFUNCTION("""COMPUTED_VALUE"""),24.7)</f>
        <v>24.7</v>
      </c>
      <c r="C97" s="2">
        <f>IFERROR(__xludf.DUMMYFUNCTION("""COMPUTED_VALUE"""),24.7)</f>
        <v>24.7</v>
      </c>
      <c r="D97" s="2">
        <f>IFERROR(__xludf.DUMMYFUNCTION("""COMPUTED_VALUE"""),21.91)</f>
        <v>21.91</v>
      </c>
      <c r="E97" s="2">
        <f>IFERROR(__xludf.DUMMYFUNCTION("""COMPUTED_VALUE"""),23.38)</f>
        <v>23.38</v>
      </c>
      <c r="F97" s="2">
        <f>IFERROR(__xludf.DUMMYFUNCTION("""COMPUTED_VALUE"""),203910.0)</f>
        <v>203910</v>
      </c>
    </row>
    <row r="98">
      <c r="A98" s="3">
        <f>IFERROR(__xludf.DUMMYFUNCTION("""COMPUTED_VALUE"""),36670.645833333336)</f>
        <v>36670.64583</v>
      </c>
      <c r="B98" s="2">
        <f>IFERROR(__xludf.DUMMYFUNCTION("""COMPUTED_VALUE"""),23.0)</f>
        <v>23</v>
      </c>
      <c r="C98" s="2">
        <f>IFERROR(__xludf.DUMMYFUNCTION("""COMPUTED_VALUE"""),25.25)</f>
        <v>25.25</v>
      </c>
      <c r="D98" s="2">
        <f>IFERROR(__xludf.DUMMYFUNCTION("""COMPUTED_VALUE"""),22.01)</f>
        <v>22.01</v>
      </c>
      <c r="E98" s="2">
        <f>IFERROR(__xludf.DUMMYFUNCTION("""COMPUTED_VALUE"""),24.21)</f>
        <v>24.21</v>
      </c>
      <c r="F98" s="2">
        <f>IFERROR(__xludf.DUMMYFUNCTION("""COMPUTED_VALUE"""),319841.0)</f>
        <v>319841</v>
      </c>
    </row>
    <row r="99">
      <c r="A99" s="3">
        <f>IFERROR(__xludf.DUMMYFUNCTION("""COMPUTED_VALUE"""),36671.645833333336)</f>
        <v>36671.64583</v>
      </c>
      <c r="B99" s="2">
        <f>IFERROR(__xludf.DUMMYFUNCTION("""COMPUTED_VALUE"""),24.25)</f>
        <v>24.25</v>
      </c>
      <c r="C99" s="2">
        <f>IFERROR(__xludf.DUMMYFUNCTION("""COMPUTED_VALUE"""),24.75)</f>
        <v>24.75</v>
      </c>
      <c r="D99" s="2">
        <f>IFERROR(__xludf.DUMMYFUNCTION("""COMPUTED_VALUE"""),23.01)</f>
        <v>23.01</v>
      </c>
      <c r="E99" s="2">
        <f>IFERROR(__xludf.DUMMYFUNCTION("""COMPUTED_VALUE"""),23.36)</f>
        <v>23.36</v>
      </c>
      <c r="F99" s="2">
        <f>IFERROR(__xludf.DUMMYFUNCTION("""COMPUTED_VALUE"""),157631.0)</f>
        <v>157631</v>
      </c>
    </row>
    <row r="100">
      <c r="A100" s="3">
        <f>IFERROR(__xludf.DUMMYFUNCTION("""COMPUTED_VALUE"""),36672.645833333336)</f>
        <v>36672.64583</v>
      </c>
      <c r="B100" s="2">
        <f>IFERROR(__xludf.DUMMYFUNCTION("""COMPUTED_VALUE"""),23.11)</f>
        <v>23.11</v>
      </c>
      <c r="C100" s="2">
        <f>IFERROR(__xludf.DUMMYFUNCTION("""COMPUTED_VALUE"""),23.6)</f>
        <v>23.6</v>
      </c>
      <c r="D100" s="2">
        <f>IFERROR(__xludf.DUMMYFUNCTION("""COMPUTED_VALUE"""),22.51)</f>
        <v>22.51</v>
      </c>
      <c r="E100" s="2">
        <f>IFERROR(__xludf.DUMMYFUNCTION("""COMPUTED_VALUE"""),23.03)</f>
        <v>23.03</v>
      </c>
      <c r="F100" s="2">
        <f>IFERROR(__xludf.DUMMYFUNCTION("""COMPUTED_VALUE"""),138735.0)</f>
        <v>138735</v>
      </c>
    </row>
    <row r="101">
      <c r="A101" s="3">
        <f>IFERROR(__xludf.DUMMYFUNCTION("""COMPUTED_VALUE"""),36675.645833333336)</f>
        <v>36675.64583</v>
      </c>
      <c r="B101" s="2">
        <f>IFERROR(__xludf.DUMMYFUNCTION("""COMPUTED_VALUE"""),22.81)</f>
        <v>22.81</v>
      </c>
      <c r="C101" s="2">
        <f>IFERROR(__xludf.DUMMYFUNCTION("""COMPUTED_VALUE"""),23.15)</f>
        <v>23.15</v>
      </c>
      <c r="D101" s="2">
        <f>IFERROR(__xludf.DUMMYFUNCTION("""COMPUTED_VALUE"""),21.2)</f>
        <v>21.2</v>
      </c>
      <c r="E101" s="2">
        <f>IFERROR(__xludf.DUMMYFUNCTION("""COMPUTED_VALUE"""),22.47)</f>
        <v>22.47</v>
      </c>
      <c r="F101" s="2">
        <f>IFERROR(__xludf.DUMMYFUNCTION("""COMPUTED_VALUE"""),141151.0)</f>
        <v>141151</v>
      </c>
    </row>
    <row r="102">
      <c r="A102" s="3">
        <f>IFERROR(__xludf.DUMMYFUNCTION("""COMPUTED_VALUE"""),36676.645833333336)</f>
        <v>36676.64583</v>
      </c>
      <c r="B102" s="2">
        <f>IFERROR(__xludf.DUMMYFUNCTION("""COMPUTED_VALUE"""),22.7)</f>
        <v>22.7</v>
      </c>
      <c r="C102" s="2">
        <f>IFERROR(__xludf.DUMMYFUNCTION("""COMPUTED_VALUE"""),22.95)</f>
        <v>22.95</v>
      </c>
      <c r="D102" s="2">
        <f>IFERROR(__xludf.DUMMYFUNCTION("""COMPUTED_VALUE"""),21.6)</f>
        <v>21.6</v>
      </c>
      <c r="E102" s="2">
        <f>IFERROR(__xludf.DUMMYFUNCTION("""COMPUTED_VALUE"""),22.38)</f>
        <v>22.38</v>
      </c>
      <c r="F102" s="2">
        <f>IFERROR(__xludf.DUMMYFUNCTION("""COMPUTED_VALUE"""),146745.0)</f>
        <v>146745</v>
      </c>
    </row>
    <row r="103">
      <c r="A103" s="3">
        <f>IFERROR(__xludf.DUMMYFUNCTION("""COMPUTED_VALUE"""),36677.645833333336)</f>
        <v>36677.64583</v>
      </c>
      <c r="B103" s="2">
        <f>IFERROR(__xludf.DUMMYFUNCTION("""COMPUTED_VALUE"""),23.1)</f>
        <v>23.1</v>
      </c>
      <c r="C103" s="2">
        <f>IFERROR(__xludf.DUMMYFUNCTION("""COMPUTED_VALUE"""),23.94)</f>
        <v>23.94</v>
      </c>
      <c r="D103" s="2">
        <f>IFERROR(__xludf.DUMMYFUNCTION("""COMPUTED_VALUE"""),22.5)</f>
        <v>22.5</v>
      </c>
      <c r="E103" s="2">
        <f>IFERROR(__xludf.DUMMYFUNCTION("""COMPUTED_VALUE"""),23.03)</f>
        <v>23.03</v>
      </c>
      <c r="F103" s="2">
        <f>IFERROR(__xludf.DUMMYFUNCTION("""COMPUTED_VALUE"""),152669.0)</f>
        <v>152669</v>
      </c>
    </row>
    <row r="104">
      <c r="A104" s="3">
        <f>IFERROR(__xludf.DUMMYFUNCTION("""COMPUTED_VALUE"""),36678.645833333336)</f>
        <v>36678.64583</v>
      </c>
      <c r="B104" s="2">
        <f>IFERROR(__xludf.DUMMYFUNCTION("""COMPUTED_VALUE"""),22.7)</f>
        <v>22.7</v>
      </c>
      <c r="C104" s="2">
        <f>IFERROR(__xludf.DUMMYFUNCTION("""COMPUTED_VALUE"""),23.2)</f>
        <v>23.2</v>
      </c>
      <c r="D104" s="2">
        <f>IFERROR(__xludf.DUMMYFUNCTION("""COMPUTED_VALUE"""),22.6)</f>
        <v>22.6</v>
      </c>
      <c r="E104" s="2">
        <f>IFERROR(__xludf.DUMMYFUNCTION("""COMPUTED_VALUE"""),22.93)</f>
        <v>22.93</v>
      </c>
      <c r="F104" s="2">
        <f>IFERROR(__xludf.DUMMYFUNCTION("""COMPUTED_VALUE"""),93573.0)</f>
        <v>93573</v>
      </c>
    </row>
    <row r="105">
      <c r="A105" s="3">
        <f>IFERROR(__xludf.DUMMYFUNCTION("""COMPUTED_VALUE"""),36679.645833333336)</f>
        <v>36679.64583</v>
      </c>
      <c r="B105" s="2">
        <f>IFERROR(__xludf.DUMMYFUNCTION("""COMPUTED_VALUE"""),23.2)</f>
        <v>23.2</v>
      </c>
      <c r="C105" s="2">
        <f>IFERROR(__xludf.DUMMYFUNCTION("""COMPUTED_VALUE"""),24.7)</f>
        <v>24.7</v>
      </c>
      <c r="D105" s="2">
        <f>IFERROR(__xludf.DUMMYFUNCTION("""COMPUTED_VALUE"""),23.2)</f>
        <v>23.2</v>
      </c>
      <c r="E105" s="2">
        <f>IFERROR(__xludf.DUMMYFUNCTION("""COMPUTED_VALUE"""),24.45)</f>
        <v>24.45</v>
      </c>
      <c r="F105" s="2">
        <f>IFERROR(__xludf.DUMMYFUNCTION("""COMPUTED_VALUE"""),221847.0)</f>
        <v>221847</v>
      </c>
    </row>
    <row r="106">
      <c r="A106" s="3">
        <f>IFERROR(__xludf.DUMMYFUNCTION("""COMPUTED_VALUE"""),36682.645833333336)</f>
        <v>36682.64583</v>
      </c>
      <c r="B106" s="2">
        <f>IFERROR(__xludf.DUMMYFUNCTION("""COMPUTED_VALUE"""),24.61)</f>
        <v>24.61</v>
      </c>
      <c r="C106" s="2">
        <f>IFERROR(__xludf.DUMMYFUNCTION("""COMPUTED_VALUE"""),26.35)</f>
        <v>26.35</v>
      </c>
      <c r="D106" s="2">
        <f>IFERROR(__xludf.DUMMYFUNCTION("""COMPUTED_VALUE"""),24.42)</f>
        <v>24.42</v>
      </c>
      <c r="E106" s="2">
        <f>IFERROR(__xludf.DUMMYFUNCTION("""COMPUTED_VALUE"""),24.71)</f>
        <v>24.71</v>
      </c>
      <c r="F106" s="2">
        <f>IFERROR(__xludf.DUMMYFUNCTION("""COMPUTED_VALUE"""),157111.0)</f>
        <v>157111</v>
      </c>
    </row>
    <row r="107">
      <c r="A107" s="3">
        <f>IFERROR(__xludf.DUMMYFUNCTION("""COMPUTED_VALUE"""),36683.645833333336)</f>
        <v>36683.64583</v>
      </c>
      <c r="B107" s="2">
        <f>IFERROR(__xludf.DUMMYFUNCTION("""COMPUTED_VALUE"""),25.5)</f>
        <v>25.5</v>
      </c>
      <c r="C107" s="2">
        <f>IFERROR(__xludf.DUMMYFUNCTION("""COMPUTED_VALUE"""),25.5)</f>
        <v>25.5</v>
      </c>
      <c r="D107" s="2">
        <f>IFERROR(__xludf.DUMMYFUNCTION("""COMPUTED_VALUE"""),23.7)</f>
        <v>23.7</v>
      </c>
      <c r="E107" s="2">
        <f>IFERROR(__xludf.DUMMYFUNCTION("""COMPUTED_VALUE"""),24.46)</f>
        <v>24.46</v>
      </c>
      <c r="F107" s="2">
        <f>IFERROR(__xludf.DUMMYFUNCTION("""COMPUTED_VALUE"""),91793.0)</f>
        <v>91793</v>
      </c>
    </row>
    <row r="108">
      <c r="A108" s="3">
        <f>IFERROR(__xludf.DUMMYFUNCTION("""COMPUTED_VALUE"""),36684.645833333336)</f>
        <v>36684.64583</v>
      </c>
      <c r="B108" s="2">
        <f>IFERROR(__xludf.DUMMYFUNCTION("""COMPUTED_VALUE"""),23.8)</f>
        <v>23.8</v>
      </c>
      <c r="C108" s="2">
        <f>IFERROR(__xludf.DUMMYFUNCTION("""COMPUTED_VALUE"""),24.04)</f>
        <v>24.04</v>
      </c>
      <c r="D108" s="2">
        <f>IFERROR(__xludf.DUMMYFUNCTION("""COMPUTED_VALUE"""),23.4)</f>
        <v>23.4</v>
      </c>
      <c r="E108" s="2">
        <f>IFERROR(__xludf.DUMMYFUNCTION("""COMPUTED_VALUE"""),23.95)</f>
        <v>23.95</v>
      </c>
      <c r="F108" s="2">
        <f>IFERROR(__xludf.DUMMYFUNCTION("""COMPUTED_VALUE"""),80002.0)</f>
        <v>80002</v>
      </c>
    </row>
    <row r="109">
      <c r="A109" s="3">
        <f>IFERROR(__xludf.DUMMYFUNCTION("""COMPUTED_VALUE"""),36685.645833333336)</f>
        <v>36685.64583</v>
      </c>
      <c r="B109" s="2">
        <f>IFERROR(__xludf.DUMMYFUNCTION("""COMPUTED_VALUE"""),24.0)</f>
        <v>24</v>
      </c>
      <c r="C109" s="2">
        <f>IFERROR(__xludf.DUMMYFUNCTION("""COMPUTED_VALUE"""),24.49)</f>
        <v>24.49</v>
      </c>
      <c r="D109" s="2">
        <f>IFERROR(__xludf.DUMMYFUNCTION("""COMPUTED_VALUE"""),23.7)</f>
        <v>23.7</v>
      </c>
      <c r="E109" s="2">
        <f>IFERROR(__xludf.DUMMYFUNCTION("""COMPUTED_VALUE"""),24.04)</f>
        <v>24.04</v>
      </c>
      <c r="F109" s="2">
        <f>IFERROR(__xludf.DUMMYFUNCTION("""COMPUTED_VALUE"""),63662.0)</f>
        <v>63662</v>
      </c>
    </row>
    <row r="110">
      <c r="A110" s="3">
        <f>IFERROR(__xludf.DUMMYFUNCTION("""COMPUTED_VALUE"""),36686.645833333336)</f>
        <v>36686.64583</v>
      </c>
      <c r="B110" s="2">
        <f>IFERROR(__xludf.DUMMYFUNCTION("""COMPUTED_VALUE"""),24.2)</f>
        <v>24.2</v>
      </c>
      <c r="C110" s="2">
        <f>IFERROR(__xludf.DUMMYFUNCTION("""COMPUTED_VALUE"""),25.0)</f>
        <v>25</v>
      </c>
      <c r="D110" s="2">
        <f>IFERROR(__xludf.DUMMYFUNCTION("""COMPUTED_VALUE"""),24.2)</f>
        <v>24.2</v>
      </c>
      <c r="E110" s="2">
        <f>IFERROR(__xludf.DUMMYFUNCTION("""COMPUTED_VALUE"""),24.53)</f>
        <v>24.53</v>
      </c>
      <c r="F110" s="2">
        <f>IFERROR(__xludf.DUMMYFUNCTION("""COMPUTED_VALUE"""),108211.0)</f>
        <v>108211</v>
      </c>
    </row>
    <row r="111">
      <c r="A111" s="3">
        <f>IFERROR(__xludf.DUMMYFUNCTION("""COMPUTED_VALUE"""),36689.645833333336)</f>
        <v>36689.64583</v>
      </c>
      <c r="B111" s="2">
        <f>IFERROR(__xludf.DUMMYFUNCTION("""COMPUTED_VALUE"""),24.65)</f>
        <v>24.65</v>
      </c>
      <c r="C111" s="2">
        <f>IFERROR(__xludf.DUMMYFUNCTION("""COMPUTED_VALUE"""),24.9)</f>
        <v>24.9</v>
      </c>
      <c r="D111" s="2">
        <f>IFERROR(__xludf.DUMMYFUNCTION("""COMPUTED_VALUE"""),24.31)</f>
        <v>24.31</v>
      </c>
      <c r="E111" s="2">
        <f>IFERROR(__xludf.DUMMYFUNCTION("""COMPUTED_VALUE"""),24.44)</f>
        <v>24.44</v>
      </c>
      <c r="F111" s="2">
        <f>IFERROR(__xludf.DUMMYFUNCTION("""COMPUTED_VALUE"""),64144.0)</f>
        <v>64144</v>
      </c>
    </row>
    <row r="112">
      <c r="A112" s="3">
        <f>IFERROR(__xludf.DUMMYFUNCTION("""COMPUTED_VALUE"""),36690.645833333336)</f>
        <v>36690.64583</v>
      </c>
      <c r="B112" s="2">
        <f>IFERROR(__xludf.DUMMYFUNCTION("""COMPUTED_VALUE"""),24.0)</f>
        <v>24</v>
      </c>
      <c r="C112" s="2">
        <f>IFERROR(__xludf.DUMMYFUNCTION("""COMPUTED_VALUE"""),25.5)</f>
        <v>25.5</v>
      </c>
      <c r="D112" s="2">
        <f>IFERROR(__xludf.DUMMYFUNCTION("""COMPUTED_VALUE"""),23.9)</f>
        <v>23.9</v>
      </c>
      <c r="E112" s="2">
        <f>IFERROR(__xludf.DUMMYFUNCTION("""COMPUTED_VALUE"""),25.36)</f>
        <v>25.36</v>
      </c>
      <c r="F112" s="2">
        <f>IFERROR(__xludf.DUMMYFUNCTION("""COMPUTED_VALUE"""),114014.0)</f>
        <v>114014</v>
      </c>
    </row>
    <row r="113">
      <c r="A113" s="3">
        <f>IFERROR(__xludf.DUMMYFUNCTION("""COMPUTED_VALUE"""),36691.645833333336)</f>
        <v>36691.64583</v>
      </c>
      <c r="B113" s="2">
        <f>IFERROR(__xludf.DUMMYFUNCTION("""COMPUTED_VALUE"""),25.9)</f>
        <v>25.9</v>
      </c>
      <c r="C113" s="2">
        <f>IFERROR(__xludf.DUMMYFUNCTION("""COMPUTED_VALUE"""),25.9)</f>
        <v>25.9</v>
      </c>
      <c r="D113" s="2">
        <f>IFERROR(__xludf.DUMMYFUNCTION("""COMPUTED_VALUE"""),24.9)</f>
        <v>24.9</v>
      </c>
      <c r="E113" s="2">
        <f>IFERROR(__xludf.DUMMYFUNCTION("""COMPUTED_VALUE"""),25.03)</f>
        <v>25.03</v>
      </c>
      <c r="F113" s="2">
        <f>IFERROR(__xludf.DUMMYFUNCTION("""COMPUTED_VALUE"""),70730.0)</f>
        <v>70730</v>
      </c>
    </row>
    <row r="114">
      <c r="A114" s="3">
        <f>IFERROR(__xludf.DUMMYFUNCTION("""COMPUTED_VALUE"""),36692.645833333336)</f>
        <v>36692.64583</v>
      </c>
      <c r="B114" s="2">
        <f>IFERROR(__xludf.DUMMYFUNCTION("""COMPUTED_VALUE"""),25.11)</f>
        <v>25.11</v>
      </c>
      <c r="C114" s="2">
        <f>IFERROR(__xludf.DUMMYFUNCTION("""COMPUTED_VALUE"""),25.3)</f>
        <v>25.3</v>
      </c>
      <c r="D114" s="2">
        <f>IFERROR(__xludf.DUMMYFUNCTION("""COMPUTED_VALUE"""),24.76)</f>
        <v>24.76</v>
      </c>
      <c r="E114" s="2">
        <f>IFERROR(__xludf.DUMMYFUNCTION("""COMPUTED_VALUE"""),25.09)</f>
        <v>25.09</v>
      </c>
      <c r="F114" s="2">
        <f>IFERROR(__xludf.DUMMYFUNCTION("""COMPUTED_VALUE"""),63502.0)</f>
        <v>63502</v>
      </c>
    </row>
    <row r="115">
      <c r="A115" s="3">
        <f>IFERROR(__xludf.DUMMYFUNCTION("""COMPUTED_VALUE"""),36693.645833333336)</f>
        <v>36693.64583</v>
      </c>
      <c r="B115" s="2">
        <f>IFERROR(__xludf.DUMMYFUNCTION("""COMPUTED_VALUE"""),24.3)</f>
        <v>24.3</v>
      </c>
      <c r="C115" s="2">
        <f>IFERROR(__xludf.DUMMYFUNCTION("""COMPUTED_VALUE"""),25.3)</f>
        <v>25.3</v>
      </c>
      <c r="D115" s="2">
        <f>IFERROR(__xludf.DUMMYFUNCTION("""COMPUTED_VALUE"""),24.3)</f>
        <v>24.3</v>
      </c>
      <c r="E115" s="2">
        <f>IFERROR(__xludf.DUMMYFUNCTION("""COMPUTED_VALUE"""),25.1)</f>
        <v>25.1</v>
      </c>
      <c r="F115" s="2">
        <f>IFERROR(__xludf.DUMMYFUNCTION("""COMPUTED_VALUE"""),55813.0)</f>
        <v>55813</v>
      </c>
    </row>
    <row r="116">
      <c r="A116" s="3">
        <f>IFERROR(__xludf.DUMMYFUNCTION("""COMPUTED_VALUE"""),36696.645833333336)</f>
        <v>36696.64583</v>
      </c>
      <c r="B116" s="2">
        <f>IFERROR(__xludf.DUMMYFUNCTION("""COMPUTED_VALUE"""),24.53)</f>
        <v>24.53</v>
      </c>
      <c r="C116" s="2">
        <f>IFERROR(__xludf.DUMMYFUNCTION("""COMPUTED_VALUE"""),25.3)</f>
        <v>25.3</v>
      </c>
      <c r="D116" s="2">
        <f>IFERROR(__xludf.DUMMYFUNCTION("""COMPUTED_VALUE"""),24.52)</f>
        <v>24.52</v>
      </c>
      <c r="E116" s="2">
        <f>IFERROR(__xludf.DUMMYFUNCTION("""COMPUTED_VALUE"""),25.17)</f>
        <v>25.17</v>
      </c>
      <c r="F116" s="2">
        <f>IFERROR(__xludf.DUMMYFUNCTION("""COMPUTED_VALUE"""),74185.0)</f>
        <v>74185</v>
      </c>
    </row>
    <row r="117">
      <c r="A117" s="3">
        <f>IFERROR(__xludf.DUMMYFUNCTION("""COMPUTED_VALUE"""),36697.645833333336)</f>
        <v>36697.64583</v>
      </c>
      <c r="B117" s="2">
        <f>IFERROR(__xludf.DUMMYFUNCTION("""COMPUTED_VALUE"""),25.49)</f>
        <v>25.49</v>
      </c>
      <c r="C117" s="2">
        <f>IFERROR(__xludf.DUMMYFUNCTION("""COMPUTED_VALUE"""),25.87)</f>
        <v>25.87</v>
      </c>
      <c r="D117" s="2">
        <f>IFERROR(__xludf.DUMMYFUNCTION("""COMPUTED_VALUE"""),24.65)</f>
        <v>24.65</v>
      </c>
      <c r="E117" s="2">
        <f>IFERROR(__xludf.DUMMYFUNCTION("""COMPUTED_VALUE"""),25.46)</f>
        <v>25.46</v>
      </c>
      <c r="F117" s="2">
        <f>IFERROR(__xludf.DUMMYFUNCTION("""COMPUTED_VALUE"""),100754.0)</f>
        <v>100754</v>
      </c>
    </row>
    <row r="118">
      <c r="A118" s="3">
        <f>IFERROR(__xludf.DUMMYFUNCTION("""COMPUTED_VALUE"""),36698.645833333336)</f>
        <v>36698.64583</v>
      </c>
      <c r="B118" s="2">
        <f>IFERROR(__xludf.DUMMYFUNCTION("""COMPUTED_VALUE"""),25.8)</f>
        <v>25.8</v>
      </c>
      <c r="C118" s="2">
        <f>IFERROR(__xludf.DUMMYFUNCTION("""COMPUTED_VALUE"""),26.3)</f>
        <v>26.3</v>
      </c>
      <c r="D118" s="2">
        <f>IFERROR(__xludf.DUMMYFUNCTION("""COMPUTED_VALUE"""),25.31)</f>
        <v>25.31</v>
      </c>
      <c r="E118" s="2">
        <f>IFERROR(__xludf.DUMMYFUNCTION("""COMPUTED_VALUE"""),25.62)</f>
        <v>25.62</v>
      </c>
      <c r="F118" s="2">
        <f>IFERROR(__xludf.DUMMYFUNCTION("""COMPUTED_VALUE"""),183914.0)</f>
        <v>183914</v>
      </c>
    </row>
    <row r="119">
      <c r="A119" s="3">
        <f>IFERROR(__xludf.DUMMYFUNCTION("""COMPUTED_VALUE"""),36699.645833333336)</f>
        <v>36699.64583</v>
      </c>
      <c r="B119" s="2">
        <f>IFERROR(__xludf.DUMMYFUNCTION("""COMPUTED_VALUE"""),25.81)</f>
        <v>25.81</v>
      </c>
      <c r="C119" s="2">
        <f>IFERROR(__xludf.DUMMYFUNCTION("""COMPUTED_VALUE"""),26.2)</f>
        <v>26.2</v>
      </c>
      <c r="D119" s="2">
        <f>IFERROR(__xludf.DUMMYFUNCTION("""COMPUTED_VALUE"""),25.6)</f>
        <v>25.6</v>
      </c>
      <c r="E119" s="2">
        <f>IFERROR(__xludf.DUMMYFUNCTION("""COMPUTED_VALUE"""),25.71)</f>
        <v>25.71</v>
      </c>
      <c r="F119" s="2">
        <f>IFERROR(__xludf.DUMMYFUNCTION("""COMPUTED_VALUE"""),65074.0)</f>
        <v>65074</v>
      </c>
    </row>
    <row r="120">
      <c r="A120" s="3">
        <f>IFERROR(__xludf.DUMMYFUNCTION("""COMPUTED_VALUE"""),36700.645833333336)</f>
        <v>36700.64583</v>
      </c>
      <c r="B120" s="2">
        <f>IFERROR(__xludf.DUMMYFUNCTION("""COMPUTED_VALUE"""),25.41)</f>
        <v>25.41</v>
      </c>
      <c r="C120" s="2">
        <f>IFERROR(__xludf.DUMMYFUNCTION("""COMPUTED_VALUE"""),25.9)</f>
        <v>25.9</v>
      </c>
      <c r="D120" s="2">
        <f>IFERROR(__xludf.DUMMYFUNCTION("""COMPUTED_VALUE"""),25.41)</f>
        <v>25.41</v>
      </c>
      <c r="E120" s="2">
        <f>IFERROR(__xludf.DUMMYFUNCTION("""COMPUTED_VALUE"""),25.74)</f>
        <v>25.74</v>
      </c>
      <c r="F120" s="2">
        <f>IFERROR(__xludf.DUMMYFUNCTION("""COMPUTED_VALUE"""),75781.0)</f>
        <v>75781</v>
      </c>
    </row>
    <row r="121">
      <c r="A121" s="3">
        <f>IFERROR(__xludf.DUMMYFUNCTION("""COMPUTED_VALUE"""),36703.645833333336)</f>
        <v>36703.64583</v>
      </c>
      <c r="B121" s="2">
        <f>IFERROR(__xludf.DUMMYFUNCTION("""COMPUTED_VALUE"""),25.44)</f>
        <v>25.44</v>
      </c>
      <c r="C121" s="2">
        <f>IFERROR(__xludf.DUMMYFUNCTION("""COMPUTED_VALUE"""),25.75)</f>
        <v>25.75</v>
      </c>
      <c r="D121" s="2">
        <f>IFERROR(__xludf.DUMMYFUNCTION("""COMPUTED_VALUE"""),25.42)</f>
        <v>25.42</v>
      </c>
      <c r="E121" s="2">
        <f>IFERROR(__xludf.DUMMYFUNCTION("""COMPUTED_VALUE"""),25.52)</f>
        <v>25.52</v>
      </c>
      <c r="F121" s="2">
        <f>IFERROR(__xludf.DUMMYFUNCTION("""COMPUTED_VALUE"""),66041.0)</f>
        <v>66041</v>
      </c>
    </row>
    <row r="122">
      <c r="A122" s="3">
        <f>IFERROR(__xludf.DUMMYFUNCTION("""COMPUTED_VALUE"""),36704.645833333336)</f>
        <v>36704.64583</v>
      </c>
      <c r="B122" s="2">
        <f>IFERROR(__xludf.DUMMYFUNCTION("""COMPUTED_VALUE"""),25.5)</f>
        <v>25.5</v>
      </c>
      <c r="C122" s="2">
        <f>IFERROR(__xludf.DUMMYFUNCTION("""COMPUTED_VALUE"""),25.5)</f>
        <v>25.5</v>
      </c>
      <c r="D122" s="2">
        <f>IFERROR(__xludf.DUMMYFUNCTION("""COMPUTED_VALUE"""),25.1)</f>
        <v>25.1</v>
      </c>
      <c r="E122" s="2">
        <f>IFERROR(__xludf.DUMMYFUNCTION("""COMPUTED_VALUE"""),25.19)</f>
        <v>25.19</v>
      </c>
      <c r="F122" s="2">
        <f>IFERROR(__xludf.DUMMYFUNCTION("""COMPUTED_VALUE"""),74332.0)</f>
        <v>74332</v>
      </c>
    </row>
    <row r="123">
      <c r="A123" s="3">
        <f>IFERROR(__xludf.DUMMYFUNCTION("""COMPUTED_VALUE"""),36705.645833333336)</f>
        <v>36705.64583</v>
      </c>
      <c r="B123" s="2">
        <f>IFERROR(__xludf.DUMMYFUNCTION("""COMPUTED_VALUE"""),26.0)</f>
        <v>26</v>
      </c>
      <c r="C123" s="2">
        <f>IFERROR(__xludf.DUMMYFUNCTION("""COMPUTED_VALUE"""),26.0)</f>
        <v>26</v>
      </c>
      <c r="D123" s="2">
        <f>IFERROR(__xludf.DUMMYFUNCTION("""COMPUTED_VALUE"""),24.81)</f>
        <v>24.81</v>
      </c>
      <c r="E123" s="2">
        <f>IFERROR(__xludf.DUMMYFUNCTION("""COMPUTED_VALUE"""),25.05)</f>
        <v>25.05</v>
      </c>
      <c r="F123" s="2">
        <f>IFERROR(__xludf.DUMMYFUNCTION("""COMPUTED_VALUE"""),60383.0)</f>
        <v>60383</v>
      </c>
    </row>
    <row r="124">
      <c r="A124" s="3">
        <f>IFERROR(__xludf.DUMMYFUNCTION("""COMPUTED_VALUE"""),36706.645833333336)</f>
        <v>36706.64583</v>
      </c>
      <c r="B124" s="2">
        <f>IFERROR(__xludf.DUMMYFUNCTION("""COMPUTED_VALUE"""),25.15)</f>
        <v>25.15</v>
      </c>
      <c r="C124" s="2">
        <f>IFERROR(__xludf.DUMMYFUNCTION("""COMPUTED_VALUE"""),25.9)</f>
        <v>25.9</v>
      </c>
      <c r="D124" s="2">
        <f>IFERROR(__xludf.DUMMYFUNCTION("""COMPUTED_VALUE"""),25.1)</f>
        <v>25.1</v>
      </c>
      <c r="E124" s="2">
        <f>IFERROR(__xludf.DUMMYFUNCTION("""COMPUTED_VALUE"""),25.76)</f>
        <v>25.76</v>
      </c>
      <c r="F124" s="2">
        <f>IFERROR(__xludf.DUMMYFUNCTION("""COMPUTED_VALUE"""),77404.0)</f>
        <v>77404</v>
      </c>
    </row>
    <row r="125">
      <c r="A125" s="3">
        <f>IFERROR(__xludf.DUMMYFUNCTION("""COMPUTED_VALUE"""),36707.645833333336)</f>
        <v>36707.64583</v>
      </c>
      <c r="B125" s="2">
        <f>IFERROR(__xludf.DUMMYFUNCTION("""COMPUTED_VALUE"""),25.5)</f>
        <v>25.5</v>
      </c>
      <c r="C125" s="2">
        <f>IFERROR(__xludf.DUMMYFUNCTION("""COMPUTED_VALUE"""),25.57)</f>
        <v>25.57</v>
      </c>
      <c r="D125" s="2">
        <f>IFERROR(__xludf.DUMMYFUNCTION("""COMPUTED_VALUE"""),25.2)</f>
        <v>25.2</v>
      </c>
      <c r="E125" s="2">
        <f>IFERROR(__xludf.DUMMYFUNCTION("""COMPUTED_VALUE"""),25.24)</f>
        <v>25.24</v>
      </c>
      <c r="F125" s="2">
        <f>IFERROR(__xludf.DUMMYFUNCTION("""COMPUTED_VALUE"""),38450.0)</f>
        <v>38450</v>
      </c>
    </row>
    <row r="126">
      <c r="A126" s="3">
        <f>IFERROR(__xludf.DUMMYFUNCTION("""COMPUTED_VALUE"""),36710.645833333336)</f>
        <v>36710.64583</v>
      </c>
      <c r="B126" s="2">
        <f>IFERROR(__xludf.DUMMYFUNCTION("""COMPUTED_VALUE"""),25.31)</f>
        <v>25.31</v>
      </c>
      <c r="C126" s="2">
        <f>IFERROR(__xludf.DUMMYFUNCTION("""COMPUTED_VALUE"""),27.8)</f>
        <v>27.8</v>
      </c>
      <c r="D126" s="2">
        <f>IFERROR(__xludf.DUMMYFUNCTION("""COMPUTED_VALUE"""),25.21)</f>
        <v>25.21</v>
      </c>
      <c r="E126" s="2">
        <f>IFERROR(__xludf.DUMMYFUNCTION("""COMPUTED_VALUE"""),26.87)</f>
        <v>26.87</v>
      </c>
      <c r="F126" s="2">
        <f>IFERROR(__xludf.DUMMYFUNCTION("""COMPUTED_VALUE"""),200434.0)</f>
        <v>200434</v>
      </c>
    </row>
    <row r="127">
      <c r="A127" s="3">
        <f>IFERROR(__xludf.DUMMYFUNCTION("""COMPUTED_VALUE"""),36711.645833333336)</f>
        <v>36711.64583</v>
      </c>
      <c r="B127" s="2">
        <f>IFERROR(__xludf.DUMMYFUNCTION("""COMPUTED_VALUE"""),26.8)</f>
        <v>26.8</v>
      </c>
      <c r="C127" s="2">
        <f>IFERROR(__xludf.DUMMYFUNCTION("""COMPUTED_VALUE"""),28.09)</f>
        <v>28.09</v>
      </c>
      <c r="D127" s="2">
        <f>IFERROR(__xludf.DUMMYFUNCTION("""COMPUTED_VALUE"""),26.6)</f>
        <v>26.6</v>
      </c>
      <c r="E127" s="2">
        <f>IFERROR(__xludf.DUMMYFUNCTION("""COMPUTED_VALUE"""),27.89)</f>
        <v>27.89</v>
      </c>
      <c r="F127" s="2">
        <f>IFERROR(__xludf.DUMMYFUNCTION("""COMPUTED_VALUE"""),313429.0)</f>
        <v>313429</v>
      </c>
    </row>
    <row r="128">
      <c r="A128" s="3">
        <f>IFERROR(__xludf.DUMMYFUNCTION("""COMPUTED_VALUE"""),36712.645833333336)</f>
        <v>36712.64583</v>
      </c>
      <c r="B128" s="2">
        <f>IFERROR(__xludf.DUMMYFUNCTION("""COMPUTED_VALUE"""),28.48)</f>
        <v>28.48</v>
      </c>
      <c r="C128" s="2">
        <f>IFERROR(__xludf.DUMMYFUNCTION("""COMPUTED_VALUE"""),28.48)</f>
        <v>28.48</v>
      </c>
      <c r="D128" s="2">
        <f>IFERROR(__xludf.DUMMYFUNCTION("""COMPUTED_VALUE"""),27.13)</f>
        <v>27.13</v>
      </c>
      <c r="E128" s="2">
        <f>IFERROR(__xludf.DUMMYFUNCTION("""COMPUTED_VALUE"""),27.8)</f>
        <v>27.8</v>
      </c>
      <c r="F128" s="2">
        <f>IFERROR(__xludf.DUMMYFUNCTION("""COMPUTED_VALUE"""),219271.0)</f>
        <v>219271</v>
      </c>
    </row>
    <row r="129">
      <c r="A129" s="3">
        <f>IFERROR(__xludf.DUMMYFUNCTION("""COMPUTED_VALUE"""),36713.645833333336)</f>
        <v>36713.64583</v>
      </c>
      <c r="B129" s="2">
        <f>IFERROR(__xludf.DUMMYFUNCTION("""COMPUTED_VALUE"""),27.8)</f>
        <v>27.8</v>
      </c>
      <c r="C129" s="2">
        <f>IFERROR(__xludf.DUMMYFUNCTION("""COMPUTED_VALUE"""),27.99)</f>
        <v>27.99</v>
      </c>
      <c r="D129" s="2">
        <f>IFERROR(__xludf.DUMMYFUNCTION("""COMPUTED_VALUE"""),27.27)</f>
        <v>27.27</v>
      </c>
      <c r="E129" s="2">
        <f>IFERROR(__xludf.DUMMYFUNCTION("""COMPUTED_VALUE"""),27.6)</f>
        <v>27.6</v>
      </c>
      <c r="F129" s="2">
        <f>IFERROR(__xludf.DUMMYFUNCTION("""COMPUTED_VALUE"""),95733.0)</f>
        <v>95733</v>
      </c>
    </row>
    <row r="130">
      <c r="A130" s="3">
        <f>IFERROR(__xludf.DUMMYFUNCTION("""COMPUTED_VALUE"""),36714.645833333336)</f>
        <v>36714.64583</v>
      </c>
      <c r="B130" s="2">
        <f>IFERROR(__xludf.DUMMYFUNCTION("""COMPUTED_VALUE"""),27.7)</f>
        <v>27.7</v>
      </c>
      <c r="C130" s="2">
        <f>IFERROR(__xludf.DUMMYFUNCTION("""COMPUTED_VALUE"""),28.5)</f>
        <v>28.5</v>
      </c>
      <c r="D130" s="2">
        <f>IFERROR(__xludf.DUMMYFUNCTION("""COMPUTED_VALUE"""),27.51)</f>
        <v>27.51</v>
      </c>
      <c r="E130" s="2">
        <f>IFERROR(__xludf.DUMMYFUNCTION("""COMPUTED_VALUE"""),28.18)</f>
        <v>28.18</v>
      </c>
      <c r="F130" s="2">
        <f>IFERROR(__xludf.DUMMYFUNCTION("""COMPUTED_VALUE"""),212198.0)</f>
        <v>212198</v>
      </c>
    </row>
    <row r="131">
      <c r="A131" s="3">
        <f>IFERROR(__xludf.DUMMYFUNCTION("""COMPUTED_VALUE"""),36717.645833333336)</f>
        <v>36717.64583</v>
      </c>
      <c r="B131" s="2">
        <f>IFERROR(__xludf.DUMMYFUNCTION("""COMPUTED_VALUE"""),28.0)</f>
        <v>28</v>
      </c>
      <c r="C131" s="2">
        <f>IFERROR(__xludf.DUMMYFUNCTION("""COMPUTED_VALUE"""),28.3)</f>
        <v>28.3</v>
      </c>
      <c r="D131" s="2">
        <f>IFERROR(__xludf.DUMMYFUNCTION("""COMPUTED_VALUE"""),27.3)</f>
        <v>27.3</v>
      </c>
      <c r="E131" s="2">
        <f>IFERROR(__xludf.DUMMYFUNCTION("""COMPUTED_VALUE"""),27.57)</f>
        <v>27.57</v>
      </c>
      <c r="F131" s="2">
        <f>IFERROR(__xludf.DUMMYFUNCTION("""COMPUTED_VALUE"""),144167.0)</f>
        <v>144167</v>
      </c>
    </row>
    <row r="132">
      <c r="A132" s="3">
        <f>IFERROR(__xludf.DUMMYFUNCTION("""COMPUTED_VALUE"""),36718.645833333336)</f>
        <v>36718.64583</v>
      </c>
      <c r="B132" s="2">
        <f>IFERROR(__xludf.DUMMYFUNCTION("""COMPUTED_VALUE"""),27.9)</f>
        <v>27.9</v>
      </c>
      <c r="C132" s="2">
        <f>IFERROR(__xludf.DUMMYFUNCTION("""COMPUTED_VALUE"""),28.0)</f>
        <v>28</v>
      </c>
      <c r="D132" s="2">
        <f>IFERROR(__xludf.DUMMYFUNCTION("""COMPUTED_VALUE"""),27.4)</f>
        <v>27.4</v>
      </c>
      <c r="E132" s="2">
        <f>IFERROR(__xludf.DUMMYFUNCTION("""COMPUTED_VALUE"""),27.49)</f>
        <v>27.49</v>
      </c>
      <c r="F132" s="2">
        <f>IFERROR(__xludf.DUMMYFUNCTION("""COMPUTED_VALUE"""),91841.0)</f>
        <v>91841</v>
      </c>
    </row>
    <row r="133">
      <c r="A133" s="3">
        <f>IFERROR(__xludf.DUMMYFUNCTION("""COMPUTED_VALUE"""),36719.645833333336)</f>
        <v>36719.64583</v>
      </c>
      <c r="B133" s="2">
        <f>IFERROR(__xludf.DUMMYFUNCTION("""COMPUTED_VALUE"""),27.5)</f>
        <v>27.5</v>
      </c>
      <c r="C133" s="2">
        <f>IFERROR(__xludf.DUMMYFUNCTION("""COMPUTED_VALUE"""),27.87)</f>
        <v>27.87</v>
      </c>
      <c r="D133" s="2">
        <f>IFERROR(__xludf.DUMMYFUNCTION("""COMPUTED_VALUE"""),26.1)</f>
        <v>26.1</v>
      </c>
      <c r="E133" s="2">
        <f>IFERROR(__xludf.DUMMYFUNCTION("""COMPUTED_VALUE"""),26.79)</f>
        <v>26.79</v>
      </c>
      <c r="F133" s="2">
        <f>IFERROR(__xludf.DUMMYFUNCTION("""COMPUTED_VALUE"""),182915.0)</f>
        <v>182915</v>
      </c>
    </row>
    <row r="134">
      <c r="A134" s="3">
        <f>IFERROR(__xludf.DUMMYFUNCTION("""COMPUTED_VALUE"""),36720.645833333336)</f>
        <v>36720.64583</v>
      </c>
      <c r="B134" s="2">
        <f>IFERROR(__xludf.DUMMYFUNCTION("""COMPUTED_VALUE"""),27.39)</f>
        <v>27.39</v>
      </c>
      <c r="C134" s="2">
        <f>IFERROR(__xludf.DUMMYFUNCTION("""COMPUTED_VALUE"""),27.62)</f>
        <v>27.62</v>
      </c>
      <c r="D134" s="2">
        <f>IFERROR(__xludf.DUMMYFUNCTION("""COMPUTED_VALUE"""),26.22)</f>
        <v>26.22</v>
      </c>
      <c r="E134" s="2">
        <f>IFERROR(__xludf.DUMMYFUNCTION("""COMPUTED_VALUE"""),26.59)</f>
        <v>26.59</v>
      </c>
      <c r="F134" s="2">
        <f>IFERROR(__xludf.DUMMYFUNCTION("""COMPUTED_VALUE"""),205966.0)</f>
        <v>205966</v>
      </c>
    </row>
    <row r="135">
      <c r="A135" s="3">
        <f>IFERROR(__xludf.DUMMYFUNCTION("""COMPUTED_VALUE"""),36721.645833333336)</f>
        <v>36721.64583</v>
      </c>
      <c r="B135" s="2">
        <f>IFERROR(__xludf.DUMMYFUNCTION("""COMPUTED_VALUE"""),26.51)</f>
        <v>26.51</v>
      </c>
      <c r="C135" s="2">
        <f>IFERROR(__xludf.DUMMYFUNCTION("""COMPUTED_VALUE"""),27.0)</f>
        <v>27</v>
      </c>
      <c r="D135" s="2">
        <f>IFERROR(__xludf.DUMMYFUNCTION("""COMPUTED_VALUE"""),26.41)</f>
        <v>26.41</v>
      </c>
      <c r="E135" s="2">
        <f>IFERROR(__xludf.DUMMYFUNCTION("""COMPUTED_VALUE"""),26.58)</f>
        <v>26.58</v>
      </c>
      <c r="F135" s="2">
        <f>IFERROR(__xludf.DUMMYFUNCTION("""COMPUTED_VALUE"""),77555.0)</f>
        <v>77555</v>
      </c>
    </row>
    <row r="136">
      <c r="A136" s="3">
        <f>IFERROR(__xludf.DUMMYFUNCTION("""COMPUTED_VALUE"""),36724.645833333336)</f>
        <v>36724.64583</v>
      </c>
      <c r="B136" s="2">
        <f>IFERROR(__xludf.DUMMYFUNCTION("""COMPUTED_VALUE"""),26.41)</f>
        <v>26.41</v>
      </c>
      <c r="C136" s="2">
        <f>IFERROR(__xludf.DUMMYFUNCTION("""COMPUTED_VALUE"""),26.43)</f>
        <v>26.43</v>
      </c>
      <c r="D136" s="2">
        <f>IFERROR(__xludf.DUMMYFUNCTION("""COMPUTED_VALUE"""),25.4)</f>
        <v>25.4</v>
      </c>
      <c r="E136" s="2">
        <f>IFERROR(__xludf.DUMMYFUNCTION("""COMPUTED_VALUE"""),25.44)</f>
        <v>25.44</v>
      </c>
      <c r="F136" s="2">
        <f>IFERROR(__xludf.DUMMYFUNCTION("""COMPUTED_VALUE"""),112576.0)</f>
        <v>112576</v>
      </c>
    </row>
    <row r="137">
      <c r="A137" s="3">
        <f>IFERROR(__xludf.DUMMYFUNCTION("""COMPUTED_VALUE"""),36725.645833333336)</f>
        <v>36725.64583</v>
      </c>
      <c r="B137" s="2">
        <f>IFERROR(__xludf.DUMMYFUNCTION("""COMPUTED_VALUE"""),25.43)</f>
        <v>25.43</v>
      </c>
      <c r="C137" s="2">
        <f>IFERROR(__xludf.DUMMYFUNCTION("""COMPUTED_VALUE"""),25.54)</f>
        <v>25.54</v>
      </c>
      <c r="D137" s="2">
        <f>IFERROR(__xludf.DUMMYFUNCTION("""COMPUTED_VALUE"""),25.0)</f>
        <v>25</v>
      </c>
      <c r="E137" s="2">
        <f>IFERROR(__xludf.DUMMYFUNCTION("""COMPUTED_VALUE"""),25.03)</f>
        <v>25.03</v>
      </c>
      <c r="F137" s="2">
        <f>IFERROR(__xludf.DUMMYFUNCTION("""COMPUTED_VALUE"""),142612.0)</f>
        <v>142612</v>
      </c>
    </row>
    <row r="138">
      <c r="A138" s="3">
        <f>IFERROR(__xludf.DUMMYFUNCTION("""COMPUTED_VALUE"""),36726.645833333336)</f>
        <v>36726.64583</v>
      </c>
      <c r="B138" s="2">
        <f>IFERROR(__xludf.DUMMYFUNCTION("""COMPUTED_VALUE"""),24.8)</f>
        <v>24.8</v>
      </c>
      <c r="C138" s="2">
        <f>IFERROR(__xludf.DUMMYFUNCTION("""COMPUTED_VALUE"""),25.3)</f>
        <v>25.3</v>
      </c>
      <c r="D138" s="2">
        <f>IFERROR(__xludf.DUMMYFUNCTION("""COMPUTED_VALUE"""),24.8)</f>
        <v>24.8</v>
      </c>
      <c r="E138" s="2">
        <f>IFERROR(__xludf.DUMMYFUNCTION("""COMPUTED_VALUE"""),25.13)</f>
        <v>25.13</v>
      </c>
      <c r="F138" s="2">
        <f>IFERROR(__xludf.DUMMYFUNCTION("""COMPUTED_VALUE"""),69404.0)</f>
        <v>69404</v>
      </c>
    </row>
    <row r="139">
      <c r="A139" s="3">
        <f>IFERROR(__xludf.DUMMYFUNCTION("""COMPUTED_VALUE"""),36727.645833333336)</f>
        <v>36727.64583</v>
      </c>
      <c r="B139" s="2">
        <f>IFERROR(__xludf.DUMMYFUNCTION("""COMPUTED_VALUE"""),25.0)</f>
        <v>25</v>
      </c>
      <c r="C139" s="2">
        <f>IFERROR(__xludf.DUMMYFUNCTION("""COMPUTED_VALUE"""),25.8)</f>
        <v>25.8</v>
      </c>
      <c r="D139" s="2">
        <f>IFERROR(__xludf.DUMMYFUNCTION("""COMPUTED_VALUE"""),24.51)</f>
        <v>24.51</v>
      </c>
      <c r="E139" s="2">
        <f>IFERROR(__xludf.DUMMYFUNCTION("""COMPUTED_VALUE"""),24.84)</f>
        <v>24.84</v>
      </c>
      <c r="F139" s="2">
        <f>IFERROR(__xludf.DUMMYFUNCTION("""COMPUTED_VALUE"""),98811.0)</f>
        <v>98811</v>
      </c>
    </row>
    <row r="140">
      <c r="A140" s="3">
        <f>IFERROR(__xludf.DUMMYFUNCTION("""COMPUTED_VALUE"""),36728.645833333336)</f>
        <v>36728.64583</v>
      </c>
      <c r="B140" s="2">
        <f>IFERROR(__xludf.DUMMYFUNCTION("""COMPUTED_VALUE"""),24.85)</f>
        <v>24.85</v>
      </c>
      <c r="C140" s="2">
        <f>IFERROR(__xludf.DUMMYFUNCTION("""COMPUTED_VALUE"""),24.99)</f>
        <v>24.99</v>
      </c>
      <c r="D140" s="2">
        <f>IFERROR(__xludf.DUMMYFUNCTION("""COMPUTED_VALUE"""),24.01)</f>
        <v>24.01</v>
      </c>
      <c r="E140" s="2">
        <f>IFERROR(__xludf.DUMMYFUNCTION("""COMPUTED_VALUE"""),24.16)</f>
        <v>24.16</v>
      </c>
      <c r="F140" s="2">
        <f>IFERROR(__xludf.DUMMYFUNCTION("""COMPUTED_VALUE"""),114812.0)</f>
        <v>114812</v>
      </c>
    </row>
    <row r="141">
      <c r="A141" s="3">
        <f>IFERROR(__xludf.DUMMYFUNCTION("""COMPUTED_VALUE"""),36731.645833333336)</f>
        <v>36731.64583</v>
      </c>
      <c r="B141" s="2">
        <f>IFERROR(__xludf.DUMMYFUNCTION("""COMPUTED_VALUE"""),23.51)</f>
        <v>23.51</v>
      </c>
      <c r="C141" s="2">
        <f>IFERROR(__xludf.DUMMYFUNCTION("""COMPUTED_VALUE"""),23.8)</f>
        <v>23.8</v>
      </c>
      <c r="D141" s="2">
        <f>IFERROR(__xludf.DUMMYFUNCTION("""COMPUTED_VALUE"""),22.51)</f>
        <v>22.51</v>
      </c>
      <c r="E141" s="2">
        <f>IFERROR(__xludf.DUMMYFUNCTION("""COMPUTED_VALUE"""),23.12)</f>
        <v>23.12</v>
      </c>
      <c r="F141" s="2">
        <f>IFERROR(__xludf.DUMMYFUNCTION("""COMPUTED_VALUE"""),213982.0)</f>
        <v>213982</v>
      </c>
    </row>
    <row r="142">
      <c r="A142" s="3">
        <f>IFERROR(__xludf.DUMMYFUNCTION("""COMPUTED_VALUE"""),36732.645833333336)</f>
        <v>36732.64583</v>
      </c>
      <c r="B142" s="2">
        <f>IFERROR(__xludf.DUMMYFUNCTION("""COMPUTED_VALUE"""),22.6)</f>
        <v>22.6</v>
      </c>
      <c r="C142" s="2">
        <f>IFERROR(__xludf.DUMMYFUNCTION("""COMPUTED_VALUE"""),24.87)</f>
        <v>24.87</v>
      </c>
      <c r="D142" s="2">
        <f>IFERROR(__xludf.DUMMYFUNCTION("""COMPUTED_VALUE"""),22.26)</f>
        <v>22.26</v>
      </c>
      <c r="E142" s="2">
        <f>IFERROR(__xludf.DUMMYFUNCTION("""COMPUTED_VALUE"""),24.27)</f>
        <v>24.27</v>
      </c>
      <c r="F142" s="2">
        <f>IFERROR(__xludf.DUMMYFUNCTION("""COMPUTED_VALUE"""),102331.0)</f>
        <v>102331</v>
      </c>
    </row>
    <row r="143">
      <c r="A143" s="3">
        <f>IFERROR(__xludf.DUMMYFUNCTION("""COMPUTED_VALUE"""),36733.645833333336)</f>
        <v>36733.64583</v>
      </c>
      <c r="B143" s="2">
        <f>IFERROR(__xludf.DUMMYFUNCTION("""COMPUTED_VALUE"""),24.9)</f>
        <v>24.9</v>
      </c>
      <c r="C143" s="2">
        <f>IFERROR(__xludf.DUMMYFUNCTION("""COMPUTED_VALUE"""),25.2)</f>
        <v>25.2</v>
      </c>
      <c r="D143" s="2">
        <f>IFERROR(__xludf.DUMMYFUNCTION("""COMPUTED_VALUE"""),24.25)</f>
        <v>24.25</v>
      </c>
      <c r="E143" s="2">
        <f>IFERROR(__xludf.DUMMYFUNCTION("""COMPUTED_VALUE"""),24.5)</f>
        <v>24.5</v>
      </c>
      <c r="F143" s="2">
        <f>IFERROR(__xludf.DUMMYFUNCTION("""COMPUTED_VALUE"""),60763.0)</f>
        <v>60763</v>
      </c>
    </row>
    <row r="144">
      <c r="A144" s="3">
        <f>IFERROR(__xludf.DUMMYFUNCTION("""COMPUTED_VALUE"""),36734.645833333336)</f>
        <v>36734.64583</v>
      </c>
      <c r="B144" s="2">
        <f>IFERROR(__xludf.DUMMYFUNCTION("""COMPUTED_VALUE"""),24.34)</f>
        <v>24.34</v>
      </c>
      <c r="C144" s="2">
        <f>IFERROR(__xludf.DUMMYFUNCTION("""COMPUTED_VALUE"""),24.58)</f>
        <v>24.58</v>
      </c>
      <c r="D144" s="2">
        <f>IFERROR(__xludf.DUMMYFUNCTION("""COMPUTED_VALUE"""),24.1)</f>
        <v>24.1</v>
      </c>
      <c r="E144" s="2">
        <f>IFERROR(__xludf.DUMMYFUNCTION("""COMPUTED_VALUE"""),24.45)</f>
        <v>24.45</v>
      </c>
      <c r="F144" s="2">
        <f>IFERROR(__xludf.DUMMYFUNCTION("""COMPUTED_VALUE"""),30942.0)</f>
        <v>30942</v>
      </c>
    </row>
    <row r="145">
      <c r="A145" s="3">
        <f>IFERROR(__xludf.DUMMYFUNCTION("""COMPUTED_VALUE"""),36735.645833333336)</f>
        <v>36735.64583</v>
      </c>
      <c r="B145" s="2">
        <f>IFERROR(__xludf.DUMMYFUNCTION("""COMPUTED_VALUE"""),24.21)</f>
        <v>24.21</v>
      </c>
      <c r="C145" s="2">
        <f>IFERROR(__xludf.DUMMYFUNCTION("""COMPUTED_VALUE"""),24.56)</f>
        <v>24.56</v>
      </c>
      <c r="D145" s="2">
        <f>IFERROR(__xludf.DUMMYFUNCTION("""COMPUTED_VALUE"""),23.4)</f>
        <v>23.4</v>
      </c>
      <c r="E145" s="2">
        <f>IFERROR(__xludf.DUMMYFUNCTION("""COMPUTED_VALUE"""),23.51)</f>
        <v>23.51</v>
      </c>
      <c r="F145" s="2">
        <f>IFERROR(__xludf.DUMMYFUNCTION("""COMPUTED_VALUE"""),129944.0)</f>
        <v>129944</v>
      </c>
    </row>
    <row r="146">
      <c r="A146" s="3">
        <f>IFERROR(__xludf.DUMMYFUNCTION("""COMPUTED_VALUE"""),36738.645833333336)</f>
        <v>36738.64583</v>
      </c>
      <c r="B146" s="2">
        <f>IFERROR(__xludf.DUMMYFUNCTION("""COMPUTED_VALUE"""),23.5)</f>
        <v>23.5</v>
      </c>
      <c r="C146" s="2">
        <f>IFERROR(__xludf.DUMMYFUNCTION("""COMPUTED_VALUE"""),23.6)</f>
        <v>23.6</v>
      </c>
      <c r="D146" s="2">
        <f>IFERROR(__xludf.DUMMYFUNCTION("""COMPUTED_VALUE"""),23.0)</f>
        <v>23</v>
      </c>
      <c r="E146" s="2">
        <f>IFERROR(__xludf.DUMMYFUNCTION("""COMPUTED_VALUE"""),23.29)</f>
        <v>23.29</v>
      </c>
      <c r="F146" s="2">
        <f>IFERROR(__xludf.DUMMYFUNCTION("""COMPUTED_VALUE"""),24643.0)</f>
        <v>24643</v>
      </c>
    </row>
    <row r="147">
      <c r="A147" s="3">
        <f>IFERROR(__xludf.DUMMYFUNCTION("""COMPUTED_VALUE"""),36739.645833333336)</f>
        <v>36739.64583</v>
      </c>
      <c r="B147" s="2">
        <f>IFERROR(__xludf.DUMMYFUNCTION("""COMPUTED_VALUE"""),23.59)</f>
        <v>23.59</v>
      </c>
      <c r="C147" s="2">
        <f>IFERROR(__xludf.DUMMYFUNCTION("""COMPUTED_VALUE"""),23.59)</f>
        <v>23.59</v>
      </c>
      <c r="D147" s="2">
        <f>IFERROR(__xludf.DUMMYFUNCTION("""COMPUTED_VALUE"""),22.62)</f>
        <v>22.62</v>
      </c>
      <c r="E147" s="2">
        <f>IFERROR(__xludf.DUMMYFUNCTION("""COMPUTED_VALUE"""),22.75)</f>
        <v>22.75</v>
      </c>
      <c r="F147" s="2">
        <f>IFERROR(__xludf.DUMMYFUNCTION("""COMPUTED_VALUE"""),73100.0)</f>
        <v>73100</v>
      </c>
    </row>
    <row r="148">
      <c r="A148" s="3">
        <f>IFERROR(__xludf.DUMMYFUNCTION("""COMPUTED_VALUE"""),36740.645833333336)</f>
        <v>36740.64583</v>
      </c>
      <c r="B148" s="2">
        <f>IFERROR(__xludf.DUMMYFUNCTION("""COMPUTED_VALUE"""),22.85)</f>
        <v>22.85</v>
      </c>
      <c r="C148" s="2">
        <f>IFERROR(__xludf.DUMMYFUNCTION("""COMPUTED_VALUE"""),22.99)</f>
        <v>22.99</v>
      </c>
      <c r="D148" s="2">
        <f>IFERROR(__xludf.DUMMYFUNCTION("""COMPUTED_VALUE"""),21.8)</f>
        <v>21.8</v>
      </c>
      <c r="E148" s="2">
        <f>IFERROR(__xludf.DUMMYFUNCTION("""COMPUTED_VALUE"""),22.4)</f>
        <v>22.4</v>
      </c>
      <c r="F148" s="2">
        <f>IFERROR(__xludf.DUMMYFUNCTION("""COMPUTED_VALUE"""),117080.0)</f>
        <v>117080</v>
      </c>
    </row>
    <row r="149">
      <c r="A149" s="3">
        <f>IFERROR(__xludf.DUMMYFUNCTION("""COMPUTED_VALUE"""),36741.645833333336)</f>
        <v>36741.64583</v>
      </c>
      <c r="B149" s="2">
        <f>IFERROR(__xludf.DUMMYFUNCTION("""COMPUTED_VALUE"""),22.48)</f>
        <v>22.48</v>
      </c>
      <c r="C149" s="2">
        <f>IFERROR(__xludf.DUMMYFUNCTION("""COMPUTED_VALUE"""),25.79)</f>
        <v>25.79</v>
      </c>
      <c r="D149" s="2">
        <f>IFERROR(__xludf.DUMMYFUNCTION("""COMPUTED_VALUE"""),22.41)</f>
        <v>22.41</v>
      </c>
      <c r="E149" s="2">
        <f>IFERROR(__xludf.DUMMYFUNCTION("""COMPUTED_VALUE"""),25.25)</f>
        <v>25.25</v>
      </c>
      <c r="F149" s="2">
        <f>IFERROR(__xludf.DUMMYFUNCTION("""COMPUTED_VALUE"""),295403.0)</f>
        <v>295403</v>
      </c>
    </row>
    <row r="150">
      <c r="A150" s="3">
        <f>IFERROR(__xludf.DUMMYFUNCTION("""COMPUTED_VALUE"""),36742.645833333336)</f>
        <v>36742.64583</v>
      </c>
      <c r="B150" s="2">
        <f>IFERROR(__xludf.DUMMYFUNCTION("""COMPUTED_VALUE"""),24.5)</f>
        <v>24.5</v>
      </c>
      <c r="C150" s="2">
        <f>IFERROR(__xludf.DUMMYFUNCTION("""COMPUTED_VALUE"""),25.4)</f>
        <v>25.4</v>
      </c>
      <c r="D150" s="2">
        <f>IFERROR(__xludf.DUMMYFUNCTION("""COMPUTED_VALUE"""),24.23)</f>
        <v>24.23</v>
      </c>
      <c r="E150" s="2">
        <f>IFERROR(__xludf.DUMMYFUNCTION("""COMPUTED_VALUE"""),24.98)</f>
        <v>24.98</v>
      </c>
      <c r="F150" s="2">
        <f>IFERROR(__xludf.DUMMYFUNCTION("""COMPUTED_VALUE"""),283882.0)</f>
        <v>283882</v>
      </c>
    </row>
    <row r="151">
      <c r="A151" s="3">
        <f>IFERROR(__xludf.DUMMYFUNCTION("""COMPUTED_VALUE"""),36745.645833333336)</f>
        <v>36745.64583</v>
      </c>
      <c r="B151" s="2">
        <f>IFERROR(__xludf.DUMMYFUNCTION("""COMPUTED_VALUE"""),24.81)</f>
        <v>24.81</v>
      </c>
      <c r="C151" s="2">
        <f>IFERROR(__xludf.DUMMYFUNCTION("""COMPUTED_VALUE"""),25.0)</f>
        <v>25</v>
      </c>
      <c r="D151" s="2">
        <f>IFERROR(__xludf.DUMMYFUNCTION("""COMPUTED_VALUE"""),22.98)</f>
        <v>22.98</v>
      </c>
      <c r="E151" s="2">
        <f>IFERROR(__xludf.DUMMYFUNCTION("""COMPUTED_VALUE"""),23.52)</f>
        <v>23.52</v>
      </c>
      <c r="F151" s="2">
        <f>IFERROR(__xludf.DUMMYFUNCTION("""COMPUTED_VALUE"""),149415.0)</f>
        <v>149415</v>
      </c>
    </row>
    <row r="152">
      <c r="A152" s="3">
        <f>IFERROR(__xludf.DUMMYFUNCTION("""COMPUTED_VALUE"""),36746.645833333336)</f>
        <v>36746.64583</v>
      </c>
      <c r="B152" s="2">
        <f>IFERROR(__xludf.DUMMYFUNCTION("""COMPUTED_VALUE"""),23.21)</f>
        <v>23.21</v>
      </c>
      <c r="C152" s="2">
        <f>IFERROR(__xludf.DUMMYFUNCTION("""COMPUTED_VALUE"""),25.79)</f>
        <v>25.79</v>
      </c>
      <c r="D152" s="2">
        <f>IFERROR(__xludf.DUMMYFUNCTION("""COMPUTED_VALUE"""),23.1)</f>
        <v>23.1</v>
      </c>
      <c r="E152" s="2">
        <f>IFERROR(__xludf.DUMMYFUNCTION("""COMPUTED_VALUE"""),25.31)</f>
        <v>25.31</v>
      </c>
      <c r="F152" s="2">
        <f>IFERROR(__xludf.DUMMYFUNCTION("""COMPUTED_VALUE"""),196672.0)</f>
        <v>196672</v>
      </c>
    </row>
    <row r="153">
      <c r="A153" s="3">
        <f>IFERROR(__xludf.DUMMYFUNCTION("""COMPUTED_VALUE"""),36747.645833333336)</f>
        <v>36747.64583</v>
      </c>
      <c r="B153" s="2">
        <f>IFERROR(__xludf.DUMMYFUNCTION("""COMPUTED_VALUE"""),25.42)</f>
        <v>25.42</v>
      </c>
      <c r="C153" s="2">
        <f>IFERROR(__xludf.DUMMYFUNCTION("""COMPUTED_VALUE"""),25.5)</f>
        <v>25.5</v>
      </c>
      <c r="D153" s="2">
        <f>IFERROR(__xludf.DUMMYFUNCTION("""COMPUTED_VALUE"""),24.2)</f>
        <v>24.2</v>
      </c>
      <c r="E153" s="2">
        <f>IFERROR(__xludf.DUMMYFUNCTION("""COMPUTED_VALUE"""),24.41)</f>
        <v>24.41</v>
      </c>
      <c r="F153" s="2">
        <f>IFERROR(__xludf.DUMMYFUNCTION("""COMPUTED_VALUE"""),63731.0)</f>
        <v>63731</v>
      </c>
    </row>
    <row r="154">
      <c r="A154" s="3">
        <f>IFERROR(__xludf.DUMMYFUNCTION("""COMPUTED_VALUE"""),36748.645833333336)</f>
        <v>36748.64583</v>
      </c>
      <c r="B154" s="2">
        <f>IFERROR(__xludf.DUMMYFUNCTION("""COMPUTED_VALUE"""),24.2)</f>
        <v>24.2</v>
      </c>
      <c r="C154" s="2">
        <f>IFERROR(__xludf.DUMMYFUNCTION("""COMPUTED_VALUE"""),24.9)</f>
        <v>24.9</v>
      </c>
      <c r="D154" s="2">
        <f>IFERROR(__xludf.DUMMYFUNCTION("""COMPUTED_VALUE"""),24.13)</f>
        <v>24.13</v>
      </c>
      <c r="E154" s="2">
        <f>IFERROR(__xludf.DUMMYFUNCTION("""COMPUTED_VALUE"""),24.37)</f>
        <v>24.37</v>
      </c>
      <c r="F154" s="2">
        <f>IFERROR(__xludf.DUMMYFUNCTION("""COMPUTED_VALUE"""),43949.0)</f>
        <v>43949</v>
      </c>
    </row>
    <row r="155">
      <c r="A155" s="3">
        <f>IFERROR(__xludf.DUMMYFUNCTION("""COMPUTED_VALUE"""),36749.645833333336)</f>
        <v>36749.64583</v>
      </c>
      <c r="B155" s="2">
        <f>IFERROR(__xludf.DUMMYFUNCTION("""COMPUTED_VALUE"""),23.51)</f>
        <v>23.51</v>
      </c>
      <c r="C155" s="2">
        <f>IFERROR(__xludf.DUMMYFUNCTION("""COMPUTED_VALUE"""),24.44)</f>
        <v>24.44</v>
      </c>
      <c r="D155" s="2">
        <f>IFERROR(__xludf.DUMMYFUNCTION("""COMPUTED_VALUE"""),23.51)</f>
        <v>23.51</v>
      </c>
      <c r="E155" s="2">
        <f>IFERROR(__xludf.DUMMYFUNCTION("""COMPUTED_VALUE"""),24.22)</f>
        <v>24.22</v>
      </c>
      <c r="F155" s="2">
        <f>IFERROR(__xludf.DUMMYFUNCTION("""COMPUTED_VALUE"""),50662.0)</f>
        <v>50662</v>
      </c>
    </row>
    <row r="156">
      <c r="A156" s="3">
        <f>IFERROR(__xludf.DUMMYFUNCTION("""COMPUTED_VALUE"""),36752.645833333336)</f>
        <v>36752.64583</v>
      </c>
      <c r="B156" s="2">
        <f>IFERROR(__xludf.DUMMYFUNCTION("""COMPUTED_VALUE"""),24.21)</f>
        <v>24.21</v>
      </c>
      <c r="C156" s="2">
        <f>IFERROR(__xludf.DUMMYFUNCTION("""COMPUTED_VALUE"""),24.45)</f>
        <v>24.45</v>
      </c>
      <c r="D156" s="2">
        <f>IFERROR(__xludf.DUMMYFUNCTION("""COMPUTED_VALUE"""),24.13)</f>
        <v>24.13</v>
      </c>
      <c r="E156" s="2">
        <f>IFERROR(__xludf.DUMMYFUNCTION("""COMPUTED_VALUE"""),24.35)</f>
        <v>24.35</v>
      </c>
      <c r="F156" s="2">
        <f>IFERROR(__xludf.DUMMYFUNCTION("""COMPUTED_VALUE"""),55175.0)</f>
        <v>55175</v>
      </c>
    </row>
    <row r="157">
      <c r="A157" s="3">
        <f>IFERROR(__xludf.DUMMYFUNCTION("""COMPUTED_VALUE"""),36754.645833333336)</f>
        <v>36754.64583</v>
      </c>
      <c r="B157" s="2">
        <f>IFERROR(__xludf.DUMMYFUNCTION("""COMPUTED_VALUE"""),24.6)</f>
        <v>24.6</v>
      </c>
      <c r="C157" s="2">
        <f>IFERROR(__xludf.DUMMYFUNCTION("""COMPUTED_VALUE"""),24.75)</f>
        <v>24.75</v>
      </c>
      <c r="D157" s="2">
        <f>IFERROR(__xludf.DUMMYFUNCTION("""COMPUTED_VALUE"""),24.4)</f>
        <v>24.4</v>
      </c>
      <c r="E157" s="2">
        <f>IFERROR(__xludf.DUMMYFUNCTION("""COMPUTED_VALUE"""),24.6)</f>
        <v>24.6</v>
      </c>
      <c r="F157" s="2">
        <f>IFERROR(__xludf.DUMMYFUNCTION("""COMPUTED_VALUE"""),30975.0)</f>
        <v>30975</v>
      </c>
    </row>
    <row r="158">
      <c r="A158" s="3">
        <f>IFERROR(__xludf.DUMMYFUNCTION("""COMPUTED_VALUE"""),36755.645833333336)</f>
        <v>36755.64583</v>
      </c>
      <c r="B158" s="2">
        <f>IFERROR(__xludf.DUMMYFUNCTION("""COMPUTED_VALUE"""),24.47)</f>
        <v>24.47</v>
      </c>
      <c r="C158" s="2">
        <f>IFERROR(__xludf.DUMMYFUNCTION("""COMPUTED_VALUE"""),25.5)</f>
        <v>25.5</v>
      </c>
      <c r="D158" s="2">
        <f>IFERROR(__xludf.DUMMYFUNCTION("""COMPUTED_VALUE"""),24.47)</f>
        <v>24.47</v>
      </c>
      <c r="E158" s="2">
        <f>IFERROR(__xludf.DUMMYFUNCTION("""COMPUTED_VALUE"""),24.7)</f>
        <v>24.7</v>
      </c>
      <c r="F158" s="2">
        <f>IFERROR(__xludf.DUMMYFUNCTION("""COMPUTED_VALUE"""),118270.0)</f>
        <v>118270</v>
      </c>
    </row>
    <row r="159">
      <c r="A159" s="3">
        <f>IFERROR(__xludf.DUMMYFUNCTION("""COMPUTED_VALUE"""),36756.645833333336)</f>
        <v>36756.64583</v>
      </c>
      <c r="B159" s="2">
        <f>IFERROR(__xludf.DUMMYFUNCTION("""COMPUTED_VALUE"""),24.4)</f>
        <v>24.4</v>
      </c>
      <c r="C159" s="2">
        <f>IFERROR(__xludf.DUMMYFUNCTION("""COMPUTED_VALUE"""),24.4)</f>
        <v>24.4</v>
      </c>
      <c r="D159" s="2">
        <f>IFERROR(__xludf.DUMMYFUNCTION("""COMPUTED_VALUE"""),23.7)</f>
        <v>23.7</v>
      </c>
      <c r="E159" s="2">
        <f>IFERROR(__xludf.DUMMYFUNCTION("""COMPUTED_VALUE"""),23.96)</f>
        <v>23.96</v>
      </c>
      <c r="F159" s="2">
        <f>IFERROR(__xludf.DUMMYFUNCTION("""COMPUTED_VALUE"""),246231.0)</f>
        <v>246231</v>
      </c>
    </row>
    <row r="160">
      <c r="A160" s="3">
        <f>IFERROR(__xludf.DUMMYFUNCTION("""COMPUTED_VALUE"""),36759.645833333336)</f>
        <v>36759.64583</v>
      </c>
      <c r="B160" s="2">
        <f>IFERROR(__xludf.DUMMYFUNCTION("""COMPUTED_VALUE"""),23.51)</f>
        <v>23.51</v>
      </c>
      <c r="C160" s="2">
        <f>IFERROR(__xludf.DUMMYFUNCTION("""COMPUTED_VALUE"""),23.8)</f>
        <v>23.8</v>
      </c>
      <c r="D160" s="2">
        <f>IFERROR(__xludf.DUMMYFUNCTION("""COMPUTED_VALUE"""),22.63)</f>
        <v>22.63</v>
      </c>
      <c r="E160" s="2">
        <f>IFERROR(__xludf.DUMMYFUNCTION("""COMPUTED_VALUE"""),23.52)</f>
        <v>23.52</v>
      </c>
      <c r="F160" s="2">
        <f>IFERROR(__xludf.DUMMYFUNCTION("""COMPUTED_VALUE"""),280119.0)</f>
        <v>280119</v>
      </c>
    </row>
    <row r="161">
      <c r="A161" s="3">
        <f>IFERROR(__xludf.DUMMYFUNCTION("""COMPUTED_VALUE"""),36760.645833333336)</f>
        <v>36760.64583</v>
      </c>
      <c r="B161" s="2">
        <f>IFERROR(__xludf.DUMMYFUNCTION("""COMPUTED_VALUE"""),23.32)</f>
        <v>23.32</v>
      </c>
      <c r="C161" s="2">
        <f>IFERROR(__xludf.DUMMYFUNCTION("""COMPUTED_VALUE"""),23.32)</f>
        <v>23.32</v>
      </c>
      <c r="D161" s="2">
        <f>IFERROR(__xludf.DUMMYFUNCTION("""COMPUTED_VALUE"""),22.9)</f>
        <v>22.9</v>
      </c>
      <c r="E161" s="2">
        <f>IFERROR(__xludf.DUMMYFUNCTION("""COMPUTED_VALUE"""),23.05)</f>
        <v>23.05</v>
      </c>
      <c r="F161" s="2">
        <f>IFERROR(__xludf.DUMMYFUNCTION("""COMPUTED_VALUE"""),111177.0)</f>
        <v>111177</v>
      </c>
    </row>
    <row r="162">
      <c r="A162" s="3">
        <f>IFERROR(__xludf.DUMMYFUNCTION("""COMPUTED_VALUE"""),36761.645833333336)</f>
        <v>36761.64583</v>
      </c>
      <c r="B162" s="2">
        <f>IFERROR(__xludf.DUMMYFUNCTION("""COMPUTED_VALUE"""),24.3)</f>
        <v>24.3</v>
      </c>
      <c r="C162" s="2">
        <f>IFERROR(__xludf.DUMMYFUNCTION("""COMPUTED_VALUE"""),24.3)</f>
        <v>24.3</v>
      </c>
      <c r="D162" s="2">
        <f>IFERROR(__xludf.DUMMYFUNCTION("""COMPUTED_VALUE"""),23.1)</f>
        <v>23.1</v>
      </c>
      <c r="E162" s="2">
        <f>IFERROR(__xludf.DUMMYFUNCTION("""COMPUTED_VALUE"""),23.28)</f>
        <v>23.28</v>
      </c>
      <c r="F162" s="2">
        <f>IFERROR(__xludf.DUMMYFUNCTION("""COMPUTED_VALUE"""),107574.0)</f>
        <v>107574</v>
      </c>
    </row>
    <row r="163">
      <c r="A163" s="3">
        <f>IFERROR(__xludf.DUMMYFUNCTION("""COMPUTED_VALUE"""),36762.645833333336)</f>
        <v>36762.64583</v>
      </c>
      <c r="B163" s="2">
        <f>IFERROR(__xludf.DUMMYFUNCTION("""COMPUTED_VALUE"""),23.3)</f>
        <v>23.3</v>
      </c>
      <c r="C163" s="2">
        <f>IFERROR(__xludf.DUMMYFUNCTION("""COMPUTED_VALUE"""),23.38)</f>
        <v>23.38</v>
      </c>
      <c r="D163" s="2">
        <f>IFERROR(__xludf.DUMMYFUNCTION("""COMPUTED_VALUE"""),23.07)</f>
        <v>23.07</v>
      </c>
      <c r="E163" s="2">
        <f>IFERROR(__xludf.DUMMYFUNCTION("""COMPUTED_VALUE"""),23.16)</f>
        <v>23.16</v>
      </c>
      <c r="F163" s="2">
        <f>IFERROR(__xludf.DUMMYFUNCTION("""COMPUTED_VALUE"""),39067.0)</f>
        <v>39067</v>
      </c>
    </row>
    <row r="164">
      <c r="A164" s="3">
        <f>IFERROR(__xludf.DUMMYFUNCTION("""COMPUTED_VALUE"""),36763.645833333336)</f>
        <v>36763.64583</v>
      </c>
      <c r="B164" s="2">
        <f>IFERROR(__xludf.DUMMYFUNCTION("""COMPUTED_VALUE"""),23.01)</f>
        <v>23.01</v>
      </c>
      <c r="C164" s="2">
        <f>IFERROR(__xludf.DUMMYFUNCTION("""COMPUTED_VALUE"""),24.67)</f>
        <v>24.67</v>
      </c>
      <c r="D164" s="2">
        <f>IFERROR(__xludf.DUMMYFUNCTION("""COMPUTED_VALUE"""),23.01)</f>
        <v>23.01</v>
      </c>
      <c r="E164" s="2">
        <f>IFERROR(__xludf.DUMMYFUNCTION("""COMPUTED_VALUE"""),23.88)</f>
        <v>23.88</v>
      </c>
      <c r="F164" s="2">
        <f>IFERROR(__xludf.DUMMYFUNCTION("""COMPUTED_VALUE"""),231272.0)</f>
        <v>231272</v>
      </c>
    </row>
    <row r="165">
      <c r="A165" s="3">
        <f>IFERROR(__xludf.DUMMYFUNCTION("""COMPUTED_VALUE"""),36766.645833333336)</f>
        <v>36766.64583</v>
      </c>
      <c r="B165" s="2">
        <f>IFERROR(__xludf.DUMMYFUNCTION("""COMPUTED_VALUE"""),24.2)</f>
        <v>24.2</v>
      </c>
      <c r="C165" s="2">
        <f>IFERROR(__xludf.DUMMYFUNCTION("""COMPUTED_VALUE"""),24.2)</f>
        <v>24.2</v>
      </c>
      <c r="D165" s="2">
        <f>IFERROR(__xludf.DUMMYFUNCTION("""COMPUTED_VALUE"""),23.5)</f>
        <v>23.5</v>
      </c>
      <c r="E165" s="2">
        <f>IFERROR(__xludf.DUMMYFUNCTION("""COMPUTED_VALUE"""),23.52)</f>
        <v>23.52</v>
      </c>
      <c r="F165" s="2">
        <f>IFERROR(__xludf.DUMMYFUNCTION("""COMPUTED_VALUE"""),42923.0)</f>
        <v>42923</v>
      </c>
    </row>
    <row r="166">
      <c r="A166" s="3">
        <f>IFERROR(__xludf.DUMMYFUNCTION("""COMPUTED_VALUE"""),36767.645833333336)</f>
        <v>36767.64583</v>
      </c>
      <c r="B166" s="2">
        <f>IFERROR(__xludf.DUMMYFUNCTION("""COMPUTED_VALUE"""),23.4)</f>
        <v>23.4</v>
      </c>
      <c r="C166" s="2">
        <f>IFERROR(__xludf.DUMMYFUNCTION("""COMPUTED_VALUE"""),23.72)</f>
        <v>23.72</v>
      </c>
      <c r="D166" s="2">
        <f>IFERROR(__xludf.DUMMYFUNCTION("""COMPUTED_VALUE"""),23.1)</f>
        <v>23.1</v>
      </c>
      <c r="E166" s="2">
        <f>IFERROR(__xludf.DUMMYFUNCTION("""COMPUTED_VALUE"""),23.48)</f>
        <v>23.48</v>
      </c>
      <c r="F166" s="2">
        <f>IFERROR(__xludf.DUMMYFUNCTION("""COMPUTED_VALUE"""),93645.0)</f>
        <v>93645</v>
      </c>
    </row>
    <row r="167">
      <c r="A167" s="3">
        <f>IFERROR(__xludf.DUMMYFUNCTION("""COMPUTED_VALUE"""),36768.645833333336)</f>
        <v>36768.64583</v>
      </c>
      <c r="B167" s="2">
        <f>IFERROR(__xludf.DUMMYFUNCTION("""COMPUTED_VALUE"""),23.7)</f>
        <v>23.7</v>
      </c>
      <c r="C167" s="2">
        <f>IFERROR(__xludf.DUMMYFUNCTION("""COMPUTED_VALUE"""),23.98)</f>
        <v>23.98</v>
      </c>
      <c r="D167" s="2">
        <f>IFERROR(__xludf.DUMMYFUNCTION("""COMPUTED_VALUE"""),23.5)</f>
        <v>23.5</v>
      </c>
      <c r="E167" s="2">
        <f>IFERROR(__xludf.DUMMYFUNCTION("""COMPUTED_VALUE"""),23.59)</f>
        <v>23.59</v>
      </c>
      <c r="F167" s="2">
        <f>IFERROR(__xludf.DUMMYFUNCTION("""COMPUTED_VALUE"""),111317.0)</f>
        <v>111317</v>
      </c>
    </row>
    <row r="168">
      <c r="A168" s="3">
        <f>IFERROR(__xludf.DUMMYFUNCTION("""COMPUTED_VALUE"""),36769.645833333336)</f>
        <v>36769.64583</v>
      </c>
      <c r="B168" s="2">
        <f>IFERROR(__xludf.DUMMYFUNCTION("""COMPUTED_VALUE"""),23.44)</f>
        <v>23.44</v>
      </c>
      <c r="C168" s="2">
        <f>IFERROR(__xludf.DUMMYFUNCTION("""COMPUTED_VALUE"""),24.0)</f>
        <v>24</v>
      </c>
      <c r="D168" s="2">
        <f>IFERROR(__xludf.DUMMYFUNCTION("""COMPUTED_VALUE"""),23.44)</f>
        <v>23.44</v>
      </c>
      <c r="E168" s="2">
        <f>IFERROR(__xludf.DUMMYFUNCTION("""COMPUTED_VALUE"""),23.94)</f>
        <v>23.94</v>
      </c>
      <c r="F168" s="2">
        <f>IFERROR(__xludf.DUMMYFUNCTION("""COMPUTED_VALUE"""),43841.0)</f>
        <v>43841</v>
      </c>
    </row>
    <row r="169">
      <c r="A169" s="3">
        <f>IFERROR(__xludf.DUMMYFUNCTION("""COMPUTED_VALUE"""),36773.645833333336)</f>
        <v>36773.64583</v>
      </c>
      <c r="B169" s="2">
        <f>IFERROR(__xludf.DUMMYFUNCTION("""COMPUTED_VALUE"""),24.0)</f>
        <v>24</v>
      </c>
      <c r="C169" s="2">
        <f>IFERROR(__xludf.DUMMYFUNCTION("""COMPUTED_VALUE"""),24.3)</f>
        <v>24.3</v>
      </c>
      <c r="D169" s="2">
        <f>IFERROR(__xludf.DUMMYFUNCTION("""COMPUTED_VALUE"""),23.7)</f>
        <v>23.7</v>
      </c>
      <c r="E169" s="2">
        <f>IFERROR(__xludf.DUMMYFUNCTION("""COMPUTED_VALUE"""),23.85)</f>
        <v>23.85</v>
      </c>
      <c r="F169" s="2">
        <f>IFERROR(__xludf.DUMMYFUNCTION("""COMPUTED_VALUE"""),48180.0)</f>
        <v>48180</v>
      </c>
    </row>
    <row r="170">
      <c r="A170" s="3">
        <f>IFERROR(__xludf.DUMMYFUNCTION("""COMPUTED_VALUE"""),36774.645833333336)</f>
        <v>36774.64583</v>
      </c>
      <c r="B170" s="2">
        <f>IFERROR(__xludf.DUMMYFUNCTION("""COMPUTED_VALUE"""),23.71)</f>
        <v>23.71</v>
      </c>
      <c r="C170" s="2">
        <f>IFERROR(__xludf.DUMMYFUNCTION("""COMPUTED_VALUE"""),24.5)</f>
        <v>24.5</v>
      </c>
      <c r="D170" s="2">
        <f>IFERROR(__xludf.DUMMYFUNCTION("""COMPUTED_VALUE"""),23.7)</f>
        <v>23.7</v>
      </c>
      <c r="E170" s="2">
        <f>IFERROR(__xludf.DUMMYFUNCTION("""COMPUTED_VALUE"""),23.93)</f>
        <v>23.93</v>
      </c>
      <c r="F170" s="2">
        <f>IFERROR(__xludf.DUMMYFUNCTION("""COMPUTED_VALUE"""),86969.0)</f>
        <v>86969</v>
      </c>
    </row>
    <row r="171">
      <c r="A171" s="3">
        <f>IFERROR(__xludf.DUMMYFUNCTION("""COMPUTED_VALUE"""),36775.645833333336)</f>
        <v>36775.64583</v>
      </c>
      <c r="B171" s="2">
        <f>IFERROR(__xludf.DUMMYFUNCTION("""COMPUTED_VALUE"""),24.0)</f>
        <v>24</v>
      </c>
      <c r="C171" s="2">
        <f>IFERROR(__xludf.DUMMYFUNCTION("""COMPUTED_VALUE"""),24.9)</f>
        <v>24.9</v>
      </c>
      <c r="D171" s="2">
        <f>IFERROR(__xludf.DUMMYFUNCTION("""COMPUTED_VALUE"""),24.0)</f>
        <v>24</v>
      </c>
      <c r="E171" s="2">
        <f>IFERROR(__xludf.DUMMYFUNCTION("""COMPUTED_VALUE"""),24.26)</f>
        <v>24.26</v>
      </c>
      <c r="F171" s="2">
        <f>IFERROR(__xludf.DUMMYFUNCTION("""COMPUTED_VALUE"""),109195.0)</f>
        <v>109195</v>
      </c>
    </row>
    <row r="172">
      <c r="A172" s="3">
        <f>IFERROR(__xludf.DUMMYFUNCTION("""COMPUTED_VALUE"""),36776.645833333336)</f>
        <v>36776.64583</v>
      </c>
      <c r="B172" s="2">
        <f>IFERROR(__xludf.DUMMYFUNCTION("""COMPUTED_VALUE"""),23.89)</f>
        <v>23.89</v>
      </c>
      <c r="C172" s="2">
        <f>IFERROR(__xludf.DUMMYFUNCTION("""COMPUTED_VALUE"""),24.5)</f>
        <v>24.5</v>
      </c>
      <c r="D172" s="2">
        <f>IFERROR(__xludf.DUMMYFUNCTION("""COMPUTED_VALUE"""),23.89)</f>
        <v>23.89</v>
      </c>
      <c r="E172" s="2">
        <f>IFERROR(__xludf.DUMMYFUNCTION("""COMPUTED_VALUE"""),24.01)</f>
        <v>24.01</v>
      </c>
      <c r="F172" s="2">
        <f>IFERROR(__xludf.DUMMYFUNCTION("""COMPUTED_VALUE"""),69755.0)</f>
        <v>69755</v>
      </c>
    </row>
    <row r="173">
      <c r="A173" s="3">
        <f>IFERROR(__xludf.DUMMYFUNCTION("""COMPUTED_VALUE"""),36777.645833333336)</f>
        <v>36777.64583</v>
      </c>
      <c r="B173" s="2">
        <f>IFERROR(__xludf.DUMMYFUNCTION("""COMPUTED_VALUE"""),23.81)</f>
        <v>23.81</v>
      </c>
      <c r="C173" s="2">
        <f>IFERROR(__xludf.DUMMYFUNCTION("""COMPUTED_VALUE"""),24.4)</f>
        <v>24.4</v>
      </c>
      <c r="D173" s="2">
        <f>IFERROR(__xludf.DUMMYFUNCTION("""COMPUTED_VALUE"""),23.81)</f>
        <v>23.81</v>
      </c>
      <c r="E173" s="2">
        <f>IFERROR(__xludf.DUMMYFUNCTION("""COMPUTED_VALUE"""),23.86)</f>
        <v>23.86</v>
      </c>
      <c r="F173" s="2">
        <f>IFERROR(__xludf.DUMMYFUNCTION("""COMPUTED_VALUE"""),66476.0)</f>
        <v>66476</v>
      </c>
    </row>
    <row r="174">
      <c r="A174" s="3">
        <f>IFERROR(__xludf.DUMMYFUNCTION("""COMPUTED_VALUE"""),36780.645833333336)</f>
        <v>36780.64583</v>
      </c>
      <c r="B174" s="2">
        <f>IFERROR(__xludf.DUMMYFUNCTION("""COMPUTED_VALUE"""),23.9)</f>
        <v>23.9</v>
      </c>
      <c r="C174" s="2">
        <f>IFERROR(__xludf.DUMMYFUNCTION("""COMPUTED_VALUE"""),24.2)</f>
        <v>24.2</v>
      </c>
      <c r="D174" s="2">
        <f>IFERROR(__xludf.DUMMYFUNCTION("""COMPUTED_VALUE"""),23.9)</f>
        <v>23.9</v>
      </c>
      <c r="E174" s="2">
        <f>IFERROR(__xludf.DUMMYFUNCTION("""COMPUTED_VALUE"""),24.01)</f>
        <v>24.01</v>
      </c>
      <c r="F174" s="2">
        <f>IFERROR(__xludf.DUMMYFUNCTION("""COMPUTED_VALUE"""),67366.0)</f>
        <v>67366</v>
      </c>
    </row>
    <row r="175">
      <c r="A175" s="3">
        <f>IFERROR(__xludf.DUMMYFUNCTION("""COMPUTED_VALUE"""),36781.645833333336)</f>
        <v>36781.64583</v>
      </c>
      <c r="B175" s="2">
        <f>IFERROR(__xludf.DUMMYFUNCTION("""COMPUTED_VALUE"""),23.91)</f>
        <v>23.91</v>
      </c>
      <c r="C175" s="2">
        <f>IFERROR(__xludf.DUMMYFUNCTION("""COMPUTED_VALUE"""),23.98)</f>
        <v>23.98</v>
      </c>
      <c r="D175" s="2">
        <f>IFERROR(__xludf.DUMMYFUNCTION("""COMPUTED_VALUE"""),23.55)</f>
        <v>23.55</v>
      </c>
      <c r="E175" s="2">
        <f>IFERROR(__xludf.DUMMYFUNCTION("""COMPUTED_VALUE"""),23.63)</f>
        <v>23.63</v>
      </c>
      <c r="F175" s="2">
        <f>IFERROR(__xludf.DUMMYFUNCTION("""COMPUTED_VALUE"""),93085.0)</f>
        <v>93085</v>
      </c>
    </row>
    <row r="176">
      <c r="A176" s="3">
        <f>IFERROR(__xludf.DUMMYFUNCTION("""COMPUTED_VALUE"""),36782.645833333336)</f>
        <v>36782.64583</v>
      </c>
      <c r="B176" s="2">
        <f>IFERROR(__xludf.DUMMYFUNCTION("""COMPUTED_VALUE"""),23.8)</f>
        <v>23.8</v>
      </c>
      <c r="C176" s="2">
        <f>IFERROR(__xludf.DUMMYFUNCTION("""COMPUTED_VALUE"""),23.85)</f>
        <v>23.85</v>
      </c>
      <c r="D176" s="2">
        <f>IFERROR(__xludf.DUMMYFUNCTION("""COMPUTED_VALUE"""),23.51)</f>
        <v>23.51</v>
      </c>
      <c r="E176" s="2">
        <f>IFERROR(__xludf.DUMMYFUNCTION("""COMPUTED_VALUE"""),23.59)</f>
        <v>23.59</v>
      </c>
      <c r="F176" s="2">
        <f>IFERROR(__xludf.DUMMYFUNCTION("""COMPUTED_VALUE"""),47302.0)</f>
        <v>47302</v>
      </c>
    </row>
    <row r="177">
      <c r="A177" s="3">
        <f>IFERROR(__xludf.DUMMYFUNCTION("""COMPUTED_VALUE"""),36783.645833333336)</f>
        <v>36783.64583</v>
      </c>
      <c r="B177" s="2">
        <f>IFERROR(__xludf.DUMMYFUNCTION("""COMPUTED_VALUE"""),23.31)</f>
        <v>23.31</v>
      </c>
      <c r="C177" s="2">
        <f>IFERROR(__xludf.DUMMYFUNCTION("""COMPUTED_VALUE"""),23.63)</f>
        <v>23.63</v>
      </c>
      <c r="D177" s="2">
        <f>IFERROR(__xludf.DUMMYFUNCTION("""COMPUTED_VALUE"""),23.2)</f>
        <v>23.2</v>
      </c>
      <c r="E177" s="2">
        <f>IFERROR(__xludf.DUMMYFUNCTION("""COMPUTED_VALUE"""),23.25)</f>
        <v>23.25</v>
      </c>
      <c r="F177" s="2">
        <f>IFERROR(__xludf.DUMMYFUNCTION("""COMPUTED_VALUE"""),92475.0)</f>
        <v>92475</v>
      </c>
    </row>
    <row r="178">
      <c r="A178" s="3">
        <f>IFERROR(__xludf.DUMMYFUNCTION("""COMPUTED_VALUE"""),36784.645833333336)</f>
        <v>36784.64583</v>
      </c>
      <c r="B178" s="2">
        <f>IFERROR(__xludf.DUMMYFUNCTION("""COMPUTED_VALUE"""),23.11)</f>
        <v>23.11</v>
      </c>
      <c r="C178" s="2">
        <f>IFERROR(__xludf.DUMMYFUNCTION("""COMPUTED_VALUE"""),23.11)</f>
        <v>23.11</v>
      </c>
      <c r="D178" s="2">
        <f>IFERROR(__xludf.DUMMYFUNCTION("""COMPUTED_VALUE"""),22.35)</f>
        <v>22.35</v>
      </c>
      <c r="E178" s="2">
        <f>IFERROR(__xludf.DUMMYFUNCTION("""COMPUTED_VALUE"""),22.77)</f>
        <v>22.77</v>
      </c>
      <c r="F178" s="2">
        <f>IFERROR(__xludf.DUMMYFUNCTION("""COMPUTED_VALUE"""),183906.0)</f>
        <v>183906</v>
      </c>
    </row>
    <row r="179">
      <c r="A179" s="3">
        <f>IFERROR(__xludf.DUMMYFUNCTION("""COMPUTED_VALUE"""),36787.645833333336)</f>
        <v>36787.64583</v>
      </c>
      <c r="B179" s="2">
        <f>IFERROR(__xludf.DUMMYFUNCTION("""COMPUTED_VALUE"""),22.5)</f>
        <v>22.5</v>
      </c>
      <c r="C179" s="2">
        <f>IFERROR(__xludf.DUMMYFUNCTION("""COMPUTED_VALUE"""),22.5)</f>
        <v>22.5</v>
      </c>
      <c r="D179" s="2">
        <f>IFERROR(__xludf.DUMMYFUNCTION("""COMPUTED_VALUE"""),19.7)</f>
        <v>19.7</v>
      </c>
      <c r="E179" s="2">
        <f>IFERROR(__xludf.DUMMYFUNCTION("""COMPUTED_VALUE"""),20.94)</f>
        <v>20.94</v>
      </c>
      <c r="F179" s="2">
        <f>IFERROR(__xludf.DUMMYFUNCTION("""COMPUTED_VALUE"""),409436.0)</f>
        <v>409436</v>
      </c>
    </row>
    <row r="180">
      <c r="A180" s="3">
        <f>IFERROR(__xludf.DUMMYFUNCTION("""COMPUTED_VALUE"""),36788.645833333336)</f>
        <v>36788.64583</v>
      </c>
      <c r="B180" s="2">
        <f>IFERROR(__xludf.DUMMYFUNCTION("""COMPUTED_VALUE"""),20.65)</f>
        <v>20.65</v>
      </c>
      <c r="C180" s="2">
        <f>IFERROR(__xludf.DUMMYFUNCTION("""COMPUTED_VALUE"""),23.5)</f>
        <v>23.5</v>
      </c>
      <c r="D180" s="2">
        <f>IFERROR(__xludf.DUMMYFUNCTION("""COMPUTED_VALUE"""),19.81)</f>
        <v>19.81</v>
      </c>
      <c r="E180" s="2">
        <f>IFERROR(__xludf.DUMMYFUNCTION("""COMPUTED_VALUE"""),23.04)</f>
        <v>23.04</v>
      </c>
      <c r="F180" s="2">
        <f>IFERROR(__xludf.DUMMYFUNCTION("""COMPUTED_VALUE"""),339135.0)</f>
        <v>339135</v>
      </c>
    </row>
    <row r="181">
      <c r="A181" s="3">
        <f>IFERROR(__xludf.DUMMYFUNCTION("""COMPUTED_VALUE"""),36789.645833333336)</f>
        <v>36789.64583</v>
      </c>
      <c r="B181" s="2">
        <f>IFERROR(__xludf.DUMMYFUNCTION("""COMPUTED_VALUE"""),23.4)</f>
        <v>23.4</v>
      </c>
      <c r="C181" s="2">
        <f>IFERROR(__xludf.DUMMYFUNCTION("""COMPUTED_VALUE"""),23.6)</f>
        <v>23.6</v>
      </c>
      <c r="D181" s="2">
        <f>IFERROR(__xludf.DUMMYFUNCTION("""COMPUTED_VALUE"""),22.01)</f>
        <v>22.01</v>
      </c>
      <c r="E181" s="2">
        <f>IFERROR(__xludf.DUMMYFUNCTION("""COMPUTED_VALUE"""),22.51)</f>
        <v>22.51</v>
      </c>
      <c r="F181" s="2">
        <f>IFERROR(__xludf.DUMMYFUNCTION("""COMPUTED_VALUE"""),134233.0)</f>
        <v>134233</v>
      </c>
    </row>
    <row r="182">
      <c r="A182" s="3">
        <f>IFERROR(__xludf.DUMMYFUNCTION("""COMPUTED_VALUE"""),36790.645833333336)</f>
        <v>36790.64583</v>
      </c>
      <c r="B182" s="2">
        <f>IFERROR(__xludf.DUMMYFUNCTION("""COMPUTED_VALUE"""),22.5)</f>
        <v>22.5</v>
      </c>
      <c r="C182" s="2">
        <f>IFERROR(__xludf.DUMMYFUNCTION("""COMPUTED_VALUE"""),22.63)</f>
        <v>22.63</v>
      </c>
      <c r="D182" s="2">
        <f>IFERROR(__xludf.DUMMYFUNCTION("""COMPUTED_VALUE"""),22.01)</f>
        <v>22.01</v>
      </c>
      <c r="E182" s="2">
        <f>IFERROR(__xludf.DUMMYFUNCTION("""COMPUTED_VALUE"""),22.41)</f>
        <v>22.41</v>
      </c>
      <c r="F182" s="2">
        <f>IFERROR(__xludf.DUMMYFUNCTION("""COMPUTED_VALUE"""),78879.0)</f>
        <v>78879</v>
      </c>
    </row>
    <row r="183">
      <c r="A183" s="3">
        <f>IFERROR(__xludf.DUMMYFUNCTION("""COMPUTED_VALUE"""),36791.645833333336)</f>
        <v>36791.64583</v>
      </c>
      <c r="B183" s="2">
        <f>IFERROR(__xludf.DUMMYFUNCTION("""COMPUTED_VALUE"""),22.01)</f>
        <v>22.01</v>
      </c>
      <c r="C183" s="2">
        <f>IFERROR(__xludf.DUMMYFUNCTION("""COMPUTED_VALUE"""),22.29)</f>
        <v>22.29</v>
      </c>
      <c r="D183" s="2">
        <f>IFERROR(__xludf.DUMMYFUNCTION("""COMPUTED_VALUE"""),21.5)</f>
        <v>21.5</v>
      </c>
      <c r="E183" s="2">
        <f>IFERROR(__xludf.DUMMYFUNCTION("""COMPUTED_VALUE"""),21.69)</f>
        <v>21.69</v>
      </c>
      <c r="F183" s="2">
        <f>IFERROR(__xludf.DUMMYFUNCTION("""COMPUTED_VALUE"""),141324.0)</f>
        <v>141324</v>
      </c>
    </row>
    <row r="184">
      <c r="A184" s="3">
        <f>IFERROR(__xludf.DUMMYFUNCTION("""COMPUTED_VALUE"""),36794.645833333336)</f>
        <v>36794.64583</v>
      </c>
      <c r="B184" s="2">
        <f>IFERROR(__xludf.DUMMYFUNCTION("""COMPUTED_VALUE"""),22.0)</f>
        <v>22</v>
      </c>
      <c r="C184" s="2">
        <f>IFERROR(__xludf.DUMMYFUNCTION("""COMPUTED_VALUE"""),22.43)</f>
        <v>22.43</v>
      </c>
      <c r="D184" s="2">
        <f>IFERROR(__xludf.DUMMYFUNCTION("""COMPUTED_VALUE"""),21.56)</f>
        <v>21.56</v>
      </c>
      <c r="E184" s="2">
        <f>IFERROR(__xludf.DUMMYFUNCTION("""COMPUTED_VALUE"""),22.38)</f>
        <v>22.38</v>
      </c>
      <c r="F184" s="2">
        <f>IFERROR(__xludf.DUMMYFUNCTION("""COMPUTED_VALUE"""),68289.0)</f>
        <v>68289</v>
      </c>
    </row>
    <row r="185">
      <c r="A185" s="3">
        <f>IFERROR(__xludf.DUMMYFUNCTION("""COMPUTED_VALUE"""),36795.645833333336)</f>
        <v>36795.64583</v>
      </c>
      <c r="B185" s="2">
        <f>IFERROR(__xludf.DUMMYFUNCTION("""COMPUTED_VALUE"""),22.2)</f>
        <v>22.2</v>
      </c>
      <c r="C185" s="2">
        <f>IFERROR(__xludf.DUMMYFUNCTION("""COMPUTED_VALUE"""),22.4)</f>
        <v>22.4</v>
      </c>
      <c r="D185" s="2">
        <f>IFERROR(__xludf.DUMMYFUNCTION("""COMPUTED_VALUE"""),22.03)</f>
        <v>22.03</v>
      </c>
      <c r="E185" s="2">
        <f>IFERROR(__xludf.DUMMYFUNCTION("""COMPUTED_VALUE"""),22.24)</f>
        <v>22.24</v>
      </c>
      <c r="F185" s="2">
        <f>IFERROR(__xludf.DUMMYFUNCTION("""COMPUTED_VALUE"""),91082.0)</f>
        <v>91082</v>
      </c>
    </row>
    <row r="186">
      <c r="A186" s="3">
        <f>IFERROR(__xludf.DUMMYFUNCTION("""COMPUTED_VALUE"""),36796.645833333336)</f>
        <v>36796.64583</v>
      </c>
      <c r="B186" s="2">
        <f>IFERROR(__xludf.DUMMYFUNCTION("""COMPUTED_VALUE"""),22.0)</f>
        <v>22</v>
      </c>
      <c r="C186" s="2">
        <f>IFERROR(__xludf.DUMMYFUNCTION("""COMPUTED_VALUE"""),22.74)</f>
        <v>22.74</v>
      </c>
      <c r="D186" s="2">
        <f>IFERROR(__xludf.DUMMYFUNCTION("""COMPUTED_VALUE"""),21.8)</f>
        <v>21.8</v>
      </c>
      <c r="E186" s="2">
        <f>IFERROR(__xludf.DUMMYFUNCTION("""COMPUTED_VALUE"""),22.67)</f>
        <v>22.67</v>
      </c>
      <c r="F186" s="2">
        <f>IFERROR(__xludf.DUMMYFUNCTION("""COMPUTED_VALUE"""),61641.0)</f>
        <v>61641</v>
      </c>
    </row>
    <row r="187">
      <c r="A187" s="3">
        <f>IFERROR(__xludf.DUMMYFUNCTION("""COMPUTED_VALUE"""),36797.645833333336)</f>
        <v>36797.64583</v>
      </c>
      <c r="B187" s="2">
        <f>IFERROR(__xludf.DUMMYFUNCTION("""COMPUTED_VALUE"""),22.74)</f>
        <v>22.74</v>
      </c>
      <c r="C187" s="2">
        <f>IFERROR(__xludf.DUMMYFUNCTION("""COMPUTED_VALUE"""),22.8)</f>
        <v>22.8</v>
      </c>
      <c r="D187" s="2">
        <f>IFERROR(__xludf.DUMMYFUNCTION("""COMPUTED_VALUE"""),22.0)</f>
        <v>22</v>
      </c>
      <c r="E187" s="2">
        <f>IFERROR(__xludf.DUMMYFUNCTION("""COMPUTED_VALUE"""),22.39)</f>
        <v>22.39</v>
      </c>
      <c r="F187" s="2">
        <f>IFERROR(__xludf.DUMMYFUNCTION("""COMPUTED_VALUE"""),123104.0)</f>
        <v>123104</v>
      </c>
    </row>
    <row r="188">
      <c r="A188" s="3">
        <f>IFERROR(__xludf.DUMMYFUNCTION("""COMPUTED_VALUE"""),36798.645833333336)</f>
        <v>36798.64583</v>
      </c>
      <c r="B188" s="2">
        <f>IFERROR(__xludf.DUMMYFUNCTION("""COMPUTED_VALUE"""),22.8)</f>
        <v>22.8</v>
      </c>
      <c r="C188" s="2">
        <f>IFERROR(__xludf.DUMMYFUNCTION("""COMPUTED_VALUE"""),24.05)</f>
        <v>24.05</v>
      </c>
      <c r="D188" s="2">
        <f>IFERROR(__xludf.DUMMYFUNCTION("""COMPUTED_VALUE"""),22.27)</f>
        <v>22.27</v>
      </c>
      <c r="E188" s="2">
        <f>IFERROR(__xludf.DUMMYFUNCTION("""COMPUTED_VALUE"""),23.43)</f>
        <v>23.43</v>
      </c>
      <c r="F188" s="2">
        <f>IFERROR(__xludf.DUMMYFUNCTION("""COMPUTED_VALUE"""),161248.0)</f>
        <v>161248</v>
      </c>
    </row>
    <row r="189">
      <c r="A189" s="3">
        <f>IFERROR(__xludf.DUMMYFUNCTION("""COMPUTED_VALUE"""),36802.645833333336)</f>
        <v>36802.64583</v>
      </c>
      <c r="B189" s="2">
        <f>IFERROR(__xludf.DUMMYFUNCTION("""COMPUTED_VALUE"""),23.4)</f>
        <v>23.4</v>
      </c>
      <c r="C189" s="2">
        <f>IFERROR(__xludf.DUMMYFUNCTION("""COMPUTED_VALUE"""),24.0)</f>
        <v>24</v>
      </c>
      <c r="D189" s="2">
        <f>IFERROR(__xludf.DUMMYFUNCTION("""COMPUTED_VALUE"""),23.0)</f>
        <v>23</v>
      </c>
      <c r="E189" s="2">
        <f>IFERROR(__xludf.DUMMYFUNCTION("""COMPUTED_VALUE"""),23.93)</f>
        <v>23.93</v>
      </c>
      <c r="F189" s="2">
        <f>IFERROR(__xludf.DUMMYFUNCTION("""COMPUTED_VALUE"""),101584.0)</f>
        <v>101584</v>
      </c>
    </row>
    <row r="190">
      <c r="A190" s="3">
        <f>IFERROR(__xludf.DUMMYFUNCTION("""COMPUTED_VALUE"""),36803.645833333336)</f>
        <v>36803.64583</v>
      </c>
      <c r="B190" s="2">
        <f>IFERROR(__xludf.DUMMYFUNCTION("""COMPUTED_VALUE"""),24.0)</f>
        <v>24</v>
      </c>
      <c r="C190" s="2">
        <f>IFERROR(__xludf.DUMMYFUNCTION("""COMPUTED_VALUE"""),24.0)</f>
        <v>24</v>
      </c>
      <c r="D190" s="2">
        <f>IFERROR(__xludf.DUMMYFUNCTION("""COMPUTED_VALUE"""),23.21)</f>
        <v>23.21</v>
      </c>
      <c r="E190" s="2">
        <f>IFERROR(__xludf.DUMMYFUNCTION("""COMPUTED_VALUE"""),23.61)</f>
        <v>23.61</v>
      </c>
      <c r="F190" s="2">
        <f>IFERROR(__xludf.DUMMYFUNCTION("""COMPUTED_VALUE"""),53843.0)</f>
        <v>53843</v>
      </c>
    </row>
    <row r="191">
      <c r="A191" s="3">
        <f>IFERROR(__xludf.DUMMYFUNCTION("""COMPUTED_VALUE"""),36804.645833333336)</f>
        <v>36804.64583</v>
      </c>
      <c r="B191" s="2">
        <f>IFERROR(__xludf.DUMMYFUNCTION("""COMPUTED_VALUE"""),23.6)</f>
        <v>23.6</v>
      </c>
      <c r="C191" s="2">
        <f>IFERROR(__xludf.DUMMYFUNCTION("""COMPUTED_VALUE"""),23.75)</f>
        <v>23.75</v>
      </c>
      <c r="D191" s="2">
        <f>IFERROR(__xludf.DUMMYFUNCTION("""COMPUTED_VALUE"""),23.21)</f>
        <v>23.21</v>
      </c>
      <c r="E191" s="2">
        <f>IFERROR(__xludf.DUMMYFUNCTION("""COMPUTED_VALUE"""),23.47)</f>
        <v>23.47</v>
      </c>
      <c r="F191" s="2">
        <f>IFERROR(__xludf.DUMMYFUNCTION("""COMPUTED_VALUE"""),53402.0)</f>
        <v>53402</v>
      </c>
    </row>
    <row r="192">
      <c r="A192" s="3">
        <f>IFERROR(__xludf.DUMMYFUNCTION("""COMPUTED_VALUE"""),36805.645833333336)</f>
        <v>36805.64583</v>
      </c>
      <c r="B192" s="2">
        <f>IFERROR(__xludf.DUMMYFUNCTION("""COMPUTED_VALUE"""),23.52)</f>
        <v>23.52</v>
      </c>
      <c r="C192" s="2">
        <f>IFERROR(__xludf.DUMMYFUNCTION("""COMPUTED_VALUE"""),24.8)</f>
        <v>24.8</v>
      </c>
      <c r="D192" s="2">
        <f>IFERROR(__xludf.DUMMYFUNCTION("""COMPUTED_VALUE"""),22.2)</f>
        <v>22.2</v>
      </c>
      <c r="E192" s="2">
        <f>IFERROR(__xludf.DUMMYFUNCTION("""COMPUTED_VALUE"""),24.44)</f>
        <v>24.44</v>
      </c>
      <c r="F192" s="2">
        <f>IFERROR(__xludf.DUMMYFUNCTION("""COMPUTED_VALUE"""),416598.0)</f>
        <v>416598</v>
      </c>
    </row>
    <row r="193">
      <c r="A193" s="3">
        <f>IFERROR(__xludf.DUMMYFUNCTION("""COMPUTED_VALUE"""),36808.645833333336)</f>
        <v>36808.64583</v>
      </c>
      <c r="B193" s="2">
        <f>IFERROR(__xludf.DUMMYFUNCTION("""COMPUTED_VALUE"""),24.02)</f>
        <v>24.02</v>
      </c>
      <c r="C193" s="2">
        <f>IFERROR(__xludf.DUMMYFUNCTION("""COMPUTED_VALUE"""),24.6)</f>
        <v>24.6</v>
      </c>
      <c r="D193" s="2">
        <f>IFERROR(__xludf.DUMMYFUNCTION("""COMPUTED_VALUE"""),23.8)</f>
        <v>23.8</v>
      </c>
      <c r="E193" s="2">
        <f>IFERROR(__xludf.DUMMYFUNCTION("""COMPUTED_VALUE"""),24.32)</f>
        <v>24.32</v>
      </c>
      <c r="F193" s="2">
        <f>IFERROR(__xludf.DUMMYFUNCTION("""COMPUTED_VALUE"""),170268.0)</f>
        <v>170268</v>
      </c>
    </row>
    <row r="194">
      <c r="A194" s="3">
        <f>IFERROR(__xludf.DUMMYFUNCTION("""COMPUTED_VALUE"""),36809.645833333336)</f>
        <v>36809.64583</v>
      </c>
      <c r="B194" s="2">
        <f>IFERROR(__xludf.DUMMYFUNCTION("""COMPUTED_VALUE"""),23.8)</f>
        <v>23.8</v>
      </c>
      <c r="C194" s="2">
        <f>IFERROR(__xludf.DUMMYFUNCTION("""COMPUTED_VALUE"""),24.49)</f>
        <v>24.49</v>
      </c>
      <c r="D194" s="2">
        <f>IFERROR(__xludf.DUMMYFUNCTION("""COMPUTED_VALUE"""),23.55)</f>
        <v>23.55</v>
      </c>
      <c r="E194" s="2">
        <f>IFERROR(__xludf.DUMMYFUNCTION("""COMPUTED_VALUE"""),23.91)</f>
        <v>23.91</v>
      </c>
      <c r="F194" s="2">
        <f>IFERROR(__xludf.DUMMYFUNCTION("""COMPUTED_VALUE"""),159761.0)</f>
        <v>159761</v>
      </c>
    </row>
    <row r="195">
      <c r="A195" s="3">
        <f>IFERROR(__xludf.DUMMYFUNCTION("""COMPUTED_VALUE"""),36810.645833333336)</f>
        <v>36810.64583</v>
      </c>
      <c r="B195" s="2">
        <f>IFERROR(__xludf.DUMMYFUNCTION("""COMPUTED_VALUE"""),23.59)</f>
        <v>23.59</v>
      </c>
      <c r="C195" s="2">
        <f>IFERROR(__xludf.DUMMYFUNCTION("""COMPUTED_VALUE"""),23.9)</f>
        <v>23.9</v>
      </c>
      <c r="D195" s="2">
        <f>IFERROR(__xludf.DUMMYFUNCTION("""COMPUTED_VALUE"""),22.93)</f>
        <v>22.93</v>
      </c>
      <c r="E195" s="2">
        <f>IFERROR(__xludf.DUMMYFUNCTION("""COMPUTED_VALUE"""),23.67)</f>
        <v>23.67</v>
      </c>
      <c r="F195" s="2">
        <f>IFERROR(__xludf.DUMMYFUNCTION("""COMPUTED_VALUE"""),152700.0)</f>
        <v>152700</v>
      </c>
    </row>
    <row r="196">
      <c r="A196" s="3">
        <f>IFERROR(__xludf.DUMMYFUNCTION("""COMPUTED_VALUE"""),36811.645833333336)</f>
        <v>36811.64583</v>
      </c>
      <c r="B196" s="2">
        <f>IFERROR(__xludf.DUMMYFUNCTION("""COMPUTED_VALUE"""),23.51)</f>
        <v>23.51</v>
      </c>
      <c r="C196" s="2">
        <f>IFERROR(__xludf.DUMMYFUNCTION("""COMPUTED_VALUE"""),23.75)</f>
        <v>23.75</v>
      </c>
      <c r="D196" s="2">
        <f>IFERROR(__xludf.DUMMYFUNCTION("""COMPUTED_VALUE"""),23.31)</f>
        <v>23.31</v>
      </c>
      <c r="E196" s="2">
        <f>IFERROR(__xludf.DUMMYFUNCTION("""COMPUTED_VALUE"""),23.65)</f>
        <v>23.65</v>
      </c>
      <c r="F196" s="2">
        <f>IFERROR(__xludf.DUMMYFUNCTION("""COMPUTED_VALUE"""),53532.0)</f>
        <v>53532</v>
      </c>
    </row>
    <row r="197">
      <c r="A197" s="3">
        <f>IFERROR(__xludf.DUMMYFUNCTION("""COMPUTED_VALUE"""),36812.645833333336)</f>
        <v>36812.64583</v>
      </c>
      <c r="B197" s="2">
        <f>IFERROR(__xludf.DUMMYFUNCTION("""COMPUTED_VALUE"""),23.3)</f>
        <v>23.3</v>
      </c>
      <c r="C197" s="2">
        <f>IFERROR(__xludf.DUMMYFUNCTION("""COMPUTED_VALUE"""),23.78)</f>
        <v>23.78</v>
      </c>
      <c r="D197" s="2">
        <f>IFERROR(__xludf.DUMMYFUNCTION("""COMPUTED_VALUE"""),23.11)</f>
        <v>23.11</v>
      </c>
      <c r="E197" s="2">
        <f>IFERROR(__xludf.DUMMYFUNCTION("""COMPUTED_VALUE"""),23.65)</f>
        <v>23.65</v>
      </c>
      <c r="F197" s="2">
        <f>IFERROR(__xludf.DUMMYFUNCTION("""COMPUTED_VALUE"""),85865.0)</f>
        <v>85865</v>
      </c>
    </row>
    <row r="198">
      <c r="A198" s="3">
        <f>IFERROR(__xludf.DUMMYFUNCTION("""COMPUTED_VALUE"""),36815.645833333336)</f>
        <v>36815.64583</v>
      </c>
      <c r="B198" s="2">
        <f>IFERROR(__xludf.DUMMYFUNCTION("""COMPUTED_VALUE"""),24.1)</f>
        <v>24.1</v>
      </c>
      <c r="C198" s="2">
        <f>IFERROR(__xludf.DUMMYFUNCTION("""COMPUTED_VALUE"""),24.45)</f>
        <v>24.45</v>
      </c>
      <c r="D198" s="2">
        <f>IFERROR(__xludf.DUMMYFUNCTION("""COMPUTED_VALUE"""),23.06)</f>
        <v>23.06</v>
      </c>
      <c r="E198" s="2">
        <f>IFERROR(__xludf.DUMMYFUNCTION("""COMPUTED_VALUE"""),23.69)</f>
        <v>23.69</v>
      </c>
      <c r="F198" s="2">
        <f>IFERROR(__xludf.DUMMYFUNCTION("""COMPUTED_VALUE"""),167268.0)</f>
        <v>167268</v>
      </c>
    </row>
    <row r="199">
      <c r="A199" s="3">
        <f>IFERROR(__xludf.DUMMYFUNCTION("""COMPUTED_VALUE"""),36816.645833333336)</f>
        <v>36816.64583</v>
      </c>
      <c r="B199" s="2">
        <f>IFERROR(__xludf.DUMMYFUNCTION("""COMPUTED_VALUE"""),23.46)</f>
        <v>23.46</v>
      </c>
      <c r="C199" s="2">
        <f>IFERROR(__xludf.DUMMYFUNCTION("""COMPUTED_VALUE"""),24.0)</f>
        <v>24</v>
      </c>
      <c r="D199" s="2">
        <f>IFERROR(__xludf.DUMMYFUNCTION("""COMPUTED_VALUE"""),23.43)</f>
        <v>23.43</v>
      </c>
      <c r="E199" s="2">
        <f>IFERROR(__xludf.DUMMYFUNCTION("""COMPUTED_VALUE"""),23.78)</f>
        <v>23.78</v>
      </c>
      <c r="F199" s="2">
        <f>IFERROR(__xludf.DUMMYFUNCTION("""COMPUTED_VALUE"""),100692.0)</f>
        <v>100692</v>
      </c>
    </row>
    <row r="200">
      <c r="A200" s="3">
        <f>IFERROR(__xludf.DUMMYFUNCTION("""COMPUTED_VALUE"""),36817.645833333336)</f>
        <v>36817.64583</v>
      </c>
      <c r="B200" s="2">
        <f>IFERROR(__xludf.DUMMYFUNCTION("""COMPUTED_VALUE"""),23.6)</f>
        <v>23.6</v>
      </c>
      <c r="C200" s="2">
        <f>IFERROR(__xludf.DUMMYFUNCTION("""COMPUTED_VALUE"""),23.99)</f>
        <v>23.99</v>
      </c>
      <c r="D200" s="2">
        <f>IFERROR(__xludf.DUMMYFUNCTION("""COMPUTED_VALUE"""),23.23)</f>
        <v>23.23</v>
      </c>
      <c r="E200" s="2">
        <f>IFERROR(__xludf.DUMMYFUNCTION("""COMPUTED_VALUE"""),23.81)</f>
        <v>23.81</v>
      </c>
      <c r="F200" s="2">
        <f>IFERROR(__xludf.DUMMYFUNCTION("""COMPUTED_VALUE"""),87441.0)</f>
        <v>87441</v>
      </c>
    </row>
    <row r="201">
      <c r="A201" s="3">
        <f>IFERROR(__xludf.DUMMYFUNCTION("""COMPUTED_VALUE"""),36818.645833333336)</f>
        <v>36818.64583</v>
      </c>
      <c r="B201" s="2">
        <f>IFERROR(__xludf.DUMMYFUNCTION("""COMPUTED_VALUE"""),23.9)</f>
        <v>23.9</v>
      </c>
      <c r="C201" s="2">
        <f>IFERROR(__xludf.DUMMYFUNCTION("""COMPUTED_VALUE"""),24.4)</f>
        <v>24.4</v>
      </c>
      <c r="D201" s="2">
        <f>IFERROR(__xludf.DUMMYFUNCTION("""COMPUTED_VALUE"""),23.8)</f>
        <v>23.8</v>
      </c>
      <c r="E201" s="2">
        <f>IFERROR(__xludf.DUMMYFUNCTION("""COMPUTED_VALUE"""),24.19)</f>
        <v>24.19</v>
      </c>
      <c r="F201" s="2">
        <f>IFERROR(__xludf.DUMMYFUNCTION("""COMPUTED_VALUE"""),116500.0)</f>
        <v>116500</v>
      </c>
    </row>
    <row r="202">
      <c r="A202" s="3">
        <f>IFERROR(__xludf.DUMMYFUNCTION("""COMPUTED_VALUE"""),36819.645833333336)</f>
        <v>36819.64583</v>
      </c>
      <c r="B202" s="2">
        <f>IFERROR(__xludf.DUMMYFUNCTION("""COMPUTED_VALUE"""),24.5)</f>
        <v>24.5</v>
      </c>
      <c r="C202" s="2">
        <f>IFERROR(__xludf.DUMMYFUNCTION("""COMPUTED_VALUE"""),24.7)</f>
        <v>24.7</v>
      </c>
      <c r="D202" s="2">
        <f>IFERROR(__xludf.DUMMYFUNCTION("""COMPUTED_VALUE"""),24.3)</f>
        <v>24.3</v>
      </c>
      <c r="E202" s="2">
        <f>IFERROR(__xludf.DUMMYFUNCTION("""COMPUTED_VALUE"""),24.47)</f>
        <v>24.47</v>
      </c>
      <c r="F202" s="2">
        <f>IFERROR(__xludf.DUMMYFUNCTION("""COMPUTED_VALUE"""),98345.0)</f>
        <v>98345</v>
      </c>
    </row>
    <row r="203">
      <c r="A203" s="3">
        <f>IFERROR(__xludf.DUMMYFUNCTION("""COMPUTED_VALUE"""),36822.645833333336)</f>
        <v>36822.64583</v>
      </c>
      <c r="B203" s="2">
        <f>IFERROR(__xludf.DUMMYFUNCTION("""COMPUTED_VALUE"""),24.5)</f>
        <v>24.5</v>
      </c>
      <c r="C203" s="2">
        <f>IFERROR(__xludf.DUMMYFUNCTION("""COMPUTED_VALUE"""),24.69)</f>
        <v>24.69</v>
      </c>
      <c r="D203" s="2">
        <f>IFERROR(__xludf.DUMMYFUNCTION("""COMPUTED_VALUE"""),24.25)</f>
        <v>24.25</v>
      </c>
      <c r="E203" s="2">
        <f>IFERROR(__xludf.DUMMYFUNCTION("""COMPUTED_VALUE"""),24.31)</f>
        <v>24.31</v>
      </c>
      <c r="F203" s="2">
        <f>IFERROR(__xludf.DUMMYFUNCTION("""COMPUTED_VALUE"""),49054.0)</f>
        <v>49054</v>
      </c>
    </row>
    <row r="204">
      <c r="A204" s="3">
        <f>IFERROR(__xludf.DUMMYFUNCTION("""COMPUTED_VALUE"""),36823.645833333336)</f>
        <v>36823.64583</v>
      </c>
      <c r="B204" s="2">
        <f>IFERROR(__xludf.DUMMYFUNCTION("""COMPUTED_VALUE"""),24.1)</f>
        <v>24.1</v>
      </c>
      <c r="C204" s="2">
        <f>IFERROR(__xludf.DUMMYFUNCTION("""COMPUTED_VALUE"""),24.4)</f>
        <v>24.4</v>
      </c>
      <c r="D204" s="2">
        <f>IFERROR(__xludf.DUMMYFUNCTION("""COMPUTED_VALUE"""),24.05)</f>
        <v>24.05</v>
      </c>
      <c r="E204" s="2">
        <f>IFERROR(__xludf.DUMMYFUNCTION("""COMPUTED_VALUE"""),24.33)</f>
        <v>24.33</v>
      </c>
      <c r="F204" s="2">
        <f>IFERROR(__xludf.DUMMYFUNCTION("""COMPUTED_VALUE"""),90862.0)</f>
        <v>90862</v>
      </c>
    </row>
    <row r="205">
      <c r="A205" s="3">
        <f>IFERROR(__xludf.DUMMYFUNCTION("""COMPUTED_VALUE"""),36824.645833333336)</f>
        <v>36824.64583</v>
      </c>
      <c r="B205" s="2">
        <f>IFERROR(__xludf.DUMMYFUNCTION("""COMPUTED_VALUE"""),24.4)</f>
        <v>24.4</v>
      </c>
      <c r="C205" s="2">
        <f>IFERROR(__xludf.DUMMYFUNCTION("""COMPUTED_VALUE"""),24.4)</f>
        <v>24.4</v>
      </c>
      <c r="D205" s="2">
        <f>IFERROR(__xludf.DUMMYFUNCTION("""COMPUTED_VALUE"""),24.02)</f>
        <v>24.02</v>
      </c>
      <c r="E205" s="2">
        <f>IFERROR(__xludf.DUMMYFUNCTION("""COMPUTED_VALUE"""),24.14)</f>
        <v>24.14</v>
      </c>
      <c r="F205" s="2">
        <f>IFERROR(__xludf.DUMMYFUNCTION("""COMPUTED_VALUE"""),48428.0)</f>
        <v>48428</v>
      </c>
    </row>
    <row r="206">
      <c r="A206" s="3">
        <f>IFERROR(__xludf.DUMMYFUNCTION("""COMPUTED_VALUE"""),36825.645833333336)</f>
        <v>36825.64583</v>
      </c>
      <c r="B206" s="2">
        <f>IFERROR(__xludf.DUMMYFUNCTION("""COMPUTED_VALUE"""),24.5)</f>
        <v>24.5</v>
      </c>
      <c r="C206" s="2">
        <f>IFERROR(__xludf.DUMMYFUNCTION("""COMPUTED_VALUE"""),24.5)</f>
        <v>24.5</v>
      </c>
      <c r="D206" s="2">
        <f>IFERROR(__xludf.DUMMYFUNCTION("""COMPUTED_VALUE"""),24.03)</f>
        <v>24.03</v>
      </c>
      <c r="E206" s="2">
        <f>IFERROR(__xludf.DUMMYFUNCTION("""COMPUTED_VALUE"""),24.14)</f>
        <v>24.14</v>
      </c>
      <c r="F206" s="2">
        <f>IFERROR(__xludf.DUMMYFUNCTION("""COMPUTED_VALUE"""),13276.0)</f>
        <v>13276</v>
      </c>
    </row>
    <row r="207">
      <c r="A207" s="3">
        <f>IFERROR(__xludf.DUMMYFUNCTION("""COMPUTED_VALUE"""),36826.645833333336)</f>
        <v>36826.64583</v>
      </c>
      <c r="B207" s="2">
        <f>IFERROR(__xludf.DUMMYFUNCTION("""COMPUTED_VALUE"""),24.1)</f>
        <v>24.1</v>
      </c>
      <c r="C207" s="2">
        <f>IFERROR(__xludf.DUMMYFUNCTION("""COMPUTED_VALUE"""),24.29)</f>
        <v>24.29</v>
      </c>
      <c r="D207" s="2">
        <f>IFERROR(__xludf.DUMMYFUNCTION("""COMPUTED_VALUE"""),23.71)</f>
        <v>23.71</v>
      </c>
      <c r="E207" s="2">
        <f>IFERROR(__xludf.DUMMYFUNCTION("""COMPUTED_VALUE"""),24.0)</f>
        <v>24</v>
      </c>
      <c r="F207" s="2">
        <f>IFERROR(__xludf.DUMMYFUNCTION("""COMPUTED_VALUE"""),15771.0)</f>
        <v>15771</v>
      </c>
    </row>
    <row r="208">
      <c r="A208" s="3">
        <f>IFERROR(__xludf.DUMMYFUNCTION("""COMPUTED_VALUE"""),36829.645833333336)</f>
        <v>36829.64583</v>
      </c>
      <c r="B208" s="2">
        <f>IFERROR(__xludf.DUMMYFUNCTION("""COMPUTED_VALUE"""),23.81)</f>
        <v>23.81</v>
      </c>
      <c r="C208" s="2">
        <f>IFERROR(__xludf.DUMMYFUNCTION("""COMPUTED_VALUE"""),24.9)</f>
        <v>24.9</v>
      </c>
      <c r="D208" s="2">
        <f>IFERROR(__xludf.DUMMYFUNCTION("""COMPUTED_VALUE"""),23.81)</f>
        <v>23.81</v>
      </c>
      <c r="E208" s="2">
        <f>IFERROR(__xludf.DUMMYFUNCTION("""COMPUTED_VALUE"""),24.69)</f>
        <v>24.69</v>
      </c>
      <c r="F208" s="2">
        <f>IFERROR(__xludf.DUMMYFUNCTION("""COMPUTED_VALUE"""),72598.0)</f>
        <v>72598</v>
      </c>
    </row>
    <row r="209">
      <c r="A209" s="3">
        <f>IFERROR(__xludf.DUMMYFUNCTION("""COMPUTED_VALUE"""),36830.645833333336)</f>
        <v>36830.64583</v>
      </c>
      <c r="B209" s="2">
        <f>IFERROR(__xludf.DUMMYFUNCTION("""COMPUTED_VALUE"""),25.0)</f>
        <v>25</v>
      </c>
      <c r="C209" s="2">
        <f>IFERROR(__xludf.DUMMYFUNCTION("""COMPUTED_VALUE"""),25.49)</f>
        <v>25.49</v>
      </c>
      <c r="D209" s="2">
        <f>IFERROR(__xludf.DUMMYFUNCTION("""COMPUTED_VALUE"""),24.3)</f>
        <v>24.3</v>
      </c>
      <c r="E209" s="2">
        <f>IFERROR(__xludf.DUMMYFUNCTION("""COMPUTED_VALUE"""),25.06)</f>
        <v>25.06</v>
      </c>
      <c r="F209" s="2">
        <f>IFERROR(__xludf.DUMMYFUNCTION("""COMPUTED_VALUE"""),126894.0)</f>
        <v>126894</v>
      </c>
    </row>
    <row r="210">
      <c r="A210" s="3">
        <f>IFERROR(__xludf.DUMMYFUNCTION("""COMPUTED_VALUE"""),36831.645833333336)</f>
        <v>36831.64583</v>
      </c>
      <c r="B210" s="2">
        <f>IFERROR(__xludf.DUMMYFUNCTION("""COMPUTED_VALUE"""),25.45)</f>
        <v>25.45</v>
      </c>
      <c r="C210" s="2">
        <f>IFERROR(__xludf.DUMMYFUNCTION("""COMPUTED_VALUE"""),25.45)</f>
        <v>25.45</v>
      </c>
      <c r="D210" s="2">
        <f>IFERROR(__xludf.DUMMYFUNCTION("""COMPUTED_VALUE"""),24.5)</f>
        <v>24.5</v>
      </c>
      <c r="E210" s="2">
        <f>IFERROR(__xludf.DUMMYFUNCTION("""COMPUTED_VALUE"""),24.72)</f>
        <v>24.72</v>
      </c>
      <c r="F210" s="2">
        <f>IFERROR(__xludf.DUMMYFUNCTION("""COMPUTED_VALUE"""),45087.0)</f>
        <v>45087</v>
      </c>
    </row>
    <row r="211">
      <c r="A211" s="3">
        <f>IFERROR(__xludf.DUMMYFUNCTION("""COMPUTED_VALUE"""),36832.645833333336)</f>
        <v>36832.64583</v>
      </c>
      <c r="B211" s="2">
        <f>IFERROR(__xludf.DUMMYFUNCTION("""COMPUTED_VALUE"""),24.56)</f>
        <v>24.56</v>
      </c>
      <c r="C211" s="2">
        <f>IFERROR(__xludf.DUMMYFUNCTION("""COMPUTED_VALUE"""),25.3)</f>
        <v>25.3</v>
      </c>
      <c r="D211" s="2">
        <f>IFERROR(__xludf.DUMMYFUNCTION("""COMPUTED_VALUE"""),24.56)</f>
        <v>24.56</v>
      </c>
      <c r="E211" s="2">
        <f>IFERROR(__xludf.DUMMYFUNCTION("""COMPUTED_VALUE"""),25.2)</f>
        <v>25.2</v>
      </c>
      <c r="F211" s="2">
        <f>IFERROR(__xludf.DUMMYFUNCTION("""COMPUTED_VALUE"""),109026.0)</f>
        <v>109026</v>
      </c>
    </row>
    <row r="212">
      <c r="A212" s="3">
        <f>IFERROR(__xludf.DUMMYFUNCTION("""COMPUTED_VALUE"""),36833.645833333336)</f>
        <v>36833.64583</v>
      </c>
      <c r="B212" s="2">
        <f>IFERROR(__xludf.DUMMYFUNCTION("""COMPUTED_VALUE"""),25.3)</f>
        <v>25.3</v>
      </c>
      <c r="C212" s="2">
        <f>IFERROR(__xludf.DUMMYFUNCTION("""COMPUTED_VALUE"""),25.3)</f>
        <v>25.3</v>
      </c>
      <c r="D212" s="2">
        <f>IFERROR(__xludf.DUMMYFUNCTION("""COMPUTED_VALUE"""),24.7)</f>
        <v>24.7</v>
      </c>
      <c r="E212" s="2">
        <f>IFERROR(__xludf.DUMMYFUNCTION("""COMPUTED_VALUE"""),24.81)</f>
        <v>24.81</v>
      </c>
      <c r="F212" s="2">
        <f>IFERROR(__xludf.DUMMYFUNCTION("""COMPUTED_VALUE"""),58641.0)</f>
        <v>58641</v>
      </c>
    </row>
    <row r="213">
      <c r="A213" s="3">
        <f>IFERROR(__xludf.DUMMYFUNCTION("""COMPUTED_VALUE"""),36836.645833333336)</f>
        <v>36836.64583</v>
      </c>
      <c r="B213" s="2">
        <f>IFERROR(__xludf.DUMMYFUNCTION("""COMPUTED_VALUE"""),24.7)</f>
        <v>24.7</v>
      </c>
      <c r="C213" s="2">
        <f>IFERROR(__xludf.DUMMYFUNCTION("""COMPUTED_VALUE"""),25.3)</f>
        <v>25.3</v>
      </c>
      <c r="D213" s="2">
        <f>IFERROR(__xludf.DUMMYFUNCTION("""COMPUTED_VALUE"""),24.7)</f>
        <v>24.7</v>
      </c>
      <c r="E213" s="2">
        <f>IFERROR(__xludf.DUMMYFUNCTION("""COMPUTED_VALUE"""),25.0)</f>
        <v>25</v>
      </c>
      <c r="F213" s="2">
        <f>IFERROR(__xludf.DUMMYFUNCTION("""COMPUTED_VALUE"""),341447.0)</f>
        <v>341447</v>
      </c>
    </row>
    <row r="214">
      <c r="A214" s="3">
        <f>IFERROR(__xludf.DUMMYFUNCTION("""COMPUTED_VALUE"""),36837.645833333336)</f>
        <v>36837.64583</v>
      </c>
      <c r="B214" s="2">
        <f>IFERROR(__xludf.DUMMYFUNCTION("""COMPUTED_VALUE"""),24.8)</f>
        <v>24.8</v>
      </c>
      <c r="C214" s="2">
        <f>IFERROR(__xludf.DUMMYFUNCTION("""COMPUTED_VALUE"""),24.99)</f>
        <v>24.99</v>
      </c>
      <c r="D214" s="2">
        <f>IFERROR(__xludf.DUMMYFUNCTION("""COMPUTED_VALUE"""),24.76)</f>
        <v>24.76</v>
      </c>
      <c r="E214" s="2">
        <f>IFERROR(__xludf.DUMMYFUNCTION("""COMPUTED_VALUE"""),24.88)</f>
        <v>24.88</v>
      </c>
      <c r="F214" s="2">
        <f>IFERROR(__xludf.DUMMYFUNCTION("""COMPUTED_VALUE"""),50074.0)</f>
        <v>50074</v>
      </c>
    </row>
    <row r="215">
      <c r="A215" s="3">
        <f>IFERROR(__xludf.DUMMYFUNCTION("""COMPUTED_VALUE"""),36838.645833333336)</f>
        <v>36838.64583</v>
      </c>
      <c r="B215" s="2">
        <f>IFERROR(__xludf.DUMMYFUNCTION("""COMPUTED_VALUE"""),25.0)</f>
        <v>25</v>
      </c>
      <c r="C215" s="2">
        <f>IFERROR(__xludf.DUMMYFUNCTION("""COMPUTED_VALUE"""),25.0)</f>
        <v>25</v>
      </c>
      <c r="D215" s="2">
        <f>IFERROR(__xludf.DUMMYFUNCTION("""COMPUTED_VALUE"""),24.3)</f>
        <v>24.3</v>
      </c>
      <c r="E215" s="2">
        <f>IFERROR(__xludf.DUMMYFUNCTION("""COMPUTED_VALUE"""),24.39)</f>
        <v>24.39</v>
      </c>
      <c r="F215" s="2">
        <f>IFERROR(__xludf.DUMMYFUNCTION("""COMPUTED_VALUE"""),31119.0)</f>
        <v>31119</v>
      </c>
    </row>
    <row r="216">
      <c r="A216" s="3">
        <f>IFERROR(__xludf.DUMMYFUNCTION("""COMPUTED_VALUE"""),36839.645833333336)</f>
        <v>36839.64583</v>
      </c>
      <c r="B216" s="2">
        <f>IFERROR(__xludf.DUMMYFUNCTION("""COMPUTED_VALUE"""),24.2)</f>
        <v>24.2</v>
      </c>
      <c r="C216" s="2">
        <f>IFERROR(__xludf.DUMMYFUNCTION("""COMPUTED_VALUE"""),24.58)</f>
        <v>24.58</v>
      </c>
      <c r="D216" s="2">
        <f>IFERROR(__xludf.DUMMYFUNCTION("""COMPUTED_VALUE"""),23.99)</f>
        <v>23.99</v>
      </c>
      <c r="E216" s="2">
        <f>IFERROR(__xludf.DUMMYFUNCTION("""COMPUTED_VALUE"""),24.5)</f>
        <v>24.5</v>
      </c>
      <c r="F216" s="2">
        <f>IFERROR(__xludf.DUMMYFUNCTION("""COMPUTED_VALUE"""),46373.0)</f>
        <v>46373</v>
      </c>
    </row>
    <row r="217">
      <c r="A217" s="3">
        <f>IFERROR(__xludf.DUMMYFUNCTION("""COMPUTED_VALUE"""),36840.645833333336)</f>
        <v>36840.64583</v>
      </c>
      <c r="B217" s="2">
        <f>IFERROR(__xludf.DUMMYFUNCTION("""COMPUTED_VALUE"""),24.45)</f>
        <v>24.45</v>
      </c>
      <c r="C217" s="2">
        <f>IFERROR(__xludf.DUMMYFUNCTION("""COMPUTED_VALUE"""),24.7)</f>
        <v>24.7</v>
      </c>
      <c r="D217" s="2">
        <f>IFERROR(__xludf.DUMMYFUNCTION("""COMPUTED_VALUE"""),24.4)</f>
        <v>24.4</v>
      </c>
      <c r="E217" s="2">
        <f>IFERROR(__xludf.DUMMYFUNCTION("""COMPUTED_VALUE"""),24.52)</f>
        <v>24.52</v>
      </c>
      <c r="F217" s="2">
        <f>IFERROR(__xludf.DUMMYFUNCTION("""COMPUTED_VALUE"""),50891.0)</f>
        <v>50891</v>
      </c>
    </row>
    <row r="218">
      <c r="A218" s="3">
        <f>IFERROR(__xludf.DUMMYFUNCTION("""COMPUTED_VALUE"""),36843.645833333336)</f>
        <v>36843.64583</v>
      </c>
      <c r="B218" s="2">
        <f>IFERROR(__xludf.DUMMYFUNCTION("""COMPUTED_VALUE"""),24.08)</f>
        <v>24.08</v>
      </c>
      <c r="C218" s="2">
        <f>IFERROR(__xludf.DUMMYFUNCTION("""COMPUTED_VALUE"""),24.4)</f>
        <v>24.4</v>
      </c>
      <c r="D218" s="2">
        <f>IFERROR(__xludf.DUMMYFUNCTION("""COMPUTED_VALUE"""),24.0)</f>
        <v>24</v>
      </c>
      <c r="E218" s="2">
        <f>IFERROR(__xludf.DUMMYFUNCTION("""COMPUTED_VALUE"""),24.04)</f>
        <v>24.04</v>
      </c>
      <c r="F218" s="2">
        <f>IFERROR(__xludf.DUMMYFUNCTION("""COMPUTED_VALUE"""),37935.0)</f>
        <v>37935</v>
      </c>
    </row>
    <row r="219">
      <c r="A219" s="3">
        <f>IFERROR(__xludf.DUMMYFUNCTION("""COMPUTED_VALUE"""),36844.645833333336)</f>
        <v>36844.64583</v>
      </c>
      <c r="B219" s="2">
        <f>IFERROR(__xludf.DUMMYFUNCTION("""COMPUTED_VALUE"""),24.0)</f>
        <v>24</v>
      </c>
      <c r="C219" s="2">
        <f>IFERROR(__xludf.DUMMYFUNCTION("""COMPUTED_VALUE"""),24.05)</f>
        <v>24.05</v>
      </c>
      <c r="D219" s="2">
        <f>IFERROR(__xludf.DUMMYFUNCTION("""COMPUTED_VALUE"""),23.25)</f>
        <v>23.25</v>
      </c>
      <c r="E219" s="2">
        <f>IFERROR(__xludf.DUMMYFUNCTION("""COMPUTED_VALUE"""),23.58)</f>
        <v>23.58</v>
      </c>
      <c r="F219" s="2">
        <f>IFERROR(__xludf.DUMMYFUNCTION("""COMPUTED_VALUE"""),96156.0)</f>
        <v>96156</v>
      </c>
    </row>
    <row r="220">
      <c r="A220" s="3">
        <f>IFERROR(__xludf.DUMMYFUNCTION("""COMPUTED_VALUE"""),36845.645833333336)</f>
        <v>36845.64583</v>
      </c>
      <c r="B220" s="2">
        <f>IFERROR(__xludf.DUMMYFUNCTION("""COMPUTED_VALUE"""),23.99)</f>
        <v>23.99</v>
      </c>
      <c r="C220" s="2">
        <f>IFERROR(__xludf.DUMMYFUNCTION("""COMPUTED_VALUE"""),24.4)</f>
        <v>24.4</v>
      </c>
      <c r="D220" s="2">
        <f>IFERROR(__xludf.DUMMYFUNCTION("""COMPUTED_VALUE"""),23.75)</f>
        <v>23.75</v>
      </c>
      <c r="E220" s="2">
        <f>IFERROR(__xludf.DUMMYFUNCTION("""COMPUTED_VALUE"""),24.04)</f>
        <v>24.04</v>
      </c>
      <c r="F220" s="2">
        <f>IFERROR(__xludf.DUMMYFUNCTION("""COMPUTED_VALUE"""),178827.0)</f>
        <v>178827</v>
      </c>
    </row>
    <row r="221">
      <c r="A221" s="3">
        <f>IFERROR(__xludf.DUMMYFUNCTION("""COMPUTED_VALUE"""),36846.645833333336)</f>
        <v>36846.64583</v>
      </c>
      <c r="B221" s="2">
        <f>IFERROR(__xludf.DUMMYFUNCTION("""COMPUTED_VALUE"""),24.0)</f>
        <v>24</v>
      </c>
      <c r="C221" s="2">
        <f>IFERROR(__xludf.DUMMYFUNCTION("""COMPUTED_VALUE"""),24.11)</f>
        <v>24.11</v>
      </c>
      <c r="D221" s="2">
        <f>IFERROR(__xludf.DUMMYFUNCTION("""COMPUTED_VALUE"""),22.92)</f>
        <v>22.92</v>
      </c>
      <c r="E221" s="2">
        <f>IFERROR(__xludf.DUMMYFUNCTION("""COMPUTED_VALUE"""),23.26)</f>
        <v>23.26</v>
      </c>
      <c r="F221" s="2">
        <f>IFERROR(__xludf.DUMMYFUNCTION("""COMPUTED_VALUE"""),338613.0)</f>
        <v>338613</v>
      </c>
    </row>
    <row r="222">
      <c r="A222" s="3">
        <f>IFERROR(__xludf.DUMMYFUNCTION("""COMPUTED_VALUE"""),36847.645833333336)</f>
        <v>36847.64583</v>
      </c>
      <c r="B222" s="2">
        <f>IFERROR(__xludf.DUMMYFUNCTION("""COMPUTED_VALUE"""),23.05)</f>
        <v>23.05</v>
      </c>
      <c r="C222" s="2">
        <f>IFERROR(__xludf.DUMMYFUNCTION("""COMPUTED_VALUE"""),23.2)</f>
        <v>23.2</v>
      </c>
      <c r="D222" s="2">
        <f>IFERROR(__xludf.DUMMYFUNCTION("""COMPUTED_VALUE"""),22.36)</f>
        <v>22.36</v>
      </c>
      <c r="E222" s="2">
        <f>IFERROR(__xludf.DUMMYFUNCTION("""COMPUTED_VALUE"""),22.98)</f>
        <v>22.98</v>
      </c>
      <c r="F222" s="2">
        <f>IFERROR(__xludf.DUMMYFUNCTION("""COMPUTED_VALUE"""),227452.0)</f>
        <v>227452</v>
      </c>
    </row>
    <row r="223">
      <c r="A223" s="3">
        <f>IFERROR(__xludf.DUMMYFUNCTION("""COMPUTED_VALUE"""),36850.645833333336)</f>
        <v>36850.64583</v>
      </c>
      <c r="B223" s="2">
        <f>IFERROR(__xludf.DUMMYFUNCTION("""COMPUTED_VALUE"""),22.9)</f>
        <v>22.9</v>
      </c>
      <c r="C223" s="2">
        <f>IFERROR(__xludf.DUMMYFUNCTION("""COMPUTED_VALUE"""),23.0)</f>
        <v>23</v>
      </c>
      <c r="D223" s="2">
        <f>IFERROR(__xludf.DUMMYFUNCTION("""COMPUTED_VALUE"""),22.45)</f>
        <v>22.45</v>
      </c>
      <c r="E223" s="2">
        <f>IFERROR(__xludf.DUMMYFUNCTION("""COMPUTED_VALUE"""),22.87)</f>
        <v>22.87</v>
      </c>
      <c r="F223" s="2">
        <f>IFERROR(__xludf.DUMMYFUNCTION("""COMPUTED_VALUE"""),84421.0)</f>
        <v>84421</v>
      </c>
    </row>
    <row r="224">
      <c r="A224" s="3">
        <f>IFERROR(__xludf.DUMMYFUNCTION("""COMPUTED_VALUE"""),36851.645833333336)</f>
        <v>36851.64583</v>
      </c>
      <c r="B224" s="2">
        <f>IFERROR(__xludf.DUMMYFUNCTION("""COMPUTED_VALUE"""),22.8)</f>
        <v>22.8</v>
      </c>
      <c r="C224" s="2">
        <f>IFERROR(__xludf.DUMMYFUNCTION("""COMPUTED_VALUE"""),22.9)</f>
        <v>22.9</v>
      </c>
      <c r="D224" s="2">
        <f>IFERROR(__xludf.DUMMYFUNCTION("""COMPUTED_VALUE"""),22.36)</f>
        <v>22.36</v>
      </c>
      <c r="E224" s="2">
        <f>IFERROR(__xludf.DUMMYFUNCTION("""COMPUTED_VALUE"""),22.47)</f>
        <v>22.47</v>
      </c>
      <c r="F224" s="2">
        <f>IFERROR(__xludf.DUMMYFUNCTION("""COMPUTED_VALUE"""),172557.0)</f>
        <v>172557</v>
      </c>
    </row>
    <row r="225">
      <c r="A225" s="3">
        <f>IFERROR(__xludf.DUMMYFUNCTION("""COMPUTED_VALUE"""),36852.645833333336)</f>
        <v>36852.64583</v>
      </c>
      <c r="B225" s="2">
        <f>IFERROR(__xludf.DUMMYFUNCTION("""COMPUTED_VALUE"""),22.99)</f>
        <v>22.99</v>
      </c>
      <c r="C225" s="2">
        <f>IFERROR(__xludf.DUMMYFUNCTION("""COMPUTED_VALUE"""),22.99)</f>
        <v>22.99</v>
      </c>
      <c r="D225" s="2">
        <f>IFERROR(__xludf.DUMMYFUNCTION("""COMPUTED_VALUE"""),22.2)</f>
        <v>22.2</v>
      </c>
      <c r="E225" s="2">
        <f>IFERROR(__xludf.DUMMYFUNCTION("""COMPUTED_VALUE"""),22.41)</f>
        <v>22.41</v>
      </c>
      <c r="F225" s="2">
        <f>IFERROR(__xludf.DUMMYFUNCTION("""COMPUTED_VALUE"""),154451.0)</f>
        <v>154451</v>
      </c>
    </row>
    <row r="226">
      <c r="A226" s="3">
        <f>IFERROR(__xludf.DUMMYFUNCTION("""COMPUTED_VALUE"""),36853.645833333336)</f>
        <v>36853.64583</v>
      </c>
      <c r="B226" s="2">
        <f>IFERROR(__xludf.DUMMYFUNCTION("""COMPUTED_VALUE"""),22.31)</f>
        <v>22.31</v>
      </c>
      <c r="C226" s="2">
        <f>IFERROR(__xludf.DUMMYFUNCTION("""COMPUTED_VALUE"""),22.45)</f>
        <v>22.45</v>
      </c>
      <c r="D226" s="2">
        <f>IFERROR(__xludf.DUMMYFUNCTION("""COMPUTED_VALUE"""),21.41)</f>
        <v>21.41</v>
      </c>
      <c r="E226" s="2">
        <f>IFERROR(__xludf.DUMMYFUNCTION("""COMPUTED_VALUE"""),21.69)</f>
        <v>21.69</v>
      </c>
      <c r="F226" s="2">
        <f>IFERROR(__xludf.DUMMYFUNCTION("""COMPUTED_VALUE"""),203242.0)</f>
        <v>203242</v>
      </c>
    </row>
    <row r="227">
      <c r="A227" s="3">
        <f>IFERROR(__xludf.DUMMYFUNCTION("""COMPUTED_VALUE"""),36854.645833333336)</f>
        <v>36854.64583</v>
      </c>
      <c r="B227" s="2">
        <f>IFERROR(__xludf.DUMMYFUNCTION("""COMPUTED_VALUE"""),21.9)</f>
        <v>21.9</v>
      </c>
      <c r="C227" s="2">
        <f>IFERROR(__xludf.DUMMYFUNCTION("""COMPUTED_VALUE"""),22.51)</f>
        <v>22.51</v>
      </c>
      <c r="D227" s="2">
        <f>IFERROR(__xludf.DUMMYFUNCTION("""COMPUTED_VALUE"""),21.82)</f>
        <v>21.82</v>
      </c>
      <c r="E227" s="2">
        <f>IFERROR(__xludf.DUMMYFUNCTION("""COMPUTED_VALUE"""),22.37)</f>
        <v>22.37</v>
      </c>
      <c r="F227" s="2">
        <f>IFERROR(__xludf.DUMMYFUNCTION("""COMPUTED_VALUE"""),169502.0)</f>
        <v>169502</v>
      </c>
    </row>
    <row r="228">
      <c r="A228" s="3">
        <f>IFERROR(__xludf.DUMMYFUNCTION("""COMPUTED_VALUE"""),36857.645833333336)</f>
        <v>36857.64583</v>
      </c>
      <c r="B228" s="2">
        <f>IFERROR(__xludf.DUMMYFUNCTION("""COMPUTED_VALUE"""),22.47)</f>
        <v>22.47</v>
      </c>
      <c r="C228" s="2">
        <f>IFERROR(__xludf.DUMMYFUNCTION("""COMPUTED_VALUE"""),22.65)</f>
        <v>22.65</v>
      </c>
      <c r="D228" s="2">
        <f>IFERROR(__xludf.DUMMYFUNCTION("""COMPUTED_VALUE"""),22.33)</f>
        <v>22.33</v>
      </c>
      <c r="E228" s="2">
        <f>IFERROR(__xludf.DUMMYFUNCTION("""COMPUTED_VALUE"""),22.58)</f>
        <v>22.58</v>
      </c>
      <c r="F228" s="2">
        <f>IFERROR(__xludf.DUMMYFUNCTION("""COMPUTED_VALUE"""),167926.0)</f>
        <v>167926</v>
      </c>
    </row>
    <row r="229">
      <c r="A229" s="3">
        <f>IFERROR(__xludf.DUMMYFUNCTION("""COMPUTED_VALUE"""),36858.645833333336)</f>
        <v>36858.64583</v>
      </c>
      <c r="B229" s="2">
        <f>IFERROR(__xludf.DUMMYFUNCTION("""COMPUTED_VALUE"""),22.59)</f>
        <v>22.59</v>
      </c>
      <c r="C229" s="2">
        <f>IFERROR(__xludf.DUMMYFUNCTION("""COMPUTED_VALUE"""),22.68)</f>
        <v>22.68</v>
      </c>
      <c r="D229" s="2">
        <f>IFERROR(__xludf.DUMMYFUNCTION("""COMPUTED_VALUE"""),22.0)</f>
        <v>22</v>
      </c>
      <c r="E229" s="2">
        <f>IFERROR(__xludf.DUMMYFUNCTION("""COMPUTED_VALUE"""),22.17)</f>
        <v>22.17</v>
      </c>
      <c r="F229" s="2">
        <f>IFERROR(__xludf.DUMMYFUNCTION("""COMPUTED_VALUE"""),184557.0)</f>
        <v>184557</v>
      </c>
    </row>
    <row r="230">
      <c r="A230" s="3">
        <f>IFERROR(__xludf.DUMMYFUNCTION("""COMPUTED_VALUE"""),36859.645833333336)</f>
        <v>36859.64583</v>
      </c>
      <c r="B230" s="2">
        <f>IFERROR(__xludf.DUMMYFUNCTION("""COMPUTED_VALUE"""),23.94)</f>
        <v>23.94</v>
      </c>
      <c r="C230" s="2">
        <f>IFERROR(__xludf.DUMMYFUNCTION("""COMPUTED_VALUE"""),23.94)</f>
        <v>23.94</v>
      </c>
      <c r="D230" s="2">
        <f>IFERROR(__xludf.DUMMYFUNCTION("""COMPUTED_VALUE"""),21.92)</f>
        <v>21.92</v>
      </c>
      <c r="E230" s="2">
        <f>IFERROR(__xludf.DUMMYFUNCTION("""COMPUTED_VALUE"""),22.21)</f>
        <v>22.21</v>
      </c>
      <c r="F230" s="2">
        <f>IFERROR(__xludf.DUMMYFUNCTION("""COMPUTED_VALUE"""),155730.0)</f>
        <v>155730</v>
      </c>
    </row>
    <row r="231">
      <c r="A231" s="3">
        <f>IFERROR(__xludf.DUMMYFUNCTION("""COMPUTED_VALUE"""),36860.645833333336)</f>
        <v>36860.64583</v>
      </c>
      <c r="B231" s="2">
        <f>IFERROR(__xludf.DUMMYFUNCTION("""COMPUTED_VALUE"""),22.39)</f>
        <v>22.39</v>
      </c>
      <c r="C231" s="2">
        <f>IFERROR(__xludf.DUMMYFUNCTION("""COMPUTED_VALUE"""),22.6)</f>
        <v>22.6</v>
      </c>
      <c r="D231" s="2">
        <f>IFERROR(__xludf.DUMMYFUNCTION("""COMPUTED_VALUE"""),21.85)</f>
        <v>21.85</v>
      </c>
      <c r="E231" s="2">
        <f>IFERROR(__xludf.DUMMYFUNCTION("""COMPUTED_VALUE"""),22.12)</f>
        <v>22.12</v>
      </c>
      <c r="F231" s="2">
        <f>IFERROR(__xludf.DUMMYFUNCTION("""COMPUTED_VALUE"""),122224.0)</f>
        <v>122224</v>
      </c>
    </row>
    <row r="232">
      <c r="A232" s="3">
        <f>IFERROR(__xludf.DUMMYFUNCTION("""COMPUTED_VALUE"""),36861.645833333336)</f>
        <v>36861.64583</v>
      </c>
      <c r="B232" s="2">
        <f>IFERROR(__xludf.DUMMYFUNCTION("""COMPUTED_VALUE"""),22.03)</f>
        <v>22.03</v>
      </c>
      <c r="C232" s="2">
        <f>IFERROR(__xludf.DUMMYFUNCTION("""COMPUTED_VALUE"""),22.03)</f>
        <v>22.03</v>
      </c>
      <c r="D232" s="2">
        <f>IFERROR(__xludf.DUMMYFUNCTION("""COMPUTED_VALUE"""),21.0)</f>
        <v>21</v>
      </c>
      <c r="E232" s="2">
        <f>IFERROR(__xludf.DUMMYFUNCTION("""COMPUTED_VALUE"""),21.63)</f>
        <v>21.63</v>
      </c>
      <c r="F232" s="2">
        <f>IFERROR(__xludf.DUMMYFUNCTION("""COMPUTED_VALUE"""),365183.0)</f>
        <v>365183</v>
      </c>
    </row>
    <row r="233">
      <c r="A233" s="3">
        <f>IFERROR(__xludf.DUMMYFUNCTION("""COMPUTED_VALUE"""),36864.645833333336)</f>
        <v>36864.64583</v>
      </c>
      <c r="B233" s="2">
        <f>IFERROR(__xludf.DUMMYFUNCTION("""COMPUTED_VALUE"""),21.5)</f>
        <v>21.5</v>
      </c>
      <c r="C233" s="2">
        <f>IFERROR(__xludf.DUMMYFUNCTION("""COMPUTED_VALUE"""),21.89)</f>
        <v>21.89</v>
      </c>
      <c r="D233" s="2">
        <f>IFERROR(__xludf.DUMMYFUNCTION("""COMPUTED_VALUE"""),21.5)</f>
        <v>21.5</v>
      </c>
      <c r="E233" s="2">
        <f>IFERROR(__xludf.DUMMYFUNCTION("""COMPUTED_VALUE"""),21.64)</f>
        <v>21.64</v>
      </c>
      <c r="F233" s="2">
        <f>IFERROR(__xludf.DUMMYFUNCTION("""COMPUTED_VALUE"""),108820.0)</f>
        <v>108820</v>
      </c>
    </row>
    <row r="234">
      <c r="A234" s="3">
        <f>IFERROR(__xludf.DUMMYFUNCTION("""COMPUTED_VALUE"""),36865.645833333336)</f>
        <v>36865.64583</v>
      </c>
      <c r="B234" s="2">
        <f>IFERROR(__xludf.DUMMYFUNCTION("""COMPUTED_VALUE"""),21.79)</f>
        <v>21.79</v>
      </c>
      <c r="C234" s="2">
        <f>IFERROR(__xludf.DUMMYFUNCTION("""COMPUTED_VALUE"""),21.79)</f>
        <v>21.79</v>
      </c>
      <c r="D234" s="2">
        <f>IFERROR(__xludf.DUMMYFUNCTION("""COMPUTED_VALUE"""),21.3)</f>
        <v>21.3</v>
      </c>
      <c r="E234" s="2">
        <f>IFERROR(__xludf.DUMMYFUNCTION("""COMPUTED_VALUE"""),21.42)</f>
        <v>21.42</v>
      </c>
      <c r="F234" s="2">
        <f>IFERROR(__xludf.DUMMYFUNCTION("""COMPUTED_VALUE"""),227174.0)</f>
        <v>227174</v>
      </c>
    </row>
    <row r="235">
      <c r="A235" s="3">
        <f>IFERROR(__xludf.DUMMYFUNCTION("""COMPUTED_VALUE"""),36866.645833333336)</f>
        <v>36866.64583</v>
      </c>
      <c r="B235" s="2">
        <f>IFERROR(__xludf.DUMMYFUNCTION("""COMPUTED_VALUE"""),21.8)</f>
        <v>21.8</v>
      </c>
      <c r="C235" s="2">
        <f>IFERROR(__xludf.DUMMYFUNCTION("""COMPUTED_VALUE"""),22.99)</f>
        <v>22.99</v>
      </c>
      <c r="D235" s="2">
        <f>IFERROR(__xludf.DUMMYFUNCTION("""COMPUTED_VALUE"""),21.8)</f>
        <v>21.8</v>
      </c>
      <c r="E235" s="2">
        <f>IFERROR(__xludf.DUMMYFUNCTION("""COMPUTED_VALUE"""),22.0)</f>
        <v>22</v>
      </c>
      <c r="F235" s="2">
        <f>IFERROR(__xludf.DUMMYFUNCTION("""COMPUTED_VALUE"""),236651.0)</f>
        <v>236651</v>
      </c>
    </row>
    <row r="236">
      <c r="A236" s="3">
        <f>IFERROR(__xludf.DUMMYFUNCTION("""COMPUTED_VALUE"""),36867.645833333336)</f>
        <v>36867.64583</v>
      </c>
      <c r="B236" s="2">
        <f>IFERROR(__xludf.DUMMYFUNCTION("""COMPUTED_VALUE"""),21.93)</f>
        <v>21.93</v>
      </c>
      <c r="C236" s="2">
        <f>IFERROR(__xludf.DUMMYFUNCTION("""COMPUTED_VALUE"""),22.0)</f>
        <v>22</v>
      </c>
      <c r="D236" s="2">
        <f>IFERROR(__xludf.DUMMYFUNCTION("""COMPUTED_VALUE"""),21.75)</f>
        <v>21.75</v>
      </c>
      <c r="E236" s="2">
        <f>IFERROR(__xludf.DUMMYFUNCTION("""COMPUTED_VALUE"""),21.83)</f>
        <v>21.83</v>
      </c>
      <c r="F236" s="2">
        <f>IFERROR(__xludf.DUMMYFUNCTION("""COMPUTED_VALUE"""),81015.0)</f>
        <v>81015</v>
      </c>
    </row>
    <row r="237">
      <c r="A237" s="3">
        <f>IFERROR(__xludf.DUMMYFUNCTION("""COMPUTED_VALUE"""),36868.645833333336)</f>
        <v>36868.64583</v>
      </c>
      <c r="B237" s="2">
        <f>IFERROR(__xludf.DUMMYFUNCTION("""COMPUTED_VALUE"""),21.9)</f>
        <v>21.9</v>
      </c>
      <c r="C237" s="2">
        <f>IFERROR(__xludf.DUMMYFUNCTION("""COMPUTED_VALUE"""),22.15)</f>
        <v>22.15</v>
      </c>
      <c r="D237" s="2">
        <f>IFERROR(__xludf.DUMMYFUNCTION("""COMPUTED_VALUE"""),21.81)</f>
        <v>21.81</v>
      </c>
      <c r="E237" s="2">
        <f>IFERROR(__xludf.DUMMYFUNCTION("""COMPUTED_VALUE"""),21.92)</f>
        <v>21.92</v>
      </c>
      <c r="F237" s="2">
        <f>IFERROR(__xludf.DUMMYFUNCTION("""COMPUTED_VALUE"""),175181.0)</f>
        <v>175181</v>
      </c>
    </row>
    <row r="238">
      <c r="A238" s="3">
        <f>IFERROR(__xludf.DUMMYFUNCTION("""COMPUTED_VALUE"""),36871.645833333336)</f>
        <v>36871.64583</v>
      </c>
      <c r="B238" s="2">
        <f>IFERROR(__xludf.DUMMYFUNCTION("""COMPUTED_VALUE"""),22.1)</f>
        <v>22.1</v>
      </c>
      <c r="C238" s="2">
        <f>IFERROR(__xludf.DUMMYFUNCTION("""COMPUTED_VALUE"""),22.46)</f>
        <v>22.46</v>
      </c>
      <c r="D238" s="2">
        <f>IFERROR(__xludf.DUMMYFUNCTION("""COMPUTED_VALUE"""),22.0)</f>
        <v>22</v>
      </c>
      <c r="E238" s="2">
        <f>IFERROR(__xludf.DUMMYFUNCTION("""COMPUTED_VALUE"""),22.26)</f>
        <v>22.26</v>
      </c>
      <c r="F238" s="2">
        <f>IFERROR(__xludf.DUMMYFUNCTION("""COMPUTED_VALUE"""),158635.0)</f>
        <v>158635</v>
      </c>
    </row>
    <row r="239">
      <c r="A239" s="3">
        <f>IFERROR(__xludf.DUMMYFUNCTION("""COMPUTED_VALUE"""),36872.645833333336)</f>
        <v>36872.64583</v>
      </c>
      <c r="B239" s="2">
        <f>IFERROR(__xludf.DUMMYFUNCTION("""COMPUTED_VALUE"""),22.5)</f>
        <v>22.5</v>
      </c>
      <c r="C239" s="2">
        <f>IFERROR(__xludf.DUMMYFUNCTION("""COMPUTED_VALUE"""),23.2)</f>
        <v>23.2</v>
      </c>
      <c r="D239" s="2">
        <f>IFERROR(__xludf.DUMMYFUNCTION("""COMPUTED_VALUE"""),22.5)</f>
        <v>22.5</v>
      </c>
      <c r="E239" s="2">
        <f>IFERROR(__xludf.DUMMYFUNCTION("""COMPUTED_VALUE"""),22.86)</f>
        <v>22.86</v>
      </c>
      <c r="F239" s="2">
        <f>IFERROR(__xludf.DUMMYFUNCTION("""COMPUTED_VALUE"""),456843.0)</f>
        <v>456843</v>
      </c>
    </row>
    <row r="240">
      <c r="A240" s="3">
        <f>IFERROR(__xludf.DUMMYFUNCTION("""COMPUTED_VALUE"""),36873.645833333336)</f>
        <v>36873.64583</v>
      </c>
      <c r="B240" s="2">
        <f>IFERROR(__xludf.DUMMYFUNCTION("""COMPUTED_VALUE"""),22.95)</f>
        <v>22.95</v>
      </c>
      <c r="C240" s="2">
        <f>IFERROR(__xludf.DUMMYFUNCTION("""COMPUTED_VALUE"""),24.4)</f>
        <v>24.4</v>
      </c>
      <c r="D240" s="2">
        <f>IFERROR(__xludf.DUMMYFUNCTION("""COMPUTED_VALUE"""),22.91)</f>
        <v>22.91</v>
      </c>
      <c r="E240" s="2">
        <f>IFERROR(__xludf.DUMMYFUNCTION("""COMPUTED_VALUE"""),23.45)</f>
        <v>23.45</v>
      </c>
      <c r="F240" s="2">
        <f>IFERROR(__xludf.DUMMYFUNCTION("""COMPUTED_VALUE"""),496545.0)</f>
        <v>496545</v>
      </c>
    </row>
    <row r="241">
      <c r="A241" s="3">
        <f>IFERROR(__xludf.DUMMYFUNCTION("""COMPUTED_VALUE"""),36874.645833333336)</f>
        <v>36874.64583</v>
      </c>
      <c r="B241" s="2">
        <f>IFERROR(__xludf.DUMMYFUNCTION("""COMPUTED_VALUE"""),23.5)</f>
        <v>23.5</v>
      </c>
      <c r="C241" s="2">
        <f>IFERROR(__xludf.DUMMYFUNCTION("""COMPUTED_VALUE"""),23.7)</f>
        <v>23.7</v>
      </c>
      <c r="D241" s="2">
        <f>IFERROR(__xludf.DUMMYFUNCTION("""COMPUTED_VALUE"""),22.8)</f>
        <v>22.8</v>
      </c>
      <c r="E241" s="2">
        <f>IFERROR(__xludf.DUMMYFUNCTION("""COMPUTED_VALUE"""),22.93)</f>
        <v>22.93</v>
      </c>
      <c r="F241" s="2">
        <f>IFERROR(__xludf.DUMMYFUNCTION("""COMPUTED_VALUE"""),174675.0)</f>
        <v>174675</v>
      </c>
    </row>
    <row r="242">
      <c r="A242" s="3">
        <f>IFERROR(__xludf.DUMMYFUNCTION("""COMPUTED_VALUE"""),36875.645833333336)</f>
        <v>36875.64583</v>
      </c>
      <c r="B242" s="2">
        <f>IFERROR(__xludf.DUMMYFUNCTION("""COMPUTED_VALUE"""),23.2)</f>
        <v>23.2</v>
      </c>
      <c r="C242" s="2">
        <f>IFERROR(__xludf.DUMMYFUNCTION("""COMPUTED_VALUE"""),23.2)</f>
        <v>23.2</v>
      </c>
      <c r="D242" s="2">
        <f>IFERROR(__xludf.DUMMYFUNCTION("""COMPUTED_VALUE"""),21.88)</f>
        <v>21.88</v>
      </c>
      <c r="E242" s="2">
        <f>IFERROR(__xludf.DUMMYFUNCTION("""COMPUTED_VALUE"""),21.98)</f>
        <v>21.98</v>
      </c>
      <c r="F242" s="2">
        <f>IFERROR(__xludf.DUMMYFUNCTION("""COMPUTED_VALUE"""),224568.0)</f>
        <v>224568</v>
      </c>
    </row>
    <row r="243">
      <c r="A243" s="3">
        <f>IFERROR(__xludf.DUMMYFUNCTION("""COMPUTED_VALUE"""),36878.645833333336)</f>
        <v>36878.64583</v>
      </c>
      <c r="B243" s="2">
        <f>IFERROR(__xludf.DUMMYFUNCTION("""COMPUTED_VALUE"""),21.31)</f>
        <v>21.31</v>
      </c>
      <c r="C243" s="2">
        <f>IFERROR(__xludf.DUMMYFUNCTION("""COMPUTED_VALUE"""),21.99)</f>
        <v>21.99</v>
      </c>
      <c r="D243" s="2">
        <f>IFERROR(__xludf.DUMMYFUNCTION("""COMPUTED_VALUE"""),21.31)</f>
        <v>21.31</v>
      </c>
      <c r="E243" s="2">
        <f>IFERROR(__xludf.DUMMYFUNCTION("""COMPUTED_VALUE"""),21.71)</f>
        <v>21.71</v>
      </c>
      <c r="F243" s="2">
        <f>IFERROR(__xludf.DUMMYFUNCTION("""COMPUTED_VALUE"""),138443.0)</f>
        <v>138443</v>
      </c>
    </row>
    <row r="244">
      <c r="A244" s="3">
        <f>IFERROR(__xludf.DUMMYFUNCTION("""COMPUTED_VALUE"""),36879.645833333336)</f>
        <v>36879.64583</v>
      </c>
      <c r="B244" s="2">
        <f>IFERROR(__xludf.DUMMYFUNCTION("""COMPUTED_VALUE"""),21.75)</f>
        <v>21.75</v>
      </c>
      <c r="C244" s="2">
        <f>IFERROR(__xludf.DUMMYFUNCTION("""COMPUTED_VALUE"""),21.91)</f>
        <v>21.91</v>
      </c>
      <c r="D244" s="2">
        <f>IFERROR(__xludf.DUMMYFUNCTION("""COMPUTED_VALUE"""),21.41)</f>
        <v>21.41</v>
      </c>
      <c r="E244" s="2">
        <f>IFERROR(__xludf.DUMMYFUNCTION("""COMPUTED_VALUE"""),21.51)</f>
        <v>21.51</v>
      </c>
      <c r="F244" s="2">
        <f>IFERROR(__xludf.DUMMYFUNCTION("""COMPUTED_VALUE"""),263238.0)</f>
        <v>263238</v>
      </c>
    </row>
    <row r="245">
      <c r="A245" s="3">
        <f>IFERROR(__xludf.DUMMYFUNCTION("""COMPUTED_VALUE"""),36880.645833333336)</f>
        <v>36880.64583</v>
      </c>
      <c r="B245" s="2">
        <f>IFERROR(__xludf.DUMMYFUNCTION("""COMPUTED_VALUE"""),21.7)</f>
        <v>21.7</v>
      </c>
      <c r="C245" s="2">
        <f>IFERROR(__xludf.DUMMYFUNCTION("""COMPUTED_VALUE"""),22.19)</f>
        <v>22.19</v>
      </c>
      <c r="D245" s="2">
        <f>IFERROR(__xludf.DUMMYFUNCTION("""COMPUTED_VALUE"""),21.55)</f>
        <v>21.55</v>
      </c>
      <c r="E245" s="2">
        <f>IFERROR(__xludf.DUMMYFUNCTION("""COMPUTED_VALUE"""),22.0)</f>
        <v>22</v>
      </c>
      <c r="F245" s="2">
        <f>IFERROR(__xludf.DUMMYFUNCTION("""COMPUTED_VALUE"""),177651.0)</f>
        <v>177651</v>
      </c>
    </row>
    <row r="246">
      <c r="A246" s="3">
        <f>IFERROR(__xludf.DUMMYFUNCTION("""COMPUTED_VALUE"""),36881.645833333336)</f>
        <v>36881.64583</v>
      </c>
      <c r="B246" s="2">
        <f>IFERROR(__xludf.DUMMYFUNCTION("""COMPUTED_VALUE"""),21.7)</f>
        <v>21.7</v>
      </c>
      <c r="C246" s="2">
        <f>IFERROR(__xludf.DUMMYFUNCTION("""COMPUTED_VALUE"""),22.05)</f>
        <v>22.05</v>
      </c>
      <c r="D246" s="2">
        <f>IFERROR(__xludf.DUMMYFUNCTION("""COMPUTED_VALUE"""),21.5)</f>
        <v>21.5</v>
      </c>
      <c r="E246" s="2">
        <f>IFERROR(__xludf.DUMMYFUNCTION("""COMPUTED_VALUE"""),21.77)</f>
        <v>21.77</v>
      </c>
      <c r="F246" s="2">
        <f>IFERROR(__xludf.DUMMYFUNCTION("""COMPUTED_VALUE"""),137770.0)</f>
        <v>137770</v>
      </c>
    </row>
    <row r="247">
      <c r="A247" s="3">
        <f>IFERROR(__xludf.DUMMYFUNCTION("""COMPUTED_VALUE"""),36882.645833333336)</f>
        <v>36882.64583</v>
      </c>
      <c r="B247" s="2">
        <f>IFERROR(__xludf.DUMMYFUNCTION("""COMPUTED_VALUE"""),21.99)</f>
        <v>21.99</v>
      </c>
      <c r="C247" s="2">
        <f>IFERROR(__xludf.DUMMYFUNCTION("""COMPUTED_VALUE"""),22.0)</f>
        <v>22</v>
      </c>
      <c r="D247" s="2">
        <f>IFERROR(__xludf.DUMMYFUNCTION("""COMPUTED_VALUE"""),21.57)</f>
        <v>21.57</v>
      </c>
      <c r="E247" s="2">
        <f>IFERROR(__xludf.DUMMYFUNCTION("""COMPUTED_VALUE"""),21.63)</f>
        <v>21.63</v>
      </c>
      <c r="F247" s="2">
        <f>IFERROR(__xludf.DUMMYFUNCTION("""COMPUTED_VALUE"""),106109.0)</f>
        <v>106109</v>
      </c>
    </row>
    <row r="248">
      <c r="A248" s="3">
        <f>IFERROR(__xludf.DUMMYFUNCTION("""COMPUTED_VALUE"""),36886.645833333336)</f>
        <v>36886.64583</v>
      </c>
      <c r="B248" s="2">
        <f>IFERROR(__xludf.DUMMYFUNCTION("""COMPUTED_VALUE"""),21.52)</f>
        <v>21.52</v>
      </c>
      <c r="C248" s="2">
        <f>IFERROR(__xludf.DUMMYFUNCTION("""COMPUTED_VALUE"""),21.9)</f>
        <v>21.9</v>
      </c>
      <c r="D248" s="2">
        <f>IFERROR(__xludf.DUMMYFUNCTION("""COMPUTED_VALUE"""),21.24)</f>
        <v>21.24</v>
      </c>
      <c r="E248" s="2">
        <f>IFERROR(__xludf.DUMMYFUNCTION("""COMPUTED_VALUE"""),21.54)</f>
        <v>21.54</v>
      </c>
      <c r="F248" s="2">
        <f>IFERROR(__xludf.DUMMYFUNCTION("""COMPUTED_VALUE"""),190046.0)</f>
        <v>190046</v>
      </c>
    </row>
    <row r="249">
      <c r="A249" s="3">
        <f>IFERROR(__xludf.DUMMYFUNCTION("""COMPUTED_VALUE"""),36887.645833333336)</f>
        <v>36887.64583</v>
      </c>
      <c r="B249" s="2">
        <f>IFERROR(__xludf.DUMMYFUNCTION("""COMPUTED_VALUE"""),21.55)</f>
        <v>21.55</v>
      </c>
      <c r="C249" s="2">
        <f>IFERROR(__xludf.DUMMYFUNCTION("""COMPUTED_VALUE"""),22.0)</f>
        <v>22</v>
      </c>
      <c r="D249" s="2">
        <f>IFERROR(__xludf.DUMMYFUNCTION("""COMPUTED_VALUE"""),21.55)</f>
        <v>21.55</v>
      </c>
      <c r="E249" s="2">
        <f>IFERROR(__xludf.DUMMYFUNCTION("""COMPUTED_VALUE"""),21.83)</f>
        <v>21.83</v>
      </c>
      <c r="F249" s="2">
        <f>IFERROR(__xludf.DUMMYFUNCTION("""COMPUTED_VALUE"""),71141.0)</f>
        <v>71141</v>
      </c>
    </row>
    <row r="250">
      <c r="A250" s="3">
        <f>IFERROR(__xludf.DUMMYFUNCTION("""COMPUTED_VALUE"""),36888.645833333336)</f>
        <v>36888.64583</v>
      </c>
      <c r="B250" s="2">
        <f>IFERROR(__xludf.DUMMYFUNCTION("""COMPUTED_VALUE"""),21.87)</f>
        <v>21.87</v>
      </c>
      <c r="C250" s="2">
        <f>IFERROR(__xludf.DUMMYFUNCTION("""COMPUTED_VALUE"""),22.5)</f>
        <v>22.5</v>
      </c>
      <c r="D250" s="2">
        <f>IFERROR(__xludf.DUMMYFUNCTION("""COMPUTED_VALUE"""),21.87)</f>
        <v>21.87</v>
      </c>
      <c r="E250" s="2">
        <f>IFERROR(__xludf.DUMMYFUNCTION("""COMPUTED_VALUE"""),22.01)</f>
        <v>22.01</v>
      </c>
      <c r="F250" s="2">
        <f>IFERROR(__xludf.DUMMYFUNCTION("""COMPUTED_VALUE"""),175348.0)</f>
        <v>175348</v>
      </c>
    </row>
    <row r="251">
      <c r="A251" s="3">
        <f>IFERROR(__xludf.DUMMYFUNCTION("""COMPUTED_VALUE"""),36889.645833333336)</f>
        <v>36889.64583</v>
      </c>
      <c r="B251" s="2">
        <f>IFERROR(__xludf.DUMMYFUNCTION("""COMPUTED_VALUE"""),22.1)</f>
        <v>22.1</v>
      </c>
      <c r="C251" s="2">
        <f>IFERROR(__xludf.DUMMYFUNCTION("""COMPUTED_VALUE"""),22.48)</f>
        <v>22.48</v>
      </c>
      <c r="D251" s="2">
        <f>IFERROR(__xludf.DUMMYFUNCTION("""COMPUTED_VALUE"""),22.0)</f>
        <v>22</v>
      </c>
      <c r="E251" s="2">
        <f>IFERROR(__xludf.DUMMYFUNCTION("""COMPUTED_VALUE"""),22.28)</f>
        <v>22.28</v>
      </c>
      <c r="F251" s="2">
        <f>IFERROR(__xludf.DUMMYFUNCTION("""COMPUTED_VALUE"""),180270.0)</f>
        <v>180270</v>
      </c>
    </row>
    <row r="252">
      <c r="A252" s="3">
        <f>IFERROR(__xludf.DUMMYFUNCTION("""COMPUTED_VALUE"""),36892.645833333336)</f>
        <v>36892.64583</v>
      </c>
      <c r="B252" s="2">
        <f>IFERROR(__xludf.DUMMYFUNCTION("""COMPUTED_VALUE"""),22.49)</f>
        <v>22.49</v>
      </c>
      <c r="C252" s="2">
        <f>IFERROR(__xludf.DUMMYFUNCTION("""COMPUTED_VALUE"""),22.58)</f>
        <v>22.58</v>
      </c>
      <c r="D252" s="2">
        <f>IFERROR(__xludf.DUMMYFUNCTION("""COMPUTED_VALUE"""),22.2)</f>
        <v>22.2</v>
      </c>
      <c r="E252" s="2">
        <f>IFERROR(__xludf.DUMMYFUNCTION("""COMPUTED_VALUE"""),22.23)</f>
        <v>22.23</v>
      </c>
      <c r="F252" s="2">
        <f>IFERROR(__xludf.DUMMYFUNCTION("""COMPUTED_VALUE"""),100359.0)</f>
        <v>100359</v>
      </c>
    </row>
    <row r="253">
      <c r="A253" s="3">
        <f>IFERROR(__xludf.DUMMYFUNCTION("""COMPUTED_VALUE"""),36893.645833333336)</f>
        <v>36893.64583</v>
      </c>
      <c r="B253" s="2">
        <f>IFERROR(__xludf.DUMMYFUNCTION("""COMPUTED_VALUE"""),22.29)</f>
        <v>22.29</v>
      </c>
      <c r="C253" s="2">
        <f>IFERROR(__xludf.DUMMYFUNCTION("""COMPUTED_VALUE"""),22.5)</f>
        <v>22.5</v>
      </c>
      <c r="D253" s="2">
        <f>IFERROR(__xludf.DUMMYFUNCTION("""COMPUTED_VALUE"""),21.9)</f>
        <v>21.9</v>
      </c>
      <c r="E253" s="2">
        <f>IFERROR(__xludf.DUMMYFUNCTION("""COMPUTED_VALUE"""),22.4)</f>
        <v>22.4</v>
      </c>
      <c r="F253" s="2">
        <f>IFERROR(__xludf.DUMMYFUNCTION("""COMPUTED_VALUE"""),178681.0)</f>
        <v>178681</v>
      </c>
    </row>
    <row r="254">
      <c r="A254" s="3">
        <f>IFERROR(__xludf.DUMMYFUNCTION("""COMPUTED_VALUE"""),36894.645833333336)</f>
        <v>36894.64583</v>
      </c>
      <c r="B254" s="2">
        <f>IFERROR(__xludf.DUMMYFUNCTION("""COMPUTED_VALUE"""),22.7)</f>
        <v>22.7</v>
      </c>
      <c r="C254" s="2">
        <f>IFERROR(__xludf.DUMMYFUNCTION("""COMPUTED_VALUE"""),23.5)</f>
        <v>23.5</v>
      </c>
      <c r="D254" s="2">
        <f>IFERROR(__xludf.DUMMYFUNCTION("""COMPUTED_VALUE"""),22.5)</f>
        <v>22.5</v>
      </c>
      <c r="E254" s="2">
        <f>IFERROR(__xludf.DUMMYFUNCTION("""COMPUTED_VALUE"""),22.59)</f>
        <v>22.59</v>
      </c>
      <c r="F254" s="2">
        <f>IFERROR(__xludf.DUMMYFUNCTION("""COMPUTED_VALUE"""),420754.0)</f>
        <v>420754</v>
      </c>
    </row>
    <row r="255">
      <c r="A255" s="3">
        <f>IFERROR(__xludf.DUMMYFUNCTION("""COMPUTED_VALUE"""),36895.645833333336)</f>
        <v>36895.64583</v>
      </c>
      <c r="B255" s="2">
        <f>IFERROR(__xludf.DUMMYFUNCTION("""COMPUTED_VALUE"""),22.84)</f>
        <v>22.84</v>
      </c>
      <c r="C255" s="2">
        <f>IFERROR(__xludf.DUMMYFUNCTION("""COMPUTED_VALUE"""),22.99)</f>
        <v>22.99</v>
      </c>
      <c r="D255" s="2">
        <f>IFERROR(__xludf.DUMMYFUNCTION("""COMPUTED_VALUE"""),22.47)</f>
        <v>22.47</v>
      </c>
      <c r="E255" s="2">
        <f>IFERROR(__xludf.DUMMYFUNCTION("""COMPUTED_VALUE"""),22.54)</f>
        <v>22.54</v>
      </c>
      <c r="F255" s="2">
        <f>IFERROR(__xludf.DUMMYFUNCTION("""COMPUTED_VALUE"""),212527.0)</f>
        <v>212527</v>
      </c>
    </row>
    <row r="256">
      <c r="A256" s="3">
        <f>IFERROR(__xludf.DUMMYFUNCTION("""COMPUTED_VALUE"""),36896.645833333336)</f>
        <v>36896.64583</v>
      </c>
      <c r="B256" s="2">
        <f>IFERROR(__xludf.DUMMYFUNCTION("""COMPUTED_VALUE"""),22.55)</f>
        <v>22.55</v>
      </c>
      <c r="C256" s="2">
        <f>IFERROR(__xludf.DUMMYFUNCTION("""COMPUTED_VALUE"""),23.0)</f>
        <v>23</v>
      </c>
      <c r="D256" s="2">
        <f>IFERROR(__xludf.DUMMYFUNCTION("""COMPUTED_VALUE"""),22.47)</f>
        <v>22.47</v>
      </c>
      <c r="E256" s="2">
        <f>IFERROR(__xludf.DUMMYFUNCTION("""COMPUTED_VALUE"""),22.86)</f>
        <v>22.86</v>
      </c>
      <c r="F256" s="2">
        <f>IFERROR(__xludf.DUMMYFUNCTION("""COMPUTED_VALUE"""),161844.0)</f>
        <v>161844</v>
      </c>
    </row>
    <row r="257">
      <c r="A257" s="3">
        <f>IFERROR(__xludf.DUMMYFUNCTION("""COMPUTED_VALUE"""),36899.645833333336)</f>
        <v>36899.64583</v>
      </c>
      <c r="B257" s="2">
        <f>IFERROR(__xludf.DUMMYFUNCTION("""COMPUTED_VALUE"""),22.7)</f>
        <v>22.7</v>
      </c>
      <c r="C257" s="2">
        <f>IFERROR(__xludf.DUMMYFUNCTION("""COMPUTED_VALUE"""),23.2)</f>
        <v>23.2</v>
      </c>
      <c r="D257" s="2">
        <f>IFERROR(__xludf.DUMMYFUNCTION("""COMPUTED_VALUE"""),22.7)</f>
        <v>22.7</v>
      </c>
      <c r="E257" s="2">
        <f>IFERROR(__xludf.DUMMYFUNCTION("""COMPUTED_VALUE"""),23.02)</f>
        <v>23.02</v>
      </c>
      <c r="F257" s="2">
        <f>IFERROR(__xludf.DUMMYFUNCTION("""COMPUTED_VALUE"""),259613.0)</f>
        <v>259613</v>
      </c>
    </row>
    <row r="258">
      <c r="A258" s="3">
        <f>IFERROR(__xludf.DUMMYFUNCTION("""COMPUTED_VALUE"""),36900.645833333336)</f>
        <v>36900.64583</v>
      </c>
      <c r="B258" s="2">
        <f>IFERROR(__xludf.DUMMYFUNCTION("""COMPUTED_VALUE"""),23.07)</f>
        <v>23.07</v>
      </c>
      <c r="C258" s="2">
        <f>IFERROR(__xludf.DUMMYFUNCTION("""COMPUTED_VALUE"""),23.8)</f>
        <v>23.8</v>
      </c>
      <c r="D258" s="2">
        <f>IFERROR(__xludf.DUMMYFUNCTION("""COMPUTED_VALUE"""),22.92)</f>
        <v>22.92</v>
      </c>
      <c r="E258" s="2">
        <f>IFERROR(__xludf.DUMMYFUNCTION("""COMPUTED_VALUE"""),23.58)</f>
        <v>23.58</v>
      </c>
      <c r="F258" s="2">
        <f>IFERROR(__xludf.DUMMYFUNCTION("""COMPUTED_VALUE"""),269985.0)</f>
        <v>269985</v>
      </c>
    </row>
    <row r="259">
      <c r="A259" s="3">
        <f>IFERROR(__xludf.DUMMYFUNCTION("""COMPUTED_VALUE"""),36901.645833333336)</f>
        <v>36901.64583</v>
      </c>
      <c r="B259" s="2">
        <f>IFERROR(__xludf.DUMMYFUNCTION("""COMPUTED_VALUE"""),23.86)</f>
        <v>23.86</v>
      </c>
      <c r="C259" s="2">
        <f>IFERROR(__xludf.DUMMYFUNCTION("""COMPUTED_VALUE"""),24.0)</f>
        <v>24</v>
      </c>
      <c r="D259" s="2">
        <f>IFERROR(__xludf.DUMMYFUNCTION("""COMPUTED_VALUE"""),22.41)</f>
        <v>22.41</v>
      </c>
      <c r="E259" s="2">
        <f>IFERROR(__xludf.DUMMYFUNCTION("""COMPUTED_VALUE"""),22.54)</f>
        <v>22.54</v>
      </c>
      <c r="F259" s="2">
        <f>IFERROR(__xludf.DUMMYFUNCTION("""COMPUTED_VALUE"""),325928.0)</f>
        <v>325928</v>
      </c>
    </row>
    <row r="260">
      <c r="A260" s="3">
        <f>IFERROR(__xludf.DUMMYFUNCTION("""COMPUTED_VALUE"""),36902.645833333336)</f>
        <v>36902.64583</v>
      </c>
      <c r="B260" s="2">
        <f>IFERROR(__xludf.DUMMYFUNCTION("""COMPUTED_VALUE"""),22.8)</f>
        <v>22.8</v>
      </c>
      <c r="C260" s="2">
        <f>IFERROR(__xludf.DUMMYFUNCTION("""COMPUTED_VALUE"""),23.2)</f>
        <v>23.2</v>
      </c>
      <c r="D260" s="2">
        <f>IFERROR(__xludf.DUMMYFUNCTION("""COMPUTED_VALUE"""),22.6)</f>
        <v>22.6</v>
      </c>
      <c r="E260" s="2">
        <f>IFERROR(__xludf.DUMMYFUNCTION("""COMPUTED_VALUE"""),22.89)</f>
        <v>22.89</v>
      </c>
      <c r="F260" s="2">
        <f>IFERROR(__xludf.DUMMYFUNCTION("""COMPUTED_VALUE"""),189900.0)</f>
        <v>189900</v>
      </c>
    </row>
    <row r="261">
      <c r="A261" s="3">
        <f>IFERROR(__xludf.DUMMYFUNCTION("""COMPUTED_VALUE"""),36903.645833333336)</f>
        <v>36903.64583</v>
      </c>
      <c r="B261" s="2">
        <f>IFERROR(__xludf.DUMMYFUNCTION("""COMPUTED_VALUE"""),23.15)</f>
        <v>23.15</v>
      </c>
      <c r="C261" s="2">
        <f>IFERROR(__xludf.DUMMYFUNCTION("""COMPUTED_VALUE"""),23.9)</f>
        <v>23.9</v>
      </c>
      <c r="D261" s="2">
        <f>IFERROR(__xludf.DUMMYFUNCTION("""COMPUTED_VALUE"""),23.0)</f>
        <v>23</v>
      </c>
      <c r="E261" s="2">
        <f>IFERROR(__xludf.DUMMYFUNCTION("""COMPUTED_VALUE"""),23.73)</f>
        <v>23.73</v>
      </c>
      <c r="F261" s="2">
        <f>IFERROR(__xludf.DUMMYFUNCTION("""COMPUTED_VALUE"""),394676.0)</f>
        <v>394676</v>
      </c>
    </row>
    <row r="262">
      <c r="A262" s="3">
        <f>IFERROR(__xludf.DUMMYFUNCTION("""COMPUTED_VALUE"""),36906.645833333336)</f>
        <v>36906.64583</v>
      </c>
      <c r="B262" s="2">
        <f>IFERROR(__xludf.DUMMYFUNCTION("""COMPUTED_VALUE"""),23.98)</f>
        <v>23.98</v>
      </c>
      <c r="C262" s="2">
        <f>IFERROR(__xludf.DUMMYFUNCTION("""COMPUTED_VALUE"""),25.19)</f>
        <v>25.19</v>
      </c>
      <c r="D262" s="2">
        <f>IFERROR(__xludf.DUMMYFUNCTION("""COMPUTED_VALUE"""),23.9)</f>
        <v>23.9</v>
      </c>
      <c r="E262" s="2">
        <f>IFERROR(__xludf.DUMMYFUNCTION("""COMPUTED_VALUE"""),24.9)</f>
        <v>24.9</v>
      </c>
      <c r="F262" s="2">
        <f>IFERROR(__xludf.DUMMYFUNCTION("""COMPUTED_VALUE"""),489958.0)</f>
        <v>489958</v>
      </c>
    </row>
    <row r="263">
      <c r="A263" s="3">
        <f>IFERROR(__xludf.DUMMYFUNCTION("""COMPUTED_VALUE"""),36907.645833333336)</f>
        <v>36907.64583</v>
      </c>
      <c r="B263" s="2">
        <f>IFERROR(__xludf.DUMMYFUNCTION("""COMPUTED_VALUE"""),25.0)</f>
        <v>25</v>
      </c>
      <c r="C263" s="2">
        <f>IFERROR(__xludf.DUMMYFUNCTION("""COMPUTED_VALUE"""),25.16)</f>
        <v>25.16</v>
      </c>
      <c r="D263" s="2">
        <f>IFERROR(__xludf.DUMMYFUNCTION("""COMPUTED_VALUE"""),24.61)</f>
        <v>24.61</v>
      </c>
      <c r="E263" s="2">
        <f>IFERROR(__xludf.DUMMYFUNCTION("""COMPUTED_VALUE"""),25.0)</f>
        <v>25</v>
      </c>
      <c r="F263" s="2">
        <f>IFERROR(__xludf.DUMMYFUNCTION("""COMPUTED_VALUE"""),286315.0)</f>
        <v>286315</v>
      </c>
    </row>
    <row r="264">
      <c r="A264" s="3">
        <f>IFERROR(__xludf.DUMMYFUNCTION("""COMPUTED_VALUE"""),36908.645833333336)</f>
        <v>36908.64583</v>
      </c>
      <c r="B264" s="2">
        <f>IFERROR(__xludf.DUMMYFUNCTION("""COMPUTED_VALUE"""),24.9)</f>
        <v>24.9</v>
      </c>
      <c r="C264" s="2">
        <f>IFERROR(__xludf.DUMMYFUNCTION("""COMPUTED_VALUE"""),25.1)</f>
        <v>25.1</v>
      </c>
      <c r="D264" s="2">
        <f>IFERROR(__xludf.DUMMYFUNCTION("""COMPUTED_VALUE"""),24.52)</f>
        <v>24.52</v>
      </c>
      <c r="E264" s="2">
        <f>IFERROR(__xludf.DUMMYFUNCTION("""COMPUTED_VALUE"""),24.92)</f>
        <v>24.92</v>
      </c>
      <c r="F264" s="2">
        <f>IFERROR(__xludf.DUMMYFUNCTION("""COMPUTED_VALUE"""),208308.0)</f>
        <v>208308</v>
      </c>
    </row>
    <row r="265">
      <c r="A265" s="3">
        <f>IFERROR(__xludf.DUMMYFUNCTION("""COMPUTED_VALUE"""),36909.645833333336)</f>
        <v>36909.64583</v>
      </c>
      <c r="B265" s="2">
        <f>IFERROR(__xludf.DUMMYFUNCTION("""COMPUTED_VALUE"""),25.0)</f>
        <v>25</v>
      </c>
      <c r="C265" s="2">
        <f>IFERROR(__xludf.DUMMYFUNCTION("""COMPUTED_VALUE"""),25.05)</f>
        <v>25.05</v>
      </c>
      <c r="D265" s="2">
        <f>IFERROR(__xludf.DUMMYFUNCTION("""COMPUTED_VALUE"""),24.6)</f>
        <v>24.6</v>
      </c>
      <c r="E265" s="2">
        <f>IFERROR(__xludf.DUMMYFUNCTION("""COMPUTED_VALUE"""),24.99)</f>
        <v>24.99</v>
      </c>
      <c r="F265" s="2">
        <f>IFERROR(__xludf.DUMMYFUNCTION("""COMPUTED_VALUE"""),169451.0)</f>
        <v>169451</v>
      </c>
    </row>
    <row r="266">
      <c r="A266" s="3">
        <f>IFERROR(__xludf.DUMMYFUNCTION("""COMPUTED_VALUE"""),36910.645833333336)</f>
        <v>36910.64583</v>
      </c>
      <c r="B266" s="2">
        <f>IFERROR(__xludf.DUMMYFUNCTION("""COMPUTED_VALUE"""),24.99)</f>
        <v>24.99</v>
      </c>
      <c r="C266" s="2">
        <f>IFERROR(__xludf.DUMMYFUNCTION("""COMPUTED_VALUE"""),25.4)</f>
        <v>25.4</v>
      </c>
      <c r="D266" s="2">
        <f>IFERROR(__xludf.DUMMYFUNCTION("""COMPUTED_VALUE"""),24.61)</f>
        <v>24.61</v>
      </c>
      <c r="E266" s="2">
        <f>IFERROR(__xludf.DUMMYFUNCTION("""COMPUTED_VALUE"""),25.18)</f>
        <v>25.18</v>
      </c>
      <c r="F266" s="2">
        <f>IFERROR(__xludf.DUMMYFUNCTION("""COMPUTED_VALUE"""),306254.0)</f>
        <v>306254</v>
      </c>
    </row>
    <row r="267">
      <c r="A267" s="3">
        <f>IFERROR(__xludf.DUMMYFUNCTION("""COMPUTED_VALUE"""),36913.645833333336)</f>
        <v>36913.64583</v>
      </c>
      <c r="B267" s="2">
        <f>IFERROR(__xludf.DUMMYFUNCTION("""COMPUTED_VALUE"""),25.3)</f>
        <v>25.3</v>
      </c>
      <c r="C267" s="2">
        <f>IFERROR(__xludf.DUMMYFUNCTION("""COMPUTED_VALUE"""),25.95)</f>
        <v>25.95</v>
      </c>
      <c r="D267" s="2">
        <f>IFERROR(__xludf.DUMMYFUNCTION("""COMPUTED_VALUE"""),24.59)</f>
        <v>24.59</v>
      </c>
      <c r="E267" s="2">
        <f>IFERROR(__xludf.DUMMYFUNCTION("""COMPUTED_VALUE"""),24.81)</f>
        <v>24.81</v>
      </c>
      <c r="F267" s="2">
        <f>IFERROR(__xludf.DUMMYFUNCTION("""COMPUTED_VALUE"""),255351.0)</f>
        <v>255351</v>
      </c>
    </row>
    <row r="268">
      <c r="A268" s="3">
        <f>IFERROR(__xludf.DUMMYFUNCTION("""COMPUTED_VALUE"""),36914.645833333336)</f>
        <v>36914.64583</v>
      </c>
      <c r="B268" s="2">
        <f>IFERROR(__xludf.DUMMYFUNCTION("""COMPUTED_VALUE"""),24.83)</f>
        <v>24.83</v>
      </c>
      <c r="C268" s="2">
        <f>IFERROR(__xludf.DUMMYFUNCTION("""COMPUTED_VALUE"""),25.3)</f>
        <v>25.3</v>
      </c>
      <c r="D268" s="2">
        <f>IFERROR(__xludf.DUMMYFUNCTION("""COMPUTED_VALUE"""),24.83)</f>
        <v>24.83</v>
      </c>
      <c r="E268" s="2">
        <f>IFERROR(__xludf.DUMMYFUNCTION("""COMPUTED_VALUE"""),24.97)</f>
        <v>24.97</v>
      </c>
      <c r="F268" s="2">
        <f>IFERROR(__xludf.DUMMYFUNCTION("""COMPUTED_VALUE"""),107406.0)</f>
        <v>107406</v>
      </c>
    </row>
    <row r="269">
      <c r="A269" s="3">
        <f>IFERROR(__xludf.DUMMYFUNCTION("""COMPUTED_VALUE"""),36915.645833333336)</f>
        <v>36915.64583</v>
      </c>
      <c r="B269" s="2">
        <f>IFERROR(__xludf.DUMMYFUNCTION("""COMPUTED_VALUE"""),24.9)</f>
        <v>24.9</v>
      </c>
      <c r="C269" s="2">
        <f>IFERROR(__xludf.DUMMYFUNCTION("""COMPUTED_VALUE"""),25.1)</f>
        <v>25.1</v>
      </c>
      <c r="D269" s="2">
        <f>IFERROR(__xludf.DUMMYFUNCTION("""COMPUTED_VALUE"""),24.65)</f>
        <v>24.65</v>
      </c>
      <c r="E269" s="2">
        <f>IFERROR(__xludf.DUMMYFUNCTION("""COMPUTED_VALUE"""),24.94)</f>
        <v>24.94</v>
      </c>
      <c r="F269" s="2">
        <f>IFERROR(__xludf.DUMMYFUNCTION("""COMPUTED_VALUE"""),107105.0)</f>
        <v>107105</v>
      </c>
    </row>
    <row r="270">
      <c r="A270" s="3">
        <f>IFERROR(__xludf.DUMMYFUNCTION("""COMPUTED_VALUE"""),36916.645833333336)</f>
        <v>36916.64583</v>
      </c>
      <c r="B270" s="2">
        <f>IFERROR(__xludf.DUMMYFUNCTION("""COMPUTED_VALUE"""),24.95)</f>
        <v>24.95</v>
      </c>
      <c r="C270" s="2">
        <f>IFERROR(__xludf.DUMMYFUNCTION("""COMPUTED_VALUE"""),25.5)</f>
        <v>25.5</v>
      </c>
      <c r="D270" s="2">
        <f>IFERROR(__xludf.DUMMYFUNCTION("""COMPUTED_VALUE"""),24.8)</f>
        <v>24.8</v>
      </c>
      <c r="E270" s="2">
        <f>IFERROR(__xludf.DUMMYFUNCTION("""COMPUTED_VALUE"""),24.96)</f>
        <v>24.96</v>
      </c>
      <c r="F270" s="2">
        <f>IFERROR(__xludf.DUMMYFUNCTION("""COMPUTED_VALUE"""),127993.0)</f>
        <v>127993</v>
      </c>
    </row>
    <row r="271">
      <c r="A271" s="3">
        <f>IFERROR(__xludf.DUMMYFUNCTION("""COMPUTED_VALUE"""),36920.645833333336)</f>
        <v>36920.64583</v>
      </c>
      <c r="B271" s="2">
        <f>IFERROR(__xludf.DUMMYFUNCTION("""COMPUTED_VALUE"""),24.8)</f>
        <v>24.8</v>
      </c>
      <c r="C271" s="2">
        <f>IFERROR(__xludf.DUMMYFUNCTION("""COMPUTED_VALUE"""),25.0)</f>
        <v>25</v>
      </c>
      <c r="D271" s="2">
        <f>IFERROR(__xludf.DUMMYFUNCTION("""COMPUTED_VALUE"""),24.3)</f>
        <v>24.3</v>
      </c>
      <c r="E271" s="2">
        <f>IFERROR(__xludf.DUMMYFUNCTION("""COMPUTED_VALUE"""),24.53)</f>
        <v>24.53</v>
      </c>
      <c r="F271" s="2">
        <f>IFERROR(__xludf.DUMMYFUNCTION("""COMPUTED_VALUE"""),164108.0)</f>
        <v>164108</v>
      </c>
    </row>
    <row r="272">
      <c r="A272" s="3">
        <f>IFERROR(__xludf.DUMMYFUNCTION("""COMPUTED_VALUE"""),36921.645833333336)</f>
        <v>36921.64583</v>
      </c>
      <c r="B272" s="2">
        <f>IFERROR(__xludf.DUMMYFUNCTION("""COMPUTED_VALUE"""),24.5)</f>
        <v>24.5</v>
      </c>
      <c r="C272" s="2">
        <f>IFERROR(__xludf.DUMMYFUNCTION("""COMPUTED_VALUE"""),25.05)</f>
        <v>25.05</v>
      </c>
      <c r="D272" s="2">
        <f>IFERROR(__xludf.DUMMYFUNCTION("""COMPUTED_VALUE"""),24.26)</f>
        <v>24.26</v>
      </c>
      <c r="E272" s="2">
        <f>IFERROR(__xludf.DUMMYFUNCTION("""COMPUTED_VALUE"""),24.94)</f>
        <v>24.94</v>
      </c>
      <c r="F272" s="2">
        <f>IFERROR(__xludf.DUMMYFUNCTION("""COMPUTED_VALUE"""),122735.0)</f>
        <v>122735</v>
      </c>
    </row>
    <row r="273">
      <c r="A273" s="3">
        <f>IFERROR(__xludf.DUMMYFUNCTION("""COMPUTED_VALUE"""),36922.645833333336)</f>
        <v>36922.64583</v>
      </c>
      <c r="B273" s="2">
        <f>IFERROR(__xludf.DUMMYFUNCTION("""COMPUTED_VALUE"""),24.6)</f>
        <v>24.6</v>
      </c>
      <c r="C273" s="2">
        <f>IFERROR(__xludf.DUMMYFUNCTION("""COMPUTED_VALUE"""),25.5)</f>
        <v>25.5</v>
      </c>
      <c r="D273" s="2">
        <f>IFERROR(__xludf.DUMMYFUNCTION("""COMPUTED_VALUE"""),24.6)</f>
        <v>24.6</v>
      </c>
      <c r="E273" s="2">
        <f>IFERROR(__xludf.DUMMYFUNCTION("""COMPUTED_VALUE"""),25.39)</f>
        <v>25.39</v>
      </c>
      <c r="F273" s="2">
        <f>IFERROR(__xludf.DUMMYFUNCTION("""COMPUTED_VALUE"""),174052.0)</f>
        <v>174052</v>
      </c>
    </row>
    <row r="274">
      <c r="A274" s="3">
        <f>IFERROR(__xludf.DUMMYFUNCTION("""COMPUTED_VALUE"""),36923.645833333336)</f>
        <v>36923.64583</v>
      </c>
      <c r="B274" s="2">
        <f>IFERROR(__xludf.DUMMYFUNCTION("""COMPUTED_VALUE"""),25.4)</f>
        <v>25.4</v>
      </c>
      <c r="C274" s="2">
        <f>IFERROR(__xludf.DUMMYFUNCTION("""COMPUTED_VALUE"""),25.51)</f>
        <v>25.51</v>
      </c>
      <c r="D274" s="2">
        <f>IFERROR(__xludf.DUMMYFUNCTION("""COMPUTED_VALUE"""),24.85)</f>
        <v>24.85</v>
      </c>
      <c r="E274" s="2">
        <f>IFERROR(__xludf.DUMMYFUNCTION("""COMPUTED_VALUE"""),25.12)</f>
        <v>25.12</v>
      </c>
      <c r="F274" s="2">
        <f>IFERROR(__xludf.DUMMYFUNCTION("""COMPUTED_VALUE"""),94243.0)</f>
        <v>94243</v>
      </c>
    </row>
    <row r="275">
      <c r="A275" s="3">
        <f>IFERROR(__xludf.DUMMYFUNCTION("""COMPUTED_VALUE"""),36924.645833333336)</f>
        <v>36924.64583</v>
      </c>
      <c r="B275" s="2">
        <f>IFERROR(__xludf.DUMMYFUNCTION("""COMPUTED_VALUE"""),25.06)</f>
        <v>25.06</v>
      </c>
      <c r="C275" s="2">
        <f>IFERROR(__xludf.DUMMYFUNCTION("""COMPUTED_VALUE"""),25.36)</f>
        <v>25.36</v>
      </c>
      <c r="D275" s="2">
        <f>IFERROR(__xludf.DUMMYFUNCTION("""COMPUTED_VALUE"""),24.85)</f>
        <v>24.85</v>
      </c>
      <c r="E275" s="2">
        <f>IFERROR(__xludf.DUMMYFUNCTION("""COMPUTED_VALUE"""),25.23)</f>
        <v>25.23</v>
      </c>
      <c r="F275" s="2">
        <f>IFERROR(__xludf.DUMMYFUNCTION("""COMPUTED_VALUE"""),84263.0)</f>
        <v>84263</v>
      </c>
    </row>
    <row r="276">
      <c r="A276" s="3">
        <f>IFERROR(__xludf.DUMMYFUNCTION("""COMPUTED_VALUE"""),36927.645833333336)</f>
        <v>36927.64583</v>
      </c>
      <c r="B276" s="2">
        <f>IFERROR(__xludf.DUMMYFUNCTION("""COMPUTED_VALUE"""),25.2)</f>
        <v>25.2</v>
      </c>
      <c r="C276" s="2">
        <f>IFERROR(__xludf.DUMMYFUNCTION("""COMPUTED_VALUE"""),27.24)</f>
        <v>27.24</v>
      </c>
      <c r="D276" s="2">
        <f>IFERROR(__xludf.DUMMYFUNCTION("""COMPUTED_VALUE"""),25.1)</f>
        <v>25.1</v>
      </c>
      <c r="E276" s="2">
        <f>IFERROR(__xludf.DUMMYFUNCTION("""COMPUTED_VALUE"""),26.4)</f>
        <v>26.4</v>
      </c>
      <c r="F276" s="2">
        <f>IFERROR(__xludf.DUMMYFUNCTION("""COMPUTED_VALUE"""),528047.0)</f>
        <v>528047</v>
      </c>
    </row>
    <row r="277">
      <c r="A277" s="3">
        <f>IFERROR(__xludf.DUMMYFUNCTION("""COMPUTED_VALUE"""),36928.645833333336)</f>
        <v>36928.64583</v>
      </c>
      <c r="B277" s="2">
        <f>IFERROR(__xludf.DUMMYFUNCTION("""COMPUTED_VALUE"""),26.3)</f>
        <v>26.3</v>
      </c>
      <c r="C277" s="2">
        <f>IFERROR(__xludf.DUMMYFUNCTION("""COMPUTED_VALUE"""),26.5)</f>
        <v>26.5</v>
      </c>
      <c r="D277" s="2">
        <f>IFERROR(__xludf.DUMMYFUNCTION("""COMPUTED_VALUE"""),25.71)</f>
        <v>25.71</v>
      </c>
      <c r="E277" s="2">
        <f>IFERROR(__xludf.DUMMYFUNCTION("""COMPUTED_VALUE"""),25.95)</f>
        <v>25.95</v>
      </c>
      <c r="F277" s="2">
        <f>IFERROR(__xludf.DUMMYFUNCTION("""COMPUTED_VALUE"""),102320.0)</f>
        <v>102320</v>
      </c>
    </row>
    <row r="278">
      <c r="A278" s="3">
        <f>IFERROR(__xludf.DUMMYFUNCTION("""COMPUTED_VALUE"""),36929.645833333336)</f>
        <v>36929.64583</v>
      </c>
      <c r="B278" s="2">
        <f>IFERROR(__xludf.DUMMYFUNCTION("""COMPUTED_VALUE"""),26.0)</f>
        <v>26</v>
      </c>
      <c r="C278" s="2">
        <f>IFERROR(__xludf.DUMMYFUNCTION("""COMPUTED_VALUE"""),26.35)</f>
        <v>26.35</v>
      </c>
      <c r="D278" s="2">
        <f>IFERROR(__xludf.DUMMYFUNCTION("""COMPUTED_VALUE"""),25.0)</f>
        <v>25</v>
      </c>
      <c r="E278" s="2">
        <f>IFERROR(__xludf.DUMMYFUNCTION("""COMPUTED_VALUE"""),25.13)</f>
        <v>25.13</v>
      </c>
      <c r="F278" s="2">
        <f>IFERROR(__xludf.DUMMYFUNCTION("""COMPUTED_VALUE"""),114416.0)</f>
        <v>114416</v>
      </c>
    </row>
    <row r="279">
      <c r="A279" s="3">
        <f>IFERROR(__xludf.DUMMYFUNCTION("""COMPUTED_VALUE"""),36930.645833333336)</f>
        <v>36930.64583</v>
      </c>
      <c r="B279" s="2">
        <f>IFERROR(__xludf.DUMMYFUNCTION("""COMPUTED_VALUE"""),25.18)</f>
        <v>25.18</v>
      </c>
      <c r="C279" s="2">
        <f>IFERROR(__xludf.DUMMYFUNCTION("""COMPUTED_VALUE"""),25.9)</f>
        <v>25.9</v>
      </c>
      <c r="D279" s="2">
        <f>IFERROR(__xludf.DUMMYFUNCTION("""COMPUTED_VALUE"""),25.0)</f>
        <v>25</v>
      </c>
      <c r="E279" s="2">
        <f>IFERROR(__xludf.DUMMYFUNCTION("""COMPUTED_VALUE"""),25.83)</f>
        <v>25.83</v>
      </c>
      <c r="F279" s="2">
        <f>IFERROR(__xludf.DUMMYFUNCTION("""COMPUTED_VALUE"""),124721.0)</f>
        <v>124721</v>
      </c>
    </row>
    <row r="280">
      <c r="A280" s="3">
        <f>IFERROR(__xludf.DUMMYFUNCTION("""COMPUTED_VALUE"""),36931.645833333336)</f>
        <v>36931.64583</v>
      </c>
      <c r="B280" s="2">
        <f>IFERROR(__xludf.DUMMYFUNCTION("""COMPUTED_VALUE"""),25.99)</f>
        <v>25.99</v>
      </c>
      <c r="C280" s="2">
        <f>IFERROR(__xludf.DUMMYFUNCTION("""COMPUTED_VALUE"""),27.9)</f>
        <v>27.9</v>
      </c>
      <c r="D280" s="2">
        <f>IFERROR(__xludf.DUMMYFUNCTION("""COMPUTED_VALUE"""),25.99)</f>
        <v>25.99</v>
      </c>
      <c r="E280" s="2">
        <f>IFERROR(__xludf.DUMMYFUNCTION("""COMPUTED_VALUE"""),27.22)</f>
        <v>27.22</v>
      </c>
      <c r="F280" s="2">
        <f>IFERROR(__xludf.DUMMYFUNCTION("""COMPUTED_VALUE"""),799552.0)</f>
        <v>799552</v>
      </c>
    </row>
    <row r="281">
      <c r="A281" s="3">
        <f>IFERROR(__xludf.DUMMYFUNCTION("""COMPUTED_VALUE"""),36934.645833333336)</f>
        <v>36934.64583</v>
      </c>
      <c r="B281" s="2">
        <f>IFERROR(__xludf.DUMMYFUNCTION("""COMPUTED_VALUE"""),27.29)</f>
        <v>27.29</v>
      </c>
      <c r="C281" s="2">
        <f>IFERROR(__xludf.DUMMYFUNCTION("""COMPUTED_VALUE"""),27.39)</f>
        <v>27.39</v>
      </c>
      <c r="D281" s="2">
        <f>IFERROR(__xludf.DUMMYFUNCTION("""COMPUTED_VALUE"""),26.1)</f>
        <v>26.1</v>
      </c>
      <c r="E281" s="2">
        <f>IFERROR(__xludf.DUMMYFUNCTION("""COMPUTED_VALUE"""),26.25)</f>
        <v>26.25</v>
      </c>
      <c r="F281" s="2">
        <f>IFERROR(__xludf.DUMMYFUNCTION("""COMPUTED_VALUE"""),220103.0)</f>
        <v>220103</v>
      </c>
    </row>
    <row r="282">
      <c r="A282" s="3">
        <f>IFERROR(__xludf.DUMMYFUNCTION("""COMPUTED_VALUE"""),36935.645833333336)</f>
        <v>36935.64583</v>
      </c>
      <c r="B282" s="2">
        <f>IFERROR(__xludf.DUMMYFUNCTION("""COMPUTED_VALUE"""),26.3)</f>
        <v>26.3</v>
      </c>
      <c r="C282" s="2">
        <f>IFERROR(__xludf.DUMMYFUNCTION("""COMPUTED_VALUE"""),26.55)</f>
        <v>26.55</v>
      </c>
      <c r="D282" s="2">
        <f>IFERROR(__xludf.DUMMYFUNCTION("""COMPUTED_VALUE"""),25.75)</f>
        <v>25.75</v>
      </c>
      <c r="E282" s="2">
        <f>IFERROR(__xludf.DUMMYFUNCTION("""COMPUTED_VALUE"""),25.92)</f>
        <v>25.92</v>
      </c>
      <c r="F282" s="2">
        <f>IFERROR(__xludf.DUMMYFUNCTION("""COMPUTED_VALUE"""),181101.0)</f>
        <v>181101</v>
      </c>
    </row>
    <row r="283">
      <c r="A283" s="3">
        <f>IFERROR(__xludf.DUMMYFUNCTION("""COMPUTED_VALUE"""),36936.645833333336)</f>
        <v>36936.64583</v>
      </c>
      <c r="B283" s="2">
        <f>IFERROR(__xludf.DUMMYFUNCTION("""COMPUTED_VALUE"""),26.0)</f>
        <v>26</v>
      </c>
      <c r="C283" s="2">
        <f>IFERROR(__xludf.DUMMYFUNCTION("""COMPUTED_VALUE"""),26.57)</f>
        <v>26.57</v>
      </c>
      <c r="D283" s="2">
        <f>IFERROR(__xludf.DUMMYFUNCTION("""COMPUTED_VALUE"""),25.69)</f>
        <v>25.69</v>
      </c>
      <c r="E283" s="2">
        <f>IFERROR(__xludf.DUMMYFUNCTION("""COMPUTED_VALUE"""),26.45)</f>
        <v>26.45</v>
      </c>
      <c r="F283" s="2">
        <f>IFERROR(__xludf.DUMMYFUNCTION("""COMPUTED_VALUE"""),264106.0)</f>
        <v>264106</v>
      </c>
    </row>
    <row r="284">
      <c r="A284" s="3">
        <f>IFERROR(__xludf.DUMMYFUNCTION("""COMPUTED_VALUE"""),36937.645833333336)</f>
        <v>36937.64583</v>
      </c>
      <c r="B284" s="2">
        <f>IFERROR(__xludf.DUMMYFUNCTION("""COMPUTED_VALUE"""),26.6)</f>
        <v>26.6</v>
      </c>
      <c r="C284" s="2">
        <f>IFERROR(__xludf.DUMMYFUNCTION("""COMPUTED_VALUE"""),26.6)</f>
        <v>26.6</v>
      </c>
      <c r="D284" s="2">
        <f>IFERROR(__xludf.DUMMYFUNCTION("""COMPUTED_VALUE"""),26.0)</f>
        <v>26</v>
      </c>
      <c r="E284" s="2">
        <f>IFERROR(__xludf.DUMMYFUNCTION("""COMPUTED_VALUE"""),26.12)</f>
        <v>26.12</v>
      </c>
      <c r="F284" s="2">
        <f>IFERROR(__xludf.DUMMYFUNCTION("""COMPUTED_VALUE"""),93948.0)</f>
        <v>93948</v>
      </c>
    </row>
    <row r="285">
      <c r="A285" s="3">
        <f>IFERROR(__xludf.DUMMYFUNCTION("""COMPUTED_VALUE"""),36938.645833333336)</f>
        <v>36938.64583</v>
      </c>
      <c r="B285" s="2">
        <f>IFERROR(__xludf.DUMMYFUNCTION("""COMPUTED_VALUE"""),26.4)</f>
        <v>26.4</v>
      </c>
      <c r="C285" s="2">
        <f>IFERROR(__xludf.DUMMYFUNCTION("""COMPUTED_VALUE"""),27.0)</f>
        <v>27</v>
      </c>
      <c r="D285" s="2">
        <f>IFERROR(__xludf.DUMMYFUNCTION("""COMPUTED_VALUE"""),25.22)</f>
        <v>25.22</v>
      </c>
      <c r="E285" s="2">
        <f>IFERROR(__xludf.DUMMYFUNCTION("""COMPUTED_VALUE"""),25.38)</f>
        <v>25.38</v>
      </c>
      <c r="F285" s="2">
        <f>IFERROR(__xludf.DUMMYFUNCTION("""COMPUTED_VALUE"""),223898.0)</f>
        <v>223898</v>
      </c>
    </row>
    <row r="286">
      <c r="A286" s="3">
        <f>IFERROR(__xludf.DUMMYFUNCTION("""COMPUTED_VALUE"""),36941.645833333336)</f>
        <v>36941.64583</v>
      </c>
      <c r="B286" s="2">
        <f>IFERROR(__xludf.DUMMYFUNCTION("""COMPUTED_VALUE"""),26.1)</f>
        <v>26.1</v>
      </c>
      <c r="C286" s="2">
        <f>IFERROR(__xludf.DUMMYFUNCTION("""COMPUTED_VALUE"""),26.38)</f>
        <v>26.38</v>
      </c>
      <c r="D286" s="2">
        <f>IFERROR(__xludf.DUMMYFUNCTION("""COMPUTED_VALUE"""),25.35)</f>
        <v>25.35</v>
      </c>
      <c r="E286" s="2">
        <f>IFERROR(__xludf.DUMMYFUNCTION("""COMPUTED_VALUE"""),25.68)</f>
        <v>25.68</v>
      </c>
      <c r="F286" s="2">
        <f>IFERROR(__xludf.DUMMYFUNCTION("""COMPUTED_VALUE"""),178961.0)</f>
        <v>178961</v>
      </c>
    </row>
    <row r="287">
      <c r="A287" s="3">
        <f>IFERROR(__xludf.DUMMYFUNCTION("""COMPUTED_VALUE"""),36942.645833333336)</f>
        <v>36942.64583</v>
      </c>
      <c r="B287" s="2">
        <f>IFERROR(__xludf.DUMMYFUNCTION("""COMPUTED_VALUE"""),25.6)</f>
        <v>25.6</v>
      </c>
      <c r="C287" s="2">
        <f>IFERROR(__xludf.DUMMYFUNCTION("""COMPUTED_VALUE"""),25.75)</f>
        <v>25.75</v>
      </c>
      <c r="D287" s="2">
        <f>IFERROR(__xludf.DUMMYFUNCTION("""COMPUTED_VALUE"""),25.01)</f>
        <v>25.01</v>
      </c>
      <c r="E287" s="2">
        <f>IFERROR(__xludf.DUMMYFUNCTION("""COMPUTED_VALUE"""),25.08)</f>
        <v>25.08</v>
      </c>
      <c r="F287" s="2">
        <f>IFERROR(__xludf.DUMMYFUNCTION("""COMPUTED_VALUE"""),144267.0)</f>
        <v>144267</v>
      </c>
    </row>
    <row r="288">
      <c r="A288" s="3">
        <f>IFERROR(__xludf.DUMMYFUNCTION("""COMPUTED_VALUE"""),36943.645833333336)</f>
        <v>36943.64583</v>
      </c>
      <c r="B288" s="2">
        <f>IFERROR(__xludf.DUMMYFUNCTION("""COMPUTED_VALUE"""),25.38)</f>
        <v>25.38</v>
      </c>
      <c r="C288" s="2">
        <f>IFERROR(__xludf.DUMMYFUNCTION("""COMPUTED_VALUE"""),25.4)</f>
        <v>25.4</v>
      </c>
      <c r="D288" s="2">
        <f>IFERROR(__xludf.DUMMYFUNCTION("""COMPUTED_VALUE"""),23.9)</f>
        <v>23.9</v>
      </c>
      <c r="E288" s="2">
        <f>IFERROR(__xludf.DUMMYFUNCTION("""COMPUTED_VALUE"""),25.03)</f>
        <v>25.03</v>
      </c>
      <c r="F288" s="2">
        <f>IFERROR(__xludf.DUMMYFUNCTION("""COMPUTED_VALUE"""),211877.0)</f>
        <v>211877</v>
      </c>
    </row>
    <row r="289">
      <c r="A289" s="3">
        <f>IFERROR(__xludf.DUMMYFUNCTION("""COMPUTED_VALUE"""),36944.645833333336)</f>
        <v>36944.64583</v>
      </c>
      <c r="B289" s="2">
        <f>IFERROR(__xludf.DUMMYFUNCTION("""COMPUTED_VALUE"""),25.01)</f>
        <v>25.01</v>
      </c>
      <c r="C289" s="2">
        <f>IFERROR(__xludf.DUMMYFUNCTION("""COMPUTED_VALUE"""),25.6)</f>
        <v>25.6</v>
      </c>
      <c r="D289" s="2">
        <f>IFERROR(__xludf.DUMMYFUNCTION("""COMPUTED_VALUE"""),24.93)</f>
        <v>24.93</v>
      </c>
      <c r="E289" s="2">
        <f>IFERROR(__xludf.DUMMYFUNCTION("""COMPUTED_VALUE"""),25.15)</f>
        <v>25.15</v>
      </c>
      <c r="F289" s="2">
        <f>IFERROR(__xludf.DUMMYFUNCTION("""COMPUTED_VALUE"""),236774.0)</f>
        <v>236774</v>
      </c>
    </row>
    <row r="290">
      <c r="A290" s="3">
        <f>IFERROR(__xludf.DUMMYFUNCTION("""COMPUTED_VALUE"""),36945.645833333336)</f>
        <v>36945.64583</v>
      </c>
      <c r="B290" s="2">
        <f>IFERROR(__xludf.DUMMYFUNCTION("""COMPUTED_VALUE"""),25.3)</f>
        <v>25.3</v>
      </c>
      <c r="C290" s="2">
        <f>IFERROR(__xludf.DUMMYFUNCTION("""COMPUTED_VALUE"""),25.3)</f>
        <v>25.3</v>
      </c>
      <c r="D290" s="2">
        <f>IFERROR(__xludf.DUMMYFUNCTION("""COMPUTED_VALUE"""),24.4)</f>
        <v>24.4</v>
      </c>
      <c r="E290" s="2">
        <f>IFERROR(__xludf.DUMMYFUNCTION("""COMPUTED_VALUE"""),24.74)</f>
        <v>24.74</v>
      </c>
      <c r="F290" s="2">
        <f>IFERROR(__xludf.DUMMYFUNCTION("""COMPUTED_VALUE"""),269766.0)</f>
        <v>269766</v>
      </c>
    </row>
    <row r="291">
      <c r="A291" s="3">
        <f>IFERROR(__xludf.DUMMYFUNCTION("""COMPUTED_VALUE"""),36948.645833333336)</f>
        <v>36948.64583</v>
      </c>
      <c r="B291" s="2">
        <f>IFERROR(__xludf.DUMMYFUNCTION("""COMPUTED_VALUE"""),24.7)</f>
        <v>24.7</v>
      </c>
      <c r="C291" s="2">
        <f>IFERROR(__xludf.DUMMYFUNCTION("""COMPUTED_VALUE"""),25.1)</f>
        <v>25.1</v>
      </c>
      <c r="D291" s="2">
        <f>IFERROR(__xludf.DUMMYFUNCTION("""COMPUTED_VALUE"""),24.01)</f>
        <v>24.01</v>
      </c>
      <c r="E291" s="2">
        <f>IFERROR(__xludf.DUMMYFUNCTION("""COMPUTED_VALUE"""),25.0)</f>
        <v>25</v>
      </c>
      <c r="F291" s="2">
        <f>IFERROR(__xludf.DUMMYFUNCTION("""COMPUTED_VALUE"""),82838.0)</f>
        <v>82838</v>
      </c>
    </row>
    <row r="292">
      <c r="A292" s="3">
        <f>IFERROR(__xludf.DUMMYFUNCTION("""COMPUTED_VALUE"""),36949.645833333336)</f>
        <v>36949.64583</v>
      </c>
      <c r="B292" s="2">
        <f>IFERROR(__xludf.DUMMYFUNCTION("""COMPUTED_VALUE"""),25.0)</f>
        <v>25</v>
      </c>
      <c r="C292" s="2">
        <f>IFERROR(__xludf.DUMMYFUNCTION("""COMPUTED_VALUE"""),25.2)</f>
        <v>25.2</v>
      </c>
      <c r="D292" s="2">
        <f>IFERROR(__xludf.DUMMYFUNCTION("""COMPUTED_VALUE"""),24.71)</f>
        <v>24.71</v>
      </c>
      <c r="E292" s="2">
        <f>IFERROR(__xludf.DUMMYFUNCTION("""COMPUTED_VALUE"""),25.04)</f>
        <v>25.04</v>
      </c>
      <c r="F292" s="2">
        <f>IFERROR(__xludf.DUMMYFUNCTION("""COMPUTED_VALUE"""),155319.0)</f>
        <v>155319</v>
      </c>
    </row>
    <row r="293">
      <c r="A293" s="3">
        <f>IFERROR(__xludf.DUMMYFUNCTION("""COMPUTED_VALUE"""),36950.645833333336)</f>
        <v>36950.64583</v>
      </c>
      <c r="B293" s="2">
        <f>IFERROR(__xludf.DUMMYFUNCTION("""COMPUTED_VALUE"""),26.5)</f>
        <v>26.5</v>
      </c>
      <c r="C293" s="2">
        <f>IFERROR(__xludf.DUMMYFUNCTION("""COMPUTED_VALUE"""),26.9)</f>
        <v>26.9</v>
      </c>
      <c r="D293" s="2">
        <f>IFERROR(__xludf.DUMMYFUNCTION("""COMPUTED_VALUE"""),25.0)</f>
        <v>25</v>
      </c>
      <c r="E293" s="2">
        <f>IFERROR(__xludf.DUMMYFUNCTION("""COMPUTED_VALUE"""),25.66)</f>
        <v>25.66</v>
      </c>
      <c r="F293" s="2">
        <f>IFERROR(__xludf.DUMMYFUNCTION("""COMPUTED_VALUE"""),440391.0)</f>
        <v>440391</v>
      </c>
    </row>
    <row r="294">
      <c r="A294" s="3">
        <f>IFERROR(__xludf.DUMMYFUNCTION("""COMPUTED_VALUE"""),36951.645833333336)</f>
        <v>36951.64583</v>
      </c>
      <c r="B294" s="2">
        <f>IFERROR(__xludf.DUMMYFUNCTION("""COMPUTED_VALUE"""),26.2)</f>
        <v>26.2</v>
      </c>
      <c r="C294" s="2">
        <f>IFERROR(__xludf.DUMMYFUNCTION("""COMPUTED_VALUE"""),27.47)</f>
        <v>27.47</v>
      </c>
      <c r="D294" s="2">
        <f>IFERROR(__xludf.DUMMYFUNCTION("""COMPUTED_VALUE"""),25.91)</f>
        <v>25.91</v>
      </c>
      <c r="E294" s="2">
        <f>IFERROR(__xludf.DUMMYFUNCTION("""COMPUTED_VALUE"""),26.5)</f>
        <v>26.5</v>
      </c>
      <c r="F294" s="2">
        <f>IFERROR(__xludf.DUMMYFUNCTION("""COMPUTED_VALUE"""),334400.0)</f>
        <v>334400</v>
      </c>
    </row>
    <row r="295">
      <c r="A295" s="3">
        <f>IFERROR(__xludf.DUMMYFUNCTION("""COMPUTED_VALUE"""),36952.645833333336)</f>
        <v>36952.64583</v>
      </c>
      <c r="B295" s="2">
        <f>IFERROR(__xludf.DUMMYFUNCTION("""COMPUTED_VALUE"""),26.9)</f>
        <v>26.9</v>
      </c>
      <c r="C295" s="2">
        <f>IFERROR(__xludf.DUMMYFUNCTION("""COMPUTED_VALUE"""),27.2)</f>
        <v>27.2</v>
      </c>
      <c r="D295" s="2">
        <f>IFERROR(__xludf.DUMMYFUNCTION("""COMPUTED_VALUE"""),26.33)</f>
        <v>26.33</v>
      </c>
      <c r="E295" s="2">
        <f>IFERROR(__xludf.DUMMYFUNCTION("""COMPUTED_VALUE"""),26.46)</f>
        <v>26.46</v>
      </c>
      <c r="F295" s="2">
        <f>IFERROR(__xludf.DUMMYFUNCTION("""COMPUTED_VALUE"""),308440.0)</f>
        <v>308440</v>
      </c>
    </row>
    <row r="296">
      <c r="A296" s="3">
        <f>IFERROR(__xludf.DUMMYFUNCTION("""COMPUTED_VALUE"""),36955.645833333336)</f>
        <v>36955.64583</v>
      </c>
      <c r="B296" s="2">
        <f>IFERROR(__xludf.DUMMYFUNCTION("""COMPUTED_VALUE"""),26.3)</f>
        <v>26.3</v>
      </c>
      <c r="C296" s="2">
        <f>IFERROR(__xludf.DUMMYFUNCTION("""COMPUTED_VALUE"""),26.7)</f>
        <v>26.7</v>
      </c>
      <c r="D296" s="2">
        <f>IFERROR(__xludf.DUMMYFUNCTION("""COMPUTED_VALUE"""),25.52)</f>
        <v>25.52</v>
      </c>
      <c r="E296" s="2">
        <f>IFERROR(__xludf.DUMMYFUNCTION("""COMPUTED_VALUE"""),25.73)</f>
        <v>25.73</v>
      </c>
      <c r="F296" s="2">
        <f>IFERROR(__xludf.DUMMYFUNCTION("""COMPUTED_VALUE"""),208140.0)</f>
        <v>208140</v>
      </c>
    </row>
    <row r="297">
      <c r="A297" s="3">
        <f>IFERROR(__xludf.DUMMYFUNCTION("""COMPUTED_VALUE"""),36957.645833333336)</f>
        <v>36957.64583</v>
      </c>
      <c r="B297" s="2">
        <f>IFERROR(__xludf.DUMMYFUNCTION("""COMPUTED_VALUE"""),25.6)</f>
        <v>25.6</v>
      </c>
      <c r="C297" s="2">
        <f>IFERROR(__xludf.DUMMYFUNCTION("""COMPUTED_VALUE"""),26.0)</f>
        <v>26</v>
      </c>
      <c r="D297" s="2">
        <f>IFERROR(__xludf.DUMMYFUNCTION("""COMPUTED_VALUE"""),25.01)</f>
        <v>25.01</v>
      </c>
      <c r="E297" s="2">
        <f>IFERROR(__xludf.DUMMYFUNCTION("""COMPUTED_VALUE"""),25.74)</f>
        <v>25.74</v>
      </c>
      <c r="F297" s="2">
        <f>IFERROR(__xludf.DUMMYFUNCTION("""COMPUTED_VALUE"""),121635.0)</f>
        <v>121635</v>
      </c>
    </row>
    <row r="298">
      <c r="A298" s="3">
        <f>IFERROR(__xludf.DUMMYFUNCTION("""COMPUTED_VALUE"""),36958.645833333336)</f>
        <v>36958.64583</v>
      </c>
      <c r="B298" s="2">
        <f>IFERROR(__xludf.DUMMYFUNCTION("""COMPUTED_VALUE"""),25.6)</f>
        <v>25.6</v>
      </c>
      <c r="C298" s="2">
        <f>IFERROR(__xludf.DUMMYFUNCTION("""COMPUTED_VALUE"""),26.4)</f>
        <v>26.4</v>
      </c>
      <c r="D298" s="2">
        <f>IFERROR(__xludf.DUMMYFUNCTION("""COMPUTED_VALUE"""),25.6)</f>
        <v>25.6</v>
      </c>
      <c r="E298" s="2">
        <f>IFERROR(__xludf.DUMMYFUNCTION("""COMPUTED_VALUE"""),26.23)</f>
        <v>26.23</v>
      </c>
      <c r="F298" s="2">
        <f>IFERROR(__xludf.DUMMYFUNCTION("""COMPUTED_VALUE"""),90497.0)</f>
        <v>90497</v>
      </c>
    </row>
    <row r="299">
      <c r="A299" s="3">
        <f>IFERROR(__xludf.DUMMYFUNCTION("""COMPUTED_VALUE"""),36959.645833333336)</f>
        <v>36959.64583</v>
      </c>
      <c r="B299" s="2">
        <f>IFERROR(__xludf.DUMMYFUNCTION("""COMPUTED_VALUE"""),25.8)</f>
        <v>25.8</v>
      </c>
      <c r="C299" s="2">
        <f>IFERROR(__xludf.DUMMYFUNCTION("""COMPUTED_VALUE"""),25.8)</f>
        <v>25.8</v>
      </c>
      <c r="D299" s="2">
        <f>IFERROR(__xludf.DUMMYFUNCTION("""COMPUTED_VALUE"""),25.01)</f>
        <v>25.01</v>
      </c>
      <c r="E299" s="2">
        <f>IFERROR(__xludf.DUMMYFUNCTION("""COMPUTED_VALUE"""),25.27)</f>
        <v>25.27</v>
      </c>
      <c r="F299" s="2">
        <f>IFERROR(__xludf.DUMMYFUNCTION("""COMPUTED_VALUE"""),142838.0)</f>
        <v>142838</v>
      </c>
    </row>
    <row r="300">
      <c r="A300" s="3">
        <f>IFERROR(__xludf.DUMMYFUNCTION("""COMPUTED_VALUE"""),36962.645833333336)</f>
        <v>36962.64583</v>
      </c>
      <c r="B300" s="2">
        <f>IFERROR(__xludf.DUMMYFUNCTION("""COMPUTED_VALUE"""),25.1)</f>
        <v>25.1</v>
      </c>
      <c r="C300" s="2">
        <f>IFERROR(__xludf.DUMMYFUNCTION("""COMPUTED_VALUE"""),25.3)</f>
        <v>25.3</v>
      </c>
      <c r="D300" s="2">
        <f>IFERROR(__xludf.DUMMYFUNCTION("""COMPUTED_VALUE"""),24.91)</f>
        <v>24.91</v>
      </c>
      <c r="E300" s="2">
        <f>IFERROR(__xludf.DUMMYFUNCTION("""COMPUTED_VALUE"""),25.02)</f>
        <v>25.02</v>
      </c>
      <c r="F300" s="2">
        <f>IFERROR(__xludf.DUMMYFUNCTION("""COMPUTED_VALUE"""),91542.0)</f>
        <v>91542</v>
      </c>
    </row>
    <row r="301">
      <c r="A301" s="3">
        <f>IFERROR(__xludf.DUMMYFUNCTION("""COMPUTED_VALUE"""),36963.645833333336)</f>
        <v>36963.64583</v>
      </c>
      <c r="B301" s="2">
        <f>IFERROR(__xludf.DUMMYFUNCTION("""COMPUTED_VALUE"""),24.91)</f>
        <v>24.91</v>
      </c>
      <c r="C301" s="2">
        <f>IFERROR(__xludf.DUMMYFUNCTION("""COMPUTED_VALUE"""),24.91)</f>
        <v>24.91</v>
      </c>
      <c r="D301" s="2">
        <f>IFERROR(__xludf.DUMMYFUNCTION("""COMPUTED_VALUE"""),21.06)</f>
        <v>21.06</v>
      </c>
      <c r="E301" s="2">
        <f>IFERROR(__xludf.DUMMYFUNCTION("""COMPUTED_VALUE"""),22.12)</f>
        <v>22.12</v>
      </c>
      <c r="F301" s="2">
        <f>IFERROR(__xludf.DUMMYFUNCTION("""COMPUTED_VALUE"""),251489.0)</f>
        <v>251489</v>
      </c>
    </row>
    <row r="302">
      <c r="A302" s="3">
        <f>IFERROR(__xludf.DUMMYFUNCTION("""COMPUTED_VALUE"""),36964.645833333336)</f>
        <v>36964.64583</v>
      </c>
      <c r="B302" s="2">
        <f>IFERROR(__xludf.DUMMYFUNCTION("""COMPUTED_VALUE"""),22.0)</f>
        <v>22</v>
      </c>
      <c r="C302" s="2">
        <f>IFERROR(__xludf.DUMMYFUNCTION("""COMPUTED_VALUE"""),24.8)</f>
        <v>24.8</v>
      </c>
      <c r="D302" s="2">
        <f>IFERROR(__xludf.DUMMYFUNCTION("""COMPUTED_VALUE"""),22.0)</f>
        <v>22</v>
      </c>
      <c r="E302" s="2">
        <f>IFERROR(__xludf.DUMMYFUNCTION("""COMPUTED_VALUE"""),24.39)</f>
        <v>24.39</v>
      </c>
      <c r="F302" s="2">
        <f>IFERROR(__xludf.DUMMYFUNCTION("""COMPUTED_VALUE"""),147434.0)</f>
        <v>147434</v>
      </c>
    </row>
    <row r="303">
      <c r="A303" s="3">
        <f>IFERROR(__xludf.DUMMYFUNCTION("""COMPUTED_VALUE"""),36965.645833333336)</f>
        <v>36965.64583</v>
      </c>
      <c r="B303" s="2">
        <f>IFERROR(__xludf.DUMMYFUNCTION("""COMPUTED_VALUE"""),24.99)</f>
        <v>24.99</v>
      </c>
      <c r="C303" s="2">
        <f>IFERROR(__xludf.DUMMYFUNCTION("""COMPUTED_VALUE"""),24.99)</f>
        <v>24.99</v>
      </c>
      <c r="D303" s="2">
        <f>IFERROR(__xludf.DUMMYFUNCTION("""COMPUTED_VALUE"""),23.51)</f>
        <v>23.51</v>
      </c>
      <c r="E303" s="2">
        <f>IFERROR(__xludf.DUMMYFUNCTION("""COMPUTED_VALUE"""),24.24)</f>
        <v>24.24</v>
      </c>
      <c r="F303" s="2">
        <f>IFERROR(__xludf.DUMMYFUNCTION("""COMPUTED_VALUE"""),171408.0)</f>
        <v>171408</v>
      </c>
    </row>
    <row r="304">
      <c r="A304" s="3">
        <f>IFERROR(__xludf.DUMMYFUNCTION("""COMPUTED_VALUE"""),36966.645833333336)</f>
        <v>36966.64583</v>
      </c>
      <c r="B304" s="2">
        <f>IFERROR(__xludf.DUMMYFUNCTION("""COMPUTED_VALUE"""),24.01)</f>
        <v>24.01</v>
      </c>
      <c r="C304" s="2">
        <f>IFERROR(__xludf.DUMMYFUNCTION("""COMPUTED_VALUE"""),24.5)</f>
        <v>24.5</v>
      </c>
      <c r="D304" s="2">
        <f>IFERROR(__xludf.DUMMYFUNCTION("""COMPUTED_VALUE"""),22.4)</f>
        <v>22.4</v>
      </c>
      <c r="E304" s="2">
        <f>IFERROR(__xludf.DUMMYFUNCTION("""COMPUTED_VALUE"""),23.25)</f>
        <v>23.25</v>
      </c>
      <c r="F304" s="2">
        <f>IFERROR(__xludf.DUMMYFUNCTION("""COMPUTED_VALUE"""),110751.0)</f>
        <v>110751</v>
      </c>
    </row>
    <row r="305">
      <c r="A305" s="3">
        <f>IFERROR(__xludf.DUMMYFUNCTION("""COMPUTED_VALUE"""),36969.645833333336)</f>
        <v>36969.64583</v>
      </c>
      <c r="B305" s="2">
        <f>IFERROR(__xludf.DUMMYFUNCTION("""COMPUTED_VALUE"""),22.6)</f>
        <v>22.6</v>
      </c>
      <c r="C305" s="2">
        <f>IFERROR(__xludf.DUMMYFUNCTION("""COMPUTED_VALUE"""),23.7)</f>
        <v>23.7</v>
      </c>
      <c r="D305" s="2">
        <f>IFERROR(__xludf.DUMMYFUNCTION("""COMPUTED_VALUE"""),22.4)</f>
        <v>22.4</v>
      </c>
      <c r="E305" s="2">
        <f>IFERROR(__xludf.DUMMYFUNCTION("""COMPUTED_VALUE"""),23.49)</f>
        <v>23.49</v>
      </c>
      <c r="F305" s="2">
        <f>IFERROR(__xludf.DUMMYFUNCTION("""COMPUTED_VALUE"""),45727.0)</f>
        <v>45727</v>
      </c>
    </row>
    <row r="306">
      <c r="A306" s="3">
        <f>IFERROR(__xludf.DUMMYFUNCTION("""COMPUTED_VALUE"""),36970.645833333336)</f>
        <v>36970.64583</v>
      </c>
      <c r="B306" s="2">
        <f>IFERROR(__xludf.DUMMYFUNCTION("""COMPUTED_VALUE"""),23.41)</f>
        <v>23.41</v>
      </c>
      <c r="C306" s="2">
        <f>IFERROR(__xludf.DUMMYFUNCTION("""COMPUTED_VALUE"""),23.5)</f>
        <v>23.5</v>
      </c>
      <c r="D306" s="2">
        <f>IFERROR(__xludf.DUMMYFUNCTION("""COMPUTED_VALUE"""),22.73)</f>
        <v>22.73</v>
      </c>
      <c r="E306" s="2">
        <f>IFERROR(__xludf.DUMMYFUNCTION("""COMPUTED_VALUE"""),22.95)</f>
        <v>22.95</v>
      </c>
      <c r="F306" s="2">
        <f>IFERROR(__xludf.DUMMYFUNCTION("""COMPUTED_VALUE"""),69982.0)</f>
        <v>69982</v>
      </c>
    </row>
    <row r="307">
      <c r="A307" s="3">
        <f>IFERROR(__xludf.DUMMYFUNCTION("""COMPUTED_VALUE"""),36971.645833333336)</f>
        <v>36971.64583</v>
      </c>
      <c r="B307" s="2">
        <f>IFERROR(__xludf.DUMMYFUNCTION("""COMPUTED_VALUE"""),22.6)</f>
        <v>22.6</v>
      </c>
      <c r="C307" s="2">
        <f>IFERROR(__xludf.DUMMYFUNCTION("""COMPUTED_VALUE"""),24.2)</f>
        <v>24.2</v>
      </c>
      <c r="D307" s="2">
        <f>IFERROR(__xludf.DUMMYFUNCTION("""COMPUTED_VALUE"""),22.6)</f>
        <v>22.6</v>
      </c>
      <c r="E307" s="2">
        <f>IFERROR(__xludf.DUMMYFUNCTION("""COMPUTED_VALUE"""),23.62)</f>
        <v>23.62</v>
      </c>
      <c r="F307" s="2">
        <f>IFERROR(__xludf.DUMMYFUNCTION("""COMPUTED_VALUE"""),96100.0)</f>
        <v>96100</v>
      </c>
    </row>
    <row r="308">
      <c r="A308" s="3">
        <f>IFERROR(__xludf.DUMMYFUNCTION("""COMPUTED_VALUE"""),36972.645833333336)</f>
        <v>36972.64583</v>
      </c>
      <c r="B308" s="2">
        <f>IFERROR(__xludf.DUMMYFUNCTION("""COMPUTED_VALUE"""),23.65)</f>
        <v>23.65</v>
      </c>
      <c r="C308" s="2">
        <f>IFERROR(__xludf.DUMMYFUNCTION("""COMPUTED_VALUE"""),23.75)</f>
        <v>23.75</v>
      </c>
      <c r="D308" s="2">
        <f>IFERROR(__xludf.DUMMYFUNCTION("""COMPUTED_VALUE"""),23.12)</f>
        <v>23.12</v>
      </c>
      <c r="E308" s="2">
        <f>IFERROR(__xludf.DUMMYFUNCTION("""COMPUTED_VALUE"""),23.28)</f>
        <v>23.28</v>
      </c>
      <c r="F308" s="2">
        <f>IFERROR(__xludf.DUMMYFUNCTION("""COMPUTED_VALUE"""),23625.0)</f>
        <v>23625</v>
      </c>
    </row>
    <row r="309">
      <c r="A309" s="3">
        <f>IFERROR(__xludf.DUMMYFUNCTION("""COMPUTED_VALUE"""),36973.645833333336)</f>
        <v>36973.64583</v>
      </c>
      <c r="B309" s="2">
        <f>IFERROR(__xludf.DUMMYFUNCTION("""COMPUTED_VALUE"""),23.25)</f>
        <v>23.25</v>
      </c>
      <c r="C309" s="2">
        <f>IFERROR(__xludf.DUMMYFUNCTION("""COMPUTED_VALUE"""),23.5)</f>
        <v>23.5</v>
      </c>
      <c r="D309" s="2">
        <f>IFERROR(__xludf.DUMMYFUNCTION("""COMPUTED_VALUE"""),22.5)</f>
        <v>22.5</v>
      </c>
      <c r="E309" s="2">
        <f>IFERROR(__xludf.DUMMYFUNCTION("""COMPUTED_VALUE"""),22.96)</f>
        <v>22.96</v>
      </c>
      <c r="F309" s="2">
        <f>IFERROR(__xludf.DUMMYFUNCTION("""COMPUTED_VALUE"""),36179.0)</f>
        <v>36179</v>
      </c>
    </row>
    <row r="310">
      <c r="A310" s="3">
        <f>IFERROR(__xludf.DUMMYFUNCTION("""COMPUTED_VALUE"""),36976.645833333336)</f>
        <v>36976.64583</v>
      </c>
      <c r="B310" s="2">
        <f>IFERROR(__xludf.DUMMYFUNCTION("""COMPUTED_VALUE"""),22.3)</f>
        <v>22.3</v>
      </c>
      <c r="C310" s="2">
        <f>IFERROR(__xludf.DUMMYFUNCTION("""COMPUTED_VALUE"""),23.1)</f>
        <v>23.1</v>
      </c>
      <c r="D310" s="2">
        <f>IFERROR(__xludf.DUMMYFUNCTION("""COMPUTED_VALUE"""),22.3)</f>
        <v>22.3</v>
      </c>
      <c r="E310" s="2">
        <f>IFERROR(__xludf.DUMMYFUNCTION("""COMPUTED_VALUE"""),22.75)</f>
        <v>22.75</v>
      </c>
      <c r="F310" s="2">
        <f>IFERROR(__xludf.DUMMYFUNCTION("""COMPUTED_VALUE"""),17177.0)</f>
        <v>17177</v>
      </c>
    </row>
    <row r="311">
      <c r="A311" s="3">
        <f>IFERROR(__xludf.DUMMYFUNCTION("""COMPUTED_VALUE"""),36977.645833333336)</f>
        <v>36977.64583</v>
      </c>
      <c r="B311" s="2">
        <f>IFERROR(__xludf.DUMMYFUNCTION("""COMPUTED_VALUE"""),22.8)</f>
        <v>22.8</v>
      </c>
      <c r="C311" s="2">
        <f>IFERROR(__xludf.DUMMYFUNCTION("""COMPUTED_VALUE"""),23.0)</f>
        <v>23</v>
      </c>
      <c r="D311" s="2">
        <f>IFERROR(__xludf.DUMMYFUNCTION("""COMPUTED_VALUE"""),22.61)</f>
        <v>22.61</v>
      </c>
      <c r="E311" s="2">
        <f>IFERROR(__xludf.DUMMYFUNCTION("""COMPUTED_VALUE"""),22.72)</f>
        <v>22.72</v>
      </c>
      <c r="F311" s="2">
        <f>IFERROR(__xludf.DUMMYFUNCTION("""COMPUTED_VALUE"""),119070.0)</f>
        <v>119070</v>
      </c>
    </row>
    <row r="312">
      <c r="A312" s="3">
        <f>IFERROR(__xludf.DUMMYFUNCTION("""COMPUTED_VALUE"""),36978.645833333336)</f>
        <v>36978.64583</v>
      </c>
      <c r="B312" s="2">
        <f>IFERROR(__xludf.DUMMYFUNCTION("""COMPUTED_VALUE"""),22.91)</f>
        <v>22.91</v>
      </c>
      <c r="C312" s="2">
        <f>IFERROR(__xludf.DUMMYFUNCTION("""COMPUTED_VALUE"""),23.39)</f>
        <v>23.39</v>
      </c>
      <c r="D312" s="2">
        <f>IFERROR(__xludf.DUMMYFUNCTION("""COMPUTED_VALUE"""),22.8)</f>
        <v>22.8</v>
      </c>
      <c r="E312" s="2">
        <f>IFERROR(__xludf.DUMMYFUNCTION("""COMPUTED_VALUE"""),22.87)</f>
        <v>22.87</v>
      </c>
      <c r="F312" s="2">
        <f>IFERROR(__xludf.DUMMYFUNCTION("""COMPUTED_VALUE"""),30500.0)</f>
        <v>30500</v>
      </c>
    </row>
    <row r="313">
      <c r="A313" s="3">
        <f>IFERROR(__xludf.DUMMYFUNCTION("""COMPUTED_VALUE"""),36979.645833333336)</f>
        <v>36979.64583</v>
      </c>
      <c r="B313" s="2">
        <f>IFERROR(__xludf.DUMMYFUNCTION("""COMPUTED_VALUE"""),22.89)</f>
        <v>22.89</v>
      </c>
      <c r="C313" s="2">
        <f>IFERROR(__xludf.DUMMYFUNCTION("""COMPUTED_VALUE"""),23.1)</f>
        <v>23.1</v>
      </c>
      <c r="D313" s="2">
        <f>IFERROR(__xludf.DUMMYFUNCTION("""COMPUTED_VALUE"""),22.8)</f>
        <v>22.8</v>
      </c>
      <c r="E313" s="2">
        <f>IFERROR(__xludf.DUMMYFUNCTION("""COMPUTED_VALUE"""),22.95)</f>
        <v>22.95</v>
      </c>
      <c r="F313" s="2">
        <f>IFERROR(__xludf.DUMMYFUNCTION("""COMPUTED_VALUE"""),118095.0)</f>
        <v>118095</v>
      </c>
    </row>
    <row r="314">
      <c r="A314" s="3">
        <f>IFERROR(__xludf.DUMMYFUNCTION("""COMPUTED_VALUE"""),36980.645833333336)</f>
        <v>36980.64583</v>
      </c>
      <c r="B314" s="2">
        <f>IFERROR(__xludf.DUMMYFUNCTION("""COMPUTED_VALUE"""),22.9)</f>
        <v>22.9</v>
      </c>
      <c r="C314" s="2">
        <f>IFERROR(__xludf.DUMMYFUNCTION("""COMPUTED_VALUE"""),23.1)</f>
        <v>23.1</v>
      </c>
      <c r="D314" s="2">
        <f>IFERROR(__xludf.DUMMYFUNCTION("""COMPUTED_VALUE"""),22.61)</f>
        <v>22.61</v>
      </c>
      <c r="E314" s="2">
        <f>IFERROR(__xludf.DUMMYFUNCTION("""COMPUTED_VALUE"""),22.84)</f>
        <v>22.84</v>
      </c>
      <c r="F314" s="2">
        <f>IFERROR(__xludf.DUMMYFUNCTION("""COMPUTED_VALUE"""),61899.0)</f>
        <v>61899</v>
      </c>
    </row>
    <row r="315">
      <c r="A315" s="3">
        <f>IFERROR(__xludf.DUMMYFUNCTION("""COMPUTED_VALUE"""),36983.645833333336)</f>
        <v>36983.64583</v>
      </c>
      <c r="B315" s="2">
        <f>IFERROR(__xludf.DUMMYFUNCTION("""COMPUTED_VALUE"""),22.62)</f>
        <v>22.62</v>
      </c>
      <c r="C315" s="2">
        <f>IFERROR(__xludf.DUMMYFUNCTION("""COMPUTED_VALUE"""),22.62)</f>
        <v>22.62</v>
      </c>
      <c r="D315" s="2">
        <f>IFERROR(__xludf.DUMMYFUNCTION("""COMPUTED_VALUE"""),21.5)</f>
        <v>21.5</v>
      </c>
      <c r="E315" s="2">
        <f>IFERROR(__xludf.DUMMYFUNCTION("""COMPUTED_VALUE"""),22.32)</f>
        <v>22.32</v>
      </c>
      <c r="F315" s="2">
        <f>IFERROR(__xludf.DUMMYFUNCTION("""COMPUTED_VALUE"""),80742.0)</f>
        <v>80742</v>
      </c>
    </row>
    <row r="316">
      <c r="A316" s="3">
        <f>IFERROR(__xludf.DUMMYFUNCTION("""COMPUTED_VALUE"""),36984.645833333336)</f>
        <v>36984.64583</v>
      </c>
      <c r="B316" s="2">
        <f>IFERROR(__xludf.DUMMYFUNCTION("""COMPUTED_VALUE"""),22.11)</f>
        <v>22.11</v>
      </c>
      <c r="C316" s="2">
        <f>IFERROR(__xludf.DUMMYFUNCTION("""COMPUTED_VALUE"""),22.6)</f>
        <v>22.6</v>
      </c>
      <c r="D316" s="2">
        <f>IFERROR(__xludf.DUMMYFUNCTION("""COMPUTED_VALUE"""),21.91)</f>
        <v>21.91</v>
      </c>
      <c r="E316" s="2">
        <f>IFERROR(__xludf.DUMMYFUNCTION("""COMPUTED_VALUE"""),22.51)</f>
        <v>22.51</v>
      </c>
      <c r="F316" s="2">
        <f>IFERROR(__xludf.DUMMYFUNCTION("""COMPUTED_VALUE"""),86186.0)</f>
        <v>86186</v>
      </c>
    </row>
    <row r="317">
      <c r="A317" s="3">
        <f>IFERROR(__xludf.DUMMYFUNCTION("""COMPUTED_VALUE"""),36985.645833333336)</f>
        <v>36985.64583</v>
      </c>
      <c r="B317" s="2">
        <f>IFERROR(__xludf.DUMMYFUNCTION("""COMPUTED_VALUE"""),22.26)</f>
        <v>22.26</v>
      </c>
      <c r="C317" s="2">
        <f>IFERROR(__xludf.DUMMYFUNCTION("""COMPUTED_VALUE"""),22.7)</f>
        <v>22.7</v>
      </c>
      <c r="D317" s="2">
        <f>IFERROR(__xludf.DUMMYFUNCTION("""COMPUTED_VALUE"""),22.02)</f>
        <v>22.02</v>
      </c>
      <c r="E317" s="2">
        <f>IFERROR(__xludf.DUMMYFUNCTION("""COMPUTED_VALUE"""),22.6)</f>
        <v>22.6</v>
      </c>
      <c r="F317" s="2">
        <f>IFERROR(__xludf.DUMMYFUNCTION("""COMPUTED_VALUE"""),31799.0)</f>
        <v>31799</v>
      </c>
    </row>
    <row r="318">
      <c r="A318" s="3">
        <f>IFERROR(__xludf.DUMMYFUNCTION("""COMPUTED_VALUE"""),36987.645833333336)</f>
        <v>36987.64583</v>
      </c>
      <c r="B318" s="2">
        <f>IFERROR(__xludf.DUMMYFUNCTION("""COMPUTED_VALUE"""),22.5)</f>
        <v>22.5</v>
      </c>
      <c r="C318" s="2">
        <f>IFERROR(__xludf.DUMMYFUNCTION("""COMPUTED_VALUE"""),23.05)</f>
        <v>23.05</v>
      </c>
      <c r="D318" s="2">
        <f>IFERROR(__xludf.DUMMYFUNCTION("""COMPUTED_VALUE"""),22.5)</f>
        <v>22.5</v>
      </c>
      <c r="E318" s="2">
        <f>IFERROR(__xludf.DUMMYFUNCTION("""COMPUTED_VALUE"""),22.79)</f>
        <v>22.79</v>
      </c>
      <c r="F318" s="2">
        <f>IFERROR(__xludf.DUMMYFUNCTION("""COMPUTED_VALUE"""),45070.0)</f>
        <v>45070</v>
      </c>
    </row>
    <row r="319">
      <c r="A319" s="3">
        <f>IFERROR(__xludf.DUMMYFUNCTION("""COMPUTED_VALUE"""),36990.645833333336)</f>
        <v>36990.64583</v>
      </c>
      <c r="B319" s="2">
        <f>IFERROR(__xludf.DUMMYFUNCTION("""COMPUTED_VALUE"""),22.71)</f>
        <v>22.71</v>
      </c>
      <c r="C319" s="2">
        <f>IFERROR(__xludf.DUMMYFUNCTION("""COMPUTED_VALUE"""),22.73)</f>
        <v>22.73</v>
      </c>
      <c r="D319" s="2">
        <f>IFERROR(__xludf.DUMMYFUNCTION("""COMPUTED_VALUE"""),22.2)</f>
        <v>22.2</v>
      </c>
      <c r="E319" s="2">
        <f>IFERROR(__xludf.DUMMYFUNCTION("""COMPUTED_VALUE"""),22.54)</f>
        <v>22.54</v>
      </c>
      <c r="F319" s="2">
        <f>IFERROR(__xludf.DUMMYFUNCTION("""COMPUTED_VALUE"""),51850.0)</f>
        <v>51850</v>
      </c>
    </row>
    <row r="320">
      <c r="A320" s="3">
        <f>IFERROR(__xludf.DUMMYFUNCTION("""COMPUTED_VALUE"""),36991.645833333336)</f>
        <v>36991.64583</v>
      </c>
      <c r="B320" s="2">
        <f>IFERROR(__xludf.DUMMYFUNCTION("""COMPUTED_VALUE"""),22.55)</f>
        <v>22.55</v>
      </c>
      <c r="C320" s="2">
        <f>IFERROR(__xludf.DUMMYFUNCTION("""COMPUTED_VALUE"""),22.79)</f>
        <v>22.79</v>
      </c>
      <c r="D320" s="2">
        <f>IFERROR(__xludf.DUMMYFUNCTION("""COMPUTED_VALUE"""),22.5)</f>
        <v>22.5</v>
      </c>
      <c r="E320" s="2">
        <f>IFERROR(__xludf.DUMMYFUNCTION("""COMPUTED_VALUE"""),22.6)</f>
        <v>22.6</v>
      </c>
      <c r="F320" s="2">
        <f>IFERROR(__xludf.DUMMYFUNCTION("""COMPUTED_VALUE"""),86633.0)</f>
        <v>86633</v>
      </c>
    </row>
    <row r="321">
      <c r="A321" s="3">
        <f>IFERROR(__xludf.DUMMYFUNCTION("""COMPUTED_VALUE"""),36992.645833333336)</f>
        <v>36992.64583</v>
      </c>
      <c r="B321" s="2">
        <f>IFERROR(__xludf.DUMMYFUNCTION("""COMPUTED_VALUE"""),22.56)</f>
        <v>22.56</v>
      </c>
      <c r="C321" s="2">
        <f>IFERROR(__xludf.DUMMYFUNCTION("""COMPUTED_VALUE"""),23.25)</f>
        <v>23.25</v>
      </c>
      <c r="D321" s="2">
        <f>IFERROR(__xludf.DUMMYFUNCTION("""COMPUTED_VALUE"""),22.5)</f>
        <v>22.5</v>
      </c>
      <c r="E321" s="2">
        <f>IFERROR(__xludf.DUMMYFUNCTION("""COMPUTED_VALUE"""),23.06)</f>
        <v>23.06</v>
      </c>
      <c r="F321" s="2">
        <f>IFERROR(__xludf.DUMMYFUNCTION("""COMPUTED_VALUE"""),93417.0)</f>
        <v>93417</v>
      </c>
    </row>
    <row r="322">
      <c r="A322" s="3">
        <f>IFERROR(__xludf.DUMMYFUNCTION("""COMPUTED_VALUE"""),36993.645833333336)</f>
        <v>36993.64583</v>
      </c>
      <c r="B322" s="2">
        <f>IFERROR(__xludf.DUMMYFUNCTION("""COMPUTED_VALUE"""),22.81)</f>
        <v>22.81</v>
      </c>
      <c r="C322" s="2">
        <f>IFERROR(__xludf.DUMMYFUNCTION("""COMPUTED_VALUE"""),23.5)</f>
        <v>23.5</v>
      </c>
      <c r="D322" s="2">
        <f>IFERROR(__xludf.DUMMYFUNCTION("""COMPUTED_VALUE"""),22.41)</f>
        <v>22.41</v>
      </c>
      <c r="E322" s="2">
        <f>IFERROR(__xludf.DUMMYFUNCTION("""COMPUTED_VALUE"""),23.14)</f>
        <v>23.14</v>
      </c>
      <c r="F322" s="2">
        <f>IFERROR(__xludf.DUMMYFUNCTION("""COMPUTED_VALUE"""),104520.0)</f>
        <v>104520</v>
      </c>
    </row>
    <row r="323">
      <c r="A323" s="3">
        <f>IFERROR(__xludf.DUMMYFUNCTION("""COMPUTED_VALUE"""),36997.645833333336)</f>
        <v>36997.64583</v>
      </c>
      <c r="B323" s="2">
        <f>IFERROR(__xludf.DUMMYFUNCTION("""COMPUTED_VALUE"""),23.5)</f>
        <v>23.5</v>
      </c>
      <c r="C323" s="2">
        <f>IFERROR(__xludf.DUMMYFUNCTION("""COMPUTED_VALUE"""),24.19)</f>
        <v>24.19</v>
      </c>
      <c r="D323" s="2">
        <f>IFERROR(__xludf.DUMMYFUNCTION("""COMPUTED_VALUE"""),22.9)</f>
        <v>22.9</v>
      </c>
      <c r="E323" s="2">
        <f>IFERROR(__xludf.DUMMYFUNCTION("""COMPUTED_VALUE"""),23.57)</f>
        <v>23.57</v>
      </c>
      <c r="F323" s="2">
        <f>IFERROR(__xludf.DUMMYFUNCTION("""COMPUTED_VALUE"""),98129.0)</f>
        <v>98129</v>
      </c>
    </row>
    <row r="324">
      <c r="A324" s="3">
        <f>IFERROR(__xludf.DUMMYFUNCTION("""COMPUTED_VALUE"""),36998.645833333336)</f>
        <v>36998.64583</v>
      </c>
      <c r="B324" s="2">
        <f>IFERROR(__xludf.DUMMYFUNCTION("""COMPUTED_VALUE"""),23.6)</f>
        <v>23.6</v>
      </c>
      <c r="C324" s="2">
        <f>IFERROR(__xludf.DUMMYFUNCTION("""COMPUTED_VALUE"""),24.8)</f>
        <v>24.8</v>
      </c>
      <c r="D324" s="2">
        <f>IFERROR(__xludf.DUMMYFUNCTION("""COMPUTED_VALUE"""),23.5)</f>
        <v>23.5</v>
      </c>
      <c r="E324" s="2">
        <f>IFERROR(__xludf.DUMMYFUNCTION("""COMPUTED_VALUE"""),24.58)</f>
        <v>24.58</v>
      </c>
      <c r="F324" s="2">
        <f>IFERROR(__xludf.DUMMYFUNCTION("""COMPUTED_VALUE"""),130855.0)</f>
        <v>130855</v>
      </c>
    </row>
    <row r="325">
      <c r="A325" s="3">
        <f>IFERROR(__xludf.DUMMYFUNCTION("""COMPUTED_VALUE"""),36999.645833333336)</f>
        <v>36999.64583</v>
      </c>
      <c r="B325" s="2">
        <f>IFERROR(__xludf.DUMMYFUNCTION("""COMPUTED_VALUE"""),24.7)</f>
        <v>24.7</v>
      </c>
      <c r="C325" s="2">
        <f>IFERROR(__xludf.DUMMYFUNCTION("""COMPUTED_VALUE"""),24.99)</f>
        <v>24.99</v>
      </c>
      <c r="D325" s="2">
        <f>IFERROR(__xludf.DUMMYFUNCTION("""COMPUTED_VALUE"""),24.3)</f>
        <v>24.3</v>
      </c>
      <c r="E325" s="2">
        <f>IFERROR(__xludf.DUMMYFUNCTION("""COMPUTED_VALUE"""),24.53)</f>
        <v>24.53</v>
      </c>
      <c r="F325" s="2">
        <f>IFERROR(__xludf.DUMMYFUNCTION("""COMPUTED_VALUE"""),112919.0)</f>
        <v>112919</v>
      </c>
    </row>
    <row r="326">
      <c r="A326" s="3">
        <f>IFERROR(__xludf.DUMMYFUNCTION("""COMPUTED_VALUE"""),37000.645833333336)</f>
        <v>37000.64583</v>
      </c>
      <c r="B326" s="2">
        <f>IFERROR(__xludf.DUMMYFUNCTION("""COMPUTED_VALUE"""),24.6)</f>
        <v>24.6</v>
      </c>
      <c r="C326" s="2">
        <f>IFERROR(__xludf.DUMMYFUNCTION("""COMPUTED_VALUE"""),25.0)</f>
        <v>25</v>
      </c>
      <c r="D326" s="2">
        <f>IFERROR(__xludf.DUMMYFUNCTION("""COMPUTED_VALUE"""),23.6)</f>
        <v>23.6</v>
      </c>
      <c r="E326" s="2">
        <f>IFERROR(__xludf.DUMMYFUNCTION("""COMPUTED_VALUE"""),23.96)</f>
        <v>23.96</v>
      </c>
      <c r="F326" s="2">
        <f>IFERROR(__xludf.DUMMYFUNCTION("""COMPUTED_VALUE"""),233788.0)</f>
        <v>233788</v>
      </c>
    </row>
    <row r="327">
      <c r="A327" s="3">
        <f>IFERROR(__xludf.DUMMYFUNCTION("""COMPUTED_VALUE"""),37001.645833333336)</f>
        <v>37001.64583</v>
      </c>
      <c r="B327" s="2">
        <f>IFERROR(__xludf.DUMMYFUNCTION("""COMPUTED_VALUE"""),24.5)</f>
        <v>24.5</v>
      </c>
      <c r="C327" s="2">
        <f>IFERROR(__xludf.DUMMYFUNCTION("""COMPUTED_VALUE"""),24.5)</f>
        <v>24.5</v>
      </c>
      <c r="D327" s="2">
        <f>IFERROR(__xludf.DUMMYFUNCTION("""COMPUTED_VALUE"""),23.51)</f>
        <v>23.51</v>
      </c>
      <c r="E327" s="2">
        <f>IFERROR(__xludf.DUMMYFUNCTION("""COMPUTED_VALUE"""),24.37)</f>
        <v>24.37</v>
      </c>
      <c r="F327" s="2">
        <f>IFERROR(__xludf.DUMMYFUNCTION("""COMPUTED_VALUE"""),153301.0)</f>
        <v>153301</v>
      </c>
    </row>
    <row r="328">
      <c r="A328" s="3">
        <f>IFERROR(__xludf.DUMMYFUNCTION("""COMPUTED_VALUE"""),37004.645833333336)</f>
        <v>37004.64583</v>
      </c>
      <c r="B328" s="2">
        <f>IFERROR(__xludf.DUMMYFUNCTION("""COMPUTED_VALUE"""),24.3)</f>
        <v>24.3</v>
      </c>
      <c r="C328" s="2">
        <f>IFERROR(__xludf.DUMMYFUNCTION("""COMPUTED_VALUE"""),24.49)</f>
        <v>24.49</v>
      </c>
      <c r="D328" s="2">
        <f>IFERROR(__xludf.DUMMYFUNCTION("""COMPUTED_VALUE"""),24.13)</f>
        <v>24.13</v>
      </c>
      <c r="E328" s="2">
        <f>IFERROR(__xludf.DUMMYFUNCTION("""COMPUTED_VALUE"""),24.34)</f>
        <v>24.34</v>
      </c>
      <c r="F328" s="2">
        <f>IFERROR(__xludf.DUMMYFUNCTION("""COMPUTED_VALUE"""),61322.0)</f>
        <v>61322</v>
      </c>
    </row>
    <row r="329">
      <c r="A329" s="3">
        <f>IFERROR(__xludf.DUMMYFUNCTION("""COMPUTED_VALUE"""),37005.645833333336)</f>
        <v>37005.64583</v>
      </c>
      <c r="B329" s="2">
        <f>IFERROR(__xludf.DUMMYFUNCTION("""COMPUTED_VALUE"""),24.02)</f>
        <v>24.02</v>
      </c>
      <c r="C329" s="2">
        <f>IFERROR(__xludf.DUMMYFUNCTION("""COMPUTED_VALUE"""),24.18)</f>
        <v>24.18</v>
      </c>
      <c r="D329" s="2">
        <f>IFERROR(__xludf.DUMMYFUNCTION("""COMPUTED_VALUE"""),23.62)</f>
        <v>23.62</v>
      </c>
      <c r="E329" s="2">
        <f>IFERROR(__xludf.DUMMYFUNCTION("""COMPUTED_VALUE"""),23.78)</f>
        <v>23.78</v>
      </c>
      <c r="F329" s="2">
        <f>IFERROR(__xludf.DUMMYFUNCTION("""COMPUTED_VALUE"""),129229.0)</f>
        <v>129229</v>
      </c>
    </row>
    <row r="330">
      <c r="A330" s="3">
        <f>IFERROR(__xludf.DUMMYFUNCTION("""COMPUTED_VALUE"""),37006.645833333336)</f>
        <v>37006.64583</v>
      </c>
      <c r="B330" s="2">
        <f>IFERROR(__xludf.DUMMYFUNCTION("""COMPUTED_VALUE"""),23.7)</f>
        <v>23.7</v>
      </c>
      <c r="C330" s="2">
        <f>IFERROR(__xludf.DUMMYFUNCTION("""COMPUTED_VALUE"""),23.9)</f>
        <v>23.9</v>
      </c>
      <c r="D330" s="2">
        <f>IFERROR(__xludf.DUMMYFUNCTION("""COMPUTED_VALUE"""),23.61)</f>
        <v>23.61</v>
      </c>
      <c r="E330" s="2">
        <f>IFERROR(__xludf.DUMMYFUNCTION("""COMPUTED_VALUE"""),23.72)</f>
        <v>23.72</v>
      </c>
      <c r="F330" s="2">
        <f>IFERROR(__xludf.DUMMYFUNCTION("""COMPUTED_VALUE"""),27245.0)</f>
        <v>27245</v>
      </c>
    </row>
    <row r="331">
      <c r="A331" s="3">
        <f>IFERROR(__xludf.DUMMYFUNCTION("""COMPUTED_VALUE"""),37007.645833333336)</f>
        <v>37007.64583</v>
      </c>
      <c r="B331" s="2">
        <f>IFERROR(__xludf.DUMMYFUNCTION("""COMPUTED_VALUE"""),23.84)</f>
        <v>23.84</v>
      </c>
      <c r="C331" s="2">
        <f>IFERROR(__xludf.DUMMYFUNCTION("""COMPUTED_VALUE"""),24.0)</f>
        <v>24</v>
      </c>
      <c r="D331" s="2">
        <f>IFERROR(__xludf.DUMMYFUNCTION("""COMPUTED_VALUE"""),23.63)</f>
        <v>23.63</v>
      </c>
      <c r="E331" s="2">
        <f>IFERROR(__xludf.DUMMYFUNCTION("""COMPUTED_VALUE"""),23.79)</f>
        <v>23.79</v>
      </c>
      <c r="F331" s="2">
        <f>IFERROR(__xludf.DUMMYFUNCTION("""COMPUTED_VALUE"""),21959.0)</f>
        <v>21959</v>
      </c>
    </row>
    <row r="332">
      <c r="A332" s="3">
        <f>IFERROR(__xludf.DUMMYFUNCTION("""COMPUTED_VALUE"""),37008.645833333336)</f>
        <v>37008.64583</v>
      </c>
      <c r="B332" s="2">
        <f>IFERROR(__xludf.DUMMYFUNCTION("""COMPUTED_VALUE"""),23.55)</f>
        <v>23.55</v>
      </c>
      <c r="C332" s="2">
        <f>IFERROR(__xludf.DUMMYFUNCTION("""COMPUTED_VALUE"""),23.6)</f>
        <v>23.6</v>
      </c>
      <c r="D332" s="2">
        <f>IFERROR(__xludf.DUMMYFUNCTION("""COMPUTED_VALUE"""),22.0)</f>
        <v>22</v>
      </c>
      <c r="E332" s="2">
        <f>IFERROR(__xludf.DUMMYFUNCTION("""COMPUTED_VALUE"""),23.25)</f>
        <v>23.25</v>
      </c>
      <c r="F332" s="2">
        <f>IFERROR(__xludf.DUMMYFUNCTION("""COMPUTED_VALUE"""),51572.0)</f>
        <v>51572</v>
      </c>
    </row>
    <row r="333">
      <c r="A333" s="3">
        <f>IFERROR(__xludf.DUMMYFUNCTION("""COMPUTED_VALUE"""),37011.645833333336)</f>
        <v>37011.64583</v>
      </c>
      <c r="B333" s="2">
        <f>IFERROR(__xludf.DUMMYFUNCTION("""COMPUTED_VALUE"""),22.6)</f>
        <v>22.6</v>
      </c>
      <c r="C333" s="2">
        <f>IFERROR(__xludf.DUMMYFUNCTION("""COMPUTED_VALUE"""),23.59)</f>
        <v>23.59</v>
      </c>
      <c r="D333" s="2">
        <f>IFERROR(__xludf.DUMMYFUNCTION("""COMPUTED_VALUE"""),22.6)</f>
        <v>22.6</v>
      </c>
      <c r="E333" s="2">
        <f>IFERROR(__xludf.DUMMYFUNCTION("""COMPUTED_VALUE"""),23.04)</f>
        <v>23.04</v>
      </c>
      <c r="F333" s="2">
        <f>IFERROR(__xludf.DUMMYFUNCTION("""COMPUTED_VALUE"""),66257.0)</f>
        <v>66257</v>
      </c>
    </row>
    <row r="334">
      <c r="A334" s="3">
        <f>IFERROR(__xludf.DUMMYFUNCTION("""COMPUTED_VALUE"""),37013.645833333336)</f>
        <v>37013.64583</v>
      </c>
      <c r="B334" s="2">
        <f>IFERROR(__xludf.DUMMYFUNCTION("""COMPUTED_VALUE"""),22.05)</f>
        <v>22.05</v>
      </c>
      <c r="C334" s="2">
        <f>IFERROR(__xludf.DUMMYFUNCTION("""COMPUTED_VALUE"""),23.79)</f>
        <v>23.79</v>
      </c>
      <c r="D334" s="2">
        <f>IFERROR(__xludf.DUMMYFUNCTION("""COMPUTED_VALUE"""),22.05)</f>
        <v>22.05</v>
      </c>
      <c r="E334" s="2">
        <f>IFERROR(__xludf.DUMMYFUNCTION("""COMPUTED_VALUE"""),23.6)</f>
        <v>23.6</v>
      </c>
      <c r="F334" s="2">
        <f>IFERROR(__xludf.DUMMYFUNCTION("""COMPUTED_VALUE"""),55990.0)</f>
        <v>55990</v>
      </c>
    </row>
    <row r="335">
      <c r="A335" s="3">
        <f>IFERROR(__xludf.DUMMYFUNCTION("""COMPUTED_VALUE"""),37014.645833333336)</f>
        <v>37014.64583</v>
      </c>
      <c r="B335" s="2">
        <f>IFERROR(__xludf.DUMMYFUNCTION("""COMPUTED_VALUE"""),23.9)</f>
        <v>23.9</v>
      </c>
      <c r="C335" s="2">
        <f>IFERROR(__xludf.DUMMYFUNCTION("""COMPUTED_VALUE"""),24.0)</f>
        <v>24</v>
      </c>
      <c r="D335" s="2">
        <f>IFERROR(__xludf.DUMMYFUNCTION("""COMPUTED_VALUE"""),23.02)</f>
        <v>23.02</v>
      </c>
      <c r="E335" s="2">
        <f>IFERROR(__xludf.DUMMYFUNCTION("""COMPUTED_VALUE"""),23.34)</f>
        <v>23.34</v>
      </c>
      <c r="F335" s="2">
        <f>IFERROR(__xludf.DUMMYFUNCTION("""COMPUTED_VALUE"""),43979.0)</f>
        <v>43979</v>
      </c>
    </row>
    <row r="336">
      <c r="A336" s="3">
        <f>IFERROR(__xludf.DUMMYFUNCTION("""COMPUTED_VALUE"""),37015.645833333336)</f>
        <v>37015.64583</v>
      </c>
      <c r="B336" s="2">
        <f>IFERROR(__xludf.DUMMYFUNCTION("""COMPUTED_VALUE"""),23.48)</f>
        <v>23.48</v>
      </c>
      <c r="C336" s="2">
        <f>IFERROR(__xludf.DUMMYFUNCTION("""COMPUTED_VALUE"""),23.48)</f>
        <v>23.48</v>
      </c>
      <c r="D336" s="2">
        <f>IFERROR(__xludf.DUMMYFUNCTION("""COMPUTED_VALUE"""),23.12)</f>
        <v>23.12</v>
      </c>
      <c r="E336" s="2">
        <f>IFERROR(__xludf.DUMMYFUNCTION("""COMPUTED_VALUE"""),23.22)</f>
        <v>23.22</v>
      </c>
      <c r="F336" s="2">
        <f>IFERROR(__xludf.DUMMYFUNCTION("""COMPUTED_VALUE"""),49826.0)</f>
        <v>49826</v>
      </c>
    </row>
    <row r="337">
      <c r="A337" s="3">
        <f>IFERROR(__xludf.DUMMYFUNCTION("""COMPUTED_VALUE"""),37018.645833333336)</f>
        <v>37018.64583</v>
      </c>
      <c r="B337" s="2">
        <f>IFERROR(__xludf.DUMMYFUNCTION("""COMPUTED_VALUE"""),23.4)</f>
        <v>23.4</v>
      </c>
      <c r="C337" s="2">
        <f>IFERROR(__xludf.DUMMYFUNCTION("""COMPUTED_VALUE"""),23.8)</f>
        <v>23.8</v>
      </c>
      <c r="D337" s="2">
        <f>IFERROR(__xludf.DUMMYFUNCTION("""COMPUTED_VALUE"""),23.21)</f>
        <v>23.21</v>
      </c>
      <c r="E337" s="2">
        <f>IFERROR(__xludf.DUMMYFUNCTION("""COMPUTED_VALUE"""),23.75)</f>
        <v>23.75</v>
      </c>
      <c r="F337" s="2">
        <f>IFERROR(__xludf.DUMMYFUNCTION("""COMPUTED_VALUE"""),59467.0)</f>
        <v>59467</v>
      </c>
    </row>
    <row r="338">
      <c r="A338" s="3">
        <f>IFERROR(__xludf.DUMMYFUNCTION("""COMPUTED_VALUE"""),37019.645833333336)</f>
        <v>37019.64583</v>
      </c>
      <c r="B338" s="2">
        <f>IFERROR(__xludf.DUMMYFUNCTION("""COMPUTED_VALUE"""),23.6)</f>
        <v>23.6</v>
      </c>
      <c r="C338" s="2">
        <f>IFERROR(__xludf.DUMMYFUNCTION("""COMPUTED_VALUE"""),23.7)</f>
        <v>23.7</v>
      </c>
      <c r="D338" s="2">
        <f>IFERROR(__xludf.DUMMYFUNCTION("""COMPUTED_VALUE"""),23.21)</f>
        <v>23.21</v>
      </c>
      <c r="E338" s="2">
        <f>IFERROR(__xludf.DUMMYFUNCTION("""COMPUTED_VALUE"""),23.3)</f>
        <v>23.3</v>
      </c>
      <c r="F338" s="2">
        <f>IFERROR(__xludf.DUMMYFUNCTION("""COMPUTED_VALUE"""),42490.0)</f>
        <v>42490</v>
      </c>
    </row>
    <row r="339">
      <c r="A339" s="3">
        <f>IFERROR(__xludf.DUMMYFUNCTION("""COMPUTED_VALUE"""),37020.645833333336)</f>
        <v>37020.64583</v>
      </c>
      <c r="B339" s="2">
        <f>IFERROR(__xludf.DUMMYFUNCTION("""COMPUTED_VALUE"""),23.45)</f>
        <v>23.45</v>
      </c>
      <c r="C339" s="2">
        <f>IFERROR(__xludf.DUMMYFUNCTION("""COMPUTED_VALUE"""),24.0)</f>
        <v>24</v>
      </c>
      <c r="D339" s="2">
        <f>IFERROR(__xludf.DUMMYFUNCTION("""COMPUTED_VALUE"""),23.1)</f>
        <v>23.1</v>
      </c>
      <c r="E339" s="2">
        <f>IFERROR(__xludf.DUMMYFUNCTION("""COMPUTED_VALUE"""),23.76)</f>
        <v>23.76</v>
      </c>
      <c r="F339" s="2">
        <f>IFERROR(__xludf.DUMMYFUNCTION("""COMPUTED_VALUE"""),73186.0)</f>
        <v>73186</v>
      </c>
    </row>
    <row r="340">
      <c r="A340" s="3">
        <f>IFERROR(__xludf.DUMMYFUNCTION("""COMPUTED_VALUE"""),37021.645833333336)</f>
        <v>37021.64583</v>
      </c>
      <c r="B340" s="2">
        <f>IFERROR(__xludf.DUMMYFUNCTION("""COMPUTED_VALUE"""),24.0)</f>
        <v>24</v>
      </c>
      <c r="C340" s="2">
        <f>IFERROR(__xludf.DUMMYFUNCTION("""COMPUTED_VALUE"""),24.47)</f>
        <v>24.47</v>
      </c>
      <c r="D340" s="2">
        <f>IFERROR(__xludf.DUMMYFUNCTION("""COMPUTED_VALUE"""),23.55)</f>
        <v>23.55</v>
      </c>
      <c r="E340" s="2">
        <f>IFERROR(__xludf.DUMMYFUNCTION("""COMPUTED_VALUE"""),23.64)</f>
        <v>23.64</v>
      </c>
      <c r="F340" s="2">
        <f>IFERROR(__xludf.DUMMYFUNCTION("""COMPUTED_VALUE"""),107271.0)</f>
        <v>107271</v>
      </c>
    </row>
    <row r="341">
      <c r="A341" s="3">
        <f>IFERROR(__xludf.DUMMYFUNCTION("""COMPUTED_VALUE"""),37022.645833333336)</f>
        <v>37022.64583</v>
      </c>
      <c r="B341" s="2">
        <f>IFERROR(__xludf.DUMMYFUNCTION("""COMPUTED_VALUE"""),23.8)</f>
        <v>23.8</v>
      </c>
      <c r="C341" s="2">
        <f>IFERROR(__xludf.DUMMYFUNCTION("""COMPUTED_VALUE"""),23.8)</f>
        <v>23.8</v>
      </c>
      <c r="D341" s="2">
        <f>IFERROR(__xludf.DUMMYFUNCTION("""COMPUTED_VALUE"""),23.3)</f>
        <v>23.3</v>
      </c>
      <c r="E341" s="2">
        <f>IFERROR(__xludf.DUMMYFUNCTION("""COMPUTED_VALUE"""),23.37)</f>
        <v>23.37</v>
      </c>
      <c r="F341" s="2">
        <f>IFERROR(__xludf.DUMMYFUNCTION("""COMPUTED_VALUE"""),30181.0)</f>
        <v>30181</v>
      </c>
    </row>
    <row r="342">
      <c r="A342" s="3">
        <f>IFERROR(__xludf.DUMMYFUNCTION("""COMPUTED_VALUE"""),37025.645833333336)</f>
        <v>37025.64583</v>
      </c>
      <c r="B342" s="2">
        <f>IFERROR(__xludf.DUMMYFUNCTION("""COMPUTED_VALUE"""),23.7)</f>
        <v>23.7</v>
      </c>
      <c r="C342" s="2">
        <f>IFERROR(__xludf.DUMMYFUNCTION("""COMPUTED_VALUE"""),24.1)</f>
        <v>24.1</v>
      </c>
      <c r="D342" s="2">
        <f>IFERROR(__xludf.DUMMYFUNCTION("""COMPUTED_VALUE"""),23.25)</f>
        <v>23.25</v>
      </c>
      <c r="E342" s="2">
        <f>IFERROR(__xludf.DUMMYFUNCTION("""COMPUTED_VALUE"""),23.73)</f>
        <v>23.73</v>
      </c>
      <c r="F342" s="2">
        <f>IFERROR(__xludf.DUMMYFUNCTION("""COMPUTED_VALUE"""),78536.0)</f>
        <v>78536</v>
      </c>
    </row>
    <row r="343">
      <c r="A343" s="3">
        <f>IFERROR(__xludf.DUMMYFUNCTION("""COMPUTED_VALUE"""),37026.645833333336)</f>
        <v>37026.64583</v>
      </c>
      <c r="B343" s="2">
        <f>IFERROR(__xludf.DUMMYFUNCTION("""COMPUTED_VALUE"""),23.21)</f>
        <v>23.21</v>
      </c>
      <c r="C343" s="2">
        <f>IFERROR(__xludf.DUMMYFUNCTION("""COMPUTED_VALUE"""),24.29)</f>
        <v>24.29</v>
      </c>
      <c r="D343" s="2">
        <f>IFERROR(__xludf.DUMMYFUNCTION("""COMPUTED_VALUE"""),22.6)</f>
        <v>22.6</v>
      </c>
      <c r="E343" s="2">
        <f>IFERROR(__xludf.DUMMYFUNCTION("""COMPUTED_VALUE"""),24.08)</f>
        <v>24.08</v>
      </c>
      <c r="F343" s="2">
        <f>IFERROR(__xludf.DUMMYFUNCTION("""COMPUTED_VALUE"""),72954.0)</f>
        <v>72954</v>
      </c>
    </row>
    <row r="344">
      <c r="A344" s="3">
        <f>IFERROR(__xludf.DUMMYFUNCTION("""COMPUTED_VALUE"""),37027.645833333336)</f>
        <v>37027.64583</v>
      </c>
      <c r="B344" s="2">
        <f>IFERROR(__xludf.DUMMYFUNCTION("""COMPUTED_VALUE"""),24.1)</f>
        <v>24.1</v>
      </c>
      <c r="C344" s="2">
        <f>IFERROR(__xludf.DUMMYFUNCTION("""COMPUTED_VALUE"""),24.41)</f>
        <v>24.41</v>
      </c>
      <c r="D344" s="2">
        <f>IFERROR(__xludf.DUMMYFUNCTION("""COMPUTED_VALUE"""),23.4)</f>
        <v>23.4</v>
      </c>
      <c r="E344" s="2">
        <f>IFERROR(__xludf.DUMMYFUNCTION("""COMPUTED_VALUE"""),23.57)</f>
        <v>23.57</v>
      </c>
      <c r="F344" s="2">
        <f>IFERROR(__xludf.DUMMYFUNCTION("""COMPUTED_VALUE"""),124001.0)</f>
        <v>124001</v>
      </c>
    </row>
    <row r="345">
      <c r="A345" s="3">
        <f>IFERROR(__xludf.DUMMYFUNCTION("""COMPUTED_VALUE"""),37028.645833333336)</f>
        <v>37028.64583</v>
      </c>
      <c r="B345" s="2">
        <f>IFERROR(__xludf.DUMMYFUNCTION("""COMPUTED_VALUE"""),23.98)</f>
        <v>23.98</v>
      </c>
      <c r="C345" s="2">
        <f>IFERROR(__xludf.DUMMYFUNCTION("""COMPUTED_VALUE"""),24.35)</f>
        <v>24.35</v>
      </c>
      <c r="D345" s="2">
        <f>IFERROR(__xludf.DUMMYFUNCTION("""COMPUTED_VALUE"""),23.21)</f>
        <v>23.21</v>
      </c>
      <c r="E345" s="2">
        <f>IFERROR(__xludf.DUMMYFUNCTION("""COMPUTED_VALUE"""),23.44)</f>
        <v>23.44</v>
      </c>
      <c r="F345" s="2">
        <f>IFERROR(__xludf.DUMMYFUNCTION("""COMPUTED_VALUE"""),127320.0)</f>
        <v>127320</v>
      </c>
    </row>
    <row r="346">
      <c r="A346" s="3">
        <f>IFERROR(__xludf.DUMMYFUNCTION("""COMPUTED_VALUE"""),37029.645833333336)</f>
        <v>37029.64583</v>
      </c>
      <c r="B346" s="2">
        <f>IFERROR(__xludf.DUMMYFUNCTION("""COMPUTED_VALUE"""),23.8)</f>
        <v>23.8</v>
      </c>
      <c r="C346" s="2">
        <f>IFERROR(__xludf.DUMMYFUNCTION("""COMPUTED_VALUE"""),24.0)</f>
        <v>24</v>
      </c>
      <c r="D346" s="2">
        <f>IFERROR(__xludf.DUMMYFUNCTION("""COMPUTED_VALUE"""),23.41)</f>
        <v>23.41</v>
      </c>
      <c r="E346" s="2">
        <f>IFERROR(__xludf.DUMMYFUNCTION("""COMPUTED_VALUE"""),23.56)</f>
        <v>23.56</v>
      </c>
      <c r="F346" s="2">
        <f>IFERROR(__xludf.DUMMYFUNCTION("""COMPUTED_VALUE"""),84460.0)</f>
        <v>84460</v>
      </c>
    </row>
    <row r="347">
      <c r="A347" s="3">
        <f>IFERROR(__xludf.DUMMYFUNCTION("""COMPUTED_VALUE"""),37032.645833333336)</f>
        <v>37032.64583</v>
      </c>
      <c r="B347" s="2">
        <f>IFERROR(__xludf.DUMMYFUNCTION("""COMPUTED_VALUE"""),24.0)</f>
        <v>24</v>
      </c>
      <c r="C347" s="2">
        <f>IFERROR(__xludf.DUMMYFUNCTION("""COMPUTED_VALUE"""),24.39)</f>
        <v>24.39</v>
      </c>
      <c r="D347" s="2">
        <f>IFERROR(__xludf.DUMMYFUNCTION("""COMPUTED_VALUE"""),23.31)</f>
        <v>23.31</v>
      </c>
      <c r="E347" s="2">
        <f>IFERROR(__xludf.DUMMYFUNCTION("""COMPUTED_VALUE"""),23.72)</f>
        <v>23.72</v>
      </c>
      <c r="F347" s="2">
        <f>IFERROR(__xludf.DUMMYFUNCTION("""COMPUTED_VALUE"""),162314.0)</f>
        <v>162314</v>
      </c>
    </row>
    <row r="348">
      <c r="A348" s="3">
        <f>IFERROR(__xludf.DUMMYFUNCTION("""COMPUTED_VALUE"""),37033.645833333336)</f>
        <v>37033.64583</v>
      </c>
      <c r="B348" s="2">
        <f>IFERROR(__xludf.DUMMYFUNCTION("""COMPUTED_VALUE"""),23.87)</f>
        <v>23.87</v>
      </c>
      <c r="C348" s="2">
        <f>IFERROR(__xludf.DUMMYFUNCTION("""COMPUTED_VALUE"""),24.27)</f>
        <v>24.27</v>
      </c>
      <c r="D348" s="2">
        <f>IFERROR(__xludf.DUMMYFUNCTION("""COMPUTED_VALUE"""),23.5)</f>
        <v>23.5</v>
      </c>
      <c r="E348" s="2">
        <f>IFERROR(__xludf.DUMMYFUNCTION("""COMPUTED_VALUE"""),23.58)</f>
        <v>23.58</v>
      </c>
      <c r="F348" s="2">
        <f>IFERROR(__xludf.DUMMYFUNCTION("""COMPUTED_VALUE"""),88593.0)</f>
        <v>88593</v>
      </c>
    </row>
    <row r="349">
      <c r="A349" s="3">
        <f>IFERROR(__xludf.DUMMYFUNCTION("""COMPUTED_VALUE"""),37034.645833333336)</f>
        <v>37034.64583</v>
      </c>
      <c r="B349" s="2">
        <f>IFERROR(__xludf.DUMMYFUNCTION("""COMPUTED_VALUE"""),23.9)</f>
        <v>23.9</v>
      </c>
      <c r="C349" s="2">
        <f>IFERROR(__xludf.DUMMYFUNCTION("""COMPUTED_VALUE"""),23.9)</f>
        <v>23.9</v>
      </c>
      <c r="D349" s="2">
        <f>IFERROR(__xludf.DUMMYFUNCTION("""COMPUTED_VALUE"""),23.68)</f>
        <v>23.68</v>
      </c>
      <c r="E349" s="2">
        <f>IFERROR(__xludf.DUMMYFUNCTION("""COMPUTED_VALUE"""),23.74)</f>
        <v>23.74</v>
      </c>
      <c r="F349" s="2">
        <f>IFERROR(__xludf.DUMMYFUNCTION("""COMPUTED_VALUE"""),65397.0)</f>
        <v>65397</v>
      </c>
    </row>
    <row r="350">
      <c r="A350" s="3">
        <f>IFERROR(__xludf.DUMMYFUNCTION("""COMPUTED_VALUE"""),37035.645833333336)</f>
        <v>37035.64583</v>
      </c>
      <c r="B350" s="2">
        <f>IFERROR(__xludf.DUMMYFUNCTION("""COMPUTED_VALUE"""),23.83)</f>
        <v>23.83</v>
      </c>
      <c r="C350" s="2">
        <f>IFERROR(__xludf.DUMMYFUNCTION("""COMPUTED_VALUE"""),23.89)</f>
        <v>23.89</v>
      </c>
      <c r="D350" s="2">
        <f>IFERROR(__xludf.DUMMYFUNCTION("""COMPUTED_VALUE"""),23.55)</f>
        <v>23.55</v>
      </c>
      <c r="E350" s="2">
        <f>IFERROR(__xludf.DUMMYFUNCTION("""COMPUTED_VALUE"""),23.64)</f>
        <v>23.64</v>
      </c>
      <c r="F350" s="2">
        <f>IFERROR(__xludf.DUMMYFUNCTION("""COMPUTED_VALUE"""),18794.0)</f>
        <v>18794</v>
      </c>
    </row>
    <row r="351">
      <c r="A351" s="3">
        <f>IFERROR(__xludf.DUMMYFUNCTION("""COMPUTED_VALUE"""),37036.645833333336)</f>
        <v>37036.64583</v>
      </c>
      <c r="B351" s="2">
        <f>IFERROR(__xludf.DUMMYFUNCTION("""COMPUTED_VALUE"""),23.73)</f>
        <v>23.73</v>
      </c>
      <c r="C351" s="2">
        <f>IFERROR(__xludf.DUMMYFUNCTION("""COMPUTED_VALUE"""),23.73)</f>
        <v>23.73</v>
      </c>
      <c r="D351" s="2">
        <f>IFERROR(__xludf.DUMMYFUNCTION("""COMPUTED_VALUE"""),23.0)</f>
        <v>23</v>
      </c>
      <c r="E351" s="2">
        <f>IFERROR(__xludf.DUMMYFUNCTION("""COMPUTED_VALUE"""),23.08)</f>
        <v>23.08</v>
      </c>
      <c r="F351" s="2">
        <f>IFERROR(__xludf.DUMMYFUNCTION("""COMPUTED_VALUE"""),124580.0)</f>
        <v>124580</v>
      </c>
    </row>
    <row r="352">
      <c r="A352" s="3">
        <f>IFERROR(__xludf.DUMMYFUNCTION("""COMPUTED_VALUE"""),37039.645833333336)</f>
        <v>37039.64583</v>
      </c>
      <c r="B352" s="2">
        <f>IFERROR(__xludf.DUMMYFUNCTION("""COMPUTED_VALUE"""),23.0)</f>
        <v>23</v>
      </c>
      <c r="C352" s="2">
        <f>IFERROR(__xludf.DUMMYFUNCTION("""COMPUTED_VALUE"""),23.5)</f>
        <v>23.5</v>
      </c>
      <c r="D352" s="2">
        <f>IFERROR(__xludf.DUMMYFUNCTION("""COMPUTED_VALUE"""),22.95)</f>
        <v>22.95</v>
      </c>
      <c r="E352" s="2">
        <f>IFERROR(__xludf.DUMMYFUNCTION("""COMPUTED_VALUE"""),23.44)</f>
        <v>23.44</v>
      </c>
      <c r="F352" s="2">
        <f>IFERROR(__xludf.DUMMYFUNCTION("""COMPUTED_VALUE"""),96718.0)</f>
        <v>96718</v>
      </c>
    </row>
    <row r="353">
      <c r="A353" s="3">
        <f>IFERROR(__xludf.DUMMYFUNCTION("""COMPUTED_VALUE"""),37040.645833333336)</f>
        <v>37040.64583</v>
      </c>
      <c r="B353" s="2">
        <f>IFERROR(__xludf.DUMMYFUNCTION("""COMPUTED_VALUE"""),23.4)</f>
        <v>23.4</v>
      </c>
      <c r="C353" s="2">
        <f>IFERROR(__xludf.DUMMYFUNCTION("""COMPUTED_VALUE"""),23.6)</f>
        <v>23.6</v>
      </c>
      <c r="D353" s="2">
        <f>IFERROR(__xludf.DUMMYFUNCTION("""COMPUTED_VALUE"""),23.2)</f>
        <v>23.2</v>
      </c>
      <c r="E353" s="2">
        <f>IFERROR(__xludf.DUMMYFUNCTION("""COMPUTED_VALUE"""),23.51)</f>
        <v>23.51</v>
      </c>
      <c r="F353" s="2">
        <f>IFERROR(__xludf.DUMMYFUNCTION("""COMPUTED_VALUE"""),141677.0)</f>
        <v>141677</v>
      </c>
    </row>
    <row r="354">
      <c r="A354" s="3">
        <f>IFERROR(__xludf.DUMMYFUNCTION("""COMPUTED_VALUE"""),37041.645833333336)</f>
        <v>37041.64583</v>
      </c>
      <c r="B354" s="2">
        <f>IFERROR(__xludf.DUMMYFUNCTION("""COMPUTED_VALUE"""),23.5)</f>
        <v>23.5</v>
      </c>
      <c r="C354" s="2">
        <f>IFERROR(__xludf.DUMMYFUNCTION("""COMPUTED_VALUE"""),23.55)</f>
        <v>23.55</v>
      </c>
      <c r="D354" s="2">
        <f>IFERROR(__xludf.DUMMYFUNCTION("""COMPUTED_VALUE"""),22.81)</f>
        <v>22.81</v>
      </c>
      <c r="E354" s="2">
        <f>IFERROR(__xludf.DUMMYFUNCTION("""COMPUTED_VALUE"""),23.02)</f>
        <v>23.02</v>
      </c>
      <c r="F354" s="2">
        <f>IFERROR(__xludf.DUMMYFUNCTION("""COMPUTED_VALUE"""),179832.0)</f>
        <v>179832</v>
      </c>
    </row>
    <row r="355">
      <c r="A355" s="3">
        <f>IFERROR(__xludf.DUMMYFUNCTION("""COMPUTED_VALUE"""),37042.645833333336)</f>
        <v>37042.64583</v>
      </c>
      <c r="B355" s="2">
        <f>IFERROR(__xludf.DUMMYFUNCTION("""COMPUTED_VALUE"""),23.14)</f>
        <v>23.14</v>
      </c>
      <c r="C355" s="2">
        <f>IFERROR(__xludf.DUMMYFUNCTION("""COMPUTED_VALUE"""),23.14)</f>
        <v>23.14</v>
      </c>
      <c r="D355" s="2">
        <f>IFERROR(__xludf.DUMMYFUNCTION("""COMPUTED_VALUE"""),22.76)</f>
        <v>22.76</v>
      </c>
      <c r="E355" s="2">
        <f>IFERROR(__xludf.DUMMYFUNCTION("""COMPUTED_VALUE"""),22.99)</f>
        <v>22.99</v>
      </c>
      <c r="F355" s="2">
        <f>IFERROR(__xludf.DUMMYFUNCTION("""COMPUTED_VALUE"""),77960.0)</f>
        <v>77960</v>
      </c>
    </row>
    <row r="356">
      <c r="A356" s="3">
        <f>IFERROR(__xludf.DUMMYFUNCTION("""COMPUTED_VALUE"""),37043.645833333336)</f>
        <v>37043.64583</v>
      </c>
      <c r="B356" s="2">
        <f>IFERROR(__xludf.DUMMYFUNCTION("""COMPUTED_VALUE"""),23.14)</f>
        <v>23.14</v>
      </c>
      <c r="C356" s="2">
        <f>IFERROR(__xludf.DUMMYFUNCTION("""COMPUTED_VALUE"""),23.2)</f>
        <v>23.2</v>
      </c>
      <c r="D356" s="2">
        <f>IFERROR(__xludf.DUMMYFUNCTION("""COMPUTED_VALUE"""),22.92)</f>
        <v>22.92</v>
      </c>
      <c r="E356" s="2">
        <f>IFERROR(__xludf.DUMMYFUNCTION("""COMPUTED_VALUE"""),23.05)</f>
        <v>23.05</v>
      </c>
      <c r="F356" s="2">
        <f>IFERROR(__xludf.DUMMYFUNCTION("""COMPUTED_VALUE"""),40477.0)</f>
        <v>40477</v>
      </c>
    </row>
    <row r="357">
      <c r="A357" s="3">
        <f>IFERROR(__xludf.DUMMYFUNCTION("""COMPUTED_VALUE"""),37046.645833333336)</f>
        <v>37046.64583</v>
      </c>
      <c r="B357" s="2">
        <f>IFERROR(__xludf.DUMMYFUNCTION("""COMPUTED_VALUE"""),23.15)</f>
        <v>23.15</v>
      </c>
      <c r="C357" s="2">
        <f>IFERROR(__xludf.DUMMYFUNCTION("""COMPUTED_VALUE"""),23.32)</f>
        <v>23.32</v>
      </c>
      <c r="D357" s="2">
        <f>IFERROR(__xludf.DUMMYFUNCTION("""COMPUTED_VALUE"""),22.93)</f>
        <v>22.93</v>
      </c>
      <c r="E357" s="2">
        <f>IFERROR(__xludf.DUMMYFUNCTION("""COMPUTED_VALUE"""),23.23)</f>
        <v>23.23</v>
      </c>
      <c r="F357" s="2">
        <f>IFERROR(__xludf.DUMMYFUNCTION("""COMPUTED_VALUE"""),81322.0)</f>
        <v>81322</v>
      </c>
    </row>
    <row r="358">
      <c r="A358" s="3">
        <f>IFERROR(__xludf.DUMMYFUNCTION("""COMPUTED_VALUE"""),37047.645833333336)</f>
        <v>37047.64583</v>
      </c>
      <c r="B358" s="2">
        <f>IFERROR(__xludf.DUMMYFUNCTION("""COMPUTED_VALUE"""),23.0)</f>
        <v>23</v>
      </c>
      <c r="C358" s="2">
        <f>IFERROR(__xludf.DUMMYFUNCTION("""COMPUTED_VALUE"""),23.3)</f>
        <v>23.3</v>
      </c>
      <c r="D358" s="2">
        <f>IFERROR(__xludf.DUMMYFUNCTION("""COMPUTED_VALUE"""),23.0)</f>
        <v>23</v>
      </c>
      <c r="E358" s="2">
        <f>IFERROR(__xludf.DUMMYFUNCTION("""COMPUTED_VALUE"""),23.19)</f>
        <v>23.19</v>
      </c>
      <c r="F358" s="2">
        <f>IFERROR(__xludf.DUMMYFUNCTION("""COMPUTED_VALUE"""),81207.0)</f>
        <v>81207</v>
      </c>
    </row>
    <row r="359">
      <c r="A359" s="3">
        <f>IFERROR(__xludf.DUMMYFUNCTION("""COMPUTED_VALUE"""),37048.645833333336)</f>
        <v>37048.64583</v>
      </c>
      <c r="B359" s="2">
        <f>IFERROR(__xludf.DUMMYFUNCTION("""COMPUTED_VALUE"""),23.3)</f>
        <v>23.3</v>
      </c>
      <c r="C359" s="2">
        <f>IFERROR(__xludf.DUMMYFUNCTION("""COMPUTED_VALUE"""),23.47)</f>
        <v>23.47</v>
      </c>
      <c r="D359" s="2">
        <f>IFERROR(__xludf.DUMMYFUNCTION("""COMPUTED_VALUE"""),23.25)</f>
        <v>23.25</v>
      </c>
      <c r="E359" s="2">
        <f>IFERROR(__xludf.DUMMYFUNCTION("""COMPUTED_VALUE"""),23.41)</f>
        <v>23.41</v>
      </c>
      <c r="F359" s="2">
        <f>IFERROR(__xludf.DUMMYFUNCTION("""COMPUTED_VALUE"""),46199.0)</f>
        <v>46199</v>
      </c>
    </row>
    <row r="360">
      <c r="A360" s="3">
        <f>IFERROR(__xludf.DUMMYFUNCTION("""COMPUTED_VALUE"""),37049.645833333336)</f>
        <v>37049.64583</v>
      </c>
      <c r="B360" s="2">
        <f>IFERROR(__xludf.DUMMYFUNCTION("""COMPUTED_VALUE"""),23.3)</f>
        <v>23.3</v>
      </c>
      <c r="C360" s="2">
        <f>IFERROR(__xludf.DUMMYFUNCTION("""COMPUTED_VALUE"""),23.3)</f>
        <v>23.3</v>
      </c>
      <c r="D360" s="2">
        <f>IFERROR(__xludf.DUMMYFUNCTION("""COMPUTED_VALUE"""),22.75)</f>
        <v>22.75</v>
      </c>
      <c r="E360" s="2">
        <f>IFERROR(__xludf.DUMMYFUNCTION("""COMPUTED_VALUE"""),23.01)</f>
        <v>23.01</v>
      </c>
      <c r="F360" s="2">
        <f>IFERROR(__xludf.DUMMYFUNCTION("""COMPUTED_VALUE"""),124201.0)</f>
        <v>124201</v>
      </c>
    </row>
    <row r="361">
      <c r="A361" s="3">
        <f>IFERROR(__xludf.DUMMYFUNCTION("""COMPUTED_VALUE"""),37050.645833333336)</f>
        <v>37050.64583</v>
      </c>
      <c r="B361" s="2">
        <f>IFERROR(__xludf.DUMMYFUNCTION("""COMPUTED_VALUE"""),23.1)</f>
        <v>23.1</v>
      </c>
      <c r="C361" s="2">
        <f>IFERROR(__xludf.DUMMYFUNCTION("""COMPUTED_VALUE"""),23.25)</f>
        <v>23.25</v>
      </c>
      <c r="D361" s="2">
        <f>IFERROR(__xludf.DUMMYFUNCTION("""COMPUTED_VALUE"""),22.85)</f>
        <v>22.85</v>
      </c>
      <c r="E361" s="2">
        <f>IFERROR(__xludf.DUMMYFUNCTION("""COMPUTED_VALUE"""),23.15)</f>
        <v>23.15</v>
      </c>
      <c r="F361" s="2">
        <f>IFERROR(__xludf.DUMMYFUNCTION("""COMPUTED_VALUE"""),111938.0)</f>
        <v>111938</v>
      </c>
    </row>
    <row r="362">
      <c r="A362" s="3">
        <f>IFERROR(__xludf.DUMMYFUNCTION("""COMPUTED_VALUE"""),37053.645833333336)</f>
        <v>37053.64583</v>
      </c>
      <c r="B362" s="2">
        <f>IFERROR(__xludf.DUMMYFUNCTION("""COMPUTED_VALUE"""),23.05)</f>
        <v>23.05</v>
      </c>
      <c r="C362" s="2">
        <f>IFERROR(__xludf.DUMMYFUNCTION("""COMPUTED_VALUE"""),23.19)</f>
        <v>23.19</v>
      </c>
      <c r="D362" s="2">
        <f>IFERROR(__xludf.DUMMYFUNCTION("""COMPUTED_VALUE"""),22.8)</f>
        <v>22.8</v>
      </c>
      <c r="E362" s="2">
        <f>IFERROR(__xludf.DUMMYFUNCTION("""COMPUTED_VALUE"""),23.07)</f>
        <v>23.07</v>
      </c>
      <c r="F362" s="2">
        <f>IFERROR(__xludf.DUMMYFUNCTION("""COMPUTED_VALUE"""),37602.0)</f>
        <v>37602</v>
      </c>
    </row>
    <row r="363">
      <c r="A363" s="3">
        <f>IFERROR(__xludf.DUMMYFUNCTION("""COMPUTED_VALUE"""),37054.645833333336)</f>
        <v>37054.64583</v>
      </c>
      <c r="B363" s="2">
        <f>IFERROR(__xludf.DUMMYFUNCTION("""COMPUTED_VALUE"""),23.1)</f>
        <v>23.1</v>
      </c>
      <c r="C363" s="2">
        <f>IFERROR(__xludf.DUMMYFUNCTION("""COMPUTED_VALUE"""),23.1)</f>
        <v>23.1</v>
      </c>
      <c r="D363" s="2">
        <f>IFERROR(__xludf.DUMMYFUNCTION("""COMPUTED_VALUE"""),22.0)</f>
        <v>22</v>
      </c>
      <c r="E363" s="2">
        <f>IFERROR(__xludf.DUMMYFUNCTION("""COMPUTED_VALUE"""),22.78)</f>
        <v>22.78</v>
      </c>
      <c r="F363" s="2">
        <f>IFERROR(__xludf.DUMMYFUNCTION("""COMPUTED_VALUE"""),76062.0)</f>
        <v>76062</v>
      </c>
    </row>
    <row r="364">
      <c r="A364" s="3">
        <f>IFERROR(__xludf.DUMMYFUNCTION("""COMPUTED_VALUE"""),37055.645833333336)</f>
        <v>37055.64583</v>
      </c>
      <c r="B364" s="2">
        <f>IFERROR(__xludf.DUMMYFUNCTION("""COMPUTED_VALUE"""),22.85)</f>
        <v>22.85</v>
      </c>
      <c r="C364" s="2">
        <f>IFERROR(__xludf.DUMMYFUNCTION("""COMPUTED_VALUE"""),22.9)</f>
        <v>22.9</v>
      </c>
      <c r="D364" s="2">
        <f>IFERROR(__xludf.DUMMYFUNCTION("""COMPUTED_VALUE"""),22.51)</f>
        <v>22.51</v>
      </c>
      <c r="E364" s="2">
        <f>IFERROR(__xludf.DUMMYFUNCTION("""COMPUTED_VALUE"""),22.73)</f>
        <v>22.73</v>
      </c>
      <c r="F364" s="2">
        <f>IFERROR(__xludf.DUMMYFUNCTION("""COMPUTED_VALUE"""),74574.0)</f>
        <v>74574</v>
      </c>
    </row>
    <row r="365">
      <c r="A365" s="3">
        <f>IFERROR(__xludf.DUMMYFUNCTION("""COMPUTED_VALUE"""),37056.645833333336)</f>
        <v>37056.64583</v>
      </c>
      <c r="B365" s="2">
        <f>IFERROR(__xludf.DUMMYFUNCTION("""COMPUTED_VALUE"""),22.79)</f>
        <v>22.79</v>
      </c>
      <c r="C365" s="2">
        <f>IFERROR(__xludf.DUMMYFUNCTION("""COMPUTED_VALUE"""),22.79)</f>
        <v>22.79</v>
      </c>
      <c r="D365" s="2">
        <f>IFERROR(__xludf.DUMMYFUNCTION("""COMPUTED_VALUE"""),21.61)</f>
        <v>21.61</v>
      </c>
      <c r="E365" s="2">
        <f>IFERROR(__xludf.DUMMYFUNCTION("""COMPUTED_VALUE"""),21.78)</f>
        <v>21.78</v>
      </c>
      <c r="F365" s="2">
        <f>IFERROR(__xludf.DUMMYFUNCTION("""COMPUTED_VALUE"""),110836.0)</f>
        <v>110836</v>
      </c>
    </row>
    <row r="366">
      <c r="A366" s="3">
        <f>IFERROR(__xludf.DUMMYFUNCTION("""COMPUTED_VALUE"""),37057.645833333336)</f>
        <v>37057.64583</v>
      </c>
      <c r="B366" s="2">
        <f>IFERROR(__xludf.DUMMYFUNCTION("""COMPUTED_VALUE"""),21.61)</f>
        <v>21.61</v>
      </c>
      <c r="C366" s="2">
        <f>IFERROR(__xludf.DUMMYFUNCTION("""COMPUTED_VALUE"""),21.99)</f>
        <v>21.99</v>
      </c>
      <c r="D366" s="2">
        <f>IFERROR(__xludf.DUMMYFUNCTION("""COMPUTED_VALUE"""),20.4)</f>
        <v>20.4</v>
      </c>
      <c r="E366" s="2">
        <f>IFERROR(__xludf.DUMMYFUNCTION("""COMPUTED_VALUE"""),21.42)</f>
        <v>21.42</v>
      </c>
      <c r="F366" s="2">
        <f>IFERROR(__xludf.DUMMYFUNCTION("""COMPUTED_VALUE"""),183718.0)</f>
        <v>183718</v>
      </c>
    </row>
    <row r="367">
      <c r="A367" s="3">
        <f>IFERROR(__xludf.DUMMYFUNCTION("""COMPUTED_VALUE"""),37060.645833333336)</f>
        <v>37060.64583</v>
      </c>
      <c r="B367" s="2">
        <f>IFERROR(__xludf.DUMMYFUNCTION("""COMPUTED_VALUE"""),21.5)</f>
        <v>21.5</v>
      </c>
      <c r="C367" s="2">
        <f>IFERROR(__xludf.DUMMYFUNCTION("""COMPUTED_VALUE"""),21.5)</f>
        <v>21.5</v>
      </c>
      <c r="D367" s="2">
        <f>IFERROR(__xludf.DUMMYFUNCTION("""COMPUTED_VALUE"""),19.71)</f>
        <v>19.71</v>
      </c>
      <c r="E367" s="2">
        <f>IFERROR(__xludf.DUMMYFUNCTION("""COMPUTED_VALUE"""),19.85)</f>
        <v>19.85</v>
      </c>
      <c r="F367" s="2">
        <f>IFERROR(__xludf.DUMMYFUNCTION("""COMPUTED_VALUE"""),132060.0)</f>
        <v>132060</v>
      </c>
    </row>
    <row r="368">
      <c r="A368" s="3">
        <f>IFERROR(__xludf.DUMMYFUNCTION("""COMPUTED_VALUE"""),37061.645833333336)</f>
        <v>37061.64583</v>
      </c>
      <c r="B368" s="2">
        <f>IFERROR(__xludf.DUMMYFUNCTION("""COMPUTED_VALUE"""),20.0)</f>
        <v>20</v>
      </c>
      <c r="C368" s="2">
        <f>IFERROR(__xludf.DUMMYFUNCTION("""COMPUTED_VALUE"""),20.85)</f>
        <v>20.85</v>
      </c>
      <c r="D368" s="2">
        <f>IFERROR(__xludf.DUMMYFUNCTION("""COMPUTED_VALUE"""),19.9)</f>
        <v>19.9</v>
      </c>
      <c r="E368" s="2">
        <f>IFERROR(__xludf.DUMMYFUNCTION("""COMPUTED_VALUE"""),20.43)</f>
        <v>20.43</v>
      </c>
      <c r="F368" s="2">
        <f>IFERROR(__xludf.DUMMYFUNCTION("""COMPUTED_VALUE"""),305282.0)</f>
        <v>305282</v>
      </c>
    </row>
    <row r="369">
      <c r="A369" s="3">
        <f>IFERROR(__xludf.DUMMYFUNCTION("""COMPUTED_VALUE"""),37062.645833333336)</f>
        <v>37062.64583</v>
      </c>
      <c r="B369" s="2">
        <f>IFERROR(__xludf.DUMMYFUNCTION("""COMPUTED_VALUE"""),20.69)</f>
        <v>20.69</v>
      </c>
      <c r="C369" s="2">
        <f>IFERROR(__xludf.DUMMYFUNCTION("""COMPUTED_VALUE"""),21.4)</f>
        <v>21.4</v>
      </c>
      <c r="D369" s="2">
        <f>IFERROR(__xludf.DUMMYFUNCTION("""COMPUTED_VALUE"""),20.58)</f>
        <v>20.58</v>
      </c>
      <c r="E369" s="2">
        <f>IFERROR(__xludf.DUMMYFUNCTION("""COMPUTED_VALUE"""),21.33)</f>
        <v>21.33</v>
      </c>
      <c r="F369" s="2">
        <f>IFERROR(__xludf.DUMMYFUNCTION("""COMPUTED_VALUE"""),129557.0)</f>
        <v>129557</v>
      </c>
    </row>
    <row r="370">
      <c r="A370" s="3">
        <f>IFERROR(__xludf.DUMMYFUNCTION("""COMPUTED_VALUE"""),37063.645833333336)</f>
        <v>37063.64583</v>
      </c>
      <c r="B370" s="2">
        <f>IFERROR(__xludf.DUMMYFUNCTION("""COMPUTED_VALUE"""),21.49)</f>
        <v>21.49</v>
      </c>
      <c r="C370" s="2">
        <f>IFERROR(__xludf.DUMMYFUNCTION("""COMPUTED_VALUE"""),22.4)</f>
        <v>22.4</v>
      </c>
      <c r="D370" s="2">
        <f>IFERROR(__xludf.DUMMYFUNCTION("""COMPUTED_VALUE"""),21.49)</f>
        <v>21.49</v>
      </c>
      <c r="E370" s="2">
        <f>IFERROR(__xludf.DUMMYFUNCTION("""COMPUTED_VALUE"""),22.09)</f>
        <v>22.09</v>
      </c>
      <c r="F370" s="2">
        <f>IFERROR(__xludf.DUMMYFUNCTION("""COMPUTED_VALUE"""),128907.0)</f>
        <v>128907</v>
      </c>
    </row>
    <row r="371">
      <c r="A371" s="3">
        <f>IFERROR(__xludf.DUMMYFUNCTION("""COMPUTED_VALUE"""),37064.645833333336)</f>
        <v>37064.64583</v>
      </c>
      <c r="B371" s="2">
        <f>IFERROR(__xludf.DUMMYFUNCTION("""COMPUTED_VALUE"""),22.01)</f>
        <v>22.01</v>
      </c>
      <c r="C371" s="2">
        <f>IFERROR(__xludf.DUMMYFUNCTION("""COMPUTED_VALUE"""),22.65)</f>
        <v>22.65</v>
      </c>
      <c r="D371" s="2">
        <f>IFERROR(__xludf.DUMMYFUNCTION("""COMPUTED_VALUE"""),21.75)</f>
        <v>21.75</v>
      </c>
      <c r="E371" s="2">
        <f>IFERROR(__xludf.DUMMYFUNCTION("""COMPUTED_VALUE"""),21.89)</f>
        <v>21.89</v>
      </c>
      <c r="F371" s="2">
        <f>IFERROR(__xludf.DUMMYFUNCTION("""COMPUTED_VALUE"""),106425.0)</f>
        <v>106425</v>
      </c>
    </row>
    <row r="372">
      <c r="A372" s="3">
        <f>IFERROR(__xludf.DUMMYFUNCTION("""COMPUTED_VALUE"""),37067.645833333336)</f>
        <v>37067.64583</v>
      </c>
      <c r="B372" s="2">
        <f>IFERROR(__xludf.DUMMYFUNCTION("""COMPUTED_VALUE"""),21.85)</f>
        <v>21.85</v>
      </c>
      <c r="C372" s="2">
        <f>IFERROR(__xludf.DUMMYFUNCTION("""COMPUTED_VALUE"""),21.9)</f>
        <v>21.9</v>
      </c>
      <c r="D372" s="2">
        <f>IFERROR(__xludf.DUMMYFUNCTION("""COMPUTED_VALUE"""),20.97)</f>
        <v>20.97</v>
      </c>
      <c r="E372" s="2">
        <f>IFERROR(__xludf.DUMMYFUNCTION("""COMPUTED_VALUE"""),21.09)</f>
        <v>21.09</v>
      </c>
      <c r="F372" s="2">
        <f>IFERROR(__xludf.DUMMYFUNCTION("""COMPUTED_VALUE"""),68047.0)</f>
        <v>68047</v>
      </c>
    </row>
    <row r="373">
      <c r="A373" s="3">
        <f>IFERROR(__xludf.DUMMYFUNCTION("""COMPUTED_VALUE"""),37068.645833333336)</f>
        <v>37068.64583</v>
      </c>
      <c r="B373" s="2">
        <f>IFERROR(__xludf.DUMMYFUNCTION("""COMPUTED_VALUE"""),20.9)</f>
        <v>20.9</v>
      </c>
      <c r="C373" s="2">
        <f>IFERROR(__xludf.DUMMYFUNCTION("""COMPUTED_VALUE"""),21.8)</f>
        <v>21.8</v>
      </c>
      <c r="D373" s="2">
        <f>IFERROR(__xludf.DUMMYFUNCTION("""COMPUTED_VALUE"""),20.8)</f>
        <v>20.8</v>
      </c>
      <c r="E373" s="2">
        <f>IFERROR(__xludf.DUMMYFUNCTION("""COMPUTED_VALUE"""),21.6)</f>
        <v>21.6</v>
      </c>
      <c r="F373" s="2">
        <f>IFERROR(__xludf.DUMMYFUNCTION("""COMPUTED_VALUE"""),77243.0)</f>
        <v>77243</v>
      </c>
    </row>
    <row r="374">
      <c r="A374" s="3">
        <f>IFERROR(__xludf.DUMMYFUNCTION("""COMPUTED_VALUE"""),37069.645833333336)</f>
        <v>37069.64583</v>
      </c>
      <c r="B374" s="2">
        <f>IFERROR(__xludf.DUMMYFUNCTION("""COMPUTED_VALUE"""),21.45)</f>
        <v>21.45</v>
      </c>
      <c r="C374" s="2">
        <f>IFERROR(__xludf.DUMMYFUNCTION("""COMPUTED_VALUE"""),21.7)</f>
        <v>21.7</v>
      </c>
      <c r="D374" s="2">
        <f>IFERROR(__xludf.DUMMYFUNCTION("""COMPUTED_VALUE"""),21.3)</f>
        <v>21.3</v>
      </c>
      <c r="E374" s="2">
        <f>IFERROR(__xludf.DUMMYFUNCTION("""COMPUTED_VALUE"""),21.35)</f>
        <v>21.35</v>
      </c>
      <c r="F374" s="2">
        <f>IFERROR(__xludf.DUMMYFUNCTION("""COMPUTED_VALUE"""),54563.0)</f>
        <v>54563</v>
      </c>
    </row>
    <row r="375">
      <c r="A375" s="3">
        <f>IFERROR(__xludf.DUMMYFUNCTION("""COMPUTED_VALUE"""),37070.645833333336)</f>
        <v>37070.64583</v>
      </c>
      <c r="B375" s="2">
        <f>IFERROR(__xludf.DUMMYFUNCTION("""COMPUTED_VALUE"""),21.42)</f>
        <v>21.42</v>
      </c>
      <c r="C375" s="2">
        <f>IFERROR(__xludf.DUMMYFUNCTION("""COMPUTED_VALUE"""),21.62)</f>
        <v>21.62</v>
      </c>
      <c r="D375" s="2">
        <f>IFERROR(__xludf.DUMMYFUNCTION("""COMPUTED_VALUE"""),21.3)</f>
        <v>21.3</v>
      </c>
      <c r="E375" s="2">
        <f>IFERROR(__xludf.DUMMYFUNCTION("""COMPUTED_VALUE"""),21.53)</f>
        <v>21.53</v>
      </c>
      <c r="F375" s="2">
        <f>IFERROR(__xludf.DUMMYFUNCTION("""COMPUTED_VALUE"""),29403.0)</f>
        <v>29403</v>
      </c>
    </row>
    <row r="376">
      <c r="A376" s="3">
        <f>IFERROR(__xludf.DUMMYFUNCTION("""COMPUTED_VALUE"""),37071.645833333336)</f>
        <v>37071.64583</v>
      </c>
      <c r="B376" s="2">
        <f>IFERROR(__xludf.DUMMYFUNCTION("""COMPUTED_VALUE"""),21.5)</f>
        <v>21.5</v>
      </c>
      <c r="C376" s="2">
        <f>IFERROR(__xludf.DUMMYFUNCTION("""COMPUTED_VALUE"""),21.59)</f>
        <v>21.59</v>
      </c>
      <c r="D376" s="2">
        <f>IFERROR(__xludf.DUMMYFUNCTION("""COMPUTED_VALUE"""),20.79)</f>
        <v>20.79</v>
      </c>
      <c r="E376" s="2">
        <f>IFERROR(__xludf.DUMMYFUNCTION("""COMPUTED_VALUE"""),20.96)</f>
        <v>20.96</v>
      </c>
      <c r="F376" s="2">
        <f>IFERROR(__xludf.DUMMYFUNCTION("""COMPUTED_VALUE"""),76400.0)</f>
        <v>76400</v>
      </c>
    </row>
    <row r="377">
      <c r="A377" s="3">
        <f>IFERROR(__xludf.DUMMYFUNCTION("""COMPUTED_VALUE"""),37074.645833333336)</f>
        <v>37074.64583</v>
      </c>
      <c r="B377" s="2">
        <f>IFERROR(__xludf.DUMMYFUNCTION("""COMPUTED_VALUE"""),21.4)</f>
        <v>21.4</v>
      </c>
      <c r="C377" s="2">
        <f>IFERROR(__xludf.DUMMYFUNCTION("""COMPUTED_VALUE"""),21.45)</f>
        <v>21.45</v>
      </c>
      <c r="D377" s="2">
        <f>IFERROR(__xludf.DUMMYFUNCTION("""COMPUTED_VALUE"""),21.2)</f>
        <v>21.2</v>
      </c>
      <c r="E377" s="2">
        <f>IFERROR(__xludf.DUMMYFUNCTION("""COMPUTED_VALUE"""),21.27)</f>
        <v>21.27</v>
      </c>
      <c r="F377" s="2">
        <f>IFERROR(__xludf.DUMMYFUNCTION("""COMPUTED_VALUE"""),18656.0)</f>
        <v>18656</v>
      </c>
    </row>
    <row r="378">
      <c r="A378" s="3">
        <f>IFERROR(__xludf.DUMMYFUNCTION("""COMPUTED_VALUE"""),37075.645833333336)</f>
        <v>37075.64583</v>
      </c>
      <c r="B378" s="2">
        <f>IFERROR(__xludf.DUMMYFUNCTION("""COMPUTED_VALUE"""),21.19)</f>
        <v>21.19</v>
      </c>
      <c r="C378" s="2">
        <f>IFERROR(__xludf.DUMMYFUNCTION("""COMPUTED_VALUE"""),21.4)</f>
        <v>21.4</v>
      </c>
      <c r="D378" s="2">
        <f>IFERROR(__xludf.DUMMYFUNCTION("""COMPUTED_VALUE"""),20.66)</f>
        <v>20.66</v>
      </c>
      <c r="E378" s="2">
        <f>IFERROR(__xludf.DUMMYFUNCTION("""COMPUTED_VALUE"""),20.72)</f>
        <v>20.72</v>
      </c>
      <c r="F378" s="2">
        <f>IFERROR(__xludf.DUMMYFUNCTION("""COMPUTED_VALUE"""),700464.0)</f>
        <v>700464</v>
      </c>
    </row>
    <row r="379">
      <c r="A379" s="3">
        <f>IFERROR(__xludf.DUMMYFUNCTION("""COMPUTED_VALUE"""),37076.645833333336)</f>
        <v>37076.64583</v>
      </c>
      <c r="B379" s="2">
        <f>IFERROR(__xludf.DUMMYFUNCTION("""COMPUTED_VALUE"""),20.8)</f>
        <v>20.8</v>
      </c>
      <c r="C379" s="2">
        <f>IFERROR(__xludf.DUMMYFUNCTION("""COMPUTED_VALUE"""),20.8)</f>
        <v>20.8</v>
      </c>
      <c r="D379" s="2">
        <f>IFERROR(__xludf.DUMMYFUNCTION("""COMPUTED_VALUE"""),19.95)</f>
        <v>19.95</v>
      </c>
      <c r="E379" s="2">
        <f>IFERROR(__xludf.DUMMYFUNCTION("""COMPUTED_VALUE"""),20.26)</f>
        <v>20.26</v>
      </c>
      <c r="F379" s="2">
        <f>IFERROR(__xludf.DUMMYFUNCTION("""COMPUTED_VALUE"""),52449.0)</f>
        <v>52449</v>
      </c>
    </row>
    <row r="380">
      <c r="A380" s="3">
        <f>IFERROR(__xludf.DUMMYFUNCTION("""COMPUTED_VALUE"""),37077.645833333336)</f>
        <v>37077.64583</v>
      </c>
      <c r="B380" s="2">
        <f>IFERROR(__xludf.DUMMYFUNCTION("""COMPUTED_VALUE"""),20.5)</f>
        <v>20.5</v>
      </c>
      <c r="C380" s="2">
        <f>IFERROR(__xludf.DUMMYFUNCTION("""COMPUTED_VALUE"""),20.55)</f>
        <v>20.55</v>
      </c>
      <c r="D380" s="2">
        <f>IFERROR(__xludf.DUMMYFUNCTION("""COMPUTED_VALUE"""),20.2)</f>
        <v>20.2</v>
      </c>
      <c r="E380" s="2">
        <f>IFERROR(__xludf.DUMMYFUNCTION("""COMPUTED_VALUE"""),20.38)</f>
        <v>20.38</v>
      </c>
      <c r="F380" s="2">
        <f>IFERROR(__xludf.DUMMYFUNCTION("""COMPUTED_VALUE"""),40349.0)</f>
        <v>40349</v>
      </c>
    </row>
    <row r="381">
      <c r="A381" s="3">
        <f>IFERROR(__xludf.DUMMYFUNCTION("""COMPUTED_VALUE"""),37078.645833333336)</f>
        <v>37078.64583</v>
      </c>
      <c r="B381" s="2">
        <f>IFERROR(__xludf.DUMMYFUNCTION("""COMPUTED_VALUE"""),20.21)</f>
        <v>20.21</v>
      </c>
      <c r="C381" s="2">
        <f>IFERROR(__xludf.DUMMYFUNCTION("""COMPUTED_VALUE"""),20.58)</f>
        <v>20.58</v>
      </c>
      <c r="D381" s="2">
        <f>IFERROR(__xludf.DUMMYFUNCTION("""COMPUTED_VALUE"""),20.21)</f>
        <v>20.21</v>
      </c>
      <c r="E381" s="2">
        <f>IFERROR(__xludf.DUMMYFUNCTION("""COMPUTED_VALUE"""),20.4)</f>
        <v>20.4</v>
      </c>
      <c r="F381" s="2">
        <f>IFERROR(__xludf.DUMMYFUNCTION("""COMPUTED_VALUE"""),14117.0)</f>
        <v>14117</v>
      </c>
    </row>
    <row r="382">
      <c r="A382" s="3">
        <f>IFERROR(__xludf.DUMMYFUNCTION("""COMPUTED_VALUE"""),37081.645833333336)</f>
        <v>37081.64583</v>
      </c>
      <c r="B382" s="2">
        <f>IFERROR(__xludf.DUMMYFUNCTION("""COMPUTED_VALUE"""),20.1)</f>
        <v>20.1</v>
      </c>
      <c r="C382" s="2">
        <f>IFERROR(__xludf.DUMMYFUNCTION("""COMPUTED_VALUE"""),20.6)</f>
        <v>20.6</v>
      </c>
      <c r="D382" s="2">
        <f>IFERROR(__xludf.DUMMYFUNCTION("""COMPUTED_VALUE"""),20.0)</f>
        <v>20</v>
      </c>
      <c r="E382" s="2">
        <f>IFERROR(__xludf.DUMMYFUNCTION("""COMPUTED_VALUE"""),20.48)</f>
        <v>20.48</v>
      </c>
      <c r="F382" s="2">
        <f>IFERROR(__xludf.DUMMYFUNCTION("""COMPUTED_VALUE"""),10791.0)</f>
        <v>10791</v>
      </c>
    </row>
    <row r="383">
      <c r="A383" s="3">
        <f>IFERROR(__xludf.DUMMYFUNCTION("""COMPUTED_VALUE"""),37082.645833333336)</f>
        <v>37082.64583</v>
      </c>
      <c r="B383" s="2">
        <f>IFERROR(__xludf.DUMMYFUNCTION("""COMPUTED_VALUE"""),20.7)</f>
        <v>20.7</v>
      </c>
      <c r="C383" s="2">
        <f>IFERROR(__xludf.DUMMYFUNCTION("""COMPUTED_VALUE"""),20.9)</f>
        <v>20.9</v>
      </c>
      <c r="D383" s="2">
        <f>IFERROR(__xludf.DUMMYFUNCTION("""COMPUTED_VALUE"""),20.31)</f>
        <v>20.31</v>
      </c>
      <c r="E383" s="2">
        <f>IFERROR(__xludf.DUMMYFUNCTION("""COMPUTED_VALUE"""),20.8)</f>
        <v>20.8</v>
      </c>
      <c r="F383" s="2">
        <f>IFERROR(__xludf.DUMMYFUNCTION("""COMPUTED_VALUE"""),21337.0)</f>
        <v>21337</v>
      </c>
    </row>
    <row r="384">
      <c r="A384" s="3">
        <f>IFERROR(__xludf.DUMMYFUNCTION("""COMPUTED_VALUE"""),37083.645833333336)</f>
        <v>37083.64583</v>
      </c>
      <c r="B384" s="2">
        <f>IFERROR(__xludf.DUMMYFUNCTION("""COMPUTED_VALUE"""),20.9)</f>
        <v>20.9</v>
      </c>
      <c r="C384" s="2">
        <f>IFERROR(__xludf.DUMMYFUNCTION("""COMPUTED_VALUE"""),21.2)</f>
        <v>21.2</v>
      </c>
      <c r="D384" s="2">
        <f>IFERROR(__xludf.DUMMYFUNCTION("""COMPUTED_VALUE"""),20.9)</f>
        <v>20.9</v>
      </c>
      <c r="E384" s="2">
        <f>IFERROR(__xludf.DUMMYFUNCTION("""COMPUTED_VALUE"""),21.1)</f>
        <v>21.1</v>
      </c>
      <c r="F384" s="2">
        <f>IFERROR(__xludf.DUMMYFUNCTION("""COMPUTED_VALUE"""),25540.0)</f>
        <v>25540</v>
      </c>
    </row>
    <row r="385">
      <c r="A385" s="3">
        <f>IFERROR(__xludf.DUMMYFUNCTION("""COMPUTED_VALUE"""),37084.645833333336)</f>
        <v>37084.64583</v>
      </c>
      <c r="B385" s="2">
        <f>IFERROR(__xludf.DUMMYFUNCTION("""COMPUTED_VALUE"""),21.13)</f>
        <v>21.13</v>
      </c>
      <c r="C385" s="2">
        <f>IFERROR(__xludf.DUMMYFUNCTION("""COMPUTED_VALUE"""),21.7)</f>
        <v>21.7</v>
      </c>
      <c r="D385" s="2">
        <f>IFERROR(__xludf.DUMMYFUNCTION("""COMPUTED_VALUE"""),21.01)</f>
        <v>21.01</v>
      </c>
      <c r="E385" s="2">
        <f>IFERROR(__xludf.DUMMYFUNCTION("""COMPUTED_VALUE"""),21.55)</f>
        <v>21.55</v>
      </c>
      <c r="F385" s="2">
        <f>IFERROR(__xludf.DUMMYFUNCTION("""COMPUTED_VALUE"""),42562.0)</f>
        <v>42562</v>
      </c>
    </row>
    <row r="386">
      <c r="A386" s="3">
        <f>IFERROR(__xludf.DUMMYFUNCTION("""COMPUTED_VALUE"""),37085.645833333336)</f>
        <v>37085.64583</v>
      </c>
      <c r="B386" s="2">
        <f>IFERROR(__xludf.DUMMYFUNCTION("""COMPUTED_VALUE"""),21.8)</f>
        <v>21.8</v>
      </c>
      <c r="C386" s="2">
        <f>IFERROR(__xludf.DUMMYFUNCTION("""COMPUTED_VALUE"""),22.23)</f>
        <v>22.23</v>
      </c>
      <c r="D386" s="2">
        <f>IFERROR(__xludf.DUMMYFUNCTION("""COMPUTED_VALUE"""),21.5)</f>
        <v>21.5</v>
      </c>
      <c r="E386" s="2">
        <f>IFERROR(__xludf.DUMMYFUNCTION("""COMPUTED_VALUE"""),21.66)</f>
        <v>21.66</v>
      </c>
      <c r="F386" s="2">
        <f>IFERROR(__xludf.DUMMYFUNCTION("""COMPUTED_VALUE"""),62401.0)</f>
        <v>62401</v>
      </c>
    </row>
    <row r="387">
      <c r="A387" s="3">
        <f>IFERROR(__xludf.DUMMYFUNCTION("""COMPUTED_VALUE"""),37088.645833333336)</f>
        <v>37088.64583</v>
      </c>
      <c r="B387" s="2">
        <f>IFERROR(__xludf.DUMMYFUNCTION("""COMPUTED_VALUE"""),21.8)</f>
        <v>21.8</v>
      </c>
      <c r="C387" s="2">
        <f>IFERROR(__xludf.DUMMYFUNCTION("""COMPUTED_VALUE"""),22.28)</f>
        <v>22.28</v>
      </c>
      <c r="D387" s="2">
        <f>IFERROR(__xludf.DUMMYFUNCTION("""COMPUTED_VALUE"""),21.8)</f>
        <v>21.8</v>
      </c>
      <c r="E387" s="2">
        <f>IFERROR(__xludf.DUMMYFUNCTION("""COMPUTED_VALUE"""),21.9)</f>
        <v>21.9</v>
      </c>
      <c r="F387" s="2">
        <f>IFERROR(__xludf.DUMMYFUNCTION("""COMPUTED_VALUE"""),242804.0)</f>
        <v>242804</v>
      </c>
    </row>
    <row r="388">
      <c r="A388" s="3">
        <f>IFERROR(__xludf.DUMMYFUNCTION("""COMPUTED_VALUE"""),37089.645833333336)</f>
        <v>37089.64583</v>
      </c>
      <c r="B388" s="2">
        <f>IFERROR(__xludf.DUMMYFUNCTION("""COMPUTED_VALUE"""),22.03)</f>
        <v>22.03</v>
      </c>
      <c r="C388" s="2">
        <f>IFERROR(__xludf.DUMMYFUNCTION("""COMPUTED_VALUE"""),22.25)</f>
        <v>22.25</v>
      </c>
      <c r="D388" s="2">
        <f>IFERROR(__xludf.DUMMYFUNCTION("""COMPUTED_VALUE"""),22.01)</f>
        <v>22.01</v>
      </c>
      <c r="E388" s="2">
        <f>IFERROR(__xludf.DUMMYFUNCTION("""COMPUTED_VALUE"""),22.11)</f>
        <v>22.11</v>
      </c>
      <c r="F388" s="2">
        <f>IFERROR(__xludf.DUMMYFUNCTION("""COMPUTED_VALUE"""),30005.0)</f>
        <v>30005</v>
      </c>
    </row>
    <row r="389">
      <c r="A389" s="3">
        <f>IFERROR(__xludf.DUMMYFUNCTION("""COMPUTED_VALUE"""),37090.645833333336)</f>
        <v>37090.64583</v>
      </c>
      <c r="B389" s="2">
        <f>IFERROR(__xludf.DUMMYFUNCTION("""COMPUTED_VALUE"""),22.01)</f>
        <v>22.01</v>
      </c>
      <c r="C389" s="2">
        <f>IFERROR(__xludf.DUMMYFUNCTION("""COMPUTED_VALUE"""),22.9)</f>
        <v>22.9</v>
      </c>
      <c r="D389" s="2">
        <f>IFERROR(__xludf.DUMMYFUNCTION("""COMPUTED_VALUE"""),22.01)</f>
        <v>22.01</v>
      </c>
      <c r="E389" s="2">
        <f>IFERROR(__xludf.DUMMYFUNCTION("""COMPUTED_VALUE"""),22.73)</f>
        <v>22.73</v>
      </c>
      <c r="F389" s="2">
        <f>IFERROR(__xludf.DUMMYFUNCTION("""COMPUTED_VALUE"""),70355.0)</f>
        <v>70355</v>
      </c>
    </row>
    <row r="390">
      <c r="A390" s="3">
        <f>IFERROR(__xludf.DUMMYFUNCTION("""COMPUTED_VALUE"""),37091.645833333336)</f>
        <v>37091.64583</v>
      </c>
      <c r="B390" s="2">
        <f>IFERROR(__xludf.DUMMYFUNCTION("""COMPUTED_VALUE"""),22.4)</f>
        <v>22.4</v>
      </c>
      <c r="C390" s="2">
        <f>IFERROR(__xludf.DUMMYFUNCTION("""COMPUTED_VALUE"""),22.69)</f>
        <v>22.69</v>
      </c>
      <c r="D390" s="2">
        <f>IFERROR(__xludf.DUMMYFUNCTION("""COMPUTED_VALUE"""),22.2)</f>
        <v>22.2</v>
      </c>
      <c r="E390" s="2">
        <f>IFERROR(__xludf.DUMMYFUNCTION("""COMPUTED_VALUE"""),22.44)</f>
        <v>22.44</v>
      </c>
      <c r="F390" s="2">
        <f>IFERROR(__xludf.DUMMYFUNCTION("""COMPUTED_VALUE"""),58013.0)</f>
        <v>58013</v>
      </c>
    </row>
    <row r="391">
      <c r="A391" s="3">
        <f>IFERROR(__xludf.DUMMYFUNCTION("""COMPUTED_VALUE"""),37092.645833333336)</f>
        <v>37092.64583</v>
      </c>
      <c r="B391" s="2">
        <f>IFERROR(__xludf.DUMMYFUNCTION("""COMPUTED_VALUE"""),22.6)</f>
        <v>22.6</v>
      </c>
      <c r="C391" s="2">
        <f>IFERROR(__xludf.DUMMYFUNCTION("""COMPUTED_VALUE"""),22.7)</f>
        <v>22.7</v>
      </c>
      <c r="D391" s="2">
        <f>IFERROR(__xludf.DUMMYFUNCTION("""COMPUTED_VALUE"""),22.47)</f>
        <v>22.47</v>
      </c>
      <c r="E391" s="2">
        <f>IFERROR(__xludf.DUMMYFUNCTION("""COMPUTED_VALUE"""),22.5)</f>
        <v>22.5</v>
      </c>
      <c r="F391" s="2">
        <f>IFERROR(__xludf.DUMMYFUNCTION("""COMPUTED_VALUE"""),115662.0)</f>
        <v>115662</v>
      </c>
    </row>
    <row r="392">
      <c r="A392" s="3">
        <f>IFERROR(__xludf.DUMMYFUNCTION("""COMPUTED_VALUE"""),37095.645833333336)</f>
        <v>37095.64583</v>
      </c>
      <c r="B392" s="2">
        <f>IFERROR(__xludf.DUMMYFUNCTION("""COMPUTED_VALUE"""),22.39)</f>
        <v>22.39</v>
      </c>
      <c r="C392" s="2">
        <f>IFERROR(__xludf.DUMMYFUNCTION("""COMPUTED_VALUE"""),22.39)</f>
        <v>22.39</v>
      </c>
      <c r="D392" s="2">
        <f>IFERROR(__xludf.DUMMYFUNCTION("""COMPUTED_VALUE"""),21.82)</f>
        <v>21.82</v>
      </c>
      <c r="E392" s="2">
        <f>IFERROR(__xludf.DUMMYFUNCTION("""COMPUTED_VALUE"""),21.92)</f>
        <v>21.92</v>
      </c>
      <c r="F392" s="2">
        <f>IFERROR(__xludf.DUMMYFUNCTION("""COMPUTED_VALUE"""),1042.0)</f>
        <v>1042</v>
      </c>
    </row>
    <row r="393">
      <c r="A393" s="3">
        <f>IFERROR(__xludf.DUMMYFUNCTION("""COMPUTED_VALUE"""),37096.645833333336)</f>
        <v>37096.64583</v>
      </c>
      <c r="B393" s="2">
        <f>IFERROR(__xludf.DUMMYFUNCTION("""COMPUTED_VALUE"""),21.78)</f>
        <v>21.78</v>
      </c>
      <c r="C393" s="2">
        <f>IFERROR(__xludf.DUMMYFUNCTION("""COMPUTED_VALUE"""),22.79)</f>
        <v>22.79</v>
      </c>
      <c r="D393" s="2">
        <f>IFERROR(__xludf.DUMMYFUNCTION("""COMPUTED_VALUE"""),21.51)</f>
        <v>21.51</v>
      </c>
      <c r="E393" s="2">
        <f>IFERROR(__xludf.DUMMYFUNCTION("""COMPUTED_VALUE"""),22.69)</f>
        <v>22.69</v>
      </c>
      <c r="F393" s="2">
        <f>IFERROR(__xludf.DUMMYFUNCTION("""COMPUTED_VALUE"""),72668.0)</f>
        <v>72668</v>
      </c>
    </row>
    <row r="394">
      <c r="A394" s="3">
        <f>IFERROR(__xludf.DUMMYFUNCTION("""COMPUTED_VALUE"""),37097.645833333336)</f>
        <v>37097.64583</v>
      </c>
      <c r="B394" s="2">
        <f>IFERROR(__xludf.DUMMYFUNCTION("""COMPUTED_VALUE"""),22.58)</f>
        <v>22.58</v>
      </c>
      <c r="C394" s="2">
        <f>IFERROR(__xludf.DUMMYFUNCTION("""COMPUTED_VALUE"""),23.29)</f>
        <v>23.29</v>
      </c>
      <c r="D394" s="2">
        <f>IFERROR(__xludf.DUMMYFUNCTION("""COMPUTED_VALUE"""),22.51)</f>
        <v>22.51</v>
      </c>
      <c r="E394" s="2">
        <f>IFERROR(__xludf.DUMMYFUNCTION("""COMPUTED_VALUE"""),23.18)</f>
        <v>23.18</v>
      </c>
      <c r="F394" s="2">
        <f>IFERROR(__xludf.DUMMYFUNCTION("""COMPUTED_VALUE"""),126157.0)</f>
        <v>126157</v>
      </c>
    </row>
    <row r="395">
      <c r="A395" s="3">
        <f>IFERROR(__xludf.DUMMYFUNCTION("""COMPUTED_VALUE"""),37098.645833333336)</f>
        <v>37098.64583</v>
      </c>
      <c r="B395" s="2">
        <f>IFERROR(__xludf.DUMMYFUNCTION("""COMPUTED_VALUE"""),22.45)</f>
        <v>22.45</v>
      </c>
      <c r="C395" s="2">
        <f>IFERROR(__xludf.DUMMYFUNCTION("""COMPUTED_VALUE"""),23.19)</f>
        <v>23.19</v>
      </c>
      <c r="D395" s="2">
        <f>IFERROR(__xludf.DUMMYFUNCTION("""COMPUTED_VALUE"""),22.45)</f>
        <v>22.45</v>
      </c>
      <c r="E395" s="2">
        <f>IFERROR(__xludf.DUMMYFUNCTION("""COMPUTED_VALUE"""),22.94)</f>
        <v>22.94</v>
      </c>
      <c r="F395" s="2">
        <f>IFERROR(__xludf.DUMMYFUNCTION("""COMPUTED_VALUE"""),222201.0)</f>
        <v>222201</v>
      </c>
    </row>
    <row r="396">
      <c r="A396" s="3">
        <f>IFERROR(__xludf.DUMMYFUNCTION("""COMPUTED_VALUE"""),37099.645833333336)</f>
        <v>37099.64583</v>
      </c>
      <c r="B396" s="2">
        <f>IFERROR(__xludf.DUMMYFUNCTION("""COMPUTED_VALUE"""),23.0)</f>
        <v>23</v>
      </c>
      <c r="C396" s="2">
        <f>IFERROR(__xludf.DUMMYFUNCTION("""COMPUTED_VALUE"""),23.4)</f>
        <v>23.4</v>
      </c>
      <c r="D396" s="2">
        <f>IFERROR(__xludf.DUMMYFUNCTION("""COMPUTED_VALUE"""),22.81)</f>
        <v>22.81</v>
      </c>
      <c r="E396" s="2">
        <f>IFERROR(__xludf.DUMMYFUNCTION("""COMPUTED_VALUE"""),23.24)</f>
        <v>23.24</v>
      </c>
      <c r="F396" s="2">
        <f>IFERROR(__xludf.DUMMYFUNCTION("""COMPUTED_VALUE"""),163112.0)</f>
        <v>163112</v>
      </c>
    </row>
    <row r="397">
      <c r="A397" s="3">
        <f>IFERROR(__xludf.DUMMYFUNCTION("""COMPUTED_VALUE"""),37102.645833333336)</f>
        <v>37102.64583</v>
      </c>
      <c r="B397" s="2">
        <f>IFERROR(__xludf.DUMMYFUNCTION("""COMPUTED_VALUE"""),22.93)</f>
        <v>22.93</v>
      </c>
      <c r="C397" s="2">
        <f>IFERROR(__xludf.DUMMYFUNCTION("""COMPUTED_VALUE"""),23.35)</f>
        <v>23.35</v>
      </c>
      <c r="D397" s="2">
        <f>IFERROR(__xludf.DUMMYFUNCTION("""COMPUTED_VALUE"""),22.93)</f>
        <v>22.93</v>
      </c>
      <c r="E397" s="2">
        <f>IFERROR(__xludf.DUMMYFUNCTION("""COMPUTED_VALUE"""),23.23)</f>
        <v>23.23</v>
      </c>
      <c r="F397" s="2">
        <f>IFERROR(__xludf.DUMMYFUNCTION("""COMPUTED_VALUE"""),53999.0)</f>
        <v>53999</v>
      </c>
    </row>
    <row r="398">
      <c r="A398" s="3">
        <f>IFERROR(__xludf.DUMMYFUNCTION("""COMPUTED_VALUE"""),37103.645833333336)</f>
        <v>37103.64583</v>
      </c>
      <c r="B398" s="2">
        <f>IFERROR(__xludf.DUMMYFUNCTION("""COMPUTED_VALUE"""),23.3)</f>
        <v>23.3</v>
      </c>
      <c r="C398" s="2">
        <f>IFERROR(__xludf.DUMMYFUNCTION("""COMPUTED_VALUE"""),23.58)</f>
        <v>23.58</v>
      </c>
      <c r="D398" s="2">
        <f>IFERROR(__xludf.DUMMYFUNCTION("""COMPUTED_VALUE"""),23.13)</f>
        <v>23.13</v>
      </c>
      <c r="E398" s="2">
        <f>IFERROR(__xludf.DUMMYFUNCTION("""COMPUTED_VALUE"""),23.42)</f>
        <v>23.42</v>
      </c>
      <c r="F398" s="2">
        <f>IFERROR(__xludf.DUMMYFUNCTION("""COMPUTED_VALUE"""),128169.0)</f>
        <v>128169</v>
      </c>
    </row>
    <row r="399">
      <c r="A399" s="3">
        <f>IFERROR(__xludf.DUMMYFUNCTION("""COMPUTED_VALUE"""),37104.645833333336)</f>
        <v>37104.64583</v>
      </c>
      <c r="B399" s="2">
        <f>IFERROR(__xludf.DUMMYFUNCTION("""COMPUTED_VALUE"""),23.75)</f>
        <v>23.75</v>
      </c>
      <c r="C399" s="2">
        <f>IFERROR(__xludf.DUMMYFUNCTION("""COMPUTED_VALUE"""),23.75)</f>
        <v>23.75</v>
      </c>
      <c r="D399" s="2">
        <f>IFERROR(__xludf.DUMMYFUNCTION("""COMPUTED_VALUE"""),23.01)</f>
        <v>23.01</v>
      </c>
      <c r="E399" s="2">
        <f>IFERROR(__xludf.DUMMYFUNCTION("""COMPUTED_VALUE"""),23.64)</f>
        <v>23.64</v>
      </c>
      <c r="F399" s="2">
        <f>IFERROR(__xludf.DUMMYFUNCTION("""COMPUTED_VALUE"""),60255.0)</f>
        <v>60255</v>
      </c>
    </row>
    <row r="400">
      <c r="A400" s="3">
        <f>IFERROR(__xludf.DUMMYFUNCTION("""COMPUTED_VALUE"""),37105.645833333336)</f>
        <v>37105.64583</v>
      </c>
      <c r="B400" s="2">
        <f>IFERROR(__xludf.DUMMYFUNCTION("""COMPUTED_VALUE"""),24.0)</f>
        <v>24</v>
      </c>
      <c r="C400" s="2">
        <f>IFERROR(__xludf.DUMMYFUNCTION("""COMPUTED_VALUE"""),24.1)</f>
        <v>24.1</v>
      </c>
      <c r="D400" s="2">
        <f>IFERROR(__xludf.DUMMYFUNCTION("""COMPUTED_VALUE"""),23.3)</f>
        <v>23.3</v>
      </c>
      <c r="E400" s="2">
        <f>IFERROR(__xludf.DUMMYFUNCTION("""COMPUTED_VALUE"""),23.35)</f>
        <v>23.35</v>
      </c>
      <c r="F400" s="2">
        <f>IFERROR(__xludf.DUMMYFUNCTION("""COMPUTED_VALUE"""),34322.0)</f>
        <v>34322</v>
      </c>
    </row>
    <row r="401">
      <c r="A401" s="3">
        <f>IFERROR(__xludf.DUMMYFUNCTION("""COMPUTED_VALUE"""),37106.645833333336)</f>
        <v>37106.64583</v>
      </c>
      <c r="B401" s="2">
        <f>IFERROR(__xludf.DUMMYFUNCTION("""COMPUTED_VALUE"""),23.49)</f>
        <v>23.49</v>
      </c>
      <c r="C401" s="2">
        <f>IFERROR(__xludf.DUMMYFUNCTION("""COMPUTED_VALUE"""),23.75)</f>
        <v>23.75</v>
      </c>
      <c r="D401" s="2">
        <f>IFERROR(__xludf.DUMMYFUNCTION("""COMPUTED_VALUE"""),22.91)</f>
        <v>22.91</v>
      </c>
      <c r="E401" s="2">
        <f>IFERROR(__xludf.DUMMYFUNCTION("""COMPUTED_VALUE"""),23.15)</f>
        <v>23.15</v>
      </c>
      <c r="F401" s="2">
        <f>IFERROR(__xludf.DUMMYFUNCTION("""COMPUTED_VALUE"""),89105.0)</f>
        <v>89105</v>
      </c>
    </row>
    <row r="402">
      <c r="A402" s="3">
        <f>IFERROR(__xludf.DUMMYFUNCTION("""COMPUTED_VALUE"""),37109.645833333336)</f>
        <v>37109.64583</v>
      </c>
      <c r="B402" s="2">
        <f>IFERROR(__xludf.DUMMYFUNCTION("""COMPUTED_VALUE"""),22.81)</f>
        <v>22.81</v>
      </c>
      <c r="C402" s="2">
        <f>IFERROR(__xludf.DUMMYFUNCTION("""COMPUTED_VALUE"""),23.48)</f>
        <v>23.48</v>
      </c>
      <c r="D402" s="2">
        <f>IFERROR(__xludf.DUMMYFUNCTION("""COMPUTED_VALUE"""),22.8)</f>
        <v>22.8</v>
      </c>
      <c r="E402" s="2">
        <f>IFERROR(__xludf.DUMMYFUNCTION("""COMPUTED_VALUE"""),23.39)</f>
        <v>23.39</v>
      </c>
      <c r="F402" s="2">
        <f>IFERROR(__xludf.DUMMYFUNCTION("""COMPUTED_VALUE"""),34583.0)</f>
        <v>34583</v>
      </c>
    </row>
    <row r="403">
      <c r="A403" s="3">
        <f>IFERROR(__xludf.DUMMYFUNCTION("""COMPUTED_VALUE"""),37110.645833333336)</f>
        <v>37110.64583</v>
      </c>
      <c r="B403" s="2">
        <f>IFERROR(__xludf.DUMMYFUNCTION("""COMPUTED_VALUE"""),23.11)</f>
        <v>23.11</v>
      </c>
      <c r="C403" s="2">
        <f>IFERROR(__xludf.DUMMYFUNCTION("""COMPUTED_VALUE"""),23.38)</f>
        <v>23.38</v>
      </c>
      <c r="D403" s="2">
        <f>IFERROR(__xludf.DUMMYFUNCTION("""COMPUTED_VALUE"""),23.06)</f>
        <v>23.06</v>
      </c>
      <c r="E403" s="2">
        <f>IFERROR(__xludf.DUMMYFUNCTION("""COMPUTED_VALUE"""),23.2)</f>
        <v>23.2</v>
      </c>
      <c r="F403" s="2">
        <f>IFERROR(__xludf.DUMMYFUNCTION("""COMPUTED_VALUE"""),22494.0)</f>
        <v>22494</v>
      </c>
    </row>
    <row r="404">
      <c r="A404" s="3">
        <f>IFERROR(__xludf.DUMMYFUNCTION("""COMPUTED_VALUE"""),37111.645833333336)</f>
        <v>37111.64583</v>
      </c>
      <c r="B404" s="2">
        <f>IFERROR(__xludf.DUMMYFUNCTION("""COMPUTED_VALUE"""),22.71)</f>
        <v>22.71</v>
      </c>
      <c r="C404" s="2">
        <f>IFERROR(__xludf.DUMMYFUNCTION("""COMPUTED_VALUE"""),23.65)</f>
        <v>23.65</v>
      </c>
      <c r="D404" s="2">
        <f>IFERROR(__xludf.DUMMYFUNCTION("""COMPUTED_VALUE"""),22.71)</f>
        <v>22.71</v>
      </c>
      <c r="E404" s="2">
        <f>IFERROR(__xludf.DUMMYFUNCTION("""COMPUTED_VALUE"""),23.51)</f>
        <v>23.51</v>
      </c>
      <c r="F404" s="2">
        <f>IFERROR(__xludf.DUMMYFUNCTION("""COMPUTED_VALUE"""),85925.0)</f>
        <v>85925</v>
      </c>
    </row>
    <row r="405">
      <c r="A405" s="3">
        <f>IFERROR(__xludf.DUMMYFUNCTION("""COMPUTED_VALUE"""),37112.645833333336)</f>
        <v>37112.64583</v>
      </c>
      <c r="B405" s="2">
        <f>IFERROR(__xludf.DUMMYFUNCTION("""COMPUTED_VALUE"""),23.16)</f>
        <v>23.16</v>
      </c>
      <c r="C405" s="2">
        <f>IFERROR(__xludf.DUMMYFUNCTION("""COMPUTED_VALUE"""),23.4)</f>
        <v>23.4</v>
      </c>
      <c r="D405" s="2">
        <f>IFERROR(__xludf.DUMMYFUNCTION("""COMPUTED_VALUE"""),22.62)</f>
        <v>22.62</v>
      </c>
      <c r="E405" s="2">
        <f>IFERROR(__xludf.DUMMYFUNCTION("""COMPUTED_VALUE"""),22.79)</f>
        <v>22.79</v>
      </c>
      <c r="F405" s="2">
        <f>IFERROR(__xludf.DUMMYFUNCTION("""COMPUTED_VALUE"""),34957.0)</f>
        <v>34957</v>
      </c>
    </row>
    <row r="406">
      <c r="A406" s="3">
        <f>IFERROR(__xludf.DUMMYFUNCTION("""COMPUTED_VALUE"""),37113.645833333336)</f>
        <v>37113.64583</v>
      </c>
      <c r="B406" s="2">
        <f>IFERROR(__xludf.DUMMYFUNCTION("""COMPUTED_VALUE"""),23.12)</f>
        <v>23.12</v>
      </c>
      <c r="C406" s="2">
        <f>IFERROR(__xludf.DUMMYFUNCTION("""COMPUTED_VALUE"""),23.39)</f>
        <v>23.39</v>
      </c>
      <c r="D406" s="2">
        <f>IFERROR(__xludf.DUMMYFUNCTION("""COMPUTED_VALUE"""),22.93)</f>
        <v>22.93</v>
      </c>
      <c r="E406" s="2">
        <f>IFERROR(__xludf.DUMMYFUNCTION("""COMPUTED_VALUE"""),23.0)</f>
        <v>23</v>
      </c>
      <c r="F406" s="2">
        <f>IFERROR(__xludf.DUMMYFUNCTION("""COMPUTED_VALUE"""),43856.0)</f>
        <v>43856</v>
      </c>
    </row>
    <row r="407">
      <c r="A407" s="3">
        <f>IFERROR(__xludf.DUMMYFUNCTION("""COMPUTED_VALUE"""),37116.645833333336)</f>
        <v>37116.64583</v>
      </c>
      <c r="B407" s="2">
        <f>IFERROR(__xludf.DUMMYFUNCTION("""COMPUTED_VALUE"""),22.81)</f>
        <v>22.81</v>
      </c>
      <c r="C407" s="2">
        <f>IFERROR(__xludf.DUMMYFUNCTION("""COMPUTED_VALUE"""),23.15)</f>
        <v>23.15</v>
      </c>
      <c r="D407" s="2">
        <f>IFERROR(__xludf.DUMMYFUNCTION("""COMPUTED_VALUE"""),22.81)</f>
        <v>22.81</v>
      </c>
      <c r="E407" s="2">
        <f>IFERROR(__xludf.DUMMYFUNCTION("""COMPUTED_VALUE"""),23.08)</f>
        <v>23.08</v>
      </c>
      <c r="F407" s="2">
        <f>IFERROR(__xludf.DUMMYFUNCTION("""COMPUTED_VALUE"""),24547.0)</f>
        <v>24547</v>
      </c>
    </row>
    <row r="408">
      <c r="A408" s="3">
        <f>IFERROR(__xludf.DUMMYFUNCTION("""COMPUTED_VALUE"""),37117.645833333336)</f>
        <v>37117.64583</v>
      </c>
      <c r="B408" s="2">
        <f>IFERROR(__xludf.DUMMYFUNCTION("""COMPUTED_VALUE"""),23.11)</f>
        <v>23.11</v>
      </c>
      <c r="C408" s="2">
        <f>IFERROR(__xludf.DUMMYFUNCTION("""COMPUTED_VALUE"""),23.29)</f>
        <v>23.29</v>
      </c>
      <c r="D408" s="2">
        <f>IFERROR(__xludf.DUMMYFUNCTION("""COMPUTED_VALUE"""),23.1)</f>
        <v>23.1</v>
      </c>
      <c r="E408" s="2">
        <f>IFERROR(__xludf.DUMMYFUNCTION("""COMPUTED_VALUE"""),23.18)</f>
        <v>23.18</v>
      </c>
      <c r="F408" s="2">
        <f>IFERROR(__xludf.DUMMYFUNCTION("""COMPUTED_VALUE"""),38540.0)</f>
        <v>38540</v>
      </c>
    </row>
    <row r="409">
      <c r="A409" s="3">
        <f>IFERROR(__xludf.DUMMYFUNCTION("""COMPUTED_VALUE"""),37119.645833333336)</f>
        <v>37119.64583</v>
      </c>
      <c r="B409" s="2">
        <f>IFERROR(__xludf.DUMMYFUNCTION("""COMPUTED_VALUE"""),23.19)</f>
        <v>23.19</v>
      </c>
      <c r="C409" s="2">
        <f>IFERROR(__xludf.DUMMYFUNCTION("""COMPUTED_VALUE"""),23.35)</f>
        <v>23.35</v>
      </c>
      <c r="D409" s="2">
        <f>IFERROR(__xludf.DUMMYFUNCTION("""COMPUTED_VALUE"""),23.19)</f>
        <v>23.19</v>
      </c>
      <c r="E409" s="2">
        <f>IFERROR(__xludf.DUMMYFUNCTION("""COMPUTED_VALUE"""),23.3)</f>
        <v>23.3</v>
      </c>
      <c r="F409" s="2">
        <f>IFERROR(__xludf.DUMMYFUNCTION("""COMPUTED_VALUE"""),36637.0)</f>
        <v>36637</v>
      </c>
    </row>
    <row r="410">
      <c r="A410" s="3">
        <f>IFERROR(__xludf.DUMMYFUNCTION("""COMPUTED_VALUE"""),37120.645833333336)</f>
        <v>37120.64583</v>
      </c>
      <c r="B410" s="2">
        <f>IFERROR(__xludf.DUMMYFUNCTION("""COMPUTED_VALUE"""),23.49)</f>
        <v>23.49</v>
      </c>
      <c r="C410" s="2">
        <f>IFERROR(__xludf.DUMMYFUNCTION("""COMPUTED_VALUE"""),24.1)</f>
        <v>24.1</v>
      </c>
      <c r="D410" s="2">
        <f>IFERROR(__xludf.DUMMYFUNCTION("""COMPUTED_VALUE"""),23.49)</f>
        <v>23.49</v>
      </c>
      <c r="E410" s="2">
        <f>IFERROR(__xludf.DUMMYFUNCTION("""COMPUTED_VALUE"""),23.93)</f>
        <v>23.93</v>
      </c>
      <c r="F410" s="2">
        <f>IFERROR(__xludf.DUMMYFUNCTION("""COMPUTED_VALUE"""),101665.0)</f>
        <v>101665</v>
      </c>
    </row>
    <row r="411">
      <c r="A411" s="3">
        <f>IFERROR(__xludf.DUMMYFUNCTION("""COMPUTED_VALUE"""),37123.645833333336)</f>
        <v>37123.64583</v>
      </c>
      <c r="B411" s="2">
        <f>IFERROR(__xludf.DUMMYFUNCTION("""COMPUTED_VALUE"""),23.55)</f>
        <v>23.55</v>
      </c>
      <c r="C411" s="2">
        <f>IFERROR(__xludf.DUMMYFUNCTION("""COMPUTED_VALUE"""),23.7)</f>
        <v>23.7</v>
      </c>
      <c r="D411" s="2">
        <f>IFERROR(__xludf.DUMMYFUNCTION("""COMPUTED_VALUE"""),23.2)</f>
        <v>23.2</v>
      </c>
      <c r="E411" s="2">
        <f>IFERROR(__xludf.DUMMYFUNCTION("""COMPUTED_VALUE"""),23.52)</f>
        <v>23.52</v>
      </c>
      <c r="F411" s="2">
        <f>IFERROR(__xludf.DUMMYFUNCTION("""COMPUTED_VALUE"""),49102.0)</f>
        <v>49102</v>
      </c>
    </row>
    <row r="412">
      <c r="A412" s="3">
        <f>IFERROR(__xludf.DUMMYFUNCTION("""COMPUTED_VALUE"""),37124.645833333336)</f>
        <v>37124.64583</v>
      </c>
      <c r="B412" s="2">
        <f>IFERROR(__xludf.DUMMYFUNCTION("""COMPUTED_VALUE"""),23.5)</f>
        <v>23.5</v>
      </c>
      <c r="C412" s="2">
        <f>IFERROR(__xludf.DUMMYFUNCTION("""COMPUTED_VALUE"""),23.7)</f>
        <v>23.7</v>
      </c>
      <c r="D412" s="2">
        <f>IFERROR(__xludf.DUMMYFUNCTION("""COMPUTED_VALUE"""),23.36)</f>
        <v>23.36</v>
      </c>
      <c r="E412" s="2">
        <f>IFERROR(__xludf.DUMMYFUNCTION("""COMPUTED_VALUE"""),23.51)</f>
        <v>23.51</v>
      </c>
      <c r="F412" s="2">
        <f>IFERROR(__xludf.DUMMYFUNCTION("""COMPUTED_VALUE"""),17038.0)</f>
        <v>17038</v>
      </c>
    </row>
    <row r="413">
      <c r="A413" s="3">
        <f>IFERROR(__xludf.DUMMYFUNCTION("""COMPUTED_VALUE"""),37126.645833333336)</f>
        <v>37126.64583</v>
      </c>
      <c r="B413" s="2">
        <f>IFERROR(__xludf.DUMMYFUNCTION("""COMPUTED_VALUE"""),23.4)</f>
        <v>23.4</v>
      </c>
      <c r="C413" s="2">
        <f>IFERROR(__xludf.DUMMYFUNCTION("""COMPUTED_VALUE"""),23.55)</f>
        <v>23.55</v>
      </c>
      <c r="D413" s="2">
        <f>IFERROR(__xludf.DUMMYFUNCTION("""COMPUTED_VALUE"""),23.0)</f>
        <v>23</v>
      </c>
      <c r="E413" s="2">
        <f>IFERROR(__xludf.DUMMYFUNCTION("""COMPUTED_VALUE"""),23.51)</f>
        <v>23.51</v>
      </c>
      <c r="F413" s="2">
        <f>IFERROR(__xludf.DUMMYFUNCTION("""COMPUTED_VALUE"""),21387.0)</f>
        <v>21387</v>
      </c>
    </row>
    <row r="414">
      <c r="A414" s="3">
        <f>IFERROR(__xludf.DUMMYFUNCTION("""COMPUTED_VALUE"""),37127.645833333336)</f>
        <v>37127.64583</v>
      </c>
      <c r="B414" s="2">
        <f>IFERROR(__xludf.DUMMYFUNCTION("""COMPUTED_VALUE"""),23.5)</f>
        <v>23.5</v>
      </c>
      <c r="C414" s="2">
        <f>IFERROR(__xludf.DUMMYFUNCTION("""COMPUTED_VALUE"""),23.62)</f>
        <v>23.62</v>
      </c>
      <c r="D414" s="2">
        <f>IFERROR(__xludf.DUMMYFUNCTION("""COMPUTED_VALUE"""),23.31)</f>
        <v>23.31</v>
      </c>
      <c r="E414" s="2">
        <f>IFERROR(__xludf.DUMMYFUNCTION("""COMPUTED_VALUE"""),23.59)</f>
        <v>23.59</v>
      </c>
      <c r="F414" s="2">
        <f>IFERROR(__xludf.DUMMYFUNCTION("""COMPUTED_VALUE"""),153212.0)</f>
        <v>153212</v>
      </c>
    </row>
    <row r="415">
      <c r="A415" s="3">
        <f>IFERROR(__xludf.DUMMYFUNCTION("""COMPUTED_VALUE"""),37130.645833333336)</f>
        <v>37130.64583</v>
      </c>
      <c r="B415" s="2">
        <f>IFERROR(__xludf.DUMMYFUNCTION("""COMPUTED_VALUE"""),23.61)</f>
        <v>23.61</v>
      </c>
      <c r="C415" s="2">
        <f>IFERROR(__xludf.DUMMYFUNCTION("""COMPUTED_VALUE"""),23.66)</f>
        <v>23.66</v>
      </c>
      <c r="D415" s="2">
        <f>IFERROR(__xludf.DUMMYFUNCTION("""COMPUTED_VALUE"""),23.45)</f>
        <v>23.45</v>
      </c>
      <c r="E415" s="2">
        <f>IFERROR(__xludf.DUMMYFUNCTION("""COMPUTED_VALUE"""),23.49)</f>
        <v>23.49</v>
      </c>
      <c r="F415" s="2">
        <f>IFERROR(__xludf.DUMMYFUNCTION("""COMPUTED_VALUE"""),27141.0)</f>
        <v>27141</v>
      </c>
    </row>
    <row r="416">
      <c r="A416" s="3">
        <f>IFERROR(__xludf.DUMMYFUNCTION("""COMPUTED_VALUE"""),37131.645833333336)</f>
        <v>37131.64583</v>
      </c>
      <c r="B416" s="2">
        <f>IFERROR(__xludf.DUMMYFUNCTION("""COMPUTED_VALUE"""),23.6)</f>
        <v>23.6</v>
      </c>
      <c r="C416" s="2">
        <f>IFERROR(__xludf.DUMMYFUNCTION("""COMPUTED_VALUE"""),23.6)</f>
        <v>23.6</v>
      </c>
      <c r="D416" s="2">
        <f>IFERROR(__xludf.DUMMYFUNCTION("""COMPUTED_VALUE"""),23.4)</f>
        <v>23.4</v>
      </c>
      <c r="E416" s="2">
        <f>IFERROR(__xludf.DUMMYFUNCTION("""COMPUTED_VALUE"""),23.5)</f>
        <v>23.5</v>
      </c>
      <c r="F416" s="2">
        <f>IFERROR(__xludf.DUMMYFUNCTION("""COMPUTED_VALUE"""),82995.0)</f>
        <v>82995</v>
      </c>
    </row>
    <row r="417">
      <c r="A417" s="3">
        <f>IFERROR(__xludf.DUMMYFUNCTION("""COMPUTED_VALUE"""),37132.645833333336)</f>
        <v>37132.64583</v>
      </c>
      <c r="B417" s="2">
        <f>IFERROR(__xludf.DUMMYFUNCTION("""COMPUTED_VALUE"""),23.43)</f>
        <v>23.43</v>
      </c>
      <c r="C417" s="2">
        <f>IFERROR(__xludf.DUMMYFUNCTION("""COMPUTED_VALUE"""),23.6)</f>
        <v>23.6</v>
      </c>
      <c r="D417" s="2">
        <f>IFERROR(__xludf.DUMMYFUNCTION("""COMPUTED_VALUE"""),23.38)</f>
        <v>23.38</v>
      </c>
      <c r="E417" s="2">
        <f>IFERROR(__xludf.DUMMYFUNCTION("""COMPUTED_VALUE"""),23.55)</f>
        <v>23.55</v>
      </c>
      <c r="F417" s="2">
        <f>IFERROR(__xludf.DUMMYFUNCTION("""COMPUTED_VALUE"""),40412.0)</f>
        <v>40412</v>
      </c>
    </row>
    <row r="418">
      <c r="A418" s="3">
        <f>IFERROR(__xludf.DUMMYFUNCTION("""COMPUTED_VALUE"""),37133.645833333336)</f>
        <v>37133.64583</v>
      </c>
      <c r="B418" s="2">
        <f>IFERROR(__xludf.DUMMYFUNCTION("""COMPUTED_VALUE"""),23.9)</f>
        <v>23.9</v>
      </c>
      <c r="C418" s="2">
        <f>IFERROR(__xludf.DUMMYFUNCTION("""COMPUTED_VALUE"""),23.9)</f>
        <v>23.9</v>
      </c>
      <c r="D418" s="2">
        <f>IFERROR(__xludf.DUMMYFUNCTION("""COMPUTED_VALUE"""),23.35)</f>
        <v>23.35</v>
      </c>
      <c r="E418" s="2">
        <f>IFERROR(__xludf.DUMMYFUNCTION("""COMPUTED_VALUE"""),23.49)</f>
        <v>23.49</v>
      </c>
      <c r="F418" s="2">
        <f>IFERROR(__xludf.DUMMYFUNCTION("""COMPUTED_VALUE"""),47143.0)</f>
        <v>47143</v>
      </c>
    </row>
    <row r="419">
      <c r="A419" s="3">
        <f>IFERROR(__xludf.DUMMYFUNCTION("""COMPUTED_VALUE"""),37134.645833333336)</f>
        <v>37134.64583</v>
      </c>
      <c r="B419" s="2">
        <f>IFERROR(__xludf.DUMMYFUNCTION("""COMPUTED_VALUE"""),23.6)</f>
        <v>23.6</v>
      </c>
      <c r="C419" s="2">
        <f>IFERROR(__xludf.DUMMYFUNCTION("""COMPUTED_VALUE"""),23.9)</f>
        <v>23.9</v>
      </c>
      <c r="D419" s="2">
        <f>IFERROR(__xludf.DUMMYFUNCTION("""COMPUTED_VALUE"""),23.35)</f>
        <v>23.35</v>
      </c>
      <c r="E419" s="2">
        <f>IFERROR(__xludf.DUMMYFUNCTION("""COMPUTED_VALUE"""),23.66)</f>
        <v>23.66</v>
      </c>
      <c r="F419" s="2">
        <f>IFERROR(__xludf.DUMMYFUNCTION("""COMPUTED_VALUE"""),53678.0)</f>
        <v>53678</v>
      </c>
    </row>
    <row r="420">
      <c r="A420" s="3">
        <f>IFERROR(__xludf.DUMMYFUNCTION("""COMPUTED_VALUE"""),37137.645833333336)</f>
        <v>37137.64583</v>
      </c>
      <c r="B420" s="2">
        <f>IFERROR(__xludf.DUMMYFUNCTION("""COMPUTED_VALUE"""),23.8)</f>
        <v>23.8</v>
      </c>
      <c r="C420" s="2">
        <f>IFERROR(__xludf.DUMMYFUNCTION("""COMPUTED_VALUE"""),23.8)</f>
        <v>23.8</v>
      </c>
      <c r="D420" s="2">
        <f>IFERROR(__xludf.DUMMYFUNCTION("""COMPUTED_VALUE"""),23.1)</f>
        <v>23.1</v>
      </c>
      <c r="E420" s="2">
        <f>IFERROR(__xludf.DUMMYFUNCTION("""COMPUTED_VALUE"""),23.5)</f>
        <v>23.5</v>
      </c>
      <c r="F420" s="2">
        <f>IFERROR(__xludf.DUMMYFUNCTION("""COMPUTED_VALUE"""),32980.0)</f>
        <v>32980</v>
      </c>
    </row>
    <row r="421">
      <c r="A421" s="3">
        <f>IFERROR(__xludf.DUMMYFUNCTION("""COMPUTED_VALUE"""),37138.645833333336)</f>
        <v>37138.64583</v>
      </c>
      <c r="B421" s="2">
        <f>IFERROR(__xludf.DUMMYFUNCTION("""COMPUTED_VALUE"""),23.59)</f>
        <v>23.59</v>
      </c>
      <c r="C421" s="2">
        <f>IFERROR(__xludf.DUMMYFUNCTION("""COMPUTED_VALUE"""),23.89)</f>
        <v>23.89</v>
      </c>
      <c r="D421" s="2">
        <f>IFERROR(__xludf.DUMMYFUNCTION("""COMPUTED_VALUE"""),23.12)</f>
        <v>23.12</v>
      </c>
      <c r="E421" s="2">
        <f>IFERROR(__xludf.DUMMYFUNCTION("""COMPUTED_VALUE"""),23.21)</f>
        <v>23.21</v>
      </c>
      <c r="F421" s="2">
        <f>IFERROR(__xludf.DUMMYFUNCTION("""COMPUTED_VALUE"""),54193.0)</f>
        <v>54193</v>
      </c>
    </row>
    <row r="422">
      <c r="A422" s="3">
        <f>IFERROR(__xludf.DUMMYFUNCTION("""COMPUTED_VALUE"""),37139.645833333336)</f>
        <v>37139.64583</v>
      </c>
      <c r="B422" s="2">
        <f>IFERROR(__xludf.DUMMYFUNCTION("""COMPUTED_VALUE"""),23.5)</f>
        <v>23.5</v>
      </c>
      <c r="C422" s="2">
        <f>IFERROR(__xludf.DUMMYFUNCTION("""COMPUTED_VALUE"""),23.6)</f>
        <v>23.6</v>
      </c>
      <c r="D422" s="2">
        <f>IFERROR(__xludf.DUMMYFUNCTION("""COMPUTED_VALUE"""),23.15)</f>
        <v>23.15</v>
      </c>
      <c r="E422" s="2">
        <f>IFERROR(__xludf.DUMMYFUNCTION("""COMPUTED_VALUE"""),23.5)</f>
        <v>23.5</v>
      </c>
      <c r="F422" s="2">
        <f>IFERROR(__xludf.DUMMYFUNCTION("""COMPUTED_VALUE"""),45314.0)</f>
        <v>45314</v>
      </c>
    </row>
    <row r="423">
      <c r="A423" s="3">
        <f>IFERROR(__xludf.DUMMYFUNCTION("""COMPUTED_VALUE"""),37140.645833333336)</f>
        <v>37140.64583</v>
      </c>
      <c r="B423" s="2">
        <f>IFERROR(__xludf.DUMMYFUNCTION("""COMPUTED_VALUE"""),23.53)</f>
        <v>23.53</v>
      </c>
      <c r="C423" s="2">
        <f>IFERROR(__xludf.DUMMYFUNCTION("""COMPUTED_VALUE"""),23.79)</f>
        <v>23.79</v>
      </c>
      <c r="D423" s="2">
        <f>IFERROR(__xludf.DUMMYFUNCTION("""COMPUTED_VALUE"""),23.41)</f>
        <v>23.41</v>
      </c>
      <c r="E423" s="2">
        <f>IFERROR(__xludf.DUMMYFUNCTION("""COMPUTED_VALUE"""),23.5)</f>
        <v>23.5</v>
      </c>
      <c r="F423" s="2">
        <f>IFERROR(__xludf.DUMMYFUNCTION("""COMPUTED_VALUE"""),87171.0)</f>
        <v>87171</v>
      </c>
    </row>
    <row r="424">
      <c r="A424" s="3">
        <f>IFERROR(__xludf.DUMMYFUNCTION("""COMPUTED_VALUE"""),37141.645833333336)</f>
        <v>37141.64583</v>
      </c>
      <c r="B424" s="2">
        <f>IFERROR(__xludf.DUMMYFUNCTION("""COMPUTED_VALUE"""),23.1)</f>
        <v>23.1</v>
      </c>
      <c r="C424" s="2">
        <f>IFERROR(__xludf.DUMMYFUNCTION("""COMPUTED_VALUE"""),23.8)</f>
        <v>23.8</v>
      </c>
      <c r="D424" s="2">
        <f>IFERROR(__xludf.DUMMYFUNCTION("""COMPUTED_VALUE"""),23.1)</f>
        <v>23.1</v>
      </c>
      <c r="E424" s="2">
        <f>IFERROR(__xludf.DUMMYFUNCTION("""COMPUTED_VALUE"""),23.21)</f>
        <v>23.21</v>
      </c>
      <c r="F424" s="2">
        <f>IFERROR(__xludf.DUMMYFUNCTION("""COMPUTED_VALUE"""),37295.0)</f>
        <v>37295</v>
      </c>
    </row>
    <row r="425">
      <c r="A425" s="3">
        <f>IFERROR(__xludf.DUMMYFUNCTION("""COMPUTED_VALUE"""),37144.645833333336)</f>
        <v>37144.64583</v>
      </c>
      <c r="B425" s="2">
        <f>IFERROR(__xludf.DUMMYFUNCTION("""COMPUTED_VALUE"""),23.63)</f>
        <v>23.63</v>
      </c>
      <c r="C425" s="2">
        <f>IFERROR(__xludf.DUMMYFUNCTION("""COMPUTED_VALUE"""),23.63)</f>
        <v>23.63</v>
      </c>
      <c r="D425" s="2">
        <f>IFERROR(__xludf.DUMMYFUNCTION("""COMPUTED_VALUE"""),23.1)</f>
        <v>23.1</v>
      </c>
      <c r="E425" s="2">
        <f>IFERROR(__xludf.DUMMYFUNCTION("""COMPUTED_VALUE"""),23.31)</f>
        <v>23.31</v>
      </c>
      <c r="F425" s="2">
        <f>IFERROR(__xludf.DUMMYFUNCTION("""COMPUTED_VALUE"""),17100.0)</f>
        <v>17100</v>
      </c>
    </row>
    <row r="426">
      <c r="A426" s="3">
        <f>IFERROR(__xludf.DUMMYFUNCTION("""COMPUTED_VALUE"""),37145.645833333336)</f>
        <v>37145.64583</v>
      </c>
      <c r="B426" s="2">
        <f>IFERROR(__xludf.DUMMYFUNCTION("""COMPUTED_VALUE"""),23.21)</f>
        <v>23.21</v>
      </c>
      <c r="C426" s="2">
        <f>IFERROR(__xludf.DUMMYFUNCTION("""COMPUTED_VALUE"""),23.58)</f>
        <v>23.58</v>
      </c>
      <c r="D426" s="2">
        <f>IFERROR(__xludf.DUMMYFUNCTION("""COMPUTED_VALUE"""),23.21)</f>
        <v>23.21</v>
      </c>
      <c r="E426" s="2">
        <f>IFERROR(__xludf.DUMMYFUNCTION("""COMPUTED_VALUE"""),23.46)</f>
        <v>23.46</v>
      </c>
      <c r="F426" s="2">
        <f>IFERROR(__xludf.DUMMYFUNCTION("""COMPUTED_VALUE"""),53446.0)</f>
        <v>53446</v>
      </c>
    </row>
    <row r="427">
      <c r="A427" s="3">
        <f>IFERROR(__xludf.DUMMYFUNCTION("""COMPUTED_VALUE"""),37146.645833333336)</f>
        <v>37146.64583</v>
      </c>
      <c r="B427" s="2">
        <f>IFERROR(__xludf.DUMMYFUNCTION("""COMPUTED_VALUE"""),22.5)</f>
        <v>22.5</v>
      </c>
      <c r="C427" s="2">
        <f>IFERROR(__xludf.DUMMYFUNCTION("""COMPUTED_VALUE"""),22.89)</f>
        <v>22.89</v>
      </c>
      <c r="D427" s="2">
        <f>IFERROR(__xludf.DUMMYFUNCTION("""COMPUTED_VALUE"""),21.6)</f>
        <v>21.6</v>
      </c>
      <c r="E427" s="2">
        <f>IFERROR(__xludf.DUMMYFUNCTION("""COMPUTED_VALUE"""),22.01)</f>
        <v>22.01</v>
      </c>
      <c r="F427" s="2">
        <f>IFERROR(__xludf.DUMMYFUNCTION("""COMPUTED_VALUE"""),71873.0)</f>
        <v>71873</v>
      </c>
    </row>
    <row r="428">
      <c r="A428" s="3">
        <f>IFERROR(__xludf.DUMMYFUNCTION("""COMPUTED_VALUE"""),37147.645833333336)</f>
        <v>37147.64583</v>
      </c>
      <c r="B428" s="2">
        <f>IFERROR(__xludf.DUMMYFUNCTION("""COMPUTED_VALUE"""),22.21)</f>
        <v>22.21</v>
      </c>
      <c r="C428" s="2">
        <f>IFERROR(__xludf.DUMMYFUNCTION("""COMPUTED_VALUE"""),22.58)</f>
        <v>22.58</v>
      </c>
      <c r="D428" s="2">
        <f>IFERROR(__xludf.DUMMYFUNCTION("""COMPUTED_VALUE"""),21.6)</f>
        <v>21.6</v>
      </c>
      <c r="E428" s="2">
        <f>IFERROR(__xludf.DUMMYFUNCTION("""COMPUTED_VALUE"""),21.96)</f>
        <v>21.96</v>
      </c>
      <c r="F428" s="2">
        <f>IFERROR(__xludf.DUMMYFUNCTION("""COMPUTED_VALUE"""),62430.0)</f>
        <v>62430</v>
      </c>
    </row>
    <row r="429">
      <c r="A429" s="3">
        <f>IFERROR(__xludf.DUMMYFUNCTION("""COMPUTED_VALUE"""),37148.645833333336)</f>
        <v>37148.64583</v>
      </c>
      <c r="B429" s="2">
        <f>IFERROR(__xludf.DUMMYFUNCTION("""COMPUTED_VALUE"""),21.65)</f>
        <v>21.65</v>
      </c>
      <c r="C429" s="2">
        <f>IFERROR(__xludf.DUMMYFUNCTION("""COMPUTED_VALUE"""),21.89)</f>
        <v>21.89</v>
      </c>
      <c r="D429" s="2">
        <f>IFERROR(__xludf.DUMMYFUNCTION("""COMPUTED_VALUE"""),20.14)</f>
        <v>20.14</v>
      </c>
      <c r="E429" s="2">
        <f>IFERROR(__xludf.DUMMYFUNCTION("""COMPUTED_VALUE"""),20.39)</f>
        <v>20.39</v>
      </c>
      <c r="F429" s="2">
        <f>IFERROR(__xludf.DUMMYFUNCTION("""COMPUTED_VALUE"""),159318.0)</f>
        <v>159318</v>
      </c>
    </row>
    <row r="430">
      <c r="A430" s="3">
        <f>IFERROR(__xludf.DUMMYFUNCTION("""COMPUTED_VALUE"""),37151.645833333336)</f>
        <v>37151.64583</v>
      </c>
      <c r="B430" s="2">
        <f>IFERROR(__xludf.DUMMYFUNCTION("""COMPUTED_VALUE"""),20.5)</f>
        <v>20.5</v>
      </c>
      <c r="C430" s="2">
        <f>IFERROR(__xludf.DUMMYFUNCTION("""COMPUTED_VALUE"""),20.5)</f>
        <v>20.5</v>
      </c>
      <c r="D430" s="2">
        <f>IFERROR(__xludf.DUMMYFUNCTION("""COMPUTED_VALUE"""),18.41)</f>
        <v>18.41</v>
      </c>
      <c r="E430" s="2">
        <f>IFERROR(__xludf.DUMMYFUNCTION("""COMPUTED_VALUE"""),19.28)</f>
        <v>19.28</v>
      </c>
      <c r="F430" s="2">
        <f>IFERROR(__xludf.DUMMYFUNCTION("""COMPUTED_VALUE"""),176881.0)</f>
        <v>176881</v>
      </c>
    </row>
    <row r="431">
      <c r="A431" s="3">
        <f>IFERROR(__xludf.DUMMYFUNCTION("""COMPUTED_VALUE"""),37152.645833333336)</f>
        <v>37152.64583</v>
      </c>
      <c r="B431" s="2">
        <f>IFERROR(__xludf.DUMMYFUNCTION("""COMPUTED_VALUE"""),19.6)</f>
        <v>19.6</v>
      </c>
      <c r="C431" s="2">
        <f>IFERROR(__xludf.DUMMYFUNCTION("""COMPUTED_VALUE"""),21.2)</f>
        <v>21.2</v>
      </c>
      <c r="D431" s="2">
        <f>IFERROR(__xludf.DUMMYFUNCTION("""COMPUTED_VALUE"""),18.51)</f>
        <v>18.51</v>
      </c>
      <c r="E431" s="2">
        <f>IFERROR(__xludf.DUMMYFUNCTION("""COMPUTED_VALUE"""),20.61)</f>
        <v>20.61</v>
      </c>
      <c r="F431" s="2">
        <f>IFERROR(__xludf.DUMMYFUNCTION("""COMPUTED_VALUE"""),146067.0)</f>
        <v>146067</v>
      </c>
    </row>
    <row r="432">
      <c r="A432" s="3">
        <f>IFERROR(__xludf.DUMMYFUNCTION("""COMPUTED_VALUE"""),37153.645833333336)</f>
        <v>37153.64583</v>
      </c>
      <c r="B432" s="2">
        <f>IFERROR(__xludf.DUMMYFUNCTION("""COMPUTED_VALUE"""),20.63)</f>
        <v>20.63</v>
      </c>
      <c r="C432" s="2">
        <f>IFERROR(__xludf.DUMMYFUNCTION("""COMPUTED_VALUE"""),21.63)</f>
        <v>21.63</v>
      </c>
      <c r="D432" s="2">
        <f>IFERROR(__xludf.DUMMYFUNCTION("""COMPUTED_VALUE"""),19.83)</f>
        <v>19.83</v>
      </c>
      <c r="E432" s="2">
        <f>IFERROR(__xludf.DUMMYFUNCTION("""COMPUTED_VALUE"""),21.35)</f>
        <v>21.35</v>
      </c>
      <c r="F432" s="2">
        <f>IFERROR(__xludf.DUMMYFUNCTION("""COMPUTED_VALUE"""),154458.0)</f>
        <v>154458</v>
      </c>
    </row>
    <row r="433">
      <c r="A433" s="3">
        <f>IFERROR(__xludf.DUMMYFUNCTION("""COMPUTED_VALUE"""),37154.645833333336)</f>
        <v>37154.64583</v>
      </c>
      <c r="B433" s="2">
        <f>IFERROR(__xludf.DUMMYFUNCTION("""COMPUTED_VALUE"""),21.3)</f>
        <v>21.3</v>
      </c>
      <c r="C433" s="2">
        <f>IFERROR(__xludf.DUMMYFUNCTION("""COMPUTED_VALUE"""),21.87)</f>
        <v>21.87</v>
      </c>
      <c r="D433" s="2">
        <f>IFERROR(__xludf.DUMMYFUNCTION("""COMPUTED_VALUE"""),20.6)</f>
        <v>20.6</v>
      </c>
      <c r="E433" s="2">
        <f>IFERROR(__xludf.DUMMYFUNCTION("""COMPUTED_VALUE"""),21.66)</f>
        <v>21.66</v>
      </c>
      <c r="F433" s="2">
        <f>IFERROR(__xludf.DUMMYFUNCTION("""COMPUTED_VALUE"""),102360.0)</f>
        <v>102360</v>
      </c>
    </row>
    <row r="434">
      <c r="A434" s="3">
        <f>IFERROR(__xludf.DUMMYFUNCTION("""COMPUTED_VALUE"""),37155.645833333336)</f>
        <v>37155.64583</v>
      </c>
      <c r="B434" s="2">
        <f>IFERROR(__xludf.DUMMYFUNCTION("""COMPUTED_VALUE"""),20.83)</f>
        <v>20.83</v>
      </c>
      <c r="C434" s="2">
        <f>IFERROR(__xludf.DUMMYFUNCTION("""COMPUTED_VALUE"""),21.4)</f>
        <v>21.4</v>
      </c>
      <c r="D434" s="2">
        <f>IFERROR(__xludf.DUMMYFUNCTION("""COMPUTED_VALUE"""),20.4)</f>
        <v>20.4</v>
      </c>
      <c r="E434" s="2">
        <f>IFERROR(__xludf.DUMMYFUNCTION("""COMPUTED_VALUE"""),21.28)</f>
        <v>21.28</v>
      </c>
      <c r="F434" s="2">
        <f>IFERROR(__xludf.DUMMYFUNCTION("""COMPUTED_VALUE"""),98581.0)</f>
        <v>98581</v>
      </c>
    </row>
    <row r="435">
      <c r="A435" s="3">
        <f>IFERROR(__xludf.DUMMYFUNCTION("""COMPUTED_VALUE"""),37158.645833333336)</f>
        <v>37158.64583</v>
      </c>
      <c r="B435" s="2">
        <f>IFERROR(__xludf.DUMMYFUNCTION("""COMPUTED_VALUE"""),21.02)</f>
        <v>21.02</v>
      </c>
      <c r="C435" s="2">
        <f>IFERROR(__xludf.DUMMYFUNCTION("""COMPUTED_VALUE"""),21.25)</f>
        <v>21.25</v>
      </c>
      <c r="D435" s="2">
        <f>IFERROR(__xludf.DUMMYFUNCTION("""COMPUTED_VALUE"""),20.0)</f>
        <v>20</v>
      </c>
      <c r="E435" s="2">
        <f>IFERROR(__xludf.DUMMYFUNCTION("""COMPUTED_VALUE"""),20.24)</f>
        <v>20.24</v>
      </c>
      <c r="F435" s="2">
        <f>IFERROR(__xludf.DUMMYFUNCTION("""COMPUTED_VALUE"""),183386.0)</f>
        <v>183386</v>
      </c>
    </row>
    <row r="436">
      <c r="A436" s="3">
        <f>IFERROR(__xludf.DUMMYFUNCTION("""COMPUTED_VALUE"""),37159.645833333336)</f>
        <v>37159.64583</v>
      </c>
      <c r="B436" s="2">
        <f>IFERROR(__xludf.DUMMYFUNCTION("""COMPUTED_VALUE"""),20.6)</f>
        <v>20.6</v>
      </c>
      <c r="C436" s="2">
        <f>IFERROR(__xludf.DUMMYFUNCTION("""COMPUTED_VALUE"""),21.9)</f>
        <v>21.9</v>
      </c>
      <c r="D436" s="2">
        <f>IFERROR(__xludf.DUMMYFUNCTION("""COMPUTED_VALUE"""),20.5)</f>
        <v>20.5</v>
      </c>
      <c r="E436" s="2">
        <f>IFERROR(__xludf.DUMMYFUNCTION("""COMPUTED_VALUE"""),20.84)</f>
        <v>20.84</v>
      </c>
      <c r="F436" s="2">
        <f>IFERROR(__xludf.DUMMYFUNCTION("""COMPUTED_VALUE"""),61079.0)</f>
        <v>61079</v>
      </c>
    </row>
    <row r="437">
      <c r="A437" s="3">
        <f>IFERROR(__xludf.DUMMYFUNCTION("""COMPUTED_VALUE"""),37160.645833333336)</f>
        <v>37160.64583</v>
      </c>
      <c r="B437" s="2">
        <f>IFERROR(__xludf.DUMMYFUNCTION("""COMPUTED_VALUE"""),20.87)</f>
        <v>20.87</v>
      </c>
      <c r="C437" s="2">
        <f>IFERROR(__xludf.DUMMYFUNCTION("""COMPUTED_VALUE"""),21.6)</f>
        <v>21.6</v>
      </c>
      <c r="D437" s="2">
        <f>IFERROR(__xludf.DUMMYFUNCTION("""COMPUTED_VALUE"""),20.2)</f>
        <v>20.2</v>
      </c>
      <c r="E437" s="2">
        <f>IFERROR(__xludf.DUMMYFUNCTION("""COMPUTED_VALUE"""),21.48)</f>
        <v>21.48</v>
      </c>
      <c r="F437" s="2">
        <f>IFERROR(__xludf.DUMMYFUNCTION("""COMPUTED_VALUE"""),125562.0)</f>
        <v>125562</v>
      </c>
    </row>
    <row r="438">
      <c r="A438" s="3">
        <f>IFERROR(__xludf.DUMMYFUNCTION("""COMPUTED_VALUE"""),37161.645833333336)</f>
        <v>37161.64583</v>
      </c>
      <c r="B438" s="2">
        <f>IFERROR(__xludf.DUMMYFUNCTION("""COMPUTED_VALUE"""),21.5)</f>
        <v>21.5</v>
      </c>
      <c r="C438" s="2">
        <f>IFERROR(__xludf.DUMMYFUNCTION("""COMPUTED_VALUE"""),21.75)</f>
        <v>21.75</v>
      </c>
      <c r="D438" s="2">
        <f>IFERROR(__xludf.DUMMYFUNCTION("""COMPUTED_VALUE"""),20.63)</f>
        <v>20.63</v>
      </c>
      <c r="E438" s="2">
        <f>IFERROR(__xludf.DUMMYFUNCTION("""COMPUTED_VALUE"""),21.47)</f>
        <v>21.47</v>
      </c>
      <c r="F438" s="2">
        <f>IFERROR(__xludf.DUMMYFUNCTION("""COMPUTED_VALUE"""),80479.0)</f>
        <v>80479</v>
      </c>
    </row>
    <row r="439">
      <c r="A439" s="3">
        <f>IFERROR(__xludf.DUMMYFUNCTION("""COMPUTED_VALUE"""),37162.645833333336)</f>
        <v>37162.64583</v>
      </c>
      <c r="B439" s="2">
        <f>IFERROR(__xludf.DUMMYFUNCTION("""COMPUTED_VALUE"""),21.25)</f>
        <v>21.25</v>
      </c>
      <c r="C439" s="2">
        <f>IFERROR(__xludf.DUMMYFUNCTION("""COMPUTED_VALUE"""),21.9)</f>
        <v>21.9</v>
      </c>
      <c r="D439" s="2">
        <f>IFERROR(__xludf.DUMMYFUNCTION("""COMPUTED_VALUE"""),21.25)</f>
        <v>21.25</v>
      </c>
      <c r="E439" s="2">
        <f>IFERROR(__xludf.DUMMYFUNCTION("""COMPUTED_VALUE"""),21.71)</f>
        <v>21.71</v>
      </c>
      <c r="F439" s="2">
        <f>IFERROR(__xludf.DUMMYFUNCTION("""COMPUTED_VALUE"""),43916.0)</f>
        <v>43916</v>
      </c>
    </row>
    <row r="440">
      <c r="A440" s="3">
        <f>IFERROR(__xludf.DUMMYFUNCTION("""COMPUTED_VALUE"""),37165.645833333336)</f>
        <v>37165.64583</v>
      </c>
      <c r="B440" s="2">
        <f>IFERROR(__xludf.DUMMYFUNCTION("""COMPUTED_VALUE"""),21.65)</f>
        <v>21.65</v>
      </c>
      <c r="C440" s="2">
        <f>IFERROR(__xludf.DUMMYFUNCTION("""COMPUTED_VALUE"""),21.77)</f>
        <v>21.77</v>
      </c>
      <c r="D440" s="2">
        <f>IFERROR(__xludf.DUMMYFUNCTION("""COMPUTED_VALUE"""),20.85)</f>
        <v>20.85</v>
      </c>
      <c r="E440" s="2">
        <f>IFERROR(__xludf.DUMMYFUNCTION("""COMPUTED_VALUE"""),20.98)</f>
        <v>20.98</v>
      </c>
      <c r="F440" s="2">
        <f>IFERROR(__xludf.DUMMYFUNCTION("""COMPUTED_VALUE"""),112498.0)</f>
        <v>112498</v>
      </c>
    </row>
    <row r="441">
      <c r="A441" s="3">
        <f>IFERROR(__xludf.DUMMYFUNCTION("""COMPUTED_VALUE"""),37167.645833333336)</f>
        <v>37167.64583</v>
      </c>
      <c r="B441" s="2">
        <f>IFERROR(__xludf.DUMMYFUNCTION("""COMPUTED_VALUE"""),21.01)</f>
        <v>21.01</v>
      </c>
      <c r="C441" s="2">
        <f>IFERROR(__xludf.DUMMYFUNCTION("""COMPUTED_VALUE"""),21.6)</f>
        <v>21.6</v>
      </c>
      <c r="D441" s="2">
        <f>IFERROR(__xludf.DUMMYFUNCTION("""COMPUTED_VALUE"""),20.91)</f>
        <v>20.91</v>
      </c>
      <c r="E441" s="2">
        <f>IFERROR(__xludf.DUMMYFUNCTION("""COMPUTED_VALUE"""),21.09)</f>
        <v>21.09</v>
      </c>
      <c r="F441" s="2">
        <f>IFERROR(__xludf.DUMMYFUNCTION("""COMPUTED_VALUE"""),96131.0)</f>
        <v>96131</v>
      </c>
    </row>
    <row r="442">
      <c r="A442" s="3">
        <f>IFERROR(__xludf.DUMMYFUNCTION("""COMPUTED_VALUE"""),37168.645833333336)</f>
        <v>37168.64583</v>
      </c>
      <c r="B442" s="2">
        <f>IFERROR(__xludf.DUMMYFUNCTION("""COMPUTED_VALUE"""),21.13)</f>
        <v>21.13</v>
      </c>
      <c r="C442" s="2">
        <f>IFERROR(__xludf.DUMMYFUNCTION("""COMPUTED_VALUE"""),21.35)</f>
        <v>21.35</v>
      </c>
      <c r="D442" s="2">
        <f>IFERROR(__xludf.DUMMYFUNCTION("""COMPUTED_VALUE"""),21.04)</f>
        <v>21.04</v>
      </c>
      <c r="E442" s="2">
        <f>IFERROR(__xludf.DUMMYFUNCTION("""COMPUTED_VALUE"""),21.21)</f>
        <v>21.21</v>
      </c>
      <c r="F442" s="2">
        <f>IFERROR(__xludf.DUMMYFUNCTION("""COMPUTED_VALUE"""),103431.0)</f>
        <v>103431</v>
      </c>
    </row>
    <row r="443">
      <c r="A443" s="3">
        <f>IFERROR(__xludf.DUMMYFUNCTION("""COMPUTED_VALUE"""),37169.645833333336)</f>
        <v>37169.64583</v>
      </c>
      <c r="B443" s="2">
        <f>IFERROR(__xludf.DUMMYFUNCTION("""COMPUTED_VALUE"""),21.21)</f>
        <v>21.21</v>
      </c>
      <c r="C443" s="2">
        <f>IFERROR(__xludf.DUMMYFUNCTION("""COMPUTED_VALUE"""),21.56)</f>
        <v>21.56</v>
      </c>
      <c r="D443" s="2">
        <f>IFERROR(__xludf.DUMMYFUNCTION("""COMPUTED_VALUE"""),21.1)</f>
        <v>21.1</v>
      </c>
      <c r="E443" s="2">
        <f>IFERROR(__xludf.DUMMYFUNCTION("""COMPUTED_VALUE"""),21.42)</f>
        <v>21.42</v>
      </c>
      <c r="F443" s="2">
        <f>IFERROR(__xludf.DUMMYFUNCTION("""COMPUTED_VALUE"""),26954.0)</f>
        <v>26954</v>
      </c>
    </row>
    <row r="444">
      <c r="A444" s="3">
        <f>IFERROR(__xludf.DUMMYFUNCTION("""COMPUTED_VALUE"""),37172.645833333336)</f>
        <v>37172.64583</v>
      </c>
      <c r="B444" s="2">
        <f>IFERROR(__xludf.DUMMYFUNCTION("""COMPUTED_VALUE"""),21.0)</f>
        <v>21</v>
      </c>
      <c r="C444" s="2">
        <f>IFERROR(__xludf.DUMMYFUNCTION("""COMPUTED_VALUE"""),21.53)</f>
        <v>21.53</v>
      </c>
      <c r="D444" s="2">
        <f>IFERROR(__xludf.DUMMYFUNCTION("""COMPUTED_VALUE"""),19.5)</f>
        <v>19.5</v>
      </c>
      <c r="E444" s="2">
        <f>IFERROR(__xludf.DUMMYFUNCTION("""COMPUTED_VALUE"""),21.45)</f>
        <v>21.45</v>
      </c>
      <c r="F444" s="2">
        <f>IFERROR(__xludf.DUMMYFUNCTION("""COMPUTED_VALUE"""),37871.0)</f>
        <v>37871</v>
      </c>
    </row>
    <row r="445">
      <c r="A445" s="3">
        <f>IFERROR(__xludf.DUMMYFUNCTION("""COMPUTED_VALUE"""),37173.645833333336)</f>
        <v>37173.64583</v>
      </c>
      <c r="B445" s="2">
        <f>IFERROR(__xludf.DUMMYFUNCTION("""COMPUTED_VALUE"""),21.45)</f>
        <v>21.45</v>
      </c>
      <c r="C445" s="2">
        <f>IFERROR(__xludf.DUMMYFUNCTION("""COMPUTED_VALUE"""),21.55)</f>
        <v>21.55</v>
      </c>
      <c r="D445" s="2">
        <f>IFERROR(__xludf.DUMMYFUNCTION("""COMPUTED_VALUE"""),21.35)</f>
        <v>21.35</v>
      </c>
      <c r="E445" s="2">
        <f>IFERROR(__xludf.DUMMYFUNCTION("""COMPUTED_VALUE"""),21.4)</f>
        <v>21.4</v>
      </c>
      <c r="F445" s="2">
        <f>IFERROR(__xludf.DUMMYFUNCTION("""COMPUTED_VALUE"""),25146.0)</f>
        <v>25146</v>
      </c>
    </row>
    <row r="446">
      <c r="A446" s="3">
        <f>IFERROR(__xludf.DUMMYFUNCTION("""COMPUTED_VALUE"""),37174.645833333336)</f>
        <v>37174.64583</v>
      </c>
      <c r="B446" s="2">
        <f>IFERROR(__xludf.DUMMYFUNCTION("""COMPUTED_VALUE"""),21.4)</f>
        <v>21.4</v>
      </c>
      <c r="C446" s="2">
        <f>IFERROR(__xludf.DUMMYFUNCTION("""COMPUTED_VALUE"""),21.68)</f>
        <v>21.68</v>
      </c>
      <c r="D446" s="2">
        <f>IFERROR(__xludf.DUMMYFUNCTION("""COMPUTED_VALUE"""),21.28)</f>
        <v>21.28</v>
      </c>
      <c r="E446" s="2">
        <f>IFERROR(__xludf.DUMMYFUNCTION("""COMPUTED_VALUE"""),21.6)</f>
        <v>21.6</v>
      </c>
      <c r="F446" s="2">
        <f>IFERROR(__xludf.DUMMYFUNCTION("""COMPUTED_VALUE"""),19322.0)</f>
        <v>19322</v>
      </c>
    </row>
    <row r="447">
      <c r="A447" s="3">
        <f>IFERROR(__xludf.DUMMYFUNCTION("""COMPUTED_VALUE"""),37175.645833333336)</f>
        <v>37175.64583</v>
      </c>
      <c r="B447" s="2">
        <f>IFERROR(__xludf.DUMMYFUNCTION("""COMPUTED_VALUE"""),21.7)</f>
        <v>21.7</v>
      </c>
      <c r="C447" s="2">
        <f>IFERROR(__xludf.DUMMYFUNCTION("""COMPUTED_VALUE"""),22.2)</f>
        <v>22.2</v>
      </c>
      <c r="D447" s="2">
        <f>IFERROR(__xludf.DUMMYFUNCTION("""COMPUTED_VALUE"""),21.7)</f>
        <v>21.7</v>
      </c>
      <c r="E447" s="2">
        <f>IFERROR(__xludf.DUMMYFUNCTION("""COMPUTED_VALUE"""),22.05)</f>
        <v>22.05</v>
      </c>
      <c r="F447" s="2">
        <f>IFERROR(__xludf.DUMMYFUNCTION("""COMPUTED_VALUE"""),66492.0)</f>
        <v>66492</v>
      </c>
    </row>
    <row r="448">
      <c r="A448" s="3">
        <f>IFERROR(__xludf.DUMMYFUNCTION("""COMPUTED_VALUE"""),37176.645833333336)</f>
        <v>37176.64583</v>
      </c>
      <c r="B448" s="2">
        <f>IFERROR(__xludf.DUMMYFUNCTION("""COMPUTED_VALUE"""),22.5)</f>
        <v>22.5</v>
      </c>
      <c r="C448" s="2">
        <f>IFERROR(__xludf.DUMMYFUNCTION("""COMPUTED_VALUE"""),23.5)</f>
        <v>23.5</v>
      </c>
      <c r="D448" s="2">
        <f>IFERROR(__xludf.DUMMYFUNCTION("""COMPUTED_VALUE"""),22.5)</f>
        <v>22.5</v>
      </c>
      <c r="E448" s="2">
        <f>IFERROR(__xludf.DUMMYFUNCTION("""COMPUTED_VALUE"""),23.33)</f>
        <v>23.33</v>
      </c>
      <c r="F448" s="2">
        <f>IFERROR(__xludf.DUMMYFUNCTION("""COMPUTED_VALUE"""),178334.0)</f>
        <v>178334</v>
      </c>
    </row>
    <row r="449">
      <c r="A449" s="3">
        <f>IFERROR(__xludf.DUMMYFUNCTION("""COMPUTED_VALUE"""),37179.645833333336)</f>
        <v>37179.64583</v>
      </c>
      <c r="B449" s="2">
        <f>IFERROR(__xludf.DUMMYFUNCTION("""COMPUTED_VALUE"""),23.3)</f>
        <v>23.3</v>
      </c>
      <c r="C449" s="2">
        <f>IFERROR(__xludf.DUMMYFUNCTION("""COMPUTED_VALUE"""),23.3)</f>
        <v>23.3</v>
      </c>
      <c r="D449" s="2">
        <f>IFERROR(__xludf.DUMMYFUNCTION("""COMPUTED_VALUE"""),22.55)</f>
        <v>22.55</v>
      </c>
      <c r="E449" s="2">
        <f>IFERROR(__xludf.DUMMYFUNCTION("""COMPUTED_VALUE"""),22.79)</f>
        <v>22.79</v>
      </c>
      <c r="F449" s="2">
        <f>IFERROR(__xludf.DUMMYFUNCTION("""COMPUTED_VALUE"""),33500.0)</f>
        <v>33500</v>
      </c>
    </row>
    <row r="450">
      <c r="A450" s="3">
        <f>IFERROR(__xludf.DUMMYFUNCTION("""COMPUTED_VALUE"""),37180.645833333336)</f>
        <v>37180.64583</v>
      </c>
      <c r="B450" s="2">
        <f>IFERROR(__xludf.DUMMYFUNCTION("""COMPUTED_VALUE"""),22.9)</f>
        <v>22.9</v>
      </c>
      <c r="C450" s="2">
        <f>IFERROR(__xludf.DUMMYFUNCTION("""COMPUTED_VALUE"""),22.96)</f>
        <v>22.96</v>
      </c>
      <c r="D450" s="2">
        <f>IFERROR(__xludf.DUMMYFUNCTION("""COMPUTED_VALUE"""),22.52)</f>
        <v>22.52</v>
      </c>
      <c r="E450" s="2">
        <f>IFERROR(__xludf.DUMMYFUNCTION("""COMPUTED_VALUE"""),22.72)</f>
        <v>22.72</v>
      </c>
      <c r="F450" s="2">
        <f>IFERROR(__xludf.DUMMYFUNCTION("""COMPUTED_VALUE"""),15419.0)</f>
        <v>15419</v>
      </c>
    </row>
    <row r="451">
      <c r="A451" s="3">
        <f>IFERROR(__xludf.DUMMYFUNCTION("""COMPUTED_VALUE"""),37181.645833333336)</f>
        <v>37181.64583</v>
      </c>
      <c r="B451" s="2">
        <f>IFERROR(__xludf.DUMMYFUNCTION("""COMPUTED_VALUE"""),22.61)</f>
        <v>22.61</v>
      </c>
      <c r="C451" s="2">
        <f>IFERROR(__xludf.DUMMYFUNCTION("""COMPUTED_VALUE"""),22.92)</f>
        <v>22.92</v>
      </c>
      <c r="D451" s="2">
        <f>IFERROR(__xludf.DUMMYFUNCTION("""COMPUTED_VALUE"""),22.33)</f>
        <v>22.33</v>
      </c>
      <c r="E451" s="2">
        <f>IFERROR(__xludf.DUMMYFUNCTION("""COMPUTED_VALUE"""),22.53)</f>
        <v>22.53</v>
      </c>
      <c r="F451" s="2">
        <f>IFERROR(__xludf.DUMMYFUNCTION("""COMPUTED_VALUE"""),67661.0)</f>
        <v>67661</v>
      </c>
    </row>
    <row r="452">
      <c r="A452" s="3">
        <f>IFERROR(__xludf.DUMMYFUNCTION("""COMPUTED_VALUE"""),37182.645833333336)</f>
        <v>37182.64583</v>
      </c>
      <c r="B452" s="2">
        <f>IFERROR(__xludf.DUMMYFUNCTION("""COMPUTED_VALUE"""),22.22)</f>
        <v>22.22</v>
      </c>
      <c r="C452" s="2">
        <f>IFERROR(__xludf.DUMMYFUNCTION("""COMPUTED_VALUE"""),22.8)</f>
        <v>22.8</v>
      </c>
      <c r="D452" s="2">
        <f>IFERROR(__xludf.DUMMYFUNCTION("""COMPUTED_VALUE"""),22.2)</f>
        <v>22.2</v>
      </c>
      <c r="E452" s="2">
        <f>IFERROR(__xludf.DUMMYFUNCTION("""COMPUTED_VALUE"""),22.43)</f>
        <v>22.43</v>
      </c>
      <c r="F452" s="2">
        <f>IFERROR(__xludf.DUMMYFUNCTION("""COMPUTED_VALUE"""),54421.0)</f>
        <v>54421</v>
      </c>
    </row>
    <row r="453">
      <c r="A453" s="3">
        <f>IFERROR(__xludf.DUMMYFUNCTION("""COMPUTED_VALUE"""),37183.645833333336)</f>
        <v>37183.64583</v>
      </c>
      <c r="B453" s="2">
        <f>IFERROR(__xludf.DUMMYFUNCTION("""COMPUTED_VALUE"""),22.31)</f>
        <v>22.31</v>
      </c>
      <c r="C453" s="2">
        <f>IFERROR(__xludf.DUMMYFUNCTION("""COMPUTED_VALUE"""),22.5)</f>
        <v>22.5</v>
      </c>
      <c r="D453" s="2">
        <f>IFERROR(__xludf.DUMMYFUNCTION("""COMPUTED_VALUE"""),22.24)</f>
        <v>22.24</v>
      </c>
      <c r="E453" s="2">
        <f>IFERROR(__xludf.DUMMYFUNCTION("""COMPUTED_VALUE"""),22.43)</f>
        <v>22.43</v>
      </c>
      <c r="F453" s="2">
        <f>IFERROR(__xludf.DUMMYFUNCTION("""COMPUTED_VALUE"""),58195.0)</f>
        <v>58195</v>
      </c>
    </row>
    <row r="454">
      <c r="A454" s="3">
        <f>IFERROR(__xludf.DUMMYFUNCTION("""COMPUTED_VALUE"""),37186.645833333336)</f>
        <v>37186.64583</v>
      </c>
      <c r="B454" s="2">
        <f>IFERROR(__xludf.DUMMYFUNCTION("""COMPUTED_VALUE"""),23.0)</f>
        <v>23</v>
      </c>
      <c r="C454" s="2">
        <f>IFERROR(__xludf.DUMMYFUNCTION("""COMPUTED_VALUE"""),23.8)</f>
        <v>23.8</v>
      </c>
      <c r="D454" s="2">
        <f>IFERROR(__xludf.DUMMYFUNCTION("""COMPUTED_VALUE"""),22.12)</f>
        <v>22.12</v>
      </c>
      <c r="E454" s="2">
        <f>IFERROR(__xludf.DUMMYFUNCTION("""COMPUTED_VALUE"""),22.32)</f>
        <v>22.32</v>
      </c>
      <c r="F454" s="2">
        <f>IFERROR(__xludf.DUMMYFUNCTION("""COMPUTED_VALUE"""),136853.0)</f>
        <v>136853</v>
      </c>
    </row>
    <row r="455">
      <c r="A455" s="3">
        <f>IFERROR(__xludf.DUMMYFUNCTION("""COMPUTED_VALUE"""),37187.645833333336)</f>
        <v>37187.64583</v>
      </c>
      <c r="B455" s="2">
        <f>IFERROR(__xludf.DUMMYFUNCTION("""COMPUTED_VALUE"""),22.5)</f>
        <v>22.5</v>
      </c>
      <c r="C455" s="2">
        <f>IFERROR(__xludf.DUMMYFUNCTION("""COMPUTED_VALUE"""),23.2)</f>
        <v>23.2</v>
      </c>
      <c r="D455" s="2">
        <f>IFERROR(__xludf.DUMMYFUNCTION("""COMPUTED_VALUE"""),21.84)</f>
        <v>21.84</v>
      </c>
      <c r="E455" s="2">
        <f>IFERROR(__xludf.DUMMYFUNCTION("""COMPUTED_VALUE"""),22.48)</f>
        <v>22.48</v>
      </c>
      <c r="F455" s="2">
        <f>IFERROR(__xludf.DUMMYFUNCTION("""COMPUTED_VALUE"""),136431.0)</f>
        <v>136431</v>
      </c>
    </row>
    <row r="456">
      <c r="A456" s="3">
        <f>IFERROR(__xludf.DUMMYFUNCTION("""COMPUTED_VALUE"""),37188.645833333336)</f>
        <v>37188.64583</v>
      </c>
      <c r="B456" s="2">
        <f>IFERROR(__xludf.DUMMYFUNCTION("""COMPUTED_VALUE"""),22.52)</f>
        <v>22.52</v>
      </c>
      <c r="C456" s="2">
        <f>IFERROR(__xludf.DUMMYFUNCTION("""COMPUTED_VALUE"""),22.73)</f>
        <v>22.73</v>
      </c>
      <c r="D456" s="2">
        <f>IFERROR(__xludf.DUMMYFUNCTION("""COMPUTED_VALUE"""),22.46)</f>
        <v>22.46</v>
      </c>
      <c r="E456" s="2">
        <f>IFERROR(__xludf.DUMMYFUNCTION("""COMPUTED_VALUE"""),22.53)</f>
        <v>22.53</v>
      </c>
      <c r="F456" s="2">
        <f>IFERROR(__xludf.DUMMYFUNCTION("""COMPUTED_VALUE"""),70693.0)</f>
        <v>70693</v>
      </c>
    </row>
    <row r="457">
      <c r="A457" s="3">
        <f>IFERROR(__xludf.DUMMYFUNCTION("""COMPUTED_VALUE"""),37189.645833333336)</f>
        <v>37189.64583</v>
      </c>
      <c r="B457" s="2">
        <f>IFERROR(__xludf.DUMMYFUNCTION("""COMPUTED_VALUE"""),22.5)</f>
        <v>22.5</v>
      </c>
      <c r="C457" s="2">
        <f>IFERROR(__xludf.DUMMYFUNCTION("""COMPUTED_VALUE"""),22.58)</f>
        <v>22.58</v>
      </c>
      <c r="D457" s="2">
        <f>IFERROR(__xludf.DUMMYFUNCTION("""COMPUTED_VALUE"""),22.01)</f>
        <v>22.01</v>
      </c>
      <c r="E457" s="2">
        <f>IFERROR(__xludf.DUMMYFUNCTION("""COMPUTED_VALUE"""),22.18)</f>
        <v>22.18</v>
      </c>
      <c r="F457" s="2">
        <f>IFERROR(__xludf.DUMMYFUNCTION("""COMPUTED_VALUE"""),115263.0)</f>
        <v>115263</v>
      </c>
    </row>
    <row r="458">
      <c r="A458" s="3">
        <f>IFERROR(__xludf.DUMMYFUNCTION("""COMPUTED_VALUE"""),37193.645833333336)</f>
        <v>37193.64583</v>
      </c>
      <c r="B458" s="2">
        <f>IFERROR(__xludf.DUMMYFUNCTION("""COMPUTED_VALUE"""),22.35)</f>
        <v>22.35</v>
      </c>
      <c r="C458" s="2">
        <f>IFERROR(__xludf.DUMMYFUNCTION("""COMPUTED_VALUE"""),22.4)</f>
        <v>22.4</v>
      </c>
      <c r="D458" s="2">
        <f>IFERROR(__xludf.DUMMYFUNCTION("""COMPUTED_VALUE"""),21.65)</f>
        <v>21.65</v>
      </c>
      <c r="E458" s="2">
        <f>IFERROR(__xludf.DUMMYFUNCTION("""COMPUTED_VALUE"""),21.9)</f>
        <v>21.9</v>
      </c>
      <c r="F458" s="2">
        <f>IFERROR(__xludf.DUMMYFUNCTION("""COMPUTED_VALUE"""),127705.0)</f>
        <v>127705</v>
      </c>
    </row>
    <row r="459">
      <c r="A459" s="3">
        <f>IFERROR(__xludf.DUMMYFUNCTION("""COMPUTED_VALUE"""),37194.645833333336)</f>
        <v>37194.64583</v>
      </c>
      <c r="B459" s="2">
        <f>IFERROR(__xludf.DUMMYFUNCTION("""COMPUTED_VALUE"""),21.61)</f>
        <v>21.61</v>
      </c>
      <c r="C459" s="2">
        <f>IFERROR(__xludf.DUMMYFUNCTION("""COMPUTED_VALUE"""),21.9)</f>
        <v>21.9</v>
      </c>
      <c r="D459" s="2">
        <f>IFERROR(__xludf.DUMMYFUNCTION("""COMPUTED_VALUE"""),21.61)</f>
        <v>21.61</v>
      </c>
      <c r="E459" s="2">
        <f>IFERROR(__xludf.DUMMYFUNCTION("""COMPUTED_VALUE"""),21.8)</f>
        <v>21.8</v>
      </c>
      <c r="F459" s="2">
        <f>IFERROR(__xludf.DUMMYFUNCTION("""COMPUTED_VALUE"""),69959.0)</f>
        <v>69959</v>
      </c>
    </row>
    <row r="460">
      <c r="A460" s="3">
        <f>IFERROR(__xludf.DUMMYFUNCTION("""COMPUTED_VALUE"""),37195.645833333336)</f>
        <v>37195.64583</v>
      </c>
      <c r="B460" s="2">
        <f>IFERROR(__xludf.DUMMYFUNCTION("""COMPUTED_VALUE"""),21.6)</f>
        <v>21.6</v>
      </c>
      <c r="C460" s="2">
        <f>IFERROR(__xludf.DUMMYFUNCTION("""COMPUTED_VALUE"""),21.88)</f>
        <v>21.88</v>
      </c>
      <c r="D460" s="2">
        <f>IFERROR(__xludf.DUMMYFUNCTION("""COMPUTED_VALUE"""),21.6)</f>
        <v>21.6</v>
      </c>
      <c r="E460" s="2">
        <f>IFERROR(__xludf.DUMMYFUNCTION("""COMPUTED_VALUE"""),21.77)</f>
        <v>21.77</v>
      </c>
      <c r="F460" s="2">
        <f>IFERROR(__xludf.DUMMYFUNCTION("""COMPUTED_VALUE"""),71643.0)</f>
        <v>71643</v>
      </c>
    </row>
    <row r="461">
      <c r="A461" s="3">
        <f>IFERROR(__xludf.DUMMYFUNCTION("""COMPUTED_VALUE"""),37196.645833333336)</f>
        <v>37196.64583</v>
      </c>
      <c r="B461" s="2">
        <f>IFERROR(__xludf.DUMMYFUNCTION("""COMPUTED_VALUE"""),21.8)</f>
        <v>21.8</v>
      </c>
      <c r="C461" s="2">
        <f>IFERROR(__xludf.DUMMYFUNCTION("""COMPUTED_VALUE"""),21.85)</f>
        <v>21.85</v>
      </c>
      <c r="D461" s="2">
        <f>IFERROR(__xludf.DUMMYFUNCTION("""COMPUTED_VALUE"""),21.63)</f>
        <v>21.63</v>
      </c>
      <c r="E461" s="2">
        <f>IFERROR(__xludf.DUMMYFUNCTION("""COMPUTED_VALUE"""),21.79)</f>
        <v>21.79</v>
      </c>
      <c r="F461" s="2">
        <f>IFERROR(__xludf.DUMMYFUNCTION("""COMPUTED_VALUE"""),97300.0)</f>
        <v>97300</v>
      </c>
    </row>
    <row r="462">
      <c r="A462" s="3">
        <f>IFERROR(__xludf.DUMMYFUNCTION("""COMPUTED_VALUE"""),37197.645833333336)</f>
        <v>37197.64583</v>
      </c>
      <c r="B462" s="2">
        <f>IFERROR(__xludf.DUMMYFUNCTION("""COMPUTED_VALUE"""),22.0)</f>
        <v>22</v>
      </c>
      <c r="C462" s="2">
        <f>IFERROR(__xludf.DUMMYFUNCTION("""COMPUTED_VALUE"""),22.34)</f>
        <v>22.34</v>
      </c>
      <c r="D462" s="2">
        <f>IFERROR(__xludf.DUMMYFUNCTION("""COMPUTED_VALUE"""),21.85)</f>
        <v>21.85</v>
      </c>
      <c r="E462" s="2">
        <f>IFERROR(__xludf.DUMMYFUNCTION("""COMPUTED_VALUE"""),22.22)</f>
        <v>22.22</v>
      </c>
      <c r="F462" s="2">
        <f>IFERROR(__xludf.DUMMYFUNCTION("""COMPUTED_VALUE"""),85268.0)</f>
        <v>85268</v>
      </c>
    </row>
    <row r="463">
      <c r="A463" s="3">
        <f>IFERROR(__xludf.DUMMYFUNCTION("""COMPUTED_VALUE"""),37200.645833333336)</f>
        <v>37200.64583</v>
      </c>
      <c r="B463" s="2">
        <f>IFERROR(__xludf.DUMMYFUNCTION("""COMPUTED_VALUE"""),22.0)</f>
        <v>22</v>
      </c>
      <c r="C463" s="2">
        <f>IFERROR(__xludf.DUMMYFUNCTION("""COMPUTED_VALUE"""),22.2)</f>
        <v>22.2</v>
      </c>
      <c r="D463" s="2">
        <f>IFERROR(__xludf.DUMMYFUNCTION("""COMPUTED_VALUE"""),22.0)</f>
        <v>22</v>
      </c>
      <c r="E463" s="2">
        <f>IFERROR(__xludf.DUMMYFUNCTION("""COMPUTED_VALUE"""),22.13)</f>
        <v>22.13</v>
      </c>
      <c r="F463" s="2">
        <f>IFERROR(__xludf.DUMMYFUNCTION("""COMPUTED_VALUE"""),80501.0)</f>
        <v>80501</v>
      </c>
    </row>
    <row r="464">
      <c r="A464" s="3">
        <f>IFERROR(__xludf.DUMMYFUNCTION("""COMPUTED_VALUE"""),37201.645833333336)</f>
        <v>37201.64583</v>
      </c>
      <c r="B464" s="2">
        <f>IFERROR(__xludf.DUMMYFUNCTION("""COMPUTED_VALUE"""),22.15)</f>
        <v>22.15</v>
      </c>
      <c r="C464" s="2">
        <f>IFERROR(__xludf.DUMMYFUNCTION("""COMPUTED_VALUE"""),22.19)</f>
        <v>22.19</v>
      </c>
      <c r="D464" s="2">
        <f>IFERROR(__xludf.DUMMYFUNCTION("""COMPUTED_VALUE"""),21.69)</f>
        <v>21.69</v>
      </c>
      <c r="E464" s="2">
        <f>IFERROR(__xludf.DUMMYFUNCTION("""COMPUTED_VALUE"""),21.78)</f>
        <v>21.78</v>
      </c>
      <c r="F464" s="2">
        <f>IFERROR(__xludf.DUMMYFUNCTION("""COMPUTED_VALUE"""),131302.0)</f>
        <v>131302</v>
      </c>
    </row>
    <row r="465">
      <c r="A465" s="3">
        <f>IFERROR(__xludf.DUMMYFUNCTION("""COMPUTED_VALUE"""),37202.645833333336)</f>
        <v>37202.64583</v>
      </c>
      <c r="B465" s="2">
        <f>IFERROR(__xludf.DUMMYFUNCTION("""COMPUTED_VALUE"""),23.14)</f>
        <v>23.14</v>
      </c>
      <c r="C465" s="2">
        <f>IFERROR(__xludf.DUMMYFUNCTION("""COMPUTED_VALUE"""),23.14)</f>
        <v>23.14</v>
      </c>
      <c r="D465" s="2">
        <f>IFERROR(__xludf.DUMMYFUNCTION("""COMPUTED_VALUE"""),21.73)</f>
        <v>21.73</v>
      </c>
      <c r="E465" s="2">
        <f>IFERROR(__xludf.DUMMYFUNCTION("""COMPUTED_VALUE"""),21.95)</f>
        <v>21.95</v>
      </c>
      <c r="F465" s="2">
        <f>IFERROR(__xludf.DUMMYFUNCTION("""COMPUTED_VALUE"""),55436.0)</f>
        <v>55436</v>
      </c>
    </row>
    <row r="466">
      <c r="A466" s="3">
        <f>IFERROR(__xludf.DUMMYFUNCTION("""COMPUTED_VALUE"""),37203.645833333336)</f>
        <v>37203.64583</v>
      </c>
      <c r="B466" s="2">
        <f>IFERROR(__xludf.DUMMYFUNCTION("""COMPUTED_VALUE"""),21.88)</f>
        <v>21.88</v>
      </c>
      <c r="C466" s="2">
        <f>IFERROR(__xludf.DUMMYFUNCTION("""COMPUTED_VALUE"""),21.9)</f>
        <v>21.9</v>
      </c>
      <c r="D466" s="2">
        <f>IFERROR(__xludf.DUMMYFUNCTION("""COMPUTED_VALUE"""),21.52)</f>
        <v>21.52</v>
      </c>
      <c r="E466" s="2">
        <f>IFERROR(__xludf.DUMMYFUNCTION("""COMPUTED_VALUE"""),21.83)</f>
        <v>21.83</v>
      </c>
      <c r="F466" s="2">
        <f>IFERROR(__xludf.DUMMYFUNCTION("""COMPUTED_VALUE"""),51680.0)</f>
        <v>51680</v>
      </c>
    </row>
    <row r="467">
      <c r="A467" s="3">
        <f>IFERROR(__xludf.DUMMYFUNCTION("""COMPUTED_VALUE"""),37204.645833333336)</f>
        <v>37204.64583</v>
      </c>
      <c r="B467" s="2">
        <f>IFERROR(__xludf.DUMMYFUNCTION("""COMPUTED_VALUE"""),21.9)</f>
        <v>21.9</v>
      </c>
      <c r="C467" s="2">
        <f>IFERROR(__xludf.DUMMYFUNCTION("""COMPUTED_VALUE"""),22.03)</f>
        <v>22.03</v>
      </c>
      <c r="D467" s="2">
        <f>IFERROR(__xludf.DUMMYFUNCTION("""COMPUTED_VALUE"""),21.81)</f>
        <v>21.81</v>
      </c>
      <c r="E467" s="2">
        <f>IFERROR(__xludf.DUMMYFUNCTION("""COMPUTED_VALUE"""),21.93)</f>
        <v>21.93</v>
      </c>
      <c r="F467" s="2">
        <f>IFERROR(__xludf.DUMMYFUNCTION("""COMPUTED_VALUE"""),229174.0)</f>
        <v>229174</v>
      </c>
    </row>
    <row r="468">
      <c r="A468" s="3">
        <f>IFERROR(__xludf.DUMMYFUNCTION("""COMPUTED_VALUE"""),37207.645833333336)</f>
        <v>37207.64583</v>
      </c>
      <c r="B468" s="2">
        <f>IFERROR(__xludf.DUMMYFUNCTION("""COMPUTED_VALUE"""),21.85)</f>
        <v>21.85</v>
      </c>
      <c r="C468" s="2">
        <f>IFERROR(__xludf.DUMMYFUNCTION("""COMPUTED_VALUE"""),22.0)</f>
        <v>22</v>
      </c>
      <c r="D468" s="2">
        <f>IFERROR(__xludf.DUMMYFUNCTION("""COMPUTED_VALUE"""),21.8)</f>
        <v>21.8</v>
      </c>
      <c r="E468" s="2">
        <f>IFERROR(__xludf.DUMMYFUNCTION("""COMPUTED_VALUE"""),21.97)</f>
        <v>21.97</v>
      </c>
      <c r="F468" s="2">
        <f>IFERROR(__xludf.DUMMYFUNCTION("""COMPUTED_VALUE"""),59743.0)</f>
        <v>59743</v>
      </c>
    </row>
    <row r="469">
      <c r="A469" s="3">
        <f>IFERROR(__xludf.DUMMYFUNCTION("""COMPUTED_VALUE"""),37208.645833333336)</f>
        <v>37208.64583</v>
      </c>
      <c r="B469" s="2">
        <f>IFERROR(__xludf.DUMMYFUNCTION("""COMPUTED_VALUE"""),21.9)</f>
        <v>21.9</v>
      </c>
      <c r="C469" s="2">
        <f>IFERROR(__xludf.DUMMYFUNCTION("""COMPUTED_VALUE"""),22.0)</f>
        <v>22</v>
      </c>
      <c r="D469" s="2">
        <f>IFERROR(__xludf.DUMMYFUNCTION("""COMPUTED_VALUE"""),21.8)</f>
        <v>21.8</v>
      </c>
      <c r="E469" s="2">
        <f>IFERROR(__xludf.DUMMYFUNCTION("""COMPUTED_VALUE"""),21.95)</f>
        <v>21.95</v>
      </c>
      <c r="F469" s="2">
        <f>IFERROR(__xludf.DUMMYFUNCTION("""COMPUTED_VALUE"""),86343.0)</f>
        <v>86343</v>
      </c>
    </row>
    <row r="470">
      <c r="A470" s="3">
        <f>IFERROR(__xludf.DUMMYFUNCTION("""COMPUTED_VALUE"""),37209.645833333336)</f>
        <v>37209.64583</v>
      </c>
      <c r="B470" s="2">
        <f>IFERROR(__xludf.DUMMYFUNCTION("""COMPUTED_VALUE"""),22.09)</f>
        <v>22.09</v>
      </c>
      <c r="C470" s="2">
        <f>IFERROR(__xludf.DUMMYFUNCTION("""COMPUTED_VALUE"""),22.45)</f>
        <v>22.45</v>
      </c>
      <c r="D470" s="2">
        <f>IFERROR(__xludf.DUMMYFUNCTION("""COMPUTED_VALUE"""),22.01)</f>
        <v>22.01</v>
      </c>
      <c r="E470" s="2">
        <f>IFERROR(__xludf.DUMMYFUNCTION("""COMPUTED_VALUE"""),22.16)</f>
        <v>22.16</v>
      </c>
      <c r="F470" s="2">
        <f>IFERROR(__xludf.DUMMYFUNCTION("""COMPUTED_VALUE"""),16370.0)</f>
        <v>16370</v>
      </c>
    </row>
    <row r="471">
      <c r="A471" s="3">
        <f>IFERROR(__xludf.DUMMYFUNCTION("""COMPUTED_VALUE"""),37210.645833333336)</f>
        <v>37210.64583</v>
      </c>
      <c r="B471" s="2">
        <f>IFERROR(__xludf.DUMMYFUNCTION("""COMPUTED_VALUE"""),22.4)</f>
        <v>22.4</v>
      </c>
      <c r="C471" s="2">
        <f>IFERROR(__xludf.DUMMYFUNCTION("""COMPUTED_VALUE"""),22.4)</f>
        <v>22.4</v>
      </c>
      <c r="D471" s="2">
        <f>IFERROR(__xludf.DUMMYFUNCTION("""COMPUTED_VALUE"""),21.9)</f>
        <v>21.9</v>
      </c>
      <c r="E471" s="2">
        <f>IFERROR(__xludf.DUMMYFUNCTION("""COMPUTED_VALUE"""),22.07)</f>
        <v>22.07</v>
      </c>
      <c r="F471" s="2">
        <f>IFERROR(__xludf.DUMMYFUNCTION("""COMPUTED_VALUE"""),122014.0)</f>
        <v>122014</v>
      </c>
    </row>
    <row r="472">
      <c r="A472" s="3">
        <f>IFERROR(__xludf.DUMMYFUNCTION("""COMPUTED_VALUE"""),37214.645833333336)</f>
        <v>37214.64583</v>
      </c>
      <c r="B472" s="2">
        <f>IFERROR(__xludf.DUMMYFUNCTION("""COMPUTED_VALUE"""),22.5)</f>
        <v>22.5</v>
      </c>
      <c r="C472" s="2">
        <f>IFERROR(__xludf.DUMMYFUNCTION("""COMPUTED_VALUE"""),22.5)</f>
        <v>22.5</v>
      </c>
      <c r="D472" s="2">
        <f>IFERROR(__xludf.DUMMYFUNCTION("""COMPUTED_VALUE"""),22.0)</f>
        <v>22</v>
      </c>
      <c r="E472" s="2">
        <f>IFERROR(__xludf.DUMMYFUNCTION("""COMPUTED_VALUE"""),22.21)</f>
        <v>22.21</v>
      </c>
      <c r="F472" s="2">
        <f>IFERROR(__xludf.DUMMYFUNCTION("""COMPUTED_VALUE"""),232803.0)</f>
        <v>232803</v>
      </c>
    </row>
    <row r="473">
      <c r="A473" s="3">
        <f>IFERROR(__xludf.DUMMYFUNCTION("""COMPUTED_VALUE"""),37215.645833333336)</f>
        <v>37215.64583</v>
      </c>
      <c r="B473" s="2">
        <f>IFERROR(__xludf.DUMMYFUNCTION("""COMPUTED_VALUE"""),22.47)</f>
        <v>22.47</v>
      </c>
      <c r="C473" s="2">
        <f>IFERROR(__xludf.DUMMYFUNCTION("""COMPUTED_VALUE"""),22.55)</f>
        <v>22.55</v>
      </c>
      <c r="D473" s="2">
        <f>IFERROR(__xludf.DUMMYFUNCTION("""COMPUTED_VALUE"""),22.21)</f>
        <v>22.21</v>
      </c>
      <c r="E473" s="2">
        <f>IFERROR(__xludf.DUMMYFUNCTION("""COMPUTED_VALUE"""),22.48)</f>
        <v>22.48</v>
      </c>
      <c r="F473" s="2">
        <f>IFERROR(__xludf.DUMMYFUNCTION("""COMPUTED_VALUE"""),107367.0)</f>
        <v>107367</v>
      </c>
    </row>
    <row r="474">
      <c r="A474" s="3">
        <f>IFERROR(__xludf.DUMMYFUNCTION("""COMPUTED_VALUE"""),37216.645833333336)</f>
        <v>37216.64583</v>
      </c>
      <c r="B474" s="2">
        <f>IFERROR(__xludf.DUMMYFUNCTION("""COMPUTED_VALUE"""),22.4)</f>
        <v>22.4</v>
      </c>
      <c r="C474" s="2">
        <f>IFERROR(__xludf.DUMMYFUNCTION("""COMPUTED_VALUE"""),22.7)</f>
        <v>22.7</v>
      </c>
      <c r="D474" s="2">
        <f>IFERROR(__xludf.DUMMYFUNCTION("""COMPUTED_VALUE"""),22.4)</f>
        <v>22.4</v>
      </c>
      <c r="E474" s="2">
        <f>IFERROR(__xludf.DUMMYFUNCTION("""COMPUTED_VALUE"""),22.47)</f>
        <v>22.47</v>
      </c>
      <c r="F474" s="2">
        <f>IFERROR(__xludf.DUMMYFUNCTION("""COMPUTED_VALUE"""),145920.0)</f>
        <v>145920</v>
      </c>
    </row>
    <row r="475">
      <c r="A475" s="3">
        <f>IFERROR(__xludf.DUMMYFUNCTION("""COMPUTED_VALUE"""),37217.645833333336)</f>
        <v>37217.64583</v>
      </c>
      <c r="B475" s="2">
        <f>IFERROR(__xludf.DUMMYFUNCTION("""COMPUTED_VALUE"""),22.6)</f>
        <v>22.6</v>
      </c>
      <c r="C475" s="2">
        <f>IFERROR(__xludf.DUMMYFUNCTION("""COMPUTED_VALUE"""),22.6)</f>
        <v>22.6</v>
      </c>
      <c r="D475" s="2">
        <f>IFERROR(__xludf.DUMMYFUNCTION("""COMPUTED_VALUE"""),22.25)</f>
        <v>22.25</v>
      </c>
      <c r="E475" s="2">
        <f>IFERROR(__xludf.DUMMYFUNCTION("""COMPUTED_VALUE"""),22.3)</f>
        <v>22.3</v>
      </c>
      <c r="F475" s="2">
        <f>IFERROR(__xludf.DUMMYFUNCTION("""COMPUTED_VALUE"""),88118.0)</f>
        <v>88118</v>
      </c>
    </row>
    <row r="476">
      <c r="A476" s="3">
        <f>IFERROR(__xludf.DUMMYFUNCTION("""COMPUTED_VALUE"""),37218.645833333336)</f>
        <v>37218.64583</v>
      </c>
      <c r="B476" s="2">
        <f>IFERROR(__xludf.DUMMYFUNCTION("""COMPUTED_VALUE"""),22.4)</f>
        <v>22.4</v>
      </c>
      <c r="C476" s="2">
        <f>IFERROR(__xludf.DUMMYFUNCTION("""COMPUTED_VALUE"""),22.57)</f>
        <v>22.57</v>
      </c>
      <c r="D476" s="2">
        <f>IFERROR(__xludf.DUMMYFUNCTION("""COMPUTED_VALUE"""),22.28)</f>
        <v>22.28</v>
      </c>
      <c r="E476" s="2">
        <f>IFERROR(__xludf.DUMMYFUNCTION("""COMPUTED_VALUE"""),22.52)</f>
        <v>22.52</v>
      </c>
      <c r="F476" s="2">
        <f>IFERROR(__xludf.DUMMYFUNCTION("""COMPUTED_VALUE"""),69701.0)</f>
        <v>69701</v>
      </c>
    </row>
    <row r="477">
      <c r="A477" s="3">
        <f>IFERROR(__xludf.DUMMYFUNCTION("""COMPUTED_VALUE"""),37221.645833333336)</f>
        <v>37221.64583</v>
      </c>
      <c r="B477" s="2">
        <f>IFERROR(__xludf.DUMMYFUNCTION("""COMPUTED_VALUE"""),22.7)</f>
        <v>22.7</v>
      </c>
      <c r="C477" s="2">
        <f>IFERROR(__xludf.DUMMYFUNCTION("""COMPUTED_VALUE"""),22.99)</f>
        <v>22.99</v>
      </c>
      <c r="D477" s="2">
        <f>IFERROR(__xludf.DUMMYFUNCTION("""COMPUTED_VALUE"""),22.44)</f>
        <v>22.44</v>
      </c>
      <c r="E477" s="2">
        <f>IFERROR(__xludf.DUMMYFUNCTION("""COMPUTED_VALUE"""),22.7)</f>
        <v>22.7</v>
      </c>
      <c r="F477" s="2">
        <f>IFERROR(__xludf.DUMMYFUNCTION("""COMPUTED_VALUE"""),64560.0)</f>
        <v>64560</v>
      </c>
    </row>
    <row r="478">
      <c r="A478" s="3">
        <f>IFERROR(__xludf.DUMMYFUNCTION("""COMPUTED_VALUE"""),37222.645833333336)</f>
        <v>37222.64583</v>
      </c>
      <c r="B478" s="2">
        <f>IFERROR(__xludf.DUMMYFUNCTION("""COMPUTED_VALUE"""),22.61)</f>
        <v>22.61</v>
      </c>
      <c r="C478" s="2">
        <f>IFERROR(__xludf.DUMMYFUNCTION("""COMPUTED_VALUE"""),22.98)</f>
        <v>22.98</v>
      </c>
      <c r="D478" s="2">
        <f>IFERROR(__xludf.DUMMYFUNCTION("""COMPUTED_VALUE"""),22.3)</f>
        <v>22.3</v>
      </c>
      <c r="E478" s="2">
        <f>IFERROR(__xludf.DUMMYFUNCTION("""COMPUTED_VALUE"""),22.81)</f>
        <v>22.81</v>
      </c>
      <c r="F478" s="2">
        <f>IFERROR(__xludf.DUMMYFUNCTION("""COMPUTED_VALUE"""),218030.0)</f>
        <v>218030</v>
      </c>
    </row>
    <row r="479">
      <c r="A479" s="3">
        <f>IFERROR(__xludf.DUMMYFUNCTION("""COMPUTED_VALUE"""),37223.645833333336)</f>
        <v>37223.64583</v>
      </c>
      <c r="B479" s="2">
        <f>IFERROR(__xludf.DUMMYFUNCTION("""COMPUTED_VALUE"""),23.2)</f>
        <v>23.2</v>
      </c>
      <c r="C479" s="2">
        <f>IFERROR(__xludf.DUMMYFUNCTION("""COMPUTED_VALUE"""),23.3)</f>
        <v>23.3</v>
      </c>
      <c r="D479" s="2">
        <f>IFERROR(__xludf.DUMMYFUNCTION("""COMPUTED_VALUE"""),22.11)</f>
        <v>22.11</v>
      </c>
      <c r="E479" s="2">
        <f>IFERROR(__xludf.DUMMYFUNCTION("""COMPUTED_VALUE"""),22.46)</f>
        <v>22.46</v>
      </c>
      <c r="F479" s="2">
        <f>IFERROR(__xludf.DUMMYFUNCTION("""COMPUTED_VALUE"""),181964.0)</f>
        <v>181964</v>
      </c>
    </row>
    <row r="480">
      <c r="A480" s="3">
        <f>IFERROR(__xludf.DUMMYFUNCTION("""COMPUTED_VALUE"""),37224.645833333336)</f>
        <v>37224.64583</v>
      </c>
      <c r="B480" s="2">
        <f>IFERROR(__xludf.DUMMYFUNCTION("""COMPUTED_VALUE"""),22.88)</f>
        <v>22.88</v>
      </c>
      <c r="C480" s="2">
        <f>IFERROR(__xludf.DUMMYFUNCTION("""COMPUTED_VALUE"""),22.88)</f>
        <v>22.88</v>
      </c>
      <c r="D480" s="2">
        <f>IFERROR(__xludf.DUMMYFUNCTION("""COMPUTED_VALUE"""),21.63)</f>
        <v>21.63</v>
      </c>
      <c r="E480" s="2">
        <f>IFERROR(__xludf.DUMMYFUNCTION("""COMPUTED_VALUE"""),22.22)</f>
        <v>22.22</v>
      </c>
      <c r="F480" s="2">
        <f>IFERROR(__xludf.DUMMYFUNCTION("""COMPUTED_VALUE"""),278220.0)</f>
        <v>278220</v>
      </c>
    </row>
    <row r="481">
      <c r="A481" s="3">
        <f>IFERROR(__xludf.DUMMYFUNCTION("""COMPUTED_VALUE"""),37228.645833333336)</f>
        <v>37228.64583</v>
      </c>
      <c r="B481" s="2">
        <f>IFERROR(__xludf.DUMMYFUNCTION("""COMPUTED_VALUE"""),22.1)</f>
        <v>22.1</v>
      </c>
      <c r="C481" s="2">
        <f>IFERROR(__xludf.DUMMYFUNCTION("""COMPUTED_VALUE"""),22.6)</f>
        <v>22.6</v>
      </c>
      <c r="D481" s="2">
        <f>IFERROR(__xludf.DUMMYFUNCTION("""COMPUTED_VALUE"""),21.8)</f>
        <v>21.8</v>
      </c>
      <c r="E481" s="2">
        <f>IFERROR(__xludf.DUMMYFUNCTION("""COMPUTED_VALUE"""),22.45)</f>
        <v>22.45</v>
      </c>
      <c r="F481" s="2">
        <f>IFERROR(__xludf.DUMMYFUNCTION("""COMPUTED_VALUE"""),182545.0)</f>
        <v>182545</v>
      </c>
    </row>
    <row r="482">
      <c r="A482" s="3">
        <f>IFERROR(__xludf.DUMMYFUNCTION("""COMPUTED_VALUE"""),37229.645833333336)</f>
        <v>37229.64583</v>
      </c>
      <c r="B482" s="2">
        <f>IFERROR(__xludf.DUMMYFUNCTION("""COMPUTED_VALUE"""),22.2)</f>
        <v>22.2</v>
      </c>
      <c r="C482" s="2">
        <f>IFERROR(__xludf.DUMMYFUNCTION("""COMPUTED_VALUE"""),22.5)</f>
        <v>22.5</v>
      </c>
      <c r="D482" s="2">
        <f>IFERROR(__xludf.DUMMYFUNCTION("""COMPUTED_VALUE"""),22.11)</f>
        <v>22.11</v>
      </c>
      <c r="E482" s="2">
        <f>IFERROR(__xludf.DUMMYFUNCTION("""COMPUTED_VALUE"""),22.35)</f>
        <v>22.35</v>
      </c>
      <c r="F482" s="2">
        <f>IFERROR(__xludf.DUMMYFUNCTION("""COMPUTED_VALUE"""),45479.0)</f>
        <v>45479</v>
      </c>
    </row>
    <row r="483">
      <c r="A483" s="3">
        <f>IFERROR(__xludf.DUMMYFUNCTION("""COMPUTED_VALUE"""),37230.645833333336)</f>
        <v>37230.64583</v>
      </c>
      <c r="B483" s="2">
        <f>IFERROR(__xludf.DUMMYFUNCTION("""COMPUTED_VALUE"""),22.7)</f>
        <v>22.7</v>
      </c>
      <c r="C483" s="2">
        <f>IFERROR(__xludf.DUMMYFUNCTION("""COMPUTED_VALUE"""),22.7)</f>
        <v>22.7</v>
      </c>
      <c r="D483" s="2">
        <f>IFERROR(__xludf.DUMMYFUNCTION("""COMPUTED_VALUE"""),22.13)</f>
        <v>22.13</v>
      </c>
      <c r="E483" s="2">
        <f>IFERROR(__xludf.DUMMYFUNCTION("""COMPUTED_VALUE"""),22.28)</f>
        <v>22.28</v>
      </c>
      <c r="F483" s="2">
        <f>IFERROR(__xludf.DUMMYFUNCTION("""COMPUTED_VALUE"""),59999.0)</f>
        <v>59999</v>
      </c>
    </row>
    <row r="484">
      <c r="A484" s="3">
        <f>IFERROR(__xludf.DUMMYFUNCTION("""COMPUTED_VALUE"""),37231.645833333336)</f>
        <v>37231.64583</v>
      </c>
      <c r="B484" s="2">
        <f>IFERROR(__xludf.DUMMYFUNCTION("""COMPUTED_VALUE"""),22.5)</f>
        <v>22.5</v>
      </c>
      <c r="C484" s="2">
        <f>IFERROR(__xludf.DUMMYFUNCTION("""COMPUTED_VALUE"""),22.87)</f>
        <v>22.87</v>
      </c>
      <c r="D484" s="2">
        <f>IFERROR(__xludf.DUMMYFUNCTION("""COMPUTED_VALUE"""),22.33)</f>
        <v>22.33</v>
      </c>
      <c r="E484" s="2">
        <f>IFERROR(__xludf.DUMMYFUNCTION("""COMPUTED_VALUE"""),22.7)</f>
        <v>22.7</v>
      </c>
      <c r="F484" s="2">
        <f>IFERROR(__xludf.DUMMYFUNCTION("""COMPUTED_VALUE"""),80664.0)</f>
        <v>80664</v>
      </c>
    </row>
    <row r="485">
      <c r="A485" s="3">
        <f>IFERROR(__xludf.DUMMYFUNCTION("""COMPUTED_VALUE"""),37232.645833333336)</f>
        <v>37232.64583</v>
      </c>
      <c r="B485" s="2">
        <f>IFERROR(__xludf.DUMMYFUNCTION("""COMPUTED_VALUE"""),22.8)</f>
        <v>22.8</v>
      </c>
      <c r="C485" s="2">
        <f>IFERROR(__xludf.DUMMYFUNCTION("""COMPUTED_VALUE"""),23.6)</f>
        <v>23.6</v>
      </c>
      <c r="D485" s="2">
        <f>IFERROR(__xludf.DUMMYFUNCTION("""COMPUTED_VALUE"""),22.66)</f>
        <v>22.66</v>
      </c>
      <c r="E485" s="2">
        <f>IFERROR(__xludf.DUMMYFUNCTION("""COMPUTED_VALUE"""),23.42)</f>
        <v>23.42</v>
      </c>
      <c r="F485" s="2">
        <f>IFERROR(__xludf.DUMMYFUNCTION("""COMPUTED_VALUE"""),182424.0)</f>
        <v>182424</v>
      </c>
    </row>
    <row r="486">
      <c r="A486" s="3">
        <f>IFERROR(__xludf.DUMMYFUNCTION("""COMPUTED_VALUE"""),37235.645833333336)</f>
        <v>37235.64583</v>
      </c>
      <c r="B486" s="2">
        <f>IFERROR(__xludf.DUMMYFUNCTION("""COMPUTED_VALUE"""),23.0)</f>
        <v>23</v>
      </c>
      <c r="C486" s="2">
        <f>IFERROR(__xludf.DUMMYFUNCTION("""COMPUTED_VALUE"""),23.46)</f>
        <v>23.46</v>
      </c>
      <c r="D486" s="2">
        <f>IFERROR(__xludf.DUMMYFUNCTION("""COMPUTED_VALUE"""),22.8)</f>
        <v>22.8</v>
      </c>
      <c r="E486" s="2">
        <f>IFERROR(__xludf.DUMMYFUNCTION("""COMPUTED_VALUE"""),23.22)</f>
        <v>23.22</v>
      </c>
      <c r="F486" s="2">
        <f>IFERROR(__xludf.DUMMYFUNCTION("""COMPUTED_VALUE"""),87836.0)</f>
        <v>87836</v>
      </c>
    </row>
    <row r="487">
      <c r="A487" s="3">
        <f>IFERROR(__xludf.DUMMYFUNCTION("""COMPUTED_VALUE"""),37236.645833333336)</f>
        <v>37236.64583</v>
      </c>
      <c r="B487" s="2">
        <f>IFERROR(__xludf.DUMMYFUNCTION("""COMPUTED_VALUE"""),23.0)</f>
        <v>23</v>
      </c>
      <c r="C487" s="2">
        <f>IFERROR(__xludf.DUMMYFUNCTION("""COMPUTED_VALUE"""),23.0)</f>
        <v>23</v>
      </c>
      <c r="D487" s="2">
        <f>IFERROR(__xludf.DUMMYFUNCTION("""COMPUTED_VALUE"""),22.11)</f>
        <v>22.11</v>
      </c>
      <c r="E487" s="2">
        <f>IFERROR(__xludf.DUMMYFUNCTION("""COMPUTED_VALUE"""),22.48)</f>
        <v>22.48</v>
      </c>
      <c r="F487" s="2">
        <f>IFERROR(__xludf.DUMMYFUNCTION("""COMPUTED_VALUE"""),191404.0)</f>
        <v>191404</v>
      </c>
    </row>
    <row r="488">
      <c r="A488" s="3">
        <f>IFERROR(__xludf.DUMMYFUNCTION("""COMPUTED_VALUE"""),37237.645833333336)</f>
        <v>37237.64583</v>
      </c>
      <c r="B488" s="2">
        <f>IFERROR(__xludf.DUMMYFUNCTION("""COMPUTED_VALUE"""),22.52)</f>
        <v>22.52</v>
      </c>
      <c r="C488" s="2">
        <f>IFERROR(__xludf.DUMMYFUNCTION("""COMPUTED_VALUE"""),22.76)</f>
        <v>22.76</v>
      </c>
      <c r="D488" s="2">
        <f>IFERROR(__xludf.DUMMYFUNCTION("""COMPUTED_VALUE"""),22.3)</f>
        <v>22.3</v>
      </c>
      <c r="E488" s="2">
        <f>IFERROR(__xludf.DUMMYFUNCTION("""COMPUTED_VALUE"""),22.47)</f>
        <v>22.47</v>
      </c>
      <c r="F488" s="2">
        <f>IFERROR(__xludf.DUMMYFUNCTION("""COMPUTED_VALUE"""),46045.0)</f>
        <v>46045</v>
      </c>
    </row>
    <row r="489">
      <c r="A489" s="3">
        <f>IFERROR(__xludf.DUMMYFUNCTION("""COMPUTED_VALUE"""),37238.645833333336)</f>
        <v>37238.64583</v>
      </c>
      <c r="B489" s="2">
        <f>IFERROR(__xludf.DUMMYFUNCTION("""COMPUTED_VALUE"""),22.45)</f>
        <v>22.45</v>
      </c>
      <c r="C489" s="2">
        <f>IFERROR(__xludf.DUMMYFUNCTION("""COMPUTED_VALUE"""),23.49)</f>
        <v>23.49</v>
      </c>
      <c r="D489" s="2">
        <f>IFERROR(__xludf.DUMMYFUNCTION("""COMPUTED_VALUE"""),21.9)</f>
        <v>21.9</v>
      </c>
      <c r="E489" s="2">
        <f>IFERROR(__xludf.DUMMYFUNCTION("""COMPUTED_VALUE"""),23.08)</f>
        <v>23.08</v>
      </c>
      <c r="F489" s="2">
        <f>IFERROR(__xludf.DUMMYFUNCTION("""COMPUTED_VALUE"""),86537.0)</f>
        <v>86537</v>
      </c>
    </row>
    <row r="490">
      <c r="A490" s="3">
        <f>IFERROR(__xludf.DUMMYFUNCTION("""COMPUTED_VALUE"""),37239.645833333336)</f>
        <v>37239.64583</v>
      </c>
      <c r="B490" s="2">
        <f>IFERROR(__xludf.DUMMYFUNCTION("""COMPUTED_VALUE"""),22.8)</f>
        <v>22.8</v>
      </c>
      <c r="C490" s="2">
        <f>IFERROR(__xludf.DUMMYFUNCTION("""COMPUTED_VALUE"""),22.8)</f>
        <v>22.8</v>
      </c>
      <c r="D490" s="2">
        <f>IFERROR(__xludf.DUMMYFUNCTION("""COMPUTED_VALUE"""),22.25)</f>
        <v>22.25</v>
      </c>
      <c r="E490" s="2">
        <f>IFERROR(__xludf.DUMMYFUNCTION("""COMPUTED_VALUE"""),22.48)</f>
        <v>22.48</v>
      </c>
      <c r="F490" s="2">
        <f>IFERROR(__xludf.DUMMYFUNCTION("""COMPUTED_VALUE"""),47178.0)</f>
        <v>47178</v>
      </c>
    </row>
    <row r="491">
      <c r="A491" s="3">
        <f>IFERROR(__xludf.DUMMYFUNCTION("""COMPUTED_VALUE"""),37243.645833333336)</f>
        <v>37243.64583</v>
      </c>
      <c r="B491" s="2">
        <f>IFERROR(__xludf.DUMMYFUNCTION("""COMPUTED_VALUE"""),22.4)</f>
        <v>22.4</v>
      </c>
      <c r="C491" s="2">
        <f>IFERROR(__xludf.DUMMYFUNCTION("""COMPUTED_VALUE"""),22.45)</f>
        <v>22.45</v>
      </c>
      <c r="D491" s="2">
        <f>IFERROR(__xludf.DUMMYFUNCTION("""COMPUTED_VALUE"""),22.0)</f>
        <v>22</v>
      </c>
      <c r="E491" s="2">
        <f>IFERROR(__xludf.DUMMYFUNCTION("""COMPUTED_VALUE"""),22.13)</f>
        <v>22.13</v>
      </c>
      <c r="F491" s="2">
        <f>IFERROR(__xludf.DUMMYFUNCTION("""COMPUTED_VALUE"""),103799.0)</f>
        <v>103799</v>
      </c>
    </row>
    <row r="492">
      <c r="A492" s="3">
        <f>IFERROR(__xludf.DUMMYFUNCTION("""COMPUTED_VALUE"""),37244.645833333336)</f>
        <v>37244.64583</v>
      </c>
      <c r="B492" s="2">
        <f>IFERROR(__xludf.DUMMYFUNCTION("""COMPUTED_VALUE"""),22.01)</f>
        <v>22.01</v>
      </c>
      <c r="C492" s="2">
        <f>IFERROR(__xludf.DUMMYFUNCTION("""COMPUTED_VALUE"""),22.3)</f>
        <v>22.3</v>
      </c>
      <c r="D492" s="2">
        <f>IFERROR(__xludf.DUMMYFUNCTION("""COMPUTED_VALUE"""),21.85)</f>
        <v>21.85</v>
      </c>
      <c r="E492" s="2">
        <f>IFERROR(__xludf.DUMMYFUNCTION("""COMPUTED_VALUE"""),21.99)</f>
        <v>21.99</v>
      </c>
      <c r="F492" s="2">
        <f>IFERROR(__xludf.DUMMYFUNCTION("""COMPUTED_VALUE"""),91808.0)</f>
        <v>91808</v>
      </c>
    </row>
    <row r="493">
      <c r="A493" s="3">
        <f>IFERROR(__xludf.DUMMYFUNCTION("""COMPUTED_VALUE"""),37245.645833333336)</f>
        <v>37245.64583</v>
      </c>
      <c r="B493" s="2">
        <f>IFERROR(__xludf.DUMMYFUNCTION("""COMPUTED_VALUE"""),21.95)</f>
        <v>21.95</v>
      </c>
      <c r="C493" s="2">
        <f>IFERROR(__xludf.DUMMYFUNCTION("""COMPUTED_VALUE"""),22.49)</f>
        <v>22.49</v>
      </c>
      <c r="D493" s="2">
        <f>IFERROR(__xludf.DUMMYFUNCTION("""COMPUTED_VALUE"""),21.65)</f>
        <v>21.65</v>
      </c>
      <c r="E493" s="2">
        <f>IFERROR(__xludf.DUMMYFUNCTION("""COMPUTED_VALUE"""),22.25)</f>
        <v>22.25</v>
      </c>
      <c r="F493" s="2">
        <f>IFERROR(__xludf.DUMMYFUNCTION("""COMPUTED_VALUE"""),94111.0)</f>
        <v>94111</v>
      </c>
    </row>
    <row r="494">
      <c r="A494" s="3">
        <f>IFERROR(__xludf.DUMMYFUNCTION("""COMPUTED_VALUE"""),37246.645833333336)</f>
        <v>37246.64583</v>
      </c>
      <c r="B494" s="2">
        <f>IFERROR(__xludf.DUMMYFUNCTION("""COMPUTED_VALUE"""),22.0)</f>
        <v>22</v>
      </c>
      <c r="C494" s="2">
        <f>IFERROR(__xludf.DUMMYFUNCTION("""COMPUTED_VALUE"""),22.69)</f>
        <v>22.69</v>
      </c>
      <c r="D494" s="2">
        <f>IFERROR(__xludf.DUMMYFUNCTION("""COMPUTED_VALUE"""),22.0)</f>
        <v>22</v>
      </c>
      <c r="E494" s="2">
        <f>IFERROR(__xludf.DUMMYFUNCTION("""COMPUTED_VALUE"""),22.38)</f>
        <v>22.38</v>
      </c>
      <c r="F494" s="2">
        <f>IFERROR(__xludf.DUMMYFUNCTION("""COMPUTED_VALUE"""),89944.0)</f>
        <v>89944</v>
      </c>
    </row>
    <row r="495">
      <c r="A495" s="3">
        <f>IFERROR(__xludf.DUMMYFUNCTION("""COMPUTED_VALUE"""),37249.645833333336)</f>
        <v>37249.64583</v>
      </c>
      <c r="B495" s="2">
        <f>IFERROR(__xludf.DUMMYFUNCTION("""COMPUTED_VALUE"""),21.8)</f>
        <v>21.8</v>
      </c>
      <c r="C495" s="2">
        <f>IFERROR(__xludf.DUMMYFUNCTION("""COMPUTED_VALUE"""),22.08)</f>
        <v>22.08</v>
      </c>
      <c r="D495" s="2">
        <f>IFERROR(__xludf.DUMMYFUNCTION("""COMPUTED_VALUE"""),21.4)</f>
        <v>21.4</v>
      </c>
      <c r="E495" s="2">
        <f>IFERROR(__xludf.DUMMYFUNCTION("""COMPUTED_VALUE"""),21.98)</f>
        <v>21.98</v>
      </c>
      <c r="F495" s="2">
        <f>IFERROR(__xludf.DUMMYFUNCTION("""COMPUTED_VALUE"""),31547.0)</f>
        <v>31547</v>
      </c>
    </row>
    <row r="496">
      <c r="A496" s="3">
        <f>IFERROR(__xludf.DUMMYFUNCTION("""COMPUTED_VALUE"""),37251.645833333336)</f>
        <v>37251.64583</v>
      </c>
      <c r="B496" s="2">
        <f>IFERROR(__xludf.DUMMYFUNCTION("""COMPUTED_VALUE"""),21.91)</f>
        <v>21.91</v>
      </c>
      <c r="C496" s="2">
        <f>IFERROR(__xludf.DUMMYFUNCTION("""COMPUTED_VALUE"""),22.3)</f>
        <v>22.3</v>
      </c>
      <c r="D496" s="2">
        <f>IFERROR(__xludf.DUMMYFUNCTION("""COMPUTED_VALUE"""),21.91)</f>
        <v>21.91</v>
      </c>
      <c r="E496" s="2">
        <f>IFERROR(__xludf.DUMMYFUNCTION("""COMPUTED_VALUE"""),22.06)</f>
        <v>22.06</v>
      </c>
      <c r="F496" s="2">
        <f>IFERROR(__xludf.DUMMYFUNCTION("""COMPUTED_VALUE"""),52153.0)</f>
        <v>52153</v>
      </c>
    </row>
    <row r="497">
      <c r="A497" s="3">
        <f>IFERROR(__xludf.DUMMYFUNCTION("""COMPUTED_VALUE"""),37252.645833333336)</f>
        <v>37252.64583</v>
      </c>
      <c r="B497" s="2">
        <f>IFERROR(__xludf.DUMMYFUNCTION("""COMPUTED_VALUE"""),21.97)</f>
        <v>21.97</v>
      </c>
      <c r="C497" s="2">
        <f>IFERROR(__xludf.DUMMYFUNCTION("""COMPUTED_VALUE"""),22.3)</f>
        <v>22.3</v>
      </c>
      <c r="D497" s="2">
        <f>IFERROR(__xludf.DUMMYFUNCTION("""COMPUTED_VALUE"""),21.9)</f>
        <v>21.9</v>
      </c>
      <c r="E497" s="2">
        <f>IFERROR(__xludf.DUMMYFUNCTION("""COMPUTED_VALUE"""),22.13)</f>
        <v>22.13</v>
      </c>
      <c r="F497" s="2">
        <f>IFERROR(__xludf.DUMMYFUNCTION("""COMPUTED_VALUE"""),44808.0)</f>
        <v>44808</v>
      </c>
    </row>
    <row r="498">
      <c r="A498" s="3">
        <f>IFERROR(__xludf.DUMMYFUNCTION("""COMPUTED_VALUE"""),37253.645833333336)</f>
        <v>37253.64583</v>
      </c>
      <c r="B498" s="2">
        <f>IFERROR(__xludf.DUMMYFUNCTION("""COMPUTED_VALUE"""),22.09)</f>
        <v>22.09</v>
      </c>
      <c r="C498" s="2">
        <f>IFERROR(__xludf.DUMMYFUNCTION("""COMPUTED_VALUE"""),22.18)</f>
        <v>22.18</v>
      </c>
      <c r="D498" s="2">
        <f>IFERROR(__xludf.DUMMYFUNCTION("""COMPUTED_VALUE"""),21.81)</f>
        <v>21.81</v>
      </c>
      <c r="E498" s="2">
        <f>IFERROR(__xludf.DUMMYFUNCTION("""COMPUTED_VALUE"""),22.09)</f>
        <v>22.09</v>
      </c>
      <c r="F498" s="2">
        <f>IFERROR(__xludf.DUMMYFUNCTION("""COMPUTED_VALUE"""),57971.0)</f>
        <v>57971</v>
      </c>
    </row>
    <row r="499">
      <c r="A499" s="3">
        <f>IFERROR(__xludf.DUMMYFUNCTION("""COMPUTED_VALUE"""),37256.645833333336)</f>
        <v>37256.64583</v>
      </c>
      <c r="B499" s="2">
        <f>IFERROR(__xludf.DUMMYFUNCTION("""COMPUTED_VALUE"""),21.96)</f>
        <v>21.96</v>
      </c>
      <c r="C499" s="2">
        <f>IFERROR(__xludf.DUMMYFUNCTION("""COMPUTED_VALUE"""),22.8)</f>
        <v>22.8</v>
      </c>
      <c r="D499" s="2">
        <f>IFERROR(__xludf.DUMMYFUNCTION("""COMPUTED_VALUE"""),21.95)</f>
        <v>21.95</v>
      </c>
      <c r="E499" s="2">
        <f>IFERROR(__xludf.DUMMYFUNCTION("""COMPUTED_VALUE"""),22.56)</f>
        <v>22.56</v>
      </c>
      <c r="F499" s="2">
        <f>IFERROR(__xludf.DUMMYFUNCTION("""COMPUTED_VALUE"""),37948.0)</f>
        <v>37948</v>
      </c>
    </row>
    <row r="500">
      <c r="A500" s="3">
        <f>IFERROR(__xludf.DUMMYFUNCTION("""COMPUTED_VALUE"""),37257.645833333336)</f>
        <v>37257.64583</v>
      </c>
      <c r="B500" s="2">
        <f>IFERROR(__xludf.DUMMYFUNCTION("""COMPUTED_VALUE"""),22.8)</f>
        <v>22.8</v>
      </c>
      <c r="C500" s="2">
        <f>IFERROR(__xludf.DUMMYFUNCTION("""COMPUTED_VALUE"""),23.0)</f>
        <v>23</v>
      </c>
      <c r="D500" s="2">
        <f>IFERROR(__xludf.DUMMYFUNCTION("""COMPUTED_VALUE"""),22.28)</f>
        <v>22.28</v>
      </c>
      <c r="E500" s="2">
        <f>IFERROR(__xludf.DUMMYFUNCTION("""COMPUTED_VALUE"""),22.51)</f>
        <v>22.51</v>
      </c>
      <c r="F500" s="2">
        <f>IFERROR(__xludf.DUMMYFUNCTION("""COMPUTED_VALUE"""),58641.0)</f>
        <v>58641</v>
      </c>
    </row>
    <row r="501">
      <c r="A501" s="3">
        <f>IFERROR(__xludf.DUMMYFUNCTION("""COMPUTED_VALUE"""),37258.645833333336)</f>
        <v>37258.64583</v>
      </c>
      <c r="B501" s="2">
        <f>IFERROR(__xludf.DUMMYFUNCTION("""COMPUTED_VALUE"""),22.4)</f>
        <v>22.4</v>
      </c>
      <c r="C501" s="2">
        <f>IFERROR(__xludf.DUMMYFUNCTION("""COMPUTED_VALUE"""),22.58)</f>
        <v>22.58</v>
      </c>
      <c r="D501" s="2">
        <f>IFERROR(__xludf.DUMMYFUNCTION("""COMPUTED_VALUE"""),22.3)</f>
        <v>22.3</v>
      </c>
      <c r="E501" s="2">
        <f>IFERROR(__xludf.DUMMYFUNCTION("""COMPUTED_VALUE"""),22.5)</f>
        <v>22.5</v>
      </c>
      <c r="F501" s="2">
        <f>IFERROR(__xludf.DUMMYFUNCTION("""COMPUTED_VALUE"""),62109.0)</f>
        <v>62109</v>
      </c>
    </row>
    <row r="502">
      <c r="A502" s="3">
        <f>IFERROR(__xludf.DUMMYFUNCTION("""COMPUTED_VALUE"""),37259.645833333336)</f>
        <v>37259.64583</v>
      </c>
      <c r="B502" s="2">
        <f>IFERROR(__xludf.DUMMYFUNCTION("""COMPUTED_VALUE"""),22.5)</f>
        <v>22.5</v>
      </c>
      <c r="C502" s="2">
        <f>IFERROR(__xludf.DUMMYFUNCTION("""COMPUTED_VALUE"""),22.8)</f>
        <v>22.8</v>
      </c>
      <c r="D502" s="2">
        <f>IFERROR(__xludf.DUMMYFUNCTION("""COMPUTED_VALUE"""),22.22)</f>
        <v>22.22</v>
      </c>
      <c r="E502" s="2">
        <f>IFERROR(__xludf.DUMMYFUNCTION("""COMPUTED_VALUE"""),22.63)</f>
        <v>22.63</v>
      </c>
      <c r="F502" s="2">
        <f>IFERROR(__xludf.DUMMYFUNCTION("""COMPUTED_VALUE"""),49582.0)</f>
        <v>49582</v>
      </c>
    </row>
    <row r="503">
      <c r="A503" s="3">
        <f>IFERROR(__xludf.DUMMYFUNCTION("""COMPUTED_VALUE"""),37260.645833333336)</f>
        <v>37260.64583</v>
      </c>
      <c r="B503" s="2">
        <f>IFERROR(__xludf.DUMMYFUNCTION("""COMPUTED_VALUE"""),22.5)</f>
        <v>22.5</v>
      </c>
      <c r="C503" s="2">
        <f>IFERROR(__xludf.DUMMYFUNCTION("""COMPUTED_VALUE"""),22.8)</f>
        <v>22.8</v>
      </c>
      <c r="D503" s="2">
        <f>IFERROR(__xludf.DUMMYFUNCTION("""COMPUTED_VALUE"""),22.35)</f>
        <v>22.35</v>
      </c>
      <c r="E503" s="2">
        <f>IFERROR(__xludf.DUMMYFUNCTION("""COMPUTED_VALUE"""),22.4)</f>
        <v>22.4</v>
      </c>
      <c r="F503" s="2">
        <f>IFERROR(__xludf.DUMMYFUNCTION("""COMPUTED_VALUE"""),21331.0)</f>
        <v>21331</v>
      </c>
    </row>
    <row r="504">
      <c r="A504" s="3">
        <f>IFERROR(__xludf.DUMMYFUNCTION("""COMPUTED_VALUE"""),37263.645833333336)</f>
        <v>37263.64583</v>
      </c>
      <c r="B504" s="2">
        <f>IFERROR(__xludf.DUMMYFUNCTION("""COMPUTED_VALUE"""),22.4)</f>
        <v>22.4</v>
      </c>
      <c r="C504" s="2">
        <f>IFERROR(__xludf.DUMMYFUNCTION("""COMPUTED_VALUE"""),22.64)</f>
        <v>22.64</v>
      </c>
      <c r="D504" s="2">
        <f>IFERROR(__xludf.DUMMYFUNCTION("""COMPUTED_VALUE"""),22.16)</f>
        <v>22.16</v>
      </c>
      <c r="E504" s="2">
        <f>IFERROR(__xludf.DUMMYFUNCTION("""COMPUTED_VALUE"""),22.4)</f>
        <v>22.4</v>
      </c>
      <c r="F504" s="2">
        <f>IFERROR(__xludf.DUMMYFUNCTION("""COMPUTED_VALUE"""),81273.0)</f>
        <v>81273</v>
      </c>
    </row>
    <row r="505">
      <c r="A505" s="3">
        <f>IFERROR(__xludf.DUMMYFUNCTION("""COMPUTED_VALUE"""),37264.645833333336)</f>
        <v>37264.64583</v>
      </c>
      <c r="B505" s="2">
        <f>IFERROR(__xludf.DUMMYFUNCTION("""COMPUTED_VALUE"""),22.5)</f>
        <v>22.5</v>
      </c>
      <c r="C505" s="2">
        <f>IFERROR(__xludf.DUMMYFUNCTION("""COMPUTED_VALUE"""),22.5)</f>
        <v>22.5</v>
      </c>
      <c r="D505" s="2">
        <f>IFERROR(__xludf.DUMMYFUNCTION("""COMPUTED_VALUE"""),22.01)</f>
        <v>22.01</v>
      </c>
      <c r="E505" s="2">
        <f>IFERROR(__xludf.DUMMYFUNCTION("""COMPUTED_VALUE"""),22.28)</f>
        <v>22.28</v>
      </c>
      <c r="F505" s="2">
        <f>IFERROR(__xludf.DUMMYFUNCTION("""COMPUTED_VALUE"""),58901.0)</f>
        <v>58901</v>
      </c>
    </row>
    <row r="506">
      <c r="A506" s="3">
        <f>IFERROR(__xludf.DUMMYFUNCTION("""COMPUTED_VALUE"""),37265.645833333336)</f>
        <v>37265.64583</v>
      </c>
      <c r="B506" s="2">
        <f>IFERROR(__xludf.DUMMYFUNCTION("""COMPUTED_VALUE"""),22.15)</f>
        <v>22.15</v>
      </c>
      <c r="C506" s="2">
        <f>IFERROR(__xludf.DUMMYFUNCTION("""COMPUTED_VALUE"""),22.5)</f>
        <v>22.5</v>
      </c>
      <c r="D506" s="2">
        <f>IFERROR(__xludf.DUMMYFUNCTION("""COMPUTED_VALUE"""),22.15)</f>
        <v>22.15</v>
      </c>
      <c r="E506" s="2">
        <f>IFERROR(__xludf.DUMMYFUNCTION("""COMPUTED_VALUE"""),22.44)</f>
        <v>22.44</v>
      </c>
      <c r="F506" s="2">
        <f>IFERROR(__xludf.DUMMYFUNCTION("""COMPUTED_VALUE"""),43375.0)</f>
        <v>43375</v>
      </c>
    </row>
    <row r="507">
      <c r="A507" s="3">
        <f>IFERROR(__xludf.DUMMYFUNCTION("""COMPUTED_VALUE"""),37266.645833333336)</f>
        <v>37266.64583</v>
      </c>
      <c r="B507" s="2">
        <f>IFERROR(__xludf.DUMMYFUNCTION("""COMPUTED_VALUE"""),22.5)</f>
        <v>22.5</v>
      </c>
      <c r="C507" s="2">
        <f>IFERROR(__xludf.DUMMYFUNCTION("""COMPUTED_VALUE"""),22.65)</f>
        <v>22.65</v>
      </c>
      <c r="D507" s="2">
        <f>IFERROR(__xludf.DUMMYFUNCTION("""COMPUTED_VALUE"""),22.2)</f>
        <v>22.2</v>
      </c>
      <c r="E507" s="2">
        <f>IFERROR(__xludf.DUMMYFUNCTION("""COMPUTED_VALUE"""),22.56)</f>
        <v>22.56</v>
      </c>
      <c r="F507" s="2">
        <f>IFERROR(__xludf.DUMMYFUNCTION("""COMPUTED_VALUE"""),70669.0)</f>
        <v>70669</v>
      </c>
    </row>
    <row r="508">
      <c r="A508" s="3">
        <f>IFERROR(__xludf.DUMMYFUNCTION("""COMPUTED_VALUE"""),37267.645833333336)</f>
        <v>37267.64583</v>
      </c>
      <c r="B508" s="2">
        <f>IFERROR(__xludf.DUMMYFUNCTION("""COMPUTED_VALUE"""),22.59)</f>
        <v>22.59</v>
      </c>
      <c r="C508" s="2">
        <f>IFERROR(__xludf.DUMMYFUNCTION("""COMPUTED_VALUE"""),23.15)</f>
        <v>23.15</v>
      </c>
      <c r="D508" s="2">
        <f>IFERROR(__xludf.DUMMYFUNCTION("""COMPUTED_VALUE"""),22.4)</f>
        <v>22.4</v>
      </c>
      <c r="E508" s="2">
        <f>IFERROR(__xludf.DUMMYFUNCTION("""COMPUTED_VALUE"""),22.64)</f>
        <v>22.64</v>
      </c>
      <c r="F508" s="2">
        <f>IFERROR(__xludf.DUMMYFUNCTION("""COMPUTED_VALUE"""),82187.0)</f>
        <v>82187</v>
      </c>
    </row>
    <row r="509">
      <c r="A509" s="3">
        <f>IFERROR(__xludf.DUMMYFUNCTION("""COMPUTED_VALUE"""),37270.645833333336)</f>
        <v>37270.64583</v>
      </c>
      <c r="B509" s="2">
        <f>IFERROR(__xludf.DUMMYFUNCTION("""COMPUTED_VALUE"""),22.65)</f>
        <v>22.65</v>
      </c>
      <c r="C509" s="2">
        <f>IFERROR(__xludf.DUMMYFUNCTION("""COMPUTED_VALUE"""),23.7)</f>
        <v>23.7</v>
      </c>
      <c r="D509" s="2">
        <f>IFERROR(__xludf.DUMMYFUNCTION("""COMPUTED_VALUE"""),22.65)</f>
        <v>22.65</v>
      </c>
      <c r="E509" s="2">
        <f>IFERROR(__xludf.DUMMYFUNCTION("""COMPUTED_VALUE"""),23.37)</f>
        <v>23.37</v>
      </c>
      <c r="F509" s="2">
        <f>IFERROR(__xludf.DUMMYFUNCTION("""COMPUTED_VALUE"""),118558.0)</f>
        <v>118558</v>
      </c>
    </row>
    <row r="510">
      <c r="A510" s="3">
        <f>IFERROR(__xludf.DUMMYFUNCTION("""COMPUTED_VALUE"""),37271.645833333336)</f>
        <v>37271.64583</v>
      </c>
      <c r="B510" s="2">
        <f>IFERROR(__xludf.DUMMYFUNCTION("""COMPUTED_VALUE"""),23.4)</f>
        <v>23.4</v>
      </c>
      <c r="C510" s="2">
        <f>IFERROR(__xludf.DUMMYFUNCTION("""COMPUTED_VALUE"""),25.4)</f>
        <v>25.4</v>
      </c>
      <c r="D510" s="2">
        <f>IFERROR(__xludf.DUMMYFUNCTION("""COMPUTED_VALUE"""),23.2)</f>
        <v>23.2</v>
      </c>
      <c r="E510" s="2">
        <f>IFERROR(__xludf.DUMMYFUNCTION("""COMPUTED_VALUE"""),23.99)</f>
        <v>23.99</v>
      </c>
      <c r="F510" s="2">
        <f>IFERROR(__xludf.DUMMYFUNCTION("""COMPUTED_VALUE"""),220783.0)</f>
        <v>220783</v>
      </c>
    </row>
    <row r="511">
      <c r="A511" s="3">
        <f>IFERROR(__xludf.DUMMYFUNCTION("""COMPUTED_VALUE"""),37272.645833333336)</f>
        <v>37272.64583</v>
      </c>
      <c r="B511" s="2">
        <f>IFERROR(__xludf.DUMMYFUNCTION("""COMPUTED_VALUE"""),24.8)</f>
        <v>24.8</v>
      </c>
      <c r="C511" s="2">
        <f>IFERROR(__xludf.DUMMYFUNCTION("""COMPUTED_VALUE"""),24.9)</f>
        <v>24.9</v>
      </c>
      <c r="D511" s="2">
        <f>IFERROR(__xludf.DUMMYFUNCTION("""COMPUTED_VALUE"""),22.9)</f>
        <v>22.9</v>
      </c>
      <c r="E511" s="2">
        <f>IFERROR(__xludf.DUMMYFUNCTION("""COMPUTED_VALUE"""),23.09)</f>
        <v>23.09</v>
      </c>
      <c r="F511" s="2">
        <f>IFERROR(__xludf.DUMMYFUNCTION("""COMPUTED_VALUE"""),63250.0)</f>
        <v>63250</v>
      </c>
    </row>
    <row r="512">
      <c r="A512" s="3">
        <f>IFERROR(__xludf.DUMMYFUNCTION("""COMPUTED_VALUE"""),37273.645833333336)</f>
        <v>37273.64583</v>
      </c>
      <c r="B512" s="2">
        <f>IFERROR(__xludf.DUMMYFUNCTION("""COMPUTED_VALUE"""),22.97)</f>
        <v>22.97</v>
      </c>
      <c r="C512" s="2">
        <f>IFERROR(__xludf.DUMMYFUNCTION("""COMPUTED_VALUE"""),23.5)</f>
        <v>23.5</v>
      </c>
      <c r="D512" s="2">
        <f>IFERROR(__xludf.DUMMYFUNCTION("""COMPUTED_VALUE"""),22.7)</f>
        <v>22.7</v>
      </c>
      <c r="E512" s="2">
        <f>IFERROR(__xludf.DUMMYFUNCTION("""COMPUTED_VALUE"""),23.31)</f>
        <v>23.31</v>
      </c>
      <c r="F512" s="2">
        <f>IFERROR(__xludf.DUMMYFUNCTION("""COMPUTED_VALUE"""),63836.0)</f>
        <v>63836</v>
      </c>
    </row>
    <row r="513">
      <c r="A513" s="3">
        <f>IFERROR(__xludf.DUMMYFUNCTION("""COMPUTED_VALUE"""),37274.645833333336)</f>
        <v>37274.64583</v>
      </c>
      <c r="B513" s="2">
        <f>IFERROR(__xludf.DUMMYFUNCTION("""COMPUTED_VALUE"""),23.35)</f>
        <v>23.35</v>
      </c>
      <c r="C513" s="2">
        <f>IFERROR(__xludf.DUMMYFUNCTION("""COMPUTED_VALUE"""),23.89)</f>
        <v>23.89</v>
      </c>
      <c r="D513" s="2">
        <f>IFERROR(__xludf.DUMMYFUNCTION("""COMPUTED_VALUE"""),23.35)</f>
        <v>23.35</v>
      </c>
      <c r="E513" s="2">
        <f>IFERROR(__xludf.DUMMYFUNCTION("""COMPUTED_VALUE"""),23.73)</f>
        <v>23.73</v>
      </c>
      <c r="F513" s="2">
        <f>IFERROR(__xludf.DUMMYFUNCTION("""COMPUTED_VALUE"""),65984.0)</f>
        <v>65984</v>
      </c>
    </row>
    <row r="514">
      <c r="A514" s="3">
        <f>IFERROR(__xludf.DUMMYFUNCTION("""COMPUTED_VALUE"""),37277.645833333336)</f>
        <v>37277.64583</v>
      </c>
      <c r="B514" s="2">
        <f>IFERROR(__xludf.DUMMYFUNCTION("""COMPUTED_VALUE"""),23.8)</f>
        <v>23.8</v>
      </c>
      <c r="C514" s="2">
        <f>IFERROR(__xludf.DUMMYFUNCTION("""COMPUTED_VALUE"""),24.3)</f>
        <v>24.3</v>
      </c>
      <c r="D514" s="2">
        <f>IFERROR(__xludf.DUMMYFUNCTION("""COMPUTED_VALUE"""),23.43)</f>
        <v>23.43</v>
      </c>
      <c r="E514" s="2">
        <f>IFERROR(__xludf.DUMMYFUNCTION("""COMPUTED_VALUE"""),23.9)</f>
        <v>23.9</v>
      </c>
      <c r="F514" s="2">
        <f>IFERROR(__xludf.DUMMYFUNCTION("""COMPUTED_VALUE"""),54630.0)</f>
        <v>54630</v>
      </c>
    </row>
    <row r="515">
      <c r="A515" s="3">
        <f>IFERROR(__xludf.DUMMYFUNCTION("""COMPUTED_VALUE"""),37278.645833333336)</f>
        <v>37278.64583</v>
      </c>
      <c r="B515" s="2">
        <f>IFERROR(__xludf.DUMMYFUNCTION("""COMPUTED_VALUE"""),23.9)</f>
        <v>23.9</v>
      </c>
      <c r="C515" s="2">
        <f>IFERROR(__xludf.DUMMYFUNCTION("""COMPUTED_VALUE"""),24.2)</f>
        <v>24.2</v>
      </c>
      <c r="D515" s="2">
        <f>IFERROR(__xludf.DUMMYFUNCTION("""COMPUTED_VALUE"""),23.7)</f>
        <v>23.7</v>
      </c>
      <c r="E515" s="2">
        <f>IFERROR(__xludf.DUMMYFUNCTION("""COMPUTED_VALUE"""),24.07)</f>
        <v>24.07</v>
      </c>
      <c r="F515" s="2">
        <f>IFERROR(__xludf.DUMMYFUNCTION("""COMPUTED_VALUE"""),53554.0)</f>
        <v>53554</v>
      </c>
    </row>
    <row r="516">
      <c r="A516" s="3">
        <f>IFERROR(__xludf.DUMMYFUNCTION("""COMPUTED_VALUE"""),37279.645833333336)</f>
        <v>37279.64583</v>
      </c>
      <c r="B516" s="2">
        <f>IFERROR(__xludf.DUMMYFUNCTION("""COMPUTED_VALUE"""),24.1)</f>
        <v>24.1</v>
      </c>
      <c r="C516" s="2">
        <f>IFERROR(__xludf.DUMMYFUNCTION("""COMPUTED_VALUE"""),24.3)</f>
        <v>24.3</v>
      </c>
      <c r="D516" s="2">
        <f>IFERROR(__xludf.DUMMYFUNCTION("""COMPUTED_VALUE"""),24.01)</f>
        <v>24.01</v>
      </c>
      <c r="E516" s="2">
        <f>IFERROR(__xludf.DUMMYFUNCTION("""COMPUTED_VALUE"""),24.25)</f>
        <v>24.25</v>
      </c>
      <c r="F516" s="2">
        <f>IFERROR(__xludf.DUMMYFUNCTION("""COMPUTED_VALUE"""),53197.0)</f>
        <v>53197</v>
      </c>
    </row>
    <row r="517">
      <c r="A517" s="3">
        <f>IFERROR(__xludf.DUMMYFUNCTION("""COMPUTED_VALUE"""),37280.645833333336)</f>
        <v>37280.64583</v>
      </c>
      <c r="B517" s="2">
        <f>IFERROR(__xludf.DUMMYFUNCTION("""COMPUTED_VALUE"""),24.25)</f>
        <v>24.25</v>
      </c>
      <c r="C517" s="2">
        <f>IFERROR(__xludf.DUMMYFUNCTION("""COMPUTED_VALUE"""),24.38)</f>
        <v>24.38</v>
      </c>
      <c r="D517" s="2">
        <f>IFERROR(__xludf.DUMMYFUNCTION("""COMPUTED_VALUE"""),23.31)</f>
        <v>23.31</v>
      </c>
      <c r="E517" s="2">
        <f>IFERROR(__xludf.DUMMYFUNCTION("""COMPUTED_VALUE"""),23.5)</f>
        <v>23.5</v>
      </c>
      <c r="F517" s="2">
        <f>IFERROR(__xludf.DUMMYFUNCTION("""COMPUTED_VALUE"""),30165.0)</f>
        <v>30165</v>
      </c>
    </row>
    <row r="518">
      <c r="A518" s="3">
        <f>IFERROR(__xludf.DUMMYFUNCTION("""COMPUTED_VALUE"""),37281.645833333336)</f>
        <v>37281.64583</v>
      </c>
      <c r="B518" s="2">
        <f>IFERROR(__xludf.DUMMYFUNCTION("""COMPUTED_VALUE"""),23.5)</f>
        <v>23.5</v>
      </c>
      <c r="C518" s="2">
        <f>IFERROR(__xludf.DUMMYFUNCTION("""COMPUTED_VALUE"""),23.5)</f>
        <v>23.5</v>
      </c>
      <c r="D518" s="2">
        <f>IFERROR(__xludf.DUMMYFUNCTION("""COMPUTED_VALUE"""),22.81)</f>
        <v>22.81</v>
      </c>
      <c r="E518" s="2">
        <f>IFERROR(__xludf.DUMMYFUNCTION("""COMPUTED_VALUE"""),22.92)</f>
        <v>22.92</v>
      </c>
      <c r="F518" s="2">
        <f>IFERROR(__xludf.DUMMYFUNCTION("""COMPUTED_VALUE"""),25436.0)</f>
        <v>25436</v>
      </c>
    </row>
    <row r="519">
      <c r="A519" s="3">
        <f>IFERROR(__xludf.DUMMYFUNCTION("""COMPUTED_VALUE"""),37284.645833333336)</f>
        <v>37284.64583</v>
      </c>
      <c r="B519" s="2">
        <f>IFERROR(__xludf.DUMMYFUNCTION("""COMPUTED_VALUE"""),22.61)</f>
        <v>22.61</v>
      </c>
      <c r="C519" s="2">
        <f>IFERROR(__xludf.DUMMYFUNCTION("""COMPUTED_VALUE"""),23.2)</f>
        <v>23.2</v>
      </c>
      <c r="D519" s="2">
        <f>IFERROR(__xludf.DUMMYFUNCTION("""COMPUTED_VALUE"""),22.61)</f>
        <v>22.61</v>
      </c>
      <c r="E519" s="2">
        <f>IFERROR(__xludf.DUMMYFUNCTION("""COMPUTED_VALUE"""),22.98)</f>
        <v>22.98</v>
      </c>
      <c r="F519" s="2">
        <f>IFERROR(__xludf.DUMMYFUNCTION("""COMPUTED_VALUE"""),10748.0)</f>
        <v>10748</v>
      </c>
    </row>
    <row r="520">
      <c r="A520" s="3">
        <f>IFERROR(__xludf.DUMMYFUNCTION("""COMPUTED_VALUE"""),37285.645833333336)</f>
        <v>37285.64583</v>
      </c>
      <c r="B520" s="2">
        <f>IFERROR(__xludf.DUMMYFUNCTION("""COMPUTED_VALUE"""),23.05)</f>
        <v>23.05</v>
      </c>
      <c r="C520" s="2">
        <f>IFERROR(__xludf.DUMMYFUNCTION("""COMPUTED_VALUE"""),23.1)</f>
        <v>23.1</v>
      </c>
      <c r="D520" s="2">
        <f>IFERROR(__xludf.DUMMYFUNCTION("""COMPUTED_VALUE"""),22.56)</f>
        <v>22.56</v>
      </c>
      <c r="E520" s="2">
        <f>IFERROR(__xludf.DUMMYFUNCTION("""COMPUTED_VALUE"""),22.66)</f>
        <v>22.66</v>
      </c>
      <c r="F520" s="2">
        <f>IFERROR(__xludf.DUMMYFUNCTION("""COMPUTED_VALUE"""),26046.0)</f>
        <v>26046</v>
      </c>
    </row>
    <row r="521">
      <c r="A521" s="3">
        <f>IFERROR(__xludf.DUMMYFUNCTION("""COMPUTED_VALUE"""),37286.645833333336)</f>
        <v>37286.64583</v>
      </c>
      <c r="B521" s="2">
        <f>IFERROR(__xludf.DUMMYFUNCTION("""COMPUTED_VALUE"""),22.8)</f>
        <v>22.8</v>
      </c>
      <c r="C521" s="2">
        <f>IFERROR(__xludf.DUMMYFUNCTION("""COMPUTED_VALUE"""),22.8)</f>
        <v>22.8</v>
      </c>
      <c r="D521" s="2">
        <f>IFERROR(__xludf.DUMMYFUNCTION("""COMPUTED_VALUE"""),22.4)</f>
        <v>22.4</v>
      </c>
      <c r="E521" s="2">
        <f>IFERROR(__xludf.DUMMYFUNCTION("""COMPUTED_VALUE"""),22.48)</f>
        <v>22.48</v>
      </c>
      <c r="F521" s="2">
        <f>IFERROR(__xludf.DUMMYFUNCTION("""COMPUTED_VALUE"""),56571.0)</f>
        <v>56571</v>
      </c>
    </row>
    <row r="522">
      <c r="A522" s="3">
        <f>IFERROR(__xludf.DUMMYFUNCTION("""COMPUTED_VALUE"""),37287.645833333336)</f>
        <v>37287.64583</v>
      </c>
      <c r="B522" s="2">
        <f>IFERROR(__xludf.DUMMYFUNCTION("""COMPUTED_VALUE"""),22.42)</f>
        <v>22.42</v>
      </c>
      <c r="C522" s="2">
        <f>IFERROR(__xludf.DUMMYFUNCTION("""COMPUTED_VALUE"""),22.7)</f>
        <v>22.7</v>
      </c>
      <c r="D522" s="2">
        <f>IFERROR(__xludf.DUMMYFUNCTION("""COMPUTED_VALUE"""),22.01)</f>
        <v>22.01</v>
      </c>
      <c r="E522" s="2">
        <f>IFERROR(__xludf.DUMMYFUNCTION("""COMPUTED_VALUE"""),22.47)</f>
        <v>22.47</v>
      </c>
      <c r="F522" s="2">
        <f>IFERROR(__xludf.DUMMYFUNCTION("""COMPUTED_VALUE"""),46595.0)</f>
        <v>46595</v>
      </c>
    </row>
    <row r="523">
      <c r="A523" s="3">
        <f>IFERROR(__xludf.DUMMYFUNCTION("""COMPUTED_VALUE"""),37288.645833333336)</f>
        <v>37288.64583</v>
      </c>
      <c r="B523" s="2">
        <f>IFERROR(__xludf.DUMMYFUNCTION("""COMPUTED_VALUE"""),22.6)</f>
        <v>22.6</v>
      </c>
      <c r="C523" s="2">
        <f>IFERROR(__xludf.DUMMYFUNCTION("""COMPUTED_VALUE"""),22.6)</f>
        <v>22.6</v>
      </c>
      <c r="D523" s="2">
        <f>IFERROR(__xludf.DUMMYFUNCTION("""COMPUTED_VALUE"""),22.37)</f>
        <v>22.37</v>
      </c>
      <c r="E523" s="2">
        <f>IFERROR(__xludf.DUMMYFUNCTION("""COMPUTED_VALUE"""),22.48)</f>
        <v>22.48</v>
      </c>
      <c r="F523" s="2">
        <f>IFERROR(__xludf.DUMMYFUNCTION("""COMPUTED_VALUE"""),13668.0)</f>
        <v>13668</v>
      </c>
    </row>
    <row r="524">
      <c r="A524" s="3">
        <f>IFERROR(__xludf.DUMMYFUNCTION("""COMPUTED_VALUE"""),37291.645833333336)</f>
        <v>37291.64583</v>
      </c>
      <c r="B524" s="2">
        <f>IFERROR(__xludf.DUMMYFUNCTION("""COMPUTED_VALUE"""),22.6)</f>
        <v>22.6</v>
      </c>
      <c r="C524" s="2">
        <f>IFERROR(__xludf.DUMMYFUNCTION("""COMPUTED_VALUE"""),22.79)</f>
        <v>22.79</v>
      </c>
      <c r="D524" s="2">
        <f>IFERROR(__xludf.DUMMYFUNCTION("""COMPUTED_VALUE"""),22.4)</f>
        <v>22.4</v>
      </c>
      <c r="E524" s="2">
        <f>IFERROR(__xludf.DUMMYFUNCTION("""COMPUTED_VALUE"""),22.52)</f>
        <v>22.52</v>
      </c>
      <c r="F524" s="2">
        <f>IFERROR(__xludf.DUMMYFUNCTION("""COMPUTED_VALUE"""),40232.0)</f>
        <v>40232</v>
      </c>
    </row>
    <row r="525">
      <c r="A525" s="3">
        <f>IFERROR(__xludf.DUMMYFUNCTION("""COMPUTED_VALUE"""),37292.645833333336)</f>
        <v>37292.64583</v>
      </c>
      <c r="B525" s="2">
        <f>IFERROR(__xludf.DUMMYFUNCTION("""COMPUTED_VALUE"""),22.4)</f>
        <v>22.4</v>
      </c>
      <c r="C525" s="2">
        <f>IFERROR(__xludf.DUMMYFUNCTION("""COMPUTED_VALUE"""),22.7)</f>
        <v>22.7</v>
      </c>
      <c r="D525" s="2">
        <f>IFERROR(__xludf.DUMMYFUNCTION("""COMPUTED_VALUE"""),22.0)</f>
        <v>22</v>
      </c>
      <c r="E525" s="2">
        <f>IFERROR(__xludf.DUMMYFUNCTION("""COMPUTED_VALUE"""),22.27)</f>
        <v>22.27</v>
      </c>
      <c r="F525" s="2">
        <f>IFERROR(__xludf.DUMMYFUNCTION("""COMPUTED_VALUE"""),219675.0)</f>
        <v>219675</v>
      </c>
    </row>
    <row r="526">
      <c r="A526" s="3">
        <f>IFERROR(__xludf.DUMMYFUNCTION("""COMPUTED_VALUE"""),37293.645833333336)</f>
        <v>37293.64583</v>
      </c>
      <c r="B526" s="2">
        <f>IFERROR(__xludf.DUMMYFUNCTION("""COMPUTED_VALUE"""),22.26)</f>
        <v>22.26</v>
      </c>
      <c r="C526" s="2">
        <f>IFERROR(__xludf.DUMMYFUNCTION("""COMPUTED_VALUE"""),22.9)</f>
        <v>22.9</v>
      </c>
      <c r="D526" s="2">
        <f>IFERROR(__xludf.DUMMYFUNCTION("""COMPUTED_VALUE"""),22.22)</f>
        <v>22.22</v>
      </c>
      <c r="E526" s="2">
        <f>IFERROR(__xludf.DUMMYFUNCTION("""COMPUTED_VALUE"""),22.52)</f>
        <v>22.52</v>
      </c>
      <c r="F526" s="2">
        <f>IFERROR(__xludf.DUMMYFUNCTION("""COMPUTED_VALUE"""),170975.0)</f>
        <v>170975</v>
      </c>
    </row>
    <row r="527">
      <c r="A527" s="3">
        <f>IFERROR(__xludf.DUMMYFUNCTION("""COMPUTED_VALUE"""),37294.645833333336)</f>
        <v>37294.64583</v>
      </c>
      <c r="B527" s="2">
        <f>IFERROR(__xludf.DUMMYFUNCTION("""COMPUTED_VALUE"""),22.51)</f>
        <v>22.51</v>
      </c>
      <c r="C527" s="2">
        <f>IFERROR(__xludf.DUMMYFUNCTION("""COMPUTED_VALUE"""),23.2)</f>
        <v>23.2</v>
      </c>
      <c r="D527" s="2">
        <f>IFERROR(__xludf.DUMMYFUNCTION("""COMPUTED_VALUE"""),22.44)</f>
        <v>22.44</v>
      </c>
      <c r="E527" s="2">
        <f>IFERROR(__xludf.DUMMYFUNCTION("""COMPUTED_VALUE"""),22.67)</f>
        <v>22.67</v>
      </c>
      <c r="F527" s="2">
        <f>IFERROR(__xludf.DUMMYFUNCTION("""COMPUTED_VALUE"""),66729.0)</f>
        <v>66729</v>
      </c>
    </row>
    <row r="528">
      <c r="A528" s="3">
        <f>IFERROR(__xludf.DUMMYFUNCTION("""COMPUTED_VALUE"""),37295.645833333336)</f>
        <v>37295.64583</v>
      </c>
      <c r="B528" s="2">
        <f>IFERROR(__xludf.DUMMYFUNCTION("""COMPUTED_VALUE"""),22.78)</f>
        <v>22.78</v>
      </c>
      <c r="C528" s="2">
        <f>IFERROR(__xludf.DUMMYFUNCTION("""COMPUTED_VALUE"""),22.8)</f>
        <v>22.8</v>
      </c>
      <c r="D528" s="2">
        <f>IFERROR(__xludf.DUMMYFUNCTION("""COMPUTED_VALUE"""),22.0)</f>
        <v>22</v>
      </c>
      <c r="E528" s="2">
        <f>IFERROR(__xludf.DUMMYFUNCTION("""COMPUTED_VALUE"""),22.51)</f>
        <v>22.51</v>
      </c>
      <c r="F528" s="2">
        <f>IFERROR(__xludf.DUMMYFUNCTION("""COMPUTED_VALUE"""),162488.0)</f>
        <v>162488</v>
      </c>
    </row>
    <row r="529">
      <c r="A529" s="3">
        <f>IFERROR(__xludf.DUMMYFUNCTION("""COMPUTED_VALUE"""),37298.645833333336)</f>
        <v>37298.64583</v>
      </c>
      <c r="B529" s="2">
        <f>IFERROR(__xludf.DUMMYFUNCTION("""COMPUTED_VALUE"""),22.7)</f>
        <v>22.7</v>
      </c>
      <c r="C529" s="2">
        <f>IFERROR(__xludf.DUMMYFUNCTION("""COMPUTED_VALUE"""),23.0)</f>
        <v>23</v>
      </c>
      <c r="D529" s="2">
        <f>IFERROR(__xludf.DUMMYFUNCTION("""COMPUTED_VALUE"""),22.61)</f>
        <v>22.61</v>
      </c>
      <c r="E529" s="2">
        <f>IFERROR(__xludf.DUMMYFUNCTION("""COMPUTED_VALUE"""),22.88)</f>
        <v>22.88</v>
      </c>
      <c r="F529" s="2">
        <f>IFERROR(__xludf.DUMMYFUNCTION("""COMPUTED_VALUE"""),30073.0)</f>
        <v>30073</v>
      </c>
    </row>
    <row r="530">
      <c r="A530" s="3">
        <f>IFERROR(__xludf.DUMMYFUNCTION("""COMPUTED_VALUE"""),37299.645833333336)</f>
        <v>37299.64583</v>
      </c>
      <c r="B530" s="2">
        <f>IFERROR(__xludf.DUMMYFUNCTION("""COMPUTED_VALUE"""),23.07)</f>
        <v>23.07</v>
      </c>
      <c r="C530" s="2">
        <f>IFERROR(__xludf.DUMMYFUNCTION("""COMPUTED_VALUE"""),23.4)</f>
        <v>23.4</v>
      </c>
      <c r="D530" s="2">
        <f>IFERROR(__xludf.DUMMYFUNCTION("""COMPUTED_VALUE"""),22.96)</f>
        <v>22.96</v>
      </c>
      <c r="E530" s="2">
        <f>IFERROR(__xludf.DUMMYFUNCTION("""COMPUTED_VALUE"""),23.09)</f>
        <v>23.09</v>
      </c>
      <c r="F530" s="2">
        <f>IFERROR(__xludf.DUMMYFUNCTION("""COMPUTED_VALUE"""),41637.0)</f>
        <v>41637</v>
      </c>
    </row>
    <row r="531">
      <c r="A531" s="3">
        <f>IFERROR(__xludf.DUMMYFUNCTION("""COMPUTED_VALUE"""),37300.645833333336)</f>
        <v>37300.64583</v>
      </c>
      <c r="B531" s="2">
        <f>IFERROR(__xludf.DUMMYFUNCTION("""COMPUTED_VALUE"""),23.15)</f>
        <v>23.15</v>
      </c>
      <c r="C531" s="2">
        <f>IFERROR(__xludf.DUMMYFUNCTION("""COMPUTED_VALUE"""),23.2)</f>
        <v>23.2</v>
      </c>
      <c r="D531" s="2">
        <f>IFERROR(__xludf.DUMMYFUNCTION("""COMPUTED_VALUE"""),22.71)</f>
        <v>22.71</v>
      </c>
      <c r="E531" s="2">
        <f>IFERROR(__xludf.DUMMYFUNCTION("""COMPUTED_VALUE"""),22.99)</f>
        <v>22.99</v>
      </c>
      <c r="F531" s="2">
        <f>IFERROR(__xludf.DUMMYFUNCTION("""COMPUTED_VALUE"""),31274.0)</f>
        <v>31274</v>
      </c>
    </row>
    <row r="532">
      <c r="A532" s="3">
        <f>IFERROR(__xludf.DUMMYFUNCTION("""COMPUTED_VALUE"""),37301.645833333336)</f>
        <v>37301.64583</v>
      </c>
      <c r="B532" s="2">
        <f>IFERROR(__xludf.DUMMYFUNCTION("""COMPUTED_VALUE"""),22.85)</f>
        <v>22.85</v>
      </c>
      <c r="C532" s="2">
        <f>IFERROR(__xludf.DUMMYFUNCTION("""COMPUTED_VALUE"""),23.2)</f>
        <v>23.2</v>
      </c>
      <c r="D532" s="2">
        <f>IFERROR(__xludf.DUMMYFUNCTION("""COMPUTED_VALUE"""),22.71)</f>
        <v>22.71</v>
      </c>
      <c r="E532" s="2">
        <f>IFERROR(__xludf.DUMMYFUNCTION("""COMPUTED_VALUE"""),22.84)</f>
        <v>22.84</v>
      </c>
      <c r="F532" s="2">
        <f>IFERROR(__xludf.DUMMYFUNCTION("""COMPUTED_VALUE"""),54011.0)</f>
        <v>54011</v>
      </c>
    </row>
    <row r="533">
      <c r="A533" s="3">
        <f>IFERROR(__xludf.DUMMYFUNCTION("""COMPUTED_VALUE"""),37302.645833333336)</f>
        <v>37302.64583</v>
      </c>
      <c r="B533" s="2">
        <f>IFERROR(__xludf.DUMMYFUNCTION("""COMPUTED_VALUE"""),23.0)</f>
        <v>23</v>
      </c>
      <c r="C533" s="2">
        <f>IFERROR(__xludf.DUMMYFUNCTION("""COMPUTED_VALUE"""),23.7)</f>
        <v>23.7</v>
      </c>
      <c r="D533" s="2">
        <f>IFERROR(__xludf.DUMMYFUNCTION("""COMPUTED_VALUE"""),22.9)</f>
        <v>22.9</v>
      </c>
      <c r="E533" s="2">
        <f>IFERROR(__xludf.DUMMYFUNCTION("""COMPUTED_VALUE"""),23.36)</f>
        <v>23.36</v>
      </c>
      <c r="F533" s="2">
        <f>IFERROR(__xludf.DUMMYFUNCTION("""COMPUTED_VALUE"""),197790.0)</f>
        <v>197790</v>
      </c>
    </row>
    <row r="534">
      <c r="A534" s="3">
        <f>IFERROR(__xludf.DUMMYFUNCTION("""COMPUTED_VALUE"""),37305.645833333336)</f>
        <v>37305.64583</v>
      </c>
      <c r="B534" s="2">
        <f>IFERROR(__xludf.DUMMYFUNCTION("""COMPUTED_VALUE"""),24.47)</f>
        <v>24.47</v>
      </c>
      <c r="C534" s="2">
        <f>IFERROR(__xludf.DUMMYFUNCTION("""COMPUTED_VALUE"""),25.49)</f>
        <v>25.49</v>
      </c>
      <c r="D534" s="2">
        <f>IFERROR(__xludf.DUMMYFUNCTION("""COMPUTED_VALUE"""),23.9)</f>
        <v>23.9</v>
      </c>
      <c r="E534" s="2">
        <f>IFERROR(__xludf.DUMMYFUNCTION("""COMPUTED_VALUE"""),24.85)</f>
        <v>24.85</v>
      </c>
      <c r="F534" s="2">
        <f>IFERROR(__xludf.DUMMYFUNCTION("""COMPUTED_VALUE"""),298846.0)</f>
        <v>298846</v>
      </c>
    </row>
    <row r="535">
      <c r="A535" s="3">
        <f>IFERROR(__xludf.DUMMYFUNCTION("""COMPUTED_VALUE"""),37306.645833333336)</f>
        <v>37306.64583</v>
      </c>
      <c r="B535" s="2">
        <f>IFERROR(__xludf.DUMMYFUNCTION("""COMPUTED_VALUE"""),24.85)</f>
        <v>24.85</v>
      </c>
      <c r="C535" s="2">
        <f>IFERROR(__xludf.DUMMYFUNCTION("""COMPUTED_VALUE"""),24.98)</f>
        <v>24.98</v>
      </c>
      <c r="D535" s="2">
        <f>IFERROR(__xludf.DUMMYFUNCTION("""COMPUTED_VALUE"""),23.5)</f>
        <v>23.5</v>
      </c>
      <c r="E535" s="2">
        <f>IFERROR(__xludf.DUMMYFUNCTION("""COMPUTED_VALUE"""),23.52)</f>
        <v>23.52</v>
      </c>
      <c r="F535" s="2">
        <f>IFERROR(__xludf.DUMMYFUNCTION("""COMPUTED_VALUE"""),98278.0)</f>
        <v>98278</v>
      </c>
    </row>
    <row r="536">
      <c r="A536" s="3">
        <f>IFERROR(__xludf.DUMMYFUNCTION("""COMPUTED_VALUE"""),37307.645833333336)</f>
        <v>37307.64583</v>
      </c>
      <c r="B536" s="2">
        <f>IFERROR(__xludf.DUMMYFUNCTION("""COMPUTED_VALUE"""),23.5)</f>
        <v>23.5</v>
      </c>
      <c r="C536" s="2">
        <f>IFERROR(__xludf.DUMMYFUNCTION("""COMPUTED_VALUE"""),24.5)</f>
        <v>24.5</v>
      </c>
      <c r="D536" s="2">
        <f>IFERROR(__xludf.DUMMYFUNCTION("""COMPUTED_VALUE"""),23.35)</f>
        <v>23.35</v>
      </c>
      <c r="E536" s="2">
        <f>IFERROR(__xludf.DUMMYFUNCTION("""COMPUTED_VALUE"""),23.63)</f>
        <v>23.63</v>
      </c>
      <c r="F536" s="2">
        <f>IFERROR(__xludf.DUMMYFUNCTION("""COMPUTED_VALUE"""),45199.0)</f>
        <v>45199</v>
      </c>
    </row>
    <row r="537">
      <c r="A537" s="3">
        <f>IFERROR(__xludf.DUMMYFUNCTION("""COMPUTED_VALUE"""),37308.645833333336)</f>
        <v>37308.64583</v>
      </c>
      <c r="B537" s="2">
        <f>IFERROR(__xludf.DUMMYFUNCTION("""COMPUTED_VALUE"""),24.09)</f>
        <v>24.09</v>
      </c>
      <c r="C537" s="2">
        <f>IFERROR(__xludf.DUMMYFUNCTION("""COMPUTED_VALUE"""),24.25)</f>
        <v>24.25</v>
      </c>
      <c r="D537" s="2">
        <f>IFERROR(__xludf.DUMMYFUNCTION("""COMPUTED_VALUE"""),23.5)</f>
        <v>23.5</v>
      </c>
      <c r="E537" s="2">
        <f>IFERROR(__xludf.DUMMYFUNCTION("""COMPUTED_VALUE"""),23.67)</f>
        <v>23.67</v>
      </c>
      <c r="F537" s="2">
        <f>IFERROR(__xludf.DUMMYFUNCTION("""COMPUTED_VALUE"""),33929.0)</f>
        <v>33929</v>
      </c>
    </row>
    <row r="538">
      <c r="A538" s="3">
        <f>IFERROR(__xludf.DUMMYFUNCTION("""COMPUTED_VALUE"""),37309.645833333336)</f>
        <v>37309.64583</v>
      </c>
      <c r="B538" s="2">
        <f>IFERROR(__xludf.DUMMYFUNCTION("""COMPUTED_VALUE"""),23.81)</f>
        <v>23.81</v>
      </c>
      <c r="C538" s="2">
        <f>IFERROR(__xludf.DUMMYFUNCTION("""COMPUTED_VALUE"""),24.84)</f>
        <v>24.84</v>
      </c>
      <c r="D538" s="2">
        <f>IFERROR(__xludf.DUMMYFUNCTION("""COMPUTED_VALUE"""),23.8)</f>
        <v>23.8</v>
      </c>
      <c r="E538" s="2">
        <f>IFERROR(__xludf.DUMMYFUNCTION("""COMPUTED_VALUE"""),24.69)</f>
        <v>24.69</v>
      </c>
      <c r="F538" s="2">
        <f>IFERROR(__xludf.DUMMYFUNCTION("""COMPUTED_VALUE"""),119642.0)</f>
        <v>119642</v>
      </c>
    </row>
    <row r="539">
      <c r="A539" s="3">
        <f>IFERROR(__xludf.DUMMYFUNCTION("""COMPUTED_VALUE"""),37312.645833333336)</f>
        <v>37312.64583</v>
      </c>
      <c r="B539" s="2">
        <f>IFERROR(__xludf.DUMMYFUNCTION("""COMPUTED_VALUE"""),25.5)</f>
        <v>25.5</v>
      </c>
      <c r="C539" s="2">
        <f>IFERROR(__xludf.DUMMYFUNCTION("""COMPUTED_VALUE"""),25.5)</f>
        <v>25.5</v>
      </c>
      <c r="D539" s="2">
        <f>IFERROR(__xludf.DUMMYFUNCTION("""COMPUTED_VALUE"""),24.01)</f>
        <v>24.01</v>
      </c>
      <c r="E539" s="2">
        <f>IFERROR(__xludf.DUMMYFUNCTION("""COMPUTED_VALUE"""),24.26)</f>
        <v>24.26</v>
      </c>
      <c r="F539" s="2">
        <f>IFERROR(__xludf.DUMMYFUNCTION("""COMPUTED_VALUE"""),89132.0)</f>
        <v>89132</v>
      </c>
    </row>
    <row r="540">
      <c r="A540" s="3">
        <f>IFERROR(__xludf.DUMMYFUNCTION("""COMPUTED_VALUE"""),37313.645833333336)</f>
        <v>37313.64583</v>
      </c>
      <c r="B540" s="2">
        <f>IFERROR(__xludf.DUMMYFUNCTION("""COMPUTED_VALUE"""),24.12)</f>
        <v>24.12</v>
      </c>
      <c r="C540" s="2">
        <f>IFERROR(__xludf.DUMMYFUNCTION("""COMPUTED_VALUE"""),24.58)</f>
        <v>24.58</v>
      </c>
      <c r="D540" s="2">
        <f>IFERROR(__xludf.DUMMYFUNCTION("""COMPUTED_VALUE"""),23.41)</f>
        <v>23.41</v>
      </c>
      <c r="E540" s="2">
        <f>IFERROR(__xludf.DUMMYFUNCTION("""COMPUTED_VALUE"""),23.62)</f>
        <v>23.62</v>
      </c>
      <c r="F540" s="2">
        <f>IFERROR(__xludf.DUMMYFUNCTION("""COMPUTED_VALUE"""),107678.0)</f>
        <v>107678</v>
      </c>
    </row>
    <row r="541">
      <c r="A541" s="3">
        <f>IFERROR(__xludf.DUMMYFUNCTION("""COMPUTED_VALUE"""),37314.645833333336)</f>
        <v>37314.64583</v>
      </c>
      <c r="B541" s="2">
        <f>IFERROR(__xludf.DUMMYFUNCTION("""COMPUTED_VALUE"""),23.6)</f>
        <v>23.6</v>
      </c>
      <c r="C541" s="2">
        <f>IFERROR(__xludf.DUMMYFUNCTION("""COMPUTED_VALUE"""),24.1)</f>
        <v>24.1</v>
      </c>
      <c r="D541" s="2">
        <f>IFERROR(__xludf.DUMMYFUNCTION("""COMPUTED_VALUE"""),23.31)</f>
        <v>23.31</v>
      </c>
      <c r="E541" s="2">
        <f>IFERROR(__xludf.DUMMYFUNCTION("""COMPUTED_VALUE"""),23.69)</f>
        <v>23.69</v>
      </c>
      <c r="F541" s="2">
        <f>IFERROR(__xludf.DUMMYFUNCTION("""COMPUTED_VALUE"""),89796.0)</f>
        <v>89796</v>
      </c>
    </row>
    <row r="542">
      <c r="A542" s="3">
        <f>IFERROR(__xludf.DUMMYFUNCTION("""COMPUTED_VALUE"""),37315.645833333336)</f>
        <v>37315.64583</v>
      </c>
      <c r="B542" s="2">
        <f>IFERROR(__xludf.DUMMYFUNCTION("""COMPUTED_VALUE"""),23.91)</f>
        <v>23.91</v>
      </c>
      <c r="C542" s="2">
        <f>IFERROR(__xludf.DUMMYFUNCTION("""COMPUTED_VALUE"""),24.49)</f>
        <v>24.49</v>
      </c>
      <c r="D542" s="2">
        <f>IFERROR(__xludf.DUMMYFUNCTION("""COMPUTED_VALUE"""),22.9)</f>
        <v>22.9</v>
      </c>
      <c r="E542" s="2">
        <f>IFERROR(__xludf.DUMMYFUNCTION("""COMPUTED_VALUE"""),23.36)</f>
        <v>23.36</v>
      </c>
      <c r="F542" s="2">
        <f>IFERROR(__xludf.DUMMYFUNCTION("""COMPUTED_VALUE"""),170760.0)</f>
        <v>170760</v>
      </c>
    </row>
    <row r="543">
      <c r="A543" s="3">
        <f>IFERROR(__xludf.DUMMYFUNCTION("""COMPUTED_VALUE"""),37316.645833333336)</f>
        <v>37316.64583</v>
      </c>
      <c r="B543" s="2">
        <f>IFERROR(__xludf.DUMMYFUNCTION("""COMPUTED_VALUE"""),23.2)</f>
        <v>23.2</v>
      </c>
      <c r="C543" s="2">
        <f>IFERROR(__xludf.DUMMYFUNCTION("""COMPUTED_VALUE"""),23.9)</f>
        <v>23.9</v>
      </c>
      <c r="D543" s="2">
        <f>IFERROR(__xludf.DUMMYFUNCTION("""COMPUTED_VALUE"""),23.1)</f>
        <v>23.1</v>
      </c>
      <c r="E543" s="2">
        <f>IFERROR(__xludf.DUMMYFUNCTION("""COMPUTED_VALUE"""),23.65)</f>
        <v>23.65</v>
      </c>
      <c r="F543" s="2">
        <f>IFERROR(__xludf.DUMMYFUNCTION("""COMPUTED_VALUE"""),58519.0)</f>
        <v>58519</v>
      </c>
    </row>
    <row r="544">
      <c r="A544" s="3">
        <f>IFERROR(__xludf.DUMMYFUNCTION("""COMPUTED_VALUE"""),37319.645833333336)</f>
        <v>37319.64583</v>
      </c>
      <c r="B544" s="2">
        <f>IFERROR(__xludf.DUMMYFUNCTION("""COMPUTED_VALUE"""),24.08)</f>
        <v>24.08</v>
      </c>
      <c r="C544" s="2">
        <f>IFERROR(__xludf.DUMMYFUNCTION("""COMPUTED_VALUE"""),24.08)</f>
        <v>24.08</v>
      </c>
      <c r="D544" s="2">
        <f>IFERROR(__xludf.DUMMYFUNCTION("""COMPUTED_VALUE"""),23.1)</f>
        <v>23.1</v>
      </c>
      <c r="E544" s="2">
        <f>IFERROR(__xludf.DUMMYFUNCTION("""COMPUTED_VALUE"""),23.62)</f>
        <v>23.62</v>
      </c>
      <c r="F544" s="2">
        <f>IFERROR(__xludf.DUMMYFUNCTION("""COMPUTED_VALUE"""),58075.0)</f>
        <v>58075</v>
      </c>
    </row>
    <row r="545">
      <c r="A545" s="3">
        <f>IFERROR(__xludf.DUMMYFUNCTION("""COMPUTED_VALUE"""),37320.645833333336)</f>
        <v>37320.64583</v>
      </c>
      <c r="B545" s="2">
        <f>IFERROR(__xludf.DUMMYFUNCTION("""COMPUTED_VALUE"""),23.41)</f>
        <v>23.41</v>
      </c>
      <c r="C545" s="2">
        <f>IFERROR(__xludf.DUMMYFUNCTION("""COMPUTED_VALUE"""),23.99)</f>
        <v>23.99</v>
      </c>
      <c r="D545" s="2">
        <f>IFERROR(__xludf.DUMMYFUNCTION("""COMPUTED_VALUE"""),23.41)</f>
        <v>23.41</v>
      </c>
      <c r="E545" s="2">
        <f>IFERROR(__xludf.DUMMYFUNCTION("""COMPUTED_VALUE"""),23.71)</f>
        <v>23.71</v>
      </c>
      <c r="F545" s="2">
        <f>IFERROR(__xludf.DUMMYFUNCTION("""COMPUTED_VALUE"""),156703.0)</f>
        <v>156703</v>
      </c>
    </row>
    <row r="546">
      <c r="A546" s="3">
        <f>IFERROR(__xludf.DUMMYFUNCTION("""COMPUTED_VALUE"""),37321.645833333336)</f>
        <v>37321.64583</v>
      </c>
      <c r="B546" s="2">
        <f>IFERROR(__xludf.DUMMYFUNCTION("""COMPUTED_VALUE"""),23.6)</f>
        <v>23.6</v>
      </c>
      <c r="C546" s="2">
        <f>IFERROR(__xludf.DUMMYFUNCTION("""COMPUTED_VALUE"""),24.1)</f>
        <v>24.1</v>
      </c>
      <c r="D546" s="2">
        <f>IFERROR(__xludf.DUMMYFUNCTION("""COMPUTED_VALUE"""),23.41)</f>
        <v>23.41</v>
      </c>
      <c r="E546" s="2">
        <f>IFERROR(__xludf.DUMMYFUNCTION("""COMPUTED_VALUE"""),23.52)</f>
        <v>23.52</v>
      </c>
      <c r="F546" s="2">
        <f>IFERROR(__xludf.DUMMYFUNCTION("""COMPUTED_VALUE"""),44240.0)</f>
        <v>44240</v>
      </c>
    </row>
    <row r="547">
      <c r="A547" s="3">
        <f>IFERROR(__xludf.DUMMYFUNCTION("""COMPUTED_VALUE"""),37322.645833333336)</f>
        <v>37322.64583</v>
      </c>
      <c r="B547" s="2">
        <f>IFERROR(__xludf.DUMMYFUNCTION("""COMPUTED_VALUE"""),23.57)</f>
        <v>23.57</v>
      </c>
      <c r="C547" s="2">
        <f>IFERROR(__xludf.DUMMYFUNCTION("""COMPUTED_VALUE"""),24.0)</f>
        <v>24</v>
      </c>
      <c r="D547" s="2">
        <f>IFERROR(__xludf.DUMMYFUNCTION("""COMPUTED_VALUE"""),23.53)</f>
        <v>23.53</v>
      </c>
      <c r="E547" s="2">
        <f>IFERROR(__xludf.DUMMYFUNCTION("""COMPUTED_VALUE"""),23.67)</f>
        <v>23.67</v>
      </c>
      <c r="F547" s="2">
        <f>IFERROR(__xludf.DUMMYFUNCTION("""COMPUTED_VALUE"""),65958.0)</f>
        <v>65958</v>
      </c>
    </row>
    <row r="548">
      <c r="A548" s="3">
        <f>IFERROR(__xludf.DUMMYFUNCTION("""COMPUTED_VALUE"""),37323.645833333336)</f>
        <v>37323.64583</v>
      </c>
      <c r="B548" s="2">
        <f>IFERROR(__xludf.DUMMYFUNCTION("""COMPUTED_VALUE"""),23.74)</f>
        <v>23.74</v>
      </c>
      <c r="C548" s="2">
        <f>IFERROR(__xludf.DUMMYFUNCTION("""COMPUTED_VALUE"""),23.85)</f>
        <v>23.85</v>
      </c>
      <c r="D548" s="2">
        <f>IFERROR(__xludf.DUMMYFUNCTION("""COMPUTED_VALUE"""),23.13)</f>
        <v>23.13</v>
      </c>
      <c r="E548" s="2">
        <f>IFERROR(__xludf.DUMMYFUNCTION("""COMPUTED_VALUE"""),23.45)</f>
        <v>23.45</v>
      </c>
      <c r="F548" s="2">
        <f>IFERROR(__xludf.DUMMYFUNCTION("""COMPUTED_VALUE"""),102427.0)</f>
        <v>102427</v>
      </c>
    </row>
    <row r="549">
      <c r="A549" s="3">
        <f>IFERROR(__xludf.DUMMYFUNCTION("""COMPUTED_VALUE"""),37326.645833333336)</f>
        <v>37326.64583</v>
      </c>
      <c r="B549" s="2">
        <f>IFERROR(__xludf.DUMMYFUNCTION("""COMPUTED_VALUE"""),23.31)</f>
        <v>23.31</v>
      </c>
      <c r="C549" s="2">
        <f>IFERROR(__xludf.DUMMYFUNCTION("""COMPUTED_VALUE"""),23.69)</f>
        <v>23.69</v>
      </c>
      <c r="D549" s="2">
        <f>IFERROR(__xludf.DUMMYFUNCTION("""COMPUTED_VALUE"""),23.16)</f>
        <v>23.16</v>
      </c>
      <c r="E549" s="2">
        <f>IFERROR(__xludf.DUMMYFUNCTION("""COMPUTED_VALUE"""),23.28)</f>
        <v>23.28</v>
      </c>
      <c r="F549" s="2">
        <f>IFERROR(__xludf.DUMMYFUNCTION("""COMPUTED_VALUE"""),26114.0)</f>
        <v>26114</v>
      </c>
    </row>
    <row r="550">
      <c r="A550" s="3">
        <f>IFERROR(__xludf.DUMMYFUNCTION("""COMPUTED_VALUE"""),37327.645833333336)</f>
        <v>37327.64583</v>
      </c>
      <c r="B550" s="2">
        <f>IFERROR(__xludf.DUMMYFUNCTION("""COMPUTED_VALUE"""),22.91)</f>
        <v>22.91</v>
      </c>
      <c r="C550" s="2">
        <f>IFERROR(__xludf.DUMMYFUNCTION("""COMPUTED_VALUE"""),23.3)</f>
        <v>23.3</v>
      </c>
      <c r="D550" s="2">
        <f>IFERROR(__xludf.DUMMYFUNCTION("""COMPUTED_VALUE"""),22.91)</f>
        <v>22.91</v>
      </c>
      <c r="E550" s="2">
        <f>IFERROR(__xludf.DUMMYFUNCTION("""COMPUTED_VALUE"""),23.08)</f>
        <v>23.08</v>
      </c>
      <c r="F550" s="2">
        <f>IFERROR(__xludf.DUMMYFUNCTION("""COMPUTED_VALUE"""),76830.0)</f>
        <v>76830</v>
      </c>
    </row>
    <row r="551">
      <c r="A551" s="3">
        <f>IFERROR(__xludf.DUMMYFUNCTION("""COMPUTED_VALUE"""),37328.645833333336)</f>
        <v>37328.64583</v>
      </c>
      <c r="B551" s="2">
        <f>IFERROR(__xludf.DUMMYFUNCTION("""COMPUTED_VALUE"""),22.93)</f>
        <v>22.93</v>
      </c>
      <c r="C551" s="2">
        <f>IFERROR(__xludf.DUMMYFUNCTION("""COMPUTED_VALUE"""),23.5)</f>
        <v>23.5</v>
      </c>
      <c r="D551" s="2">
        <f>IFERROR(__xludf.DUMMYFUNCTION("""COMPUTED_VALUE"""),22.92)</f>
        <v>22.92</v>
      </c>
      <c r="E551" s="2">
        <f>IFERROR(__xludf.DUMMYFUNCTION("""COMPUTED_VALUE"""),23.48)</f>
        <v>23.48</v>
      </c>
      <c r="F551" s="2">
        <f>IFERROR(__xludf.DUMMYFUNCTION("""COMPUTED_VALUE"""),86655.0)</f>
        <v>86655</v>
      </c>
    </row>
    <row r="552">
      <c r="A552" s="3">
        <f>IFERROR(__xludf.DUMMYFUNCTION("""COMPUTED_VALUE"""),37329.645833333336)</f>
        <v>37329.64583</v>
      </c>
      <c r="B552" s="2">
        <f>IFERROR(__xludf.DUMMYFUNCTION("""COMPUTED_VALUE"""),23.59)</f>
        <v>23.59</v>
      </c>
      <c r="C552" s="2">
        <f>IFERROR(__xludf.DUMMYFUNCTION("""COMPUTED_VALUE"""),23.6)</f>
        <v>23.6</v>
      </c>
      <c r="D552" s="2">
        <f>IFERROR(__xludf.DUMMYFUNCTION("""COMPUTED_VALUE"""),23.23)</f>
        <v>23.23</v>
      </c>
      <c r="E552" s="2">
        <f>IFERROR(__xludf.DUMMYFUNCTION("""COMPUTED_VALUE"""),23.49)</f>
        <v>23.49</v>
      </c>
      <c r="F552" s="2">
        <f>IFERROR(__xludf.DUMMYFUNCTION("""COMPUTED_VALUE"""),40695.0)</f>
        <v>40695</v>
      </c>
    </row>
    <row r="553">
      <c r="A553" s="3">
        <f>IFERROR(__xludf.DUMMYFUNCTION("""COMPUTED_VALUE"""),37330.645833333336)</f>
        <v>37330.64583</v>
      </c>
      <c r="B553" s="2">
        <f>IFERROR(__xludf.DUMMYFUNCTION("""COMPUTED_VALUE"""),23.5)</f>
        <v>23.5</v>
      </c>
      <c r="C553" s="2">
        <f>IFERROR(__xludf.DUMMYFUNCTION("""COMPUTED_VALUE"""),23.6)</f>
        <v>23.6</v>
      </c>
      <c r="D553" s="2">
        <f>IFERROR(__xludf.DUMMYFUNCTION("""COMPUTED_VALUE"""),23.36)</f>
        <v>23.36</v>
      </c>
      <c r="E553" s="2">
        <f>IFERROR(__xludf.DUMMYFUNCTION("""COMPUTED_VALUE"""),23.5)</f>
        <v>23.5</v>
      </c>
      <c r="F553" s="2">
        <f>IFERROR(__xludf.DUMMYFUNCTION("""COMPUTED_VALUE"""),33543.0)</f>
        <v>33543</v>
      </c>
    </row>
    <row r="554">
      <c r="A554" s="3">
        <f>IFERROR(__xludf.DUMMYFUNCTION("""COMPUTED_VALUE"""),37333.645833333336)</f>
        <v>37333.64583</v>
      </c>
      <c r="B554" s="2">
        <f>IFERROR(__xludf.DUMMYFUNCTION("""COMPUTED_VALUE"""),23.8)</f>
        <v>23.8</v>
      </c>
      <c r="C554" s="2">
        <f>IFERROR(__xludf.DUMMYFUNCTION("""COMPUTED_VALUE"""),24.0)</f>
        <v>24</v>
      </c>
      <c r="D554" s="2">
        <f>IFERROR(__xludf.DUMMYFUNCTION("""COMPUTED_VALUE"""),23.21)</f>
        <v>23.21</v>
      </c>
      <c r="E554" s="2">
        <f>IFERROR(__xludf.DUMMYFUNCTION("""COMPUTED_VALUE"""),23.93)</f>
        <v>23.93</v>
      </c>
      <c r="F554" s="2">
        <f>IFERROR(__xludf.DUMMYFUNCTION("""COMPUTED_VALUE"""),42694.0)</f>
        <v>42694</v>
      </c>
    </row>
    <row r="555">
      <c r="A555" s="3">
        <f>IFERROR(__xludf.DUMMYFUNCTION("""COMPUTED_VALUE"""),37334.645833333336)</f>
        <v>37334.64583</v>
      </c>
      <c r="B555" s="2">
        <f>IFERROR(__xludf.DUMMYFUNCTION("""COMPUTED_VALUE"""),23.8)</f>
        <v>23.8</v>
      </c>
      <c r="C555" s="2">
        <f>IFERROR(__xludf.DUMMYFUNCTION("""COMPUTED_VALUE"""),23.9)</f>
        <v>23.9</v>
      </c>
      <c r="D555" s="2">
        <f>IFERROR(__xludf.DUMMYFUNCTION("""COMPUTED_VALUE"""),23.41)</f>
        <v>23.41</v>
      </c>
      <c r="E555" s="2">
        <f>IFERROR(__xludf.DUMMYFUNCTION("""COMPUTED_VALUE"""),23.54)</f>
        <v>23.54</v>
      </c>
      <c r="F555" s="2">
        <f>IFERROR(__xludf.DUMMYFUNCTION("""COMPUTED_VALUE"""),35971.0)</f>
        <v>35971</v>
      </c>
    </row>
    <row r="556">
      <c r="A556" s="3">
        <f>IFERROR(__xludf.DUMMYFUNCTION("""COMPUTED_VALUE"""),37335.645833333336)</f>
        <v>37335.64583</v>
      </c>
      <c r="B556" s="2">
        <f>IFERROR(__xludf.DUMMYFUNCTION("""COMPUTED_VALUE"""),23.21)</f>
        <v>23.21</v>
      </c>
      <c r="C556" s="2">
        <f>IFERROR(__xludf.DUMMYFUNCTION("""COMPUTED_VALUE"""),23.7)</f>
        <v>23.7</v>
      </c>
      <c r="D556" s="2">
        <f>IFERROR(__xludf.DUMMYFUNCTION("""COMPUTED_VALUE"""),23.21)</f>
        <v>23.21</v>
      </c>
      <c r="E556" s="2">
        <f>IFERROR(__xludf.DUMMYFUNCTION("""COMPUTED_VALUE"""),23.51)</f>
        <v>23.51</v>
      </c>
      <c r="F556" s="2">
        <f>IFERROR(__xludf.DUMMYFUNCTION("""COMPUTED_VALUE"""),33154.0)</f>
        <v>33154</v>
      </c>
    </row>
    <row r="557">
      <c r="A557" s="3">
        <f>IFERROR(__xludf.DUMMYFUNCTION("""COMPUTED_VALUE"""),37336.645833333336)</f>
        <v>37336.64583</v>
      </c>
      <c r="B557" s="2">
        <f>IFERROR(__xludf.DUMMYFUNCTION("""COMPUTED_VALUE"""),23.44)</f>
        <v>23.44</v>
      </c>
      <c r="C557" s="2">
        <f>IFERROR(__xludf.DUMMYFUNCTION("""COMPUTED_VALUE"""),23.68)</f>
        <v>23.68</v>
      </c>
      <c r="D557" s="2">
        <f>IFERROR(__xludf.DUMMYFUNCTION("""COMPUTED_VALUE"""),23.26)</f>
        <v>23.26</v>
      </c>
      <c r="E557" s="2">
        <f>IFERROR(__xludf.DUMMYFUNCTION("""COMPUTED_VALUE"""),23.38)</f>
        <v>23.38</v>
      </c>
      <c r="F557" s="2">
        <f>IFERROR(__xludf.DUMMYFUNCTION("""COMPUTED_VALUE"""),22072.0)</f>
        <v>22072</v>
      </c>
    </row>
    <row r="558">
      <c r="A558" s="3">
        <f>IFERROR(__xludf.DUMMYFUNCTION("""COMPUTED_VALUE"""),37337.645833333336)</f>
        <v>37337.64583</v>
      </c>
      <c r="B558" s="2">
        <f>IFERROR(__xludf.DUMMYFUNCTION("""COMPUTED_VALUE"""),23.6)</f>
        <v>23.6</v>
      </c>
      <c r="C558" s="2">
        <f>IFERROR(__xludf.DUMMYFUNCTION("""COMPUTED_VALUE"""),23.7)</f>
        <v>23.7</v>
      </c>
      <c r="D558" s="2">
        <f>IFERROR(__xludf.DUMMYFUNCTION("""COMPUTED_VALUE"""),23.25)</f>
        <v>23.25</v>
      </c>
      <c r="E558" s="2">
        <f>IFERROR(__xludf.DUMMYFUNCTION("""COMPUTED_VALUE"""),23.38)</f>
        <v>23.38</v>
      </c>
      <c r="F558" s="2">
        <f>IFERROR(__xludf.DUMMYFUNCTION("""COMPUTED_VALUE"""),45557.0)</f>
        <v>45557</v>
      </c>
    </row>
    <row r="559">
      <c r="A559" s="3">
        <f>IFERROR(__xludf.DUMMYFUNCTION("""COMPUTED_VALUE"""),37341.645833333336)</f>
        <v>37341.64583</v>
      </c>
      <c r="B559" s="2">
        <f>IFERROR(__xludf.DUMMYFUNCTION("""COMPUTED_VALUE"""),23.26)</f>
        <v>23.26</v>
      </c>
      <c r="C559" s="2">
        <f>IFERROR(__xludf.DUMMYFUNCTION("""COMPUTED_VALUE"""),23.39)</f>
        <v>23.39</v>
      </c>
      <c r="D559" s="2">
        <f>IFERROR(__xludf.DUMMYFUNCTION("""COMPUTED_VALUE"""),22.94)</f>
        <v>22.94</v>
      </c>
      <c r="E559" s="2">
        <f>IFERROR(__xludf.DUMMYFUNCTION("""COMPUTED_VALUE"""),23.04)</f>
        <v>23.04</v>
      </c>
      <c r="F559" s="2">
        <f>IFERROR(__xludf.DUMMYFUNCTION("""COMPUTED_VALUE"""),34025.0)</f>
        <v>34025</v>
      </c>
    </row>
    <row r="560">
      <c r="A560" s="3">
        <f>IFERROR(__xludf.DUMMYFUNCTION("""COMPUTED_VALUE"""),37342.645833333336)</f>
        <v>37342.64583</v>
      </c>
      <c r="B560" s="2">
        <f>IFERROR(__xludf.DUMMYFUNCTION("""COMPUTED_VALUE"""),22.86)</f>
        <v>22.86</v>
      </c>
      <c r="C560" s="2">
        <f>IFERROR(__xludf.DUMMYFUNCTION("""COMPUTED_VALUE"""),24.14)</f>
        <v>24.14</v>
      </c>
      <c r="D560" s="2">
        <f>IFERROR(__xludf.DUMMYFUNCTION("""COMPUTED_VALUE"""),22.86)</f>
        <v>22.86</v>
      </c>
      <c r="E560" s="2">
        <f>IFERROR(__xludf.DUMMYFUNCTION("""COMPUTED_VALUE"""),23.85)</f>
        <v>23.85</v>
      </c>
      <c r="F560" s="2">
        <f>IFERROR(__xludf.DUMMYFUNCTION("""COMPUTED_VALUE"""),42827.0)</f>
        <v>42827</v>
      </c>
    </row>
    <row r="561">
      <c r="A561" s="3">
        <f>IFERROR(__xludf.DUMMYFUNCTION("""COMPUTED_VALUE"""),37343.645833333336)</f>
        <v>37343.64583</v>
      </c>
      <c r="B561" s="2">
        <f>IFERROR(__xludf.DUMMYFUNCTION("""COMPUTED_VALUE"""),23.71)</f>
        <v>23.71</v>
      </c>
      <c r="C561" s="2">
        <f>IFERROR(__xludf.DUMMYFUNCTION("""COMPUTED_VALUE"""),23.9)</f>
        <v>23.9</v>
      </c>
      <c r="D561" s="2">
        <f>IFERROR(__xludf.DUMMYFUNCTION("""COMPUTED_VALUE"""),23.55)</f>
        <v>23.55</v>
      </c>
      <c r="E561" s="2">
        <f>IFERROR(__xludf.DUMMYFUNCTION("""COMPUTED_VALUE"""),23.66)</f>
        <v>23.66</v>
      </c>
      <c r="F561" s="2">
        <f>IFERROR(__xludf.DUMMYFUNCTION("""COMPUTED_VALUE"""),62503.0)</f>
        <v>62503</v>
      </c>
    </row>
    <row r="562">
      <c r="A562" s="3">
        <f>IFERROR(__xludf.DUMMYFUNCTION("""COMPUTED_VALUE"""),37347.645833333336)</f>
        <v>37347.64583</v>
      </c>
      <c r="B562" s="2">
        <f>IFERROR(__xludf.DUMMYFUNCTION("""COMPUTED_VALUE"""),24.15)</f>
        <v>24.15</v>
      </c>
      <c r="C562" s="2">
        <f>IFERROR(__xludf.DUMMYFUNCTION("""COMPUTED_VALUE"""),24.15)</f>
        <v>24.15</v>
      </c>
      <c r="D562" s="2">
        <f>IFERROR(__xludf.DUMMYFUNCTION("""COMPUTED_VALUE"""),23.03)</f>
        <v>23.03</v>
      </c>
      <c r="E562" s="2">
        <f>IFERROR(__xludf.DUMMYFUNCTION("""COMPUTED_VALUE"""),23.37)</f>
        <v>23.37</v>
      </c>
      <c r="F562" s="2">
        <f>IFERROR(__xludf.DUMMYFUNCTION("""COMPUTED_VALUE"""),83509.0)</f>
        <v>83509</v>
      </c>
    </row>
    <row r="563">
      <c r="A563" s="3">
        <f>IFERROR(__xludf.DUMMYFUNCTION("""COMPUTED_VALUE"""),37348.645833333336)</f>
        <v>37348.64583</v>
      </c>
      <c r="B563" s="2">
        <f>IFERROR(__xludf.DUMMYFUNCTION("""COMPUTED_VALUE"""),23.58)</f>
        <v>23.58</v>
      </c>
      <c r="C563" s="2">
        <f>IFERROR(__xludf.DUMMYFUNCTION("""COMPUTED_VALUE"""),23.65)</f>
        <v>23.65</v>
      </c>
      <c r="D563" s="2">
        <f>IFERROR(__xludf.DUMMYFUNCTION("""COMPUTED_VALUE"""),23.33)</f>
        <v>23.33</v>
      </c>
      <c r="E563" s="2">
        <f>IFERROR(__xludf.DUMMYFUNCTION("""COMPUTED_VALUE"""),23.49)</f>
        <v>23.49</v>
      </c>
      <c r="F563" s="2">
        <f>IFERROR(__xludf.DUMMYFUNCTION("""COMPUTED_VALUE"""),112307.0)</f>
        <v>112307</v>
      </c>
    </row>
    <row r="564">
      <c r="A564" s="3">
        <f>IFERROR(__xludf.DUMMYFUNCTION("""COMPUTED_VALUE"""),37349.645833333336)</f>
        <v>37349.64583</v>
      </c>
      <c r="B564" s="2">
        <f>IFERROR(__xludf.DUMMYFUNCTION("""COMPUTED_VALUE"""),23.31)</f>
        <v>23.31</v>
      </c>
      <c r="C564" s="2">
        <f>IFERROR(__xludf.DUMMYFUNCTION("""COMPUTED_VALUE"""),23.39)</f>
        <v>23.39</v>
      </c>
      <c r="D564" s="2">
        <f>IFERROR(__xludf.DUMMYFUNCTION("""COMPUTED_VALUE"""),22.44)</f>
        <v>22.44</v>
      </c>
      <c r="E564" s="2">
        <f>IFERROR(__xludf.DUMMYFUNCTION("""COMPUTED_VALUE"""),22.85)</f>
        <v>22.85</v>
      </c>
      <c r="F564" s="2">
        <f>IFERROR(__xludf.DUMMYFUNCTION("""COMPUTED_VALUE"""),128357.0)</f>
        <v>128357</v>
      </c>
    </row>
    <row r="565">
      <c r="A565" s="3">
        <f>IFERROR(__xludf.DUMMYFUNCTION("""COMPUTED_VALUE"""),37350.645833333336)</f>
        <v>37350.64583</v>
      </c>
      <c r="B565" s="2">
        <f>IFERROR(__xludf.DUMMYFUNCTION("""COMPUTED_VALUE"""),22.85)</f>
        <v>22.85</v>
      </c>
      <c r="C565" s="2">
        <f>IFERROR(__xludf.DUMMYFUNCTION("""COMPUTED_VALUE"""),23.2)</f>
        <v>23.2</v>
      </c>
      <c r="D565" s="2">
        <f>IFERROR(__xludf.DUMMYFUNCTION("""COMPUTED_VALUE"""),22.47)</f>
        <v>22.47</v>
      </c>
      <c r="E565" s="2">
        <f>IFERROR(__xludf.DUMMYFUNCTION("""COMPUTED_VALUE"""),22.51)</f>
        <v>22.51</v>
      </c>
      <c r="F565" s="2">
        <f>IFERROR(__xludf.DUMMYFUNCTION("""COMPUTED_VALUE"""),65912.0)</f>
        <v>65912</v>
      </c>
    </row>
    <row r="566">
      <c r="A566" s="3">
        <f>IFERROR(__xludf.DUMMYFUNCTION("""COMPUTED_VALUE"""),37351.645833333336)</f>
        <v>37351.64583</v>
      </c>
      <c r="B566" s="2">
        <f>IFERROR(__xludf.DUMMYFUNCTION("""COMPUTED_VALUE"""),23.88)</f>
        <v>23.88</v>
      </c>
      <c r="C566" s="2">
        <f>IFERROR(__xludf.DUMMYFUNCTION("""COMPUTED_VALUE"""),23.88)</f>
        <v>23.88</v>
      </c>
      <c r="D566" s="2">
        <f>IFERROR(__xludf.DUMMYFUNCTION("""COMPUTED_VALUE"""),22.42)</f>
        <v>22.42</v>
      </c>
      <c r="E566" s="2">
        <f>IFERROR(__xludf.DUMMYFUNCTION("""COMPUTED_VALUE"""),22.49)</f>
        <v>22.49</v>
      </c>
      <c r="F566" s="2">
        <f>IFERROR(__xludf.DUMMYFUNCTION("""COMPUTED_VALUE"""),50042.0)</f>
        <v>50042</v>
      </c>
    </row>
    <row r="567">
      <c r="A567" s="3">
        <f>IFERROR(__xludf.DUMMYFUNCTION("""COMPUTED_VALUE"""),37354.645833333336)</f>
        <v>37354.64583</v>
      </c>
      <c r="B567" s="2">
        <f>IFERROR(__xludf.DUMMYFUNCTION("""COMPUTED_VALUE"""),22.85)</f>
        <v>22.85</v>
      </c>
      <c r="C567" s="2">
        <f>IFERROR(__xludf.DUMMYFUNCTION("""COMPUTED_VALUE"""),22.85)</f>
        <v>22.85</v>
      </c>
      <c r="D567" s="2">
        <f>IFERROR(__xludf.DUMMYFUNCTION("""COMPUTED_VALUE"""),22.45)</f>
        <v>22.45</v>
      </c>
      <c r="E567" s="2">
        <f>IFERROR(__xludf.DUMMYFUNCTION("""COMPUTED_VALUE"""),22.51)</f>
        <v>22.51</v>
      </c>
      <c r="F567" s="2">
        <f>IFERROR(__xludf.DUMMYFUNCTION("""COMPUTED_VALUE"""),23828.0)</f>
        <v>23828</v>
      </c>
    </row>
    <row r="568">
      <c r="A568" s="3">
        <f>IFERROR(__xludf.DUMMYFUNCTION("""COMPUTED_VALUE"""),37355.645833333336)</f>
        <v>37355.64583</v>
      </c>
      <c r="B568" s="2">
        <f>IFERROR(__xludf.DUMMYFUNCTION("""COMPUTED_VALUE"""),22.65)</f>
        <v>22.65</v>
      </c>
      <c r="C568" s="2">
        <f>IFERROR(__xludf.DUMMYFUNCTION("""COMPUTED_VALUE"""),22.8)</f>
        <v>22.8</v>
      </c>
      <c r="D568" s="2">
        <f>IFERROR(__xludf.DUMMYFUNCTION("""COMPUTED_VALUE"""),22.53)</f>
        <v>22.53</v>
      </c>
      <c r="E568" s="2">
        <f>IFERROR(__xludf.DUMMYFUNCTION("""COMPUTED_VALUE"""),22.61)</f>
        <v>22.61</v>
      </c>
      <c r="F568" s="2">
        <f>IFERROR(__xludf.DUMMYFUNCTION("""COMPUTED_VALUE"""),22023.0)</f>
        <v>22023</v>
      </c>
    </row>
    <row r="569">
      <c r="A569" s="3">
        <f>IFERROR(__xludf.DUMMYFUNCTION("""COMPUTED_VALUE"""),37356.645833333336)</f>
        <v>37356.64583</v>
      </c>
      <c r="B569" s="2">
        <f>IFERROR(__xludf.DUMMYFUNCTION("""COMPUTED_VALUE"""),22.88)</f>
        <v>22.88</v>
      </c>
      <c r="C569" s="2">
        <f>IFERROR(__xludf.DUMMYFUNCTION("""COMPUTED_VALUE"""),23.0)</f>
        <v>23</v>
      </c>
      <c r="D569" s="2">
        <f>IFERROR(__xludf.DUMMYFUNCTION("""COMPUTED_VALUE"""),22.48)</f>
        <v>22.48</v>
      </c>
      <c r="E569" s="2">
        <f>IFERROR(__xludf.DUMMYFUNCTION("""COMPUTED_VALUE"""),22.7)</f>
        <v>22.7</v>
      </c>
      <c r="F569" s="2">
        <f>IFERROR(__xludf.DUMMYFUNCTION("""COMPUTED_VALUE"""),16144.0)</f>
        <v>16144</v>
      </c>
    </row>
    <row r="570">
      <c r="A570" s="3">
        <f>IFERROR(__xludf.DUMMYFUNCTION("""COMPUTED_VALUE"""),37357.645833333336)</f>
        <v>37357.64583</v>
      </c>
      <c r="B570" s="2">
        <f>IFERROR(__xludf.DUMMYFUNCTION("""COMPUTED_VALUE"""),22.62)</f>
        <v>22.62</v>
      </c>
      <c r="C570" s="2">
        <f>IFERROR(__xludf.DUMMYFUNCTION("""COMPUTED_VALUE"""),22.65)</f>
        <v>22.65</v>
      </c>
      <c r="D570" s="2">
        <f>IFERROR(__xludf.DUMMYFUNCTION("""COMPUTED_VALUE"""),22.28)</f>
        <v>22.28</v>
      </c>
      <c r="E570" s="2">
        <f>IFERROR(__xludf.DUMMYFUNCTION("""COMPUTED_VALUE"""),22.4)</f>
        <v>22.4</v>
      </c>
      <c r="F570" s="2">
        <f>IFERROR(__xludf.DUMMYFUNCTION("""COMPUTED_VALUE"""),201294.0)</f>
        <v>201294</v>
      </c>
    </row>
    <row r="571">
      <c r="A571" s="3">
        <f>IFERROR(__xludf.DUMMYFUNCTION("""COMPUTED_VALUE"""),37358.645833333336)</f>
        <v>37358.64583</v>
      </c>
      <c r="B571" s="2">
        <f>IFERROR(__xludf.DUMMYFUNCTION("""COMPUTED_VALUE"""),22.4)</f>
        <v>22.4</v>
      </c>
      <c r="C571" s="2">
        <f>IFERROR(__xludf.DUMMYFUNCTION("""COMPUTED_VALUE"""),22.4)</f>
        <v>22.4</v>
      </c>
      <c r="D571" s="2">
        <f>IFERROR(__xludf.DUMMYFUNCTION("""COMPUTED_VALUE"""),22.24)</f>
        <v>22.24</v>
      </c>
      <c r="E571" s="2">
        <f>IFERROR(__xludf.DUMMYFUNCTION("""COMPUTED_VALUE"""),22.32)</f>
        <v>22.32</v>
      </c>
      <c r="F571" s="2">
        <f>IFERROR(__xludf.DUMMYFUNCTION("""COMPUTED_VALUE"""),35285.0)</f>
        <v>35285</v>
      </c>
    </row>
    <row r="572">
      <c r="A572" s="3">
        <f>IFERROR(__xludf.DUMMYFUNCTION("""COMPUTED_VALUE"""),37361.645833333336)</f>
        <v>37361.64583</v>
      </c>
      <c r="B572" s="2">
        <f>IFERROR(__xludf.DUMMYFUNCTION("""COMPUTED_VALUE"""),22.7)</f>
        <v>22.7</v>
      </c>
      <c r="C572" s="2">
        <f>IFERROR(__xludf.DUMMYFUNCTION("""COMPUTED_VALUE"""),22.9)</f>
        <v>22.9</v>
      </c>
      <c r="D572" s="2">
        <f>IFERROR(__xludf.DUMMYFUNCTION("""COMPUTED_VALUE"""),22.06)</f>
        <v>22.06</v>
      </c>
      <c r="E572" s="2">
        <f>IFERROR(__xludf.DUMMYFUNCTION("""COMPUTED_VALUE"""),22.15)</f>
        <v>22.15</v>
      </c>
      <c r="F572" s="2">
        <f>IFERROR(__xludf.DUMMYFUNCTION("""COMPUTED_VALUE"""),281517.0)</f>
        <v>281517</v>
      </c>
    </row>
    <row r="573">
      <c r="A573" s="3">
        <f>IFERROR(__xludf.DUMMYFUNCTION("""COMPUTED_VALUE"""),37362.645833333336)</f>
        <v>37362.64583</v>
      </c>
      <c r="B573" s="2">
        <f>IFERROR(__xludf.DUMMYFUNCTION("""COMPUTED_VALUE"""),22.5)</f>
        <v>22.5</v>
      </c>
      <c r="C573" s="2">
        <f>IFERROR(__xludf.DUMMYFUNCTION("""COMPUTED_VALUE"""),23.0)</f>
        <v>23</v>
      </c>
      <c r="D573" s="2">
        <f>IFERROR(__xludf.DUMMYFUNCTION("""COMPUTED_VALUE"""),22.01)</f>
        <v>22.01</v>
      </c>
      <c r="E573" s="2">
        <f>IFERROR(__xludf.DUMMYFUNCTION("""COMPUTED_VALUE"""),22.4)</f>
        <v>22.4</v>
      </c>
      <c r="F573" s="2">
        <f>IFERROR(__xludf.DUMMYFUNCTION("""COMPUTED_VALUE"""),77520.0)</f>
        <v>77520</v>
      </c>
    </row>
    <row r="574">
      <c r="A574" s="3">
        <f>IFERROR(__xludf.DUMMYFUNCTION("""COMPUTED_VALUE"""),37363.645833333336)</f>
        <v>37363.64583</v>
      </c>
      <c r="B574" s="2">
        <f>IFERROR(__xludf.DUMMYFUNCTION("""COMPUTED_VALUE"""),22.8)</f>
        <v>22.8</v>
      </c>
      <c r="C574" s="2">
        <f>IFERROR(__xludf.DUMMYFUNCTION("""COMPUTED_VALUE"""),22.8)</f>
        <v>22.8</v>
      </c>
      <c r="D574" s="2">
        <f>IFERROR(__xludf.DUMMYFUNCTION("""COMPUTED_VALUE"""),22.33)</f>
        <v>22.33</v>
      </c>
      <c r="E574" s="2">
        <f>IFERROR(__xludf.DUMMYFUNCTION("""COMPUTED_VALUE"""),22.51)</f>
        <v>22.51</v>
      </c>
      <c r="F574" s="2">
        <f>IFERROR(__xludf.DUMMYFUNCTION("""COMPUTED_VALUE"""),30150.0)</f>
        <v>30150</v>
      </c>
    </row>
    <row r="575">
      <c r="A575" s="3">
        <f>IFERROR(__xludf.DUMMYFUNCTION("""COMPUTED_VALUE"""),37364.645833333336)</f>
        <v>37364.64583</v>
      </c>
      <c r="B575" s="2">
        <f>IFERROR(__xludf.DUMMYFUNCTION("""COMPUTED_VALUE"""),22.5)</f>
        <v>22.5</v>
      </c>
      <c r="C575" s="2">
        <f>IFERROR(__xludf.DUMMYFUNCTION("""COMPUTED_VALUE"""),22.9)</f>
        <v>22.9</v>
      </c>
      <c r="D575" s="2">
        <f>IFERROR(__xludf.DUMMYFUNCTION("""COMPUTED_VALUE"""),22.37)</f>
        <v>22.37</v>
      </c>
      <c r="E575" s="2">
        <f>IFERROR(__xludf.DUMMYFUNCTION("""COMPUTED_VALUE"""),22.73)</f>
        <v>22.73</v>
      </c>
      <c r="F575" s="2">
        <f>IFERROR(__xludf.DUMMYFUNCTION("""COMPUTED_VALUE"""),101951.0)</f>
        <v>101951</v>
      </c>
    </row>
    <row r="576">
      <c r="A576" s="3">
        <f>IFERROR(__xludf.DUMMYFUNCTION("""COMPUTED_VALUE"""),37365.645833333336)</f>
        <v>37365.64583</v>
      </c>
      <c r="B576" s="2">
        <f>IFERROR(__xludf.DUMMYFUNCTION("""COMPUTED_VALUE"""),22.98)</f>
        <v>22.98</v>
      </c>
      <c r="C576" s="2">
        <f>IFERROR(__xludf.DUMMYFUNCTION("""COMPUTED_VALUE"""),23.2)</f>
        <v>23.2</v>
      </c>
      <c r="D576" s="2">
        <f>IFERROR(__xludf.DUMMYFUNCTION("""COMPUTED_VALUE"""),22.42)</f>
        <v>22.42</v>
      </c>
      <c r="E576" s="2">
        <f>IFERROR(__xludf.DUMMYFUNCTION("""COMPUTED_VALUE"""),22.65)</f>
        <v>22.65</v>
      </c>
      <c r="F576" s="2">
        <f>IFERROR(__xludf.DUMMYFUNCTION("""COMPUTED_VALUE"""),80104.0)</f>
        <v>80104</v>
      </c>
    </row>
    <row r="577">
      <c r="A577" s="3">
        <f>IFERROR(__xludf.DUMMYFUNCTION("""COMPUTED_VALUE"""),37368.645833333336)</f>
        <v>37368.64583</v>
      </c>
      <c r="B577" s="2">
        <f>IFERROR(__xludf.DUMMYFUNCTION("""COMPUTED_VALUE"""),22.3)</f>
        <v>22.3</v>
      </c>
      <c r="C577" s="2">
        <f>IFERROR(__xludf.DUMMYFUNCTION("""COMPUTED_VALUE"""),22.84)</f>
        <v>22.84</v>
      </c>
      <c r="D577" s="2">
        <f>IFERROR(__xludf.DUMMYFUNCTION("""COMPUTED_VALUE"""),21.98)</f>
        <v>21.98</v>
      </c>
      <c r="E577" s="2">
        <f>IFERROR(__xludf.DUMMYFUNCTION("""COMPUTED_VALUE"""),22.18)</f>
        <v>22.18</v>
      </c>
      <c r="F577" s="2">
        <f>IFERROR(__xludf.DUMMYFUNCTION("""COMPUTED_VALUE"""),142306.0)</f>
        <v>142306</v>
      </c>
    </row>
    <row r="578">
      <c r="A578" s="3">
        <f>IFERROR(__xludf.DUMMYFUNCTION("""COMPUTED_VALUE"""),37369.645833333336)</f>
        <v>37369.64583</v>
      </c>
      <c r="B578" s="2">
        <f>IFERROR(__xludf.DUMMYFUNCTION("""COMPUTED_VALUE"""),22.4)</f>
        <v>22.4</v>
      </c>
      <c r="C578" s="2">
        <f>IFERROR(__xludf.DUMMYFUNCTION("""COMPUTED_VALUE"""),22.9)</f>
        <v>22.9</v>
      </c>
      <c r="D578" s="2">
        <f>IFERROR(__xludf.DUMMYFUNCTION("""COMPUTED_VALUE"""),22.35)</f>
        <v>22.35</v>
      </c>
      <c r="E578" s="2">
        <f>IFERROR(__xludf.DUMMYFUNCTION("""COMPUTED_VALUE"""),22.48)</f>
        <v>22.48</v>
      </c>
      <c r="F578" s="2">
        <f>IFERROR(__xludf.DUMMYFUNCTION("""COMPUTED_VALUE"""),57949.0)</f>
        <v>57949</v>
      </c>
    </row>
    <row r="579">
      <c r="A579" s="3">
        <f>IFERROR(__xludf.DUMMYFUNCTION("""COMPUTED_VALUE"""),37370.645833333336)</f>
        <v>37370.64583</v>
      </c>
      <c r="B579" s="2">
        <f>IFERROR(__xludf.DUMMYFUNCTION("""COMPUTED_VALUE"""),22.68)</f>
        <v>22.68</v>
      </c>
      <c r="C579" s="2">
        <f>IFERROR(__xludf.DUMMYFUNCTION("""COMPUTED_VALUE"""),22.68)</f>
        <v>22.68</v>
      </c>
      <c r="D579" s="2">
        <f>IFERROR(__xludf.DUMMYFUNCTION("""COMPUTED_VALUE"""),22.4)</f>
        <v>22.4</v>
      </c>
      <c r="E579" s="2">
        <f>IFERROR(__xludf.DUMMYFUNCTION("""COMPUTED_VALUE"""),22.5)</f>
        <v>22.5</v>
      </c>
      <c r="F579" s="2">
        <f>IFERROR(__xludf.DUMMYFUNCTION("""COMPUTED_VALUE"""),26110.0)</f>
        <v>26110</v>
      </c>
    </row>
    <row r="580">
      <c r="A580" s="3">
        <f>IFERROR(__xludf.DUMMYFUNCTION("""COMPUTED_VALUE"""),37371.645833333336)</f>
        <v>37371.64583</v>
      </c>
      <c r="B580" s="2">
        <f>IFERROR(__xludf.DUMMYFUNCTION("""COMPUTED_VALUE"""),22.31)</f>
        <v>22.31</v>
      </c>
      <c r="C580" s="2">
        <f>IFERROR(__xludf.DUMMYFUNCTION("""COMPUTED_VALUE"""),22.46)</f>
        <v>22.46</v>
      </c>
      <c r="D580" s="2">
        <f>IFERROR(__xludf.DUMMYFUNCTION("""COMPUTED_VALUE"""),22.03)</f>
        <v>22.03</v>
      </c>
      <c r="E580" s="2">
        <f>IFERROR(__xludf.DUMMYFUNCTION("""COMPUTED_VALUE"""),22.23)</f>
        <v>22.23</v>
      </c>
      <c r="F580" s="2">
        <f>IFERROR(__xludf.DUMMYFUNCTION("""COMPUTED_VALUE"""),126499.0)</f>
        <v>126499</v>
      </c>
    </row>
    <row r="581">
      <c r="A581" s="3">
        <f>IFERROR(__xludf.DUMMYFUNCTION("""COMPUTED_VALUE"""),37372.645833333336)</f>
        <v>37372.64583</v>
      </c>
      <c r="B581" s="2">
        <f>IFERROR(__xludf.DUMMYFUNCTION("""COMPUTED_VALUE"""),22.4)</f>
        <v>22.4</v>
      </c>
      <c r="C581" s="2">
        <f>IFERROR(__xludf.DUMMYFUNCTION("""COMPUTED_VALUE"""),22.5)</f>
        <v>22.5</v>
      </c>
      <c r="D581" s="2">
        <f>IFERROR(__xludf.DUMMYFUNCTION("""COMPUTED_VALUE"""),22.22)</f>
        <v>22.22</v>
      </c>
      <c r="E581" s="2">
        <f>IFERROR(__xludf.DUMMYFUNCTION("""COMPUTED_VALUE"""),22.43)</f>
        <v>22.43</v>
      </c>
      <c r="F581" s="2">
        <f>IFERROR(__xludf.DUMMYFUNCTION("""COMPUTED_VALUE"""),76480.0)</f>
        <v>76480</v>
      </c>
    </row>
    <row r="582">
      <c r="A582" s="3">
        <f>IFERROR(__xludf.DUMMYFUNCTION("""COMPUTED_VALUE"""),37375.645833333336)</f>
        <v>37375.64583</v>
      </c>
      <c r="B582" s="2">
        <f>IFERROR(__xludf.DUMMYFUNCTION("""COMPUTED_VALUE"""),22.12)</f>
        <v>22.12</v>
      </c>
      <c r="C582" s="2">
        <f>IFERROR(__xludf.DUMMYFUNCTION("""COMPUTED_VALUE"""),22.27)</f>
        <v>22.27</v>
      </c>
      <c r="D582" s="2">
        <f>IFERROR(__xludf.DUMMYFUNCTION("""COMPUTED_VALUE"""),21.86)</f>
        <v>21.86</v>
      </c>
      <c r="E582" s="2">
        <f>IFERROR(__xludf.DUMMYFUNCTION("""COMPUTED_VALUE"""),21.98)</f>
        <v>21.98</v>
      </c>
      <c r="F582" s="2">
        <f>IFERROR(__xludf.DUMMYFUNCTION("""COMPUTED_VALUE"""),164789.0)</f>
        <v>164789</v>
      </c>
    </row>
    <row r="583">
      <c r="A583" s="3">
        <f>IFERROR(__xludf.DUMMYFUNCTION("""COMPUTED_VALUE"""),37376.645833333336)</f>
        <v>37376.64583</v>
      </c>
      <c r="B583" s="2">
        <f>IFERROR(__xludf.DUMMYFUNCTION("""COMPUTED_VALUE"""),22.1)</f>
        <v>22.1</v>
      </c>
      <c r="C583" s="2">
        <f>IFERROR(__xludf.DUMMYFUNCTION("""COMPUTED_VALUE"""),22.1)</f>
        <v>22.1</v>
      </c>
      <c r="D583" s="2">
        <f>IFERROR(__xludf.DUMMYFUNCTION("""COMPUTED_VALUE"""),21.85)</f>
        <v>21.85</v>
      </c>
      <c r="E583" s="2">
        <f>IFERROR(__xludf.DUMMYFUNCTION("""COMPUTED_VALUE"""),21.96)</f>
        <v>21.96</v>
      </c>
      <c r="F583" s="2">
        <f>IFERROR(__xludf.DUMMYFUNCTION("""COMPUTED_VALUE"""),76341.0)</f>
        <v>76341</v>
      </c>
    </row>
    <row r="584">
      <c r="A584" s="3">
        <f>IFERROR(__xludf.DUMMYFUNCTION("""COMPUTED_VALUE"""),37378.645833333336)</f>
        <v>37378.64583</v>
      </c>
      <c r="B584" s="2">
        <f>IFERROR(__xludf.DUMMYFUNCTION("""COMPUTED_VALUE"""),22.05)</f>
        <v>22.05</v>
      </c>
      <c r="C584" s="2">
        <f>IFERROR(__xludf.DUMMYFUNCTION("""COMPUTED_VALUE"""),22.1)</f>
        <v>22.1</v>
      </c>
      <c r="D584" s="2">
        <f>IFERROR(__xludf.DUMMYFUNCTION("""COMPUTED_VALUE"""),21.66)</f>
        <v>21.66</v>
      </c>
      <c r="E584" s="2">
        <f>IFERROR(__xludf.DUMMYFUNCTION("""COMPUTED_VALUE"""),21.83)</f>
        <v>21.83</v>
      </c>
      <c r="F584" s="2">
        <f>IFERROR(__xludf.DUMMYFUNCTION("""COMPUTED_VALUE"""),115411.0)</f>
        <v>115411</v>
      </c>
    </row>
    <row r="585">
      <c r="A585" s="3">
        <f>IFERROR(__xludf.DUMMYFUNCTION("""COMPUTED_VALUE"""),37379.645833333336)</f>
        <v>37379.64583</v>
      </c>
      <c r="B585" s="2">
        <f>IFERROR(__xludf.DUMMYFUNCTION("""COMPUTED_VALUE"""),21.9)</f>
        <v>21.9</v>
      </c>
      <c r="C585" s="2">
        <f>IFERROR(__xludf.DUMMYFUNCTION("""COMPUTED_VALUE"""),22.0)</f>
        <v>22</v>
      </c>
      <c r="D585" s="2">
        <f>IFERROR(__xludf.DUMMYFUNCTION("""COMPUTED_VALUE"""),21.56)</f>
        <v>21.56</v>
      </c>
      <c r="E585" s="2">
        <f>IFERROR(__xludf.DUMMYFUNCTION("""COMPUTED_VALUE"""),21.65)</f>
        <v>21.65</v>
      </c>
      <c r="F585" s="2">
        <f>IFERROR(__xludf.DUMMYFUNCTION("""COMPUTED_VALUE"""),130948.0)</f>
        <v>130948</v>
      </c>
    </row>
    <row r="586">
      <c r="A586" s="3">
        <f>IFERROR(__xludf.DUMMYFUNCTION("""COMPUTED_VALUE"""),37382.645833333336)</f>
        <v>37382.64583</v>
      </c>
      <c r="B586" s="2">
        <f>IFERROR(__xludf.DUMMYFUNCTION("""COMPUTED_VALUE"""),21.7)</f>
        <v>21.7</v>
      </c>
      <c r="C586" s="2">
        <f>IFERROR(__xludf.DUMMYFUNCTION("""COMPUTED_VALUE"""),21.82)</f>
        <v>21.82</v>
      </c>
      <c r="D586" s="2">
        <f>IFERROR(__xludf.DUMMYFUNCTION("""COMPUTED_VALUE"""),21.65)</f>
        <v>21.65</v>
      </c>
      <c r="E586" s="2">
        <f>IFERROR(__xludf.DUMMYFUNCTION("""COMPUTED_VALUE"""),21.77)</f>
        <v>21.77</v>
      </c>
      <c r="F586" s="2">
        <f>IFERROR(__xludf.DUMMYFUNCTION("""COMPUTED_VALUE"""),68295.0)</f>
        <v>68295</v>
      </c>
    </row>
    <row r="587">
      <c r="A587" s="3">
        <f>IFERROR(__xludf.DUMMYFUNCTION("""COMPUTED_VALUE"""),37383.645833333336)</f>
        <v>37383.64583</v>
      </c>
      <c r="B587" s="2">
        <f>IFERROR(__xludf.DUMMYFUNCTION("""COMPUTED_VALUE"""),22.08)</f>
        <v>22.08</v>
      </c>
      <c r="C587" s="2">
        <f>IFERROR(__xludf.DUMMYFUNCTION("""COMPUTED_VALUE"""),22.14)</f>
        <v>22.14</v>
      </c>
      <c r="D587" s="2">
        <f>IFERROR(__xludf.DUMMYFUNCTION("""COMPUTED_VALUE"""),21.66)</f>
        <v>21.66</v>
      </c>
      <c r="E587" s="2">
        <f>IFERROR(__xludf.DUMMYFUNCTION("""COMPUTED_VALUE"""),22.04)</f>
        <v>22.04</v>
      </c>
      <c r="F587" s="2">
        <f>IFERROR(__xludf.DUMMYFUNCTION("""COMPUTED_VALUE"""),65721.0)</f>
        <v>65721</v>
      </c>
    </row>
    <row r="588">
      <c r="A588" s="3">
        <f>IFERROR(__xludf.DUMMYFUNCTION("""COMPUTED_VALUE"""),37384.645833333336)</f>
        <v>37384.64583</v>
      </c>
      <c r="B588" s="2">
        <f>IFERROR(__xludf.DUMMYFUNCTION("""COMPUTED_VALUE"""),22.2)</f>
        <v>22.2</v>
      </c>
      <c r="C588" s="2">
        <f>IFERROR(__xludf.DUMMYFUNCTION("""COMPUTED_VALUE"""),22.21)</f>
        <v>22.21</v>
      </c>
      <c r="D588" s="2">
        <f>IFERROR(__xludf.DUMMYFUNCTION("""COMPUTED_VALUE"""),21.9)</f>
        <v>21.9</v>
      </c>
      <c r="E588" s="2">
        <f>IFERROR(__xludf.DUMMYFUNCTION("""COMPUTED_VALUE"""),22.12)</f>
        <v>22.12</v>
      </c>
      <c r="F588" s="2">
        <f>IFERROR(__xludf.DUMMYFUNCTION("""COMPUTED_VALUE"""),96566.0)</f>
        <v>96566</v>
      </c>
    </row>
    <row r="589">
      <c r="A589" s="3">
        <f>IFERROR(__xludf.DUMMYFUNCTION("""COMPUTED_VALUE"""),37385.645833333336)</f>
        <v>37385.64583</v>
      </c>
      <c r="B589" s="2">
        <f>IFERROR(__xludf.DUMMYFUNCTION("""COMPUTED_VALUE"""),22.2)</f>
        <v>22.2</v>
      </c>
      <c r="C589" s="2">
        <f>IFERROR(__xludf.DUMMYFUNCTION("""COMPUTED_VALUE"""),22.27)</f>
        <v>22.27</v>
      </c>
      <c r="D589" s="2">
        <f>IFERROR(__xludf.DUMMYFUNCTION("""COMPUTED_VALUE"""),22.05)</f>
        <v>22.05</v>
      </c>
      <c r="E589" s="2">
        <f>IFERROR(__xludf.DUMMYFUNCTION("""COMPUTED_VALUE"""),22.19)</f>
        <v>22.19</v>
      </c>
      <c r="F589" s="2">
        <f>IFERROR(__xludf.DUMMYFUNCTION("""COMPUTED_VALUE"""),113870.0)</f>
        <v>113870</v>
      </c>
    </row>
    <row r="590">
      <c r="A590" s="3">
        <f>IFERROR(__xludf.DUMMYFUNCTION("""COMPUTED_VALUE"""),37386.645833333336)</f>
        <v>37386.64583</v>
      </c>
      <c r="B590" s="2">
        <f>IFERROR(__xludf.DUMMYFUNCTION("""COMPUTED_VALUE"""),22.03)</f>
        <v>22.03</v>
      </c>
      <c r="C590" s="2">
        <f>IFERROR(__xludf.DUMMYFUNCTION("""COMPUTED_VALUE"""),22.3)</f>
        <v>22.3</v>
      </c>
      <c r="D590" s="2">
        <f>IFERROR(__xludf.DUMMYFUNCTION("""COMPUTED_VALUE"""),22.0)</f>
        <v>22</v>
      </c>
      <c r="E590" s="2">
        <f>IFERROR(__xludf.DUMMYFUNCTION("""COMPUTED_VALUE"""),22.19)</f>
        <v>22.19</v>
      </c>
      <c r="F590" s="2">
        <f>IFERROR(__xludf.DUMMYFUNCTION("""COMPUTED_VALUE"""),73878.0)</f>
        <v>73878</v>
      </c>
    </row>
    <row r="591">
      <c r="A591" s="3">
        <f>IFERROR(__xludf.DUMMYFUNCTION("""COMPUTED_VALUE"""),37389.645833333336)</f>
        <v>37389.64583</v>
      </c>
      <c r="B591" s="2">
        <f>IFERROR(__xludf.DUMMYFUNCTION("""COMPUTED_VALUE"""),21.51)</f>
        <v>21.51</v>
      </c>
      <c r="C591" s="2">
        <f>IFERROR(__xludf.DUMMYFUNCTION("""COMPUTED_VALUE"""),22.2)</f>
        <v>22.2</v>
      </c>
      <c r="D591" s="2">
        <f>IFERROR(__xludf.DUMMYFUNCTION("""COMPUTED_VALUE"""),21.51)</f>
        <v>21.51</v>
      </c>
      <c r="E591" s="2">
        <f>IFERROR(__xludf.DUMMYFUNCTION("""COMPUTED_VALUE"""),21.94)</f>
        <v>21.94</v>
      </c>
      <c r="F591" s="2">
        <f>IFERROR(__xludf.DUMMYFUNCTION("""COMPUTED_VALUE"""),21043.0)</f>
        <v>21043</v>
      </c>
    </row>
    <row r="592">
      <c r="A592" s="3">
        <f>IFERROR(__xludf.DUMMYFUNCTION("""COMPUTED_VALUE"""),37390.645833333336)</f>
        <v>37390.64583</v>
      </c>
      <c r="B592" s="2">
        <f>IFERROR(__xludf.DUMMYFUNCTION("""COMPUTED_VALUE"""),21.9)</f>
        <v>21.9</v>
      </c>
      <c r="C592" s="2">
        <f>IFERROR(__xludf.DUMMYFUNCTION("""COMPUTED_VALUE"""),22.2)</f>
        <v>22.2</v>
      </c>
      <c r="D592" s="2">
        <f>IFERROR(__xludf.DUMMYFUNCTION("""COMPUTED_VALUE"""),21.88)</f>
        <v>21.88</v>
      </c>
      <c r="E592" s="2">
        <f>IFERROR(__xludf.DUMMYFUNCTION("""COMPUTED_VALUE"""),22.03)</f>
        <v>22.03</v>
      </c>
      <c r="F592" s="2">
        <f>IFERROR(__xludf.DUMMYFUNCTION("""COMPUTED_VALUE"""),22187.0)</f>
        <v>22187</v>
      </c>
    </row>
    <row r="593">
      <c r="A593" s="3">
        <f>IFERROR(__xludf.DUMMYFUNCTION("""COMPUTED_VALUE"""),37391.645833333336)</f>
        <v>37391.64583</v>
      </c>
      <c r="B593" s="2">
        <f>IFERROR(__xludf.DUMMYFUNCTION("""COMPUTED_VALUE"""),22.2)</f>
        <v>22.2</v>
      </c>
      <c r="C593" s="2">
        <f>IFERROR(__xludf.DUMMYFUNCTION("""COMPUTED_VALUE"""),22.3)</f>
        <v>22.3</v>
      </c>
      <c r="D593" s="2">
        <f>IFERROR(__xludf.DUMMYFUNCTION("""COMPUTED_VALUE"""),22.1)</f>
        <v>22.1</v>
      </c>
      <c r="E593" s="2">
        <f>IFERROR(__xludf.DUMMYFUNCTION("""COMPUTED_VALUE"""),22.19)</f>
        <v>22.19</v>
      </c>
      <c r="F593" s="2">
        <f>IFERROR(__xludf.DUMMYFUNCTION("""COMPUTED_VALUE"""),105545.0)</f>
        <v>105545</v>
      </c>
    </row>
    <row r="594">
      <c r="A594" s="3">
        <f>IFERROR(__xludf.DUMMYFUNCTION("""COMPUTED_VALUE"""),37392.645833333336)</f>
        <v>37392.64583</v>
      </c>
      <c r="B594" s="2">
        <f>IFERROR(__xludf.DUMMYFUNCTION("""COMPUTED_VALUE"""),21.13)</f>
        <v>21.13</v>
      </c>
      <c r="C594" s="2">
        <f>IFERROR(__xludf.DUMMYFUNCTION("""COMPUTED_VALUE"""),22.25)</f>
        <v>22.25</v>
      </c>
      <c r="D594" s="2">
        <f>IFERROR(__xludf.DUMMYFUNCTION("""COMPUTED_VALUE"""),21.13)</f>
        <v>21.13</v>
      </c>
      <c r="E594" s="2">
        <f>IFERROR(__xludf.DUMMYFUNCTION("""COMPUTED_VALUE"""),21.66)</f>
        <v>21.66</v>
      </c>
      <c r="F594" s="2">
        <f>IFERROR(__xludf.DUMMYFUNCTION("""COMPUTED_VALUE"""),159300.0)</f>
        <v>159300</v>
      </c>
    </row>
    <row r="595">
      <c r="A595" s="3">
        <f>IFERROR(__xludf.DUMMYFUNCTION("""COMPUTED_VALUE"""),37393.645833333336)</f>
        <v>37393.64583</v>
      </c>
      <c r="B595" s="2">
        <f>IFERROR(__xludf.DUMMYFUNCTION("""COMPUTED_VALUE"""),22.11)</f>
        <v>22.11</v>
      </c>
      <c r="C595" s="2">
        <f>IFERROR(__xludf.DUMMYFUNCTION("""COMPUTED_VALUE"""),22.11)</f>
        <v>22.11</v>
      </c>
      <c r="D595" s="2">
        <f>IFERROR(__xludf.DUMMYFUNCTION("""COMPUTED_VALUE"""),21.61)</f>
        <v>21.61</v>
      </c>
      <c r="E595" s="2">
        <f>IFERROR(__xludf.DUMMYFUNCTION("""COMPUTED_VALUE"""),21.91)</f>
        <v>21.91</v>
      </c>
      <c r="F595" s="2">
        <f>IFERROR(__xludf.DUMMYFUNCTION("""COMPUTED_VALUE"""),91996.0)</f>
        <v>91996</v>
      </c>
    </row>
    <row r="596">
      <c r="A596" s="3">
        <f>IFERROR(__xludf.DUMMYFUNCTION("""COMPUTED_VALUE"""),37396.645833333336)</f>
        <v>37396.64583</v>
      </c>
      <c r="B596" s="2">
        <f>IFERROR(__xludf.DUMMYFUNCTION("""COMPUTED_VALUE"""),20.06)</f>
        <v>20.06</v>
      </c>
      <c r="C596" s="2">
        <f>IFERROR(__xludf.DUMMYFUNCTION("""COMPUTED_VALUE"""),21.85)</f>
        <v>21.85</v>
      </c>
      <c r="D596" s="2">
        <f>IFERROR(__xludf.DUMMYFUNCTION("""COMPUTED_VALUE"""),20.06)</f>
        <v>20.06</v>
      </c>
      <c r="E596" s="2">
        <f>IFERROR(__xludf.DUMMYFUNCTION("""COMPUTED_VALUE"""),21.69)</f>
        <v>21.69</v>
      </c>
      <c r="F596" s="2">
        <f>IFERROR(__xludf.DUMMYFUNCTION("""COMPUTED_VALUE"""),27163.0)</f>
        <v>27163</v>
      </c>
    </row>
    <row r="597">
      <c r="A597" s="3">
        <f>IFERROR(__xludf.DUMMYFUNCTION("""COMPUTED_VALUE"""),37397.645833333336)</f>
        <v>37397.64583</v>
      </c>
      <c r="B597" s="2">
        <f>IFERROR(__xludf.DUMMYFUNCTION("""COMPUTED_VALUE"""),21.2)</f>
        <v>21.2</v>
      </c>
      <c r="C597" s="2">
        <f>IFERROR(__xludf.DUMMYFUNCTION("""COMPUTED_VALUE"""),23.12)</f>
        <v>23.12</v>
      </c>
      <c r="D597" s="2">
        <f>IFERROR(__xludf.DUMMYFUNCTION("""COMPUTED_VALUE"""),21.2)</f>
        <v>21.2</v>
      </c>
      <c r="E597" s="2">
        <f>IFERROR(__xludf.DUMMYFUNCTION("""COMPUTED_VALUE"""),22.36)</f>
        <v>22.36</v>
      </c>
      <c r="F597" s="2">
        <f>IFERROR(__xludf.DUMMYFUNCTION("""COMPUTED_VALUE"""),75771.0)</f>
        <v>75771</v>
      </c>
    </row>
    <row r="598">
      <c r="A598" s="3">
        <f>IFERROR(__xludf.DUMMYFUNCTION("""COMPUTED_VALUE"""),37398.645833333336)</f>
        <v>37398.64583</v>
      </c>
      <c r="B598" s="2">
        <f>IFERROR(__xludf.DUMMYFUNCTION("""COMPUTED_VALUE"""),21.9)</f>
        <v>21.9</v>
      </c>
      <c r="C598" s="2">
        <f>IFERROR(__xludf.DUMMYFUNCTION("""COMPUTED_VALUE"""),22.0)</f>
        <v>22</v>
      </c>
      <c r="D598" s="2">
        <f>IFERROR(__xludf.DUMMYFUNCTION("""COMPUTED_VALUE"""),21.62)</f>
        <v>21.62</v>
      </c>
      <c r="E598" s="2">
        <f>IFERROR(__xludf.DUMMYFUNCTION("""COMPUTED_VALUE"""),21.84)</f>
        <v>21.84</v>
      </c>
      <c r="F598" s="2">
        <f>IFERROR(__xludf.DUMMYFUNCTION("""COMPUTED_VALUE"""),71693.0)</f>
        <v>71693</v>
      </c>
    </row>
    <row r="599">
      <c r="A599" s="3">
        <f>IFERROR(__xludf.DUMMYFUNCTION("""COMPUTED_VALUE"""),37399.645833333336)</f>
        <v>37399.64583</v>
      </c>
      <c r="B599" s="2">
        <f>IFERROR(__xludf.DUMMYFUNCTION("""COMPUTED_VALUE"""),21.5)</f>
        <v>21.5</v>
      </c>
      <c r="C599" s="2">
        <f>IFERROR(__xludf.DUMMYFUNCTION("""COMPUTED_VALUE"""),21.89)</f>
        <v>21.89</v>
      </c>
      <c r="D599" s="2">
        <f>IFERROR(__xludf.DUMMYFUNCTION("""COMPUTED_VALUE"""),21.32)</f>
        <v>21.32</v>
      </c>
      <c r="E599" s="2">
        <f>IFERROR(__xludf.DUMMYFUNCTION("""COMPUTED_VALUE"""),21.42)</f>
        <v>21.42</v>
      </c>
      <c r="F599" s="2">
        <f>IFERROR(__xludf.DUMMYFUNCTION("""COMPUTED_VALUE"""),47595.0)</f>
        <v>47595</v>
      </c>
    </row>
    <row r="600">
      <c r="A600" s="3">
        <f>IFERROR(__xludf.DUMMYFUNCTION("""COMPUTED_VALUE"""),37400.645833333336)</f>
        <v>37400.64583</v>
      </c>
      <c r="B600" s="2">
        <f>IFERROR(__xludf.DUMMYFUNCTION("""COMPUTED_VALUE"""),21.6)</f>
        <v>21.6</v>
      </c>
      <c r="C600" s="2">
        <f>IFERROR(__xludf.DUMMYFUNCTION("""COMPUTED_VALUE"""),21.95)</f>
        <v>21.95</v>
      </c>
      <c r="D600" s="2">
        <f>IFERROR(__xludf.DUMMYFUNCTION("""COMPUTED_VALUE"""),21.46)</f>
        <v>21.46</v>
      </c>
      <c r="E600" s="2">
        <f>IFERROR(__xludf.DUMMYFUNCTION("""COMPUTED_VALUE"""),21.8)</f>
        <v>21.8</v>
      </c>
      <c r="F600" s="2">
        <f>IFERROR(__xludf.DUMMYFUNCTION("""COMPUTED_VALUE"""),53729.0)</f>
        <v>53729</v>
      </c>
    </row>
    <row r="601">
      <c r="A601" s="3">
        <f>IFERROR(__xludf.DUMMYFUNCTION("""COMPUTED_VALUE"""),37403.645833333336)</f>
        <v>37403.64583</v>
      </c>
      <c r="B601" s="2">
        <f>IFERROR(__xludf.DUMMYFUNCTION("""COMPUTED_VALUE"""),23.0)</f>
        <v>23</v>
      </c>
      <c r="C601" s="2">
        <f>IFERROR(__xludf.DUMMYFUNCTION("""COMPUTED_VALUE"""),23.0)</f>
        <v>23</v>
      </c>
      <c r="D601" s="2">
        <f>IFERROR(__xludf.DUMMYFUNCTION("""COMPUTED_VALUE"""),21.46)</f>
        <v>21.46</v>
      </c>
      <c r="E601" s="2">
        <f>IFERROR(__xludf.DUMMYFUNCTION("""COMPUTED_VALUE"""),21.98)</f>
        <v>21.98</v>
      </c>
      <c r="F601" s="2">
        <f>IFERROR(__xludf.DUMMYFUNCTION("""COMPUTED_VALUE"""),20628.0)</f>
        <v>20628</v>
      </c>
    </row>
    <row r="602">
      <c r="A602" s="3">
        <f>IFERROR(__xludf.DUMMYFUNCTION("""COMPUTED_VALUE"""),37404.645833333336)</f>
        <v>37404.64583</v>
      </c>
      <c r="B602" s="2">
        <f>IFERROR(__xludf.DUMMYFUNCTION("""COMPUTED_VALUE"""),21.98)</f>
        <v>21.98</v>
      </c>
      <c r="C602" s="2">
        <f>IFERROR(__xludf.DUMMYFUNCTION("""COMPUTED_VALUE"""),22.39)</f>
        <v>22.39</v>
      </c>
      <c r="D602" s="2">
        <f>IFERROR(__xludf.DUMMYFUNCTION("""COMPUTED_VALUE"""),21.9)</f>
        <v>21.9</v>
      </c>
      <c r="E602" s="2">
        <f>IFERROR(__xludf.DUMMYFUNCTION("""COMPUTED_VALUE"""),22.22)</f>
        <v>22.22</v>
      </c>
      <c r="F602" s="2">
        <f>IFERROR(__xludf.DUMMYFUNCTION("""COMPUTED_VALUE"""),35132.0)</f>
        <v>35132</v>
      </c>
    </row>
    <row r="603">
      <c r="A603" s="3">
        <f>IFERROR(__xludf.DUMMYFUNCTION("""COMPUTED_VALUE"""),37405.645833333336)</f>
        <v>37405.64583</v>
      </c>
      <c r="B603" s="2">
        <f>IFERROR(__xludf.DUMMYFUNCTION("""COMPUTED_VALUE"""),22.06)</f>
        <v>22.06</v>
      </c>
      <c r="C603" s="2">
        <f>IFERROR(__xludf.DUMMYFUNCTION("""COMPUTED_VALUE"""),22.35)</f>
        <v>22.35</v>
      </c>
      <c r="D603" s="2">
        <f>IFERROR(__xludf.DUMMYFUNCTION("""COMPUTED_VALUE"""),21.95)</f>
        <v>21.95</v>
      </c>
      <c r="E603" s="2">
        <f>IFERROR(__xludf.DUMMYFUNCTION("""COMPUTED_VALUE"""),22.14)</f>
        <v>22.14</v>
      </c>
      <c r="F603" s="2">
        <f>IFERROR(__xludf.DUMMYFUNCTION("""COMPUTED_VALUE"""),90585.0)</f>
        <v>90585</v>
      </c>
    </row>
    <row r="604">
      <c r="A604" s="3">
        <f>IFERROR(__xludf.DUMMYFUNCTION("""COMPUTED_VALUE"""),37406.645833333336)</f>
        <v>37406.64583</v>
      </c>
      <c r="B604" s="2">
        <f>IFERROR(__xludf.DUMMYFUNCTION("""COMPUTED_VALUE"""),21.9)</f>
        <v>21.9</v>
      </c>
      <c r="C604" s="2">
        <f>IFERROR(__xludf.DUMMYFUNCTION("""COMPUTED_VALUE"""),22.5)</f>
        <v>22.5</v>
      </c>
      <c r="D604" s="2">
        <f>IFERROR(__xludf.DUMMYFUNCTION("""COMPUTED_VALUE"""),21.88)</f>
        <v>21.88</v>
      </c>
      <c r="E604" s="2">
        <f>IFERROR(__xludf.DUMMYFUNCTION("""COMPUTED_VALUE"""),22.25)</f>
        <v>22.25</v>
      </c>
      <c r="F604" s="2">
        <f>IFERROR(__xludf.DUMMYFUNCTION("""COMPUTED_VALUE"""),139473.0)</f>
        <v>139473</v>
      </c>
    </row>
    <row r="605">
      <c r="A605" s="3">
        <f>IFERROR(__xludf.DUMMYFUNCTION("""COMPUTED_VALUE"""),37407.645833333336)</f>
        <v>37407.64583</v>
      </c>
      <c r="B605" s="2">
        <f>IFERROR(__xludf.DUMMYFUNCTION("""COMPUTED_VALUE"""),22.3)</f>
        <v>22.3</v>
      </c>
      <c r="C605" s="2">
        <f>IFERROR(__xludf.DUMMYFUNCTION("""COMPUTED_VALUE"""),23.23)</f>
        <v>23.23</v>
      </c>
      <c r="D605" s="2">
        <f>IFERROR(__xludf.DUMMYFUNCTION("""COMPUTED_VALUE"""),22.15)</f>
        <v>22.15</v>
      </c>
      <c r="E605" s="2">
        <f>IFERROR(__xludf.DUMMYFUNCTION("""COMPUTED_VALUE"""),22.94)</f>
        <v>22.94</v>
      </c>
      <c r="F605" s="2">
        <f>IFERROR(__xludf.DUMMYFUNCTION("""COMPUTED_VALUE"""),176617.0)</f>
        <v>176617</v>
      </c>
    </row>
    <row r="606">
      <c r="A606" s="3">
        <f>IFERROR(__xludf.DUMMYFUNCTION("""COMPUTED_VALUE"""),37410.645833333336)</f>
        <v>37410.64583</v>
      </c>
      <c r="B606" s="2">
        <f>IFERROR(__xludf.DUMMYFUNCTION("""COMPUTED_VALUE"""),23.1)</f>
        <v>23.1</v>
      </c>
      <c r="C606" s="2">
        <f>IFERROR(__xludf.DUMMYFUNCTION("""COMPUTED_VALUE"""),23.5)</f>
        <v>23.5</v>
      </c>
      <c r="D606" s="2">
        <f>IFERROR(__xludf.DUMMYFUNCTION("""COMPUTED_VALUE"""),22.6)</f>
        <v>22.6</v>
      </c>
      <c r="E606" s="2">
        <f>IFERROR(__xludf.DUMMYFUNCTION("""COMPUTED_VALUE"""),22.85)</f>
        <v>22.85</v>
      </c>
      <c r="F606" s="2">
        <f>IFERROR(__xludf.DUMMYFUNCTION("""COMPUTED_VALUE"""),52425.0)</f>
        <v>52425</v>
      </c>
    </row>
    <row r="607">
      <c r="A607" s="3">
        <f>IFERROR(__xludf.DUMMYFUNCTION("""COMPUTED_VALUE"""),37411.645833333336)</f>
        <v>37411.64583</v>
      </c>
      <c r="B607" s="2">
        <f>IFERROR(__xludf.DUMMYFUNCTION("""COMPUTED_VALUE"""),22.6)</f>
        <v>22.6</v>
      </c>
      <c r="C607" s="2">
        <f>IFERROR(__xludf.DUMMYFUNCTION("""COMPUTED_VALUE"""),23.15)</f>
        <v>23.15</v>
      </c>
      <c r="D607" s="2">
        <f>IFERROR(__xludf.DUMMYFUNCTION("""COMPUTED_VALUE"""),22.12)</f>
        <v>22.12</v>
      </c>
      <c r="E607" s="2">
        <f>IFERROR(__xludf.DUMMYFUNCTION("""COMPUTED_VALUE"""),22.49)</f>
        <v>22.49</v>
      </c>
      <c r="F607" s="2">
        <f>IFERROR(__xludf.DUMMYFUNCTION("""COMPUTED_VALUE"""),38106.0)</f>
        <v>38106</v>
      </c>
    </row>
    <row r="608">
      <c r="A608" s="3">
        <f>IFERROR(__xludf.DUMMYFUNCTION("""COMPUTED_VALUE"""),37412.645833333336)</f>
        <v>37412.64583</v>
      </c>
      <c r="B608" s="2">
        <f>IFERROR(__xludf.DUMMYFUNCTION("""COMPUTED_VALUE"""),22.51)</f>
        <v>22.51</v>
      </c>
      <c r="C608" s="2">
        <f>IFERROR(__xludf.DUMMYFUNCTION("""COMPUTED_VALUE"""),22.51)</f>
        <v>22.51</v>
      </c>
      <c r="D608" s="2">
        <f>IFERROR(__xludf.DUMMYFUNCTION("""COMPUTED_VALUE"""),21.82)</f>
        <v>21.82</v>
      </c>
      <c r="E608" s="2">
        <f>IFERROR(__xludf.DUMMYFUNCTION("""COMPUTED_VALUE"""),22.34)</f>
        <v>22.34</v>
      </c>
      <c r="F608" s="2">
        <f>IFERROR(__xludf.DUMMYFUNCTION("""COMPUTED_VALUE"""),126610.0)</f>
        <v>126610</v>
      </c>
    </row>
    <row r="609">
      <c r="A609" s="3">
        <f>IFERROR(__xludf.DUMMYFUNCTION("""COMPUTED_VALUE"""),37413.645833333336)</f>
        <v>37413.64583</v>
      </c>
      <c r="B609" s="2">
        <f>IFERROR(__xludf.DUMMYFUNCTION("""COMPUTED_VALUE"""),22.01)</f>
        <v>22.01</v>
      </c>
      <c r="C609" s="2">
        <f>IFERROR(__xludf.DUMMYFUNCTION("""COMPUTED_VALUE"""),22.5)</f>
        <v>22.5</v>
      </c>
      <c r="D609" s="2">
        <f>IFERROR(__xludf.DUMMYFUNCTION("""COMPUTED_VALUE"""),21.8)</f>
        <v>21.8</v>
      </c>
      <c r="E609" s="2">
        <f>IFERROR(__xludf.DUMMYFUNCTION("""COMPUTED_VALUE"""),22.22)</f>
        <v>22.22</v>
      </c>
      <c r="F609" s="2">
        <f>IFERROR(__xludf.DUMMYFUNCTION("""COMPUTED_VALUE"""),135120.0)</f>
        <v>135120</v>
      </c>
    </row>
    <row r="610">
      <c r="A610" s="3">
        <f>IFERROR(__xludf.DUMMYFUNCTION("""COMPUTED_VALUE"""),37414.645833333336)</f>
        <v>37414.64583</v>
      </c>
      <c r="B610" s="2">
        <f>IFERROR(__xludf.DUMMYFUNCTION("""COMPUTED_VALUE"""),22.3)</f>
        <v>22.3</v>
      </c>
      <c r="C610" s="2">
        <f>IFERROR(__xludf.DUMMYFUNCTION("""COMPUTED_VALUE"""),22.3)</f>
        <v>22.3</v>
      </c>
      <c r="D610" s="2">
        <f>IFERROR(__xludf.DUMMYFUNCTION("""COMPUTED_VALUE"""),21.62)</f>
        <v>21.62</v>
      </c>
      <c r="E610" s="2">
        <f>IFERROR(__xludf.DUMMYFUNCTION("""COMPUTED_VALUE"""),21.72)</f>
        <v>21.72</v>
      </c>
      <c r="F610" s="2">
        <f>IFERROR(__xludf.DUMMYFUNCTION("""COMPUTED_VALUE"""),108535.0)</f>
        <v>108535</v>
      </c>
    </row>
    <row r="611">
      <c r="A611" s="3">
        <f>IFERROR(__xludf.DUMMYFUNCTION("""COMPUTED_VALUE"""),37417.645833333336)</f>
        <v>37417.64583</v>
      </c>
      <c r="B611" s="2">
        <f>IFERROR(__xludf.DUMMYFUNCTION("""COMPUTED_VALUE"""),22.15)</f>
        <v>22.15</v>
      </c>
      <c r="C611" s="2">
        <f>IFERROR(__xludf.DUMMYFUNCTION("""COMPUTED_VALUE"""),22.15)</f>
        <v>22.15</v>
      </c>
      <c r="D611" s="2">
        <f>IFERROR(__xludf.DUMMYFUNCTION("""COMPUTED_VALUE"""),21.87)</f>
        <v>21.87</v>
      </c>
      <c r="E611" s="2">
        <f>IFERROR(__xludf.DUMMYFUNCTION("""COMPUTED_VALUE"""),21.99)</f>
        <v>21.99</v>
      </c>
      <c r="F611" s="2">
        <f>IFERROR(__xludf.DUMMYFUNCTION("""COMPUTED_VALUE"""),64129.0)</f>
        <v>64129</v>
      </c>
    </row>
    <row r="612">
      <c r="A612" s="3">
        <f>IFERROR(__xludf.DUMMYFUNCTION("""COMPUTED_VALUE"""),37418.645833333336)</f>
        <v>37418.64583</v>
      </c>
      <c r="B612" s="2">
        <f>IFERROR(__xludf.DUMMYFUNCTION("""COMPUTED_VALUE"""),22.5)</f>
        <v>22.5</v>
      </c>
      <c r="C612" s="2">
        <f>IFERROR(__xludf.DUMMYFUNCTION("""COMPUTED_VALUE"""),22.6)</f>
        <v>22.6</v>
      </c>
      <c r="D612" s="2">
        <f>IFERROR(__xludf.DUMMYFUNCTION("""COMPUTED_VALUE"""),21.87)</f>
        <v>21.87</v>
      </c>
      <c r="E612" s="2">
        <f>IFERROR(__xludf.DUMMYFUNCTION("""COMPUTED_VALUE"""),22.07)</f>
        <v>22.07</v>
      </c>
      <c r="F612" s="2">
        <f>IFERROR(__xludf.DUMMYFUNCTION("""COMPUTED_VALUE"""),36809.0)</f>
        <v>36809</v>
      </c>
    </row>
    <row r="613">
      <c r="A613" s="3">
        <f>IFERROR(__xludf.DUMMYFUNCTION("""COMPUTED_VALUE"""),37419.645833333336)</f>
        <v>37419.64583</v>
      </c>
      <c r="B613" s="2">
        <f>IFERROR(__xludf.DUMMYFUNCTION("""COMPUTED_VALUE"""),22.28)</f>
        <v>22.28</v>
      </c>
      <c r="C613" s="2">
        <f>IFERROR(__xludf.DUMMYFUNCTION("""COMPUTED_VALUE"""),22.28)</f>
        <v>22.28</v>
      </c>
      <c r="D613" s="2">
        <f>IFERROR(__xludf.DUMMYFUNCTION("""COMPUTED_VALUE"""),21.87)</f>
        <v>21.87</v>
      </c>
      <c r="E613" s="2">
        <f>IFERROR(__xludf.DUMMYFUNCTION("""COMPUTED_VALUE"""),21.99)</f>
        <v>21.99</v>
      </c>
      <c r="F613" s="2">
        <f>IFERROR(__xludf.DUMMYFUNCTION("""COMPUTED_VALUE"""),63780.0)</f>
        <v>63780</v>
      </c>
    </row>
    <row r="614">
      <c r="A614" s="3">
        <f>IFERROR(__xludf.DUMMYFUNCTION("""COMPUTED_VALUE"""),37420.645833333336)</f>
        <v>37420.64583</v>
      </c>
      <c r="B614" s="2">
        <f>IFERROR(__xludf.DUMMYFUNCTION("""COMPUTED_VALUE"""),21.92)</f>
        <v>21.92</v>
      </c>
      <c r="C614" s="2">
        <f>IFERROR(__xludf.DUMMYFUNCTION("""COMPUTED_VALUE"""),22.09)</f>
        <v>22.09</v>
      </c>
      <c r="D614" s="2">
        <f>IFERROR(__xludf.DUMMYFUNCTION("""COMPUTED_VALUE"""),21.86)</f>
        <v>21.86</v>
      </c>
      <c r="E614" s="2">
        <f>IFERROR(__xludf.DUMMYFUNCTION("""COMPUTED_VALUE"""),21.99)</f>
        <v>21.99</v>
      </c>
      <c r="F614" s="2">
        <f>IFERROR(__xludf.DUMMYFUNCTION("""COMPUTED_VALUE"""),81673.0)</f>
        <v>81673</v>
      </c>
    </row>
    <row r="615">
      <c r="A615" s="3">
        <f>IFERROR(__xludf.DUMMYFUNCTION("""COMPUTED_VALUE"""),37421.645833333336)</f>
        <v>37421.64583</v>
      </c>
      <c r="B615" s="2">
        <f>IFERROR(__xludf.DUMMYFUNCTION("""COMPUTED_VALUE"""),22.0)</f>
        <v>22</v>
      </c>
      <c r="C615" s="2">
        <f>IFERROR(__xludf.DUMMYFUNCTION("""COMPUTED_VALUE"""),22.08)</f>
        <v>22.08</v>
      </c>
      <c r="D615" s="2">
        <f>IFERROR(__xludf.DUMMYFUNCTION("""COMPUTED_VALUE"""),21.9)</f>
        <v>21.9</v>
      </c>
      <c r="E615" s="2">
        <f>IFERROR(__xludf.DUMMYFUNCTION("""COMPUTED_VALUE"""),21.99)</f>
        <v>21.99</v>
      </c>
      <c r="F615" s="2">
        <f>IFERROR(__xludf.DUMMYFUNCTION("""COMPUTED_VALUE"""),39506.0)</f>
        <v>39506</v>
      </c>
    </row>
    <row r="616">
      <c r="A616" s="3">
        <f>IFERROR(__xludf.DUMMYFUNCTION("""COMPUTED_VALUE"""),37424.645833333336)</f>
        <v>37424.64583</v>
      </c>
      <c r="B616" s="2">
        <f>IFERROR(__xludf.DUMMYFUNCTION("""COMPUTED_VALUE"""),22.0)</f>
        <v>22</v>
      </c>
      <c r="C616" s="2">
        <f>IFERROR(__xludf.DUMMYFUNCTION("""COMPUTED_VALUE"""),22.0)</f>
        <v>22</v>
      </c>
      <c r="D616" s="2">
        <f>IFERROR(__xludf.DUMMYFUNCTION("""COMPUTED_VALUE"""),21.86)</f>
        <v>21.86</v>
      </c>
      <c r="E616" s="2">
        <f>IFERROR(__xludf.DUMMYFUNCTION("""COMPUTED_VALUE"""),21.9)</f>
        <v>21.9</v>
      </c>
      <c r="F616" s="2">
        <f>IFERROR(__xludf.DUMMYFUNCTION("""COMPUTED_VALUE"""),143953.0)</f>
        <v>143953</v>
      </c>
    </row>
    <row r="617">
      <c r="A617" s="3">
        <f>IFERROR(__xludf.DUMMYFUNCTION("""COMPUTED_VALUE"""),37425.645833333336)</f>
        <v>37425.64583</v>
      </c>
      <c r="B617" s="2">
        <f>IFERROR(__xludf.DUMMYFUNCTION("""COMPUTED_VALUE"""),22.04)</f>
        <v>22.04</v>
      </c>
      <c r="C617" s="2">
        <f>IFERROR(__xludf.DUMMYFUNCTION("""COMPUTED_VALUE"""),22.1)</f>
        <v>22.1</v>
      </c>
      <c r="D617" s="2">
        <f>IFERROR(__xludf.DUMMYFUNCTION("""COMPUTED_VALUE"""),21.81)</f>
        <v>21.81</v>
      </c>
      <c r="E617" s="2">
        <f>IFERROR(__xludf.DUMMYFUNCTION("""COMPUTED_VALUE"""),21.86)</f>
        <v>21.86</v>
      </c>
      <c r="F617" s="2">
        <f>IFERROR(__xludf.DUMMYFUNCTION("""COMPUTED_VALUE"""),38660.0)</f>
        <v>38660</v>
      </c>
    </row>
    <row r="618">
      <c r="A618" s="3">
        <f>IFERROR(__xludf.DUMMYFUNCTION("""COMPUTED_VALUE"""),37426.645833333336)</f>
        <v>37426.64583</v>
      </c>
      <c r="B618" s="2">
        <f>IFERROR(__xludf.DUMMYFUNCTION("""COMPUTED_VALUE"""),21.8)</f>
        <v>21.8</v>
      </c>
      <c r="C618" s="2">
        <f>IFERROR(__xludf.DUMMYFUNCTION("""COMPUTED_VALUE"""),22.0)</f>
        <v>22</v>
      </c>
      <c r="D618" s="2">
        <f>IFERROR(__xludf.DUMMYFUNCTION("""COMPUTED_VALUE"""),21.8)</f>
        <v>21.8</v>
      </c>
      <c r="E618" s="2">
        <f>IFERROR(__xludf.DUMMYFUNCTION("""COMPUTED_VALUE"""),21.87)</f>
        <v>21.87</v>
      </c>
      <c r="F618" s="2">
        <f>IFERROR(__xludf.DUMMYFUNCTION("""COMPUTED_VALUE"""),33252.0)</f>
        <v>33252</v>
      </c>
    </row>
    <row r="619">
      <c r="A619" s="3">
        <f>IFERROR(__xludf.DUMMYFUNCTION("""COMPUTED_VALUE"""),37427.645833333336)</f>
        <v>37427.64583</v>
      </c>
      <c r="B619" s="2">
        <f>IFERROR(__xludf.DUMMYFUNCTION("""COMPUTED_VALUE"""),21.9)</f>
        <v>21.9</v>
      </c>
      <c r="C619" s="2">
        <f>IFERROR(__xludf.DUMMYFUNCTION("""COMPUTED_VALUE"""),22.18)</f>
        <v>22.18</v>
      </c>
      <c r="D619" s="2">
        <f>IFERROR(__xludf.DUMMYFUNCTION("""COMPUTED_VALUE"""),21.64)</f>
        <v>21.64</v>
      </c>
      <c r="E619" s="2">
        <f>IFERROR(__xludf.DUMMYFUNCTION("""COMPUTED_VALUE"""),21.84)</f>
        <v>21.84</v>
      </c>
      <c r="F619" s="2">
        <f>IFERROR(__xludf.DUMMYFUNCTION("""COMPUTED_VALUE"""),46363.0)</f>
        <v>46363</v>
      </c>
    </row>
    <row r="620">
      <c r="A620" s="3">
        <f>IFERROR(__xludf.DUMMYFUNCTION("""COMPUTED_VALUE"""),37428.645833333336)</f>
        <v>37428.64583</v>
      </c>
      <c r="B620" s="2">
        <f>IFERROR(__xludf.DUMMYFUNCTION("""COMPUTED_VALUE"""),21.86)</f>
        <v>21.86</v>
      </c>
      <c r="C620" s="2">
        <f>IFERROR(__xludf.DUMMYFUNCTION("""COMPUTED_VALUE"""),22.17)</f>
        <v>22.17</v>
      </c>
      <c r="D620" s="2">
        <f>IFERROR(__xludf.DUMMYFUNCTION("""COMPUTED_VALUE"""),21.7)</f>
        <v>21.7</v>
      </c>
      <c r="E620" s="2">
        <f>IFERROR(__xludf.DUMMYFUNCTION("""COMPUTED_VALUE"""),21.95)</f>
        <v>21.95</v>
      </c>
      <c r="F620" s="2">
        <f>IFERROR(__xludf.DUMMYFUNCTION("""COMPUTED_VALUE"""),22211.0)</f>
        <v>22211</v>
      </c>
    </row>
    <row r="621">
      <c r="A621" s="3">
        <f>IFERROR(__xludf.DUMMYFUNCTION("""COMPUTED_VALUE"""),37431.645833333336)</f>
        <v>37431.64583</v>
      </c>
      <c r="B621" s="2">
        <f>IFERROR(__xludf.DUMMYFUNCTION("""COMPUTED_VALUE"""),21.8)</f>
        <v>21.8</v>
      </c>
      <c r="C621" s="2">
        <f>IFERROR(__xludf.DUMMYFUNCTION("""COMPUTED_VALUE"""),21.8)</f>
        <v>21.8</v>
      </c>
      <c r="D621" s="2">
        <f>IFERROR(__xludf.DUMMYFUNCTION("""COMPUTED_VALUE"""),21.36)</f>
        <v>21.36</v>
      </c>
      <c r="E621" s="2">
        <f>IFERROR(__xludf.DUMMYFUNCTION("""COMPUTED_VALUE"""),21.46)</f>
        <v>21.46</v>
      </c>
      <c r="F621" s="2">
        <f>IFERROR(__xludf.DUMMYFUNCTION("""COMPUTED_VALUE"""),119995.0)</f>
        <v>119995</v>
      </c>
    </row>
    <row r="622">
      <c r="A622" s="3">
        <f>IFERROR(__xludf.DUMMYFUNCTION("""COMPUTED_VALUE"""),37432.645833333336)</f>
        <v>37432.64583</v>
      </c>
      <c r="B622" s="2">
        <f>IFERROR(__xludf.DUMMYFUNCTION("""COMPUTED_VALUE"""),21.5)</f>
        <v>21.5</v>
      </c>
      <c r="C622" s="2">
        <f>IFERROR(__xludf.DUMMYFUNCTION("""COMPUTED_VALUE"""),21.75)</f>
        <v>21.75</v>
      </c>
      <c r="D622" s="2">
        <f>IFERROR(__xludf.DUMMYFUNCTION("""COMPUTED_VALUE"""),21.3)</f>
        <v>21.3</v>
      </c>
      <c r="E622" s="2">
        <f>IFERROR(__xludf.DUMMYFUNCTION("""COMPUTED_VALUE"""),21.33)</f>
        <v>21.33</v>
      </c>
      <c r="F622" s="2">
        <f>IFERROR(__xludf.DUMMYFUNCTION("""COMPUTED_VALUE"""),69565.0)</f>
        <v>69565</v>
      </c>
    </row>
    <row r="623">
      <c r="A623" s="3">
        <f>IFERROR(__xludf.DUMMYFUNCTION("""COMPUTED_VALUE"""),37433.645833333336)</f>
        <v>37433.64583</v>
      </c>
      <c r="B623" s="2">
        <f>IFERROR(__xludf.DUMMYFUNCTION("""COMPUTED_VALUE"""),21.5)</f>
        <v>21.5</v>
      </c>
      <c r="C623" s="2">
        <f>IFERROR(__xludf.DUMMYFUNCTION("""COMPUTED_VALUE"""),21.5)</f>
        <v>21.5</v>
      </c>
      <c r="D623" s="2">
        <f>IFERROR(__xludf.DUMMYFUNCTION("""COMPUTED_VALUE"""),21.35)</f>
        <v>21.35</v>
      </c>
      <c r="E623" s="2">
        <f>IFERROR(__xludf.DUMMYFUNCTION("""COMPUTED_VALUE"""),21.44)</f>
        <v>21.44</v>
      </c>
      <c r="F623" s="2">
        <f>IFERROR(__xludf.DUMMYFUNCTION("""COMPUTED_VALUE"""),13692.0)</f>
        <v>13692</v>
      </c>
    </row>
    <row r="624">
      <c r="A624" s="3">
        <f>IFERROR(__xludf.DUMMYFUNCTION("""COMPUTED_VALUE"""),37434.645833333336)</f>
        <v>37434.64583</v>
      </c>
      <c r="B624" s="2">
        <f>IFERROR(__xludf.DUMMYFUNCTION("""COMPUTED_VALUE"""),21.41)</f>
        <v>21.41</v>
      </c>
      <c r="C624" s="2">
        <f>IFERROR(__xludf.DUMMYFUNCTION("""COMPUTED_VALUE"""),21.5)</f>
        <v>21.5</v>
      </c>
      <c r="D624" s="2">
        <f>IFERROR(__xludf.DUMMYFUNCTION("""COMPUTED_VALUE"""),20.58)</f>
        <v>20.58</v>
      </c>
      <c r="E624" s="2">
        <f>IFERROR(__xludf.DUMMYFUNCTION("""COMPUTED_VALUE"""),20.66)</f>
        <v>20.66</v>
      </c>
      <c r="F624" s="2">
        <f>IFERROR(__xludf.DUMMYFUNCTION("""COMPUTED_VALUE"""),116600.0)</f>
        <v>116600</v>
      </c>
    </row>
    <row r="625">
      <c r="A625" s="3">
        <f>IFERROR(__xludf.DUMMYFUNCTION("""COMPUTED_VALUE"""),37435.645833333336)</f>
        <v>37435.64583</v>
      </c>
      <c r="B625" s="2">
        <f>IFERROR(__xludf.DUMMYFUNCTION("""COMPUTED_VALUE"""),21.0)</f>
        <v>21</v>
      </c>
      <c r="C625" s="2">
        <f>IFERROR(__xludf.DUMMYFUNCTION("""COMPUTED_VALUE"""),21.03)</f>
        <v>21.03</v>
      </c>
      <c r="D625" s="2">
        <f>IFERROR(__xludf.DUMMYFUNCTION("""COMPUTED_VALUE"""),19.98)</f>
        <v>19.98</v>
      </c>
      <c r="E625" s="2">
        <f>IFERROR(__xludf.DUMMYFUNCTION("""COMPUTED_VALUE"""),20.16)</f>
        <v>20.16</v>
      </c>
      <c r="F625" s="2">
        <f>IFERROR(__xludf.DUMMYFUNCTION("""COMPUTED_VALUE"""),202772.0)</f>
        <v>202772</v>
      </c>
    </row>
    <row r="626">
      <c r="A626" s="3">
        <f>IFERROR(__xludf.DUMMYFUNCTION("""COMPUTED_VALUE"""),37438.645833333336)</f>
        <v>37438.64583</v>
      </c>
      <c r="B626" s="2">
        <f>IFERROR(__xludf.DUMMYFUNCTION("""COMPUTED_VALUE"""),20.0)</f>
        <v>20</v>
      </c>
      <c r="C626" s="2">
        <f>IFERROR(__xludf.DUMMYFUNCTION("""COMPUTED_VALUE"""),21.34)</f>
        <v>21.34</v>
      </c>
      <c r="D626" s="2">
        <f>IFERROR(__xludf.DUMMYFUNCTION("""COMPUTED_VALUE"""),20.0)</f>
        <v>20</v>
      </c>
      <c r="E626" s="2">
        <f>IFERROR(__xludf.DUMMYFUNCTION("""COMPUTED_VALUE"""),21.18)</f>
        <v>21.18</v>
      </c>
      <c r="F626" s="2">
        <f>IFERROR(__xludf.DUMMYFUNCTION("""COMPUTED_VALUE"""),173747.0)</f>
        <v>173747</v>
      </c>
    </row>
    <row r="627">
      <c r="A627" s="3">
        <f>IFERROR(__xludf.DUMMYFUNCTION("""COMPUTED_VALUE"""),37439.645833333336)</f>
        <v>37439.64583</v>
      </c>
      <c r="B627" s="2">
        <f>IFERROR(__xludf.DUMMYFUNCTION("""COMPUTED_VALUE"""),21.3)</f>
        <v>21.3</v>
      </c>
      <c r="C627" s="2">
        <f>IFERROR(__xludf.DUMMYFUNCTION("""COMPUTED_VALUE"""),21.3)</f>
        <v>21.3</v>
      </c>
      <c r="D627" s="2">
        <f>IFERROR(__xludf.DUMMYFUNCTION("""COMPUTED_VALUE"""),20.82)</f>
        <v>20.82</v>
      </c>
      <c r="E627" s="2">
        <f>IFERROR(__xludf.DUMMYFUNCTION("""COMPUTED_VALUE"""),20.97)</f>
        <v>20.97</v>
      </c>
      <c r="F627" s="2">
        <f>IFERROR(__xludf.DUMMYFUNCTION("""COMPUTED_VALUE"""),91140.0)</f>
        <v>91140</v>
      </c>
    </row>
    <row r="628">
      <c r="A628" s="3">
        <f>IFERROR(__xludf.DUMMYFUNCTION("""COMPUTED_VALUE"""),37440.645833333336)</f>
        <v>37440.64583</v>
      </c>
      <c r="B628" s="2">
        <f>IFERROR(__xludf.DUMMYFUNCTION("""COMPUTED_VALUE"""),21.0)</f>
        <v>21</v>
      </c>
      <c r="C628" s="2">
        <f>IFERROR(__xludf.DUMMYFUNCTION("""COMPUTED_VALUE"""),21.0)</f>
        <v>21</v>
      </c>
      <c r="D628" s="2">
        <f>IFERROR(__xludf.DUMMYFUNCTION("""COMPUTED_VALUE"""),20.8)</f>
        <v>20.8</v>
      </c>
      <c r="E628" s="2">
        <f>IFERROR(__xludf.DUMMYFUNCTION("""COMPUTED_VALUE"""),20.99)</f>
        <v>20.99</v>
      </c>
      <c r="F628" s="2">
        <f>IFERROR(__xludf.DUMMYFUNCTION("""COMPUTED_VALUE"""),38226.0)</f>
        <v>38226</v>
      </c>
    </row>
    <row r="629">
      <c r="A629" s="3">
        <f>IFERROR(__xludf.DUMMYFUNCTION("""COMPUTED_VALUE"""),37441.645833333336)</f>
        <v>37441.64583</v>
      </c>
      <c r="B629" s="2">
        <f>IFERROR(__xludf.DUMMYFUNCTION("""COMPUTED_VALUE"""),21.03)</f>
        <v>21.03</v>
      </c>
      <c r="C629" s="2">
        <f>IFERROR(__xludf.DUMMYFUNCTION("""COMPUTED_VALUE"""),21.85)</f>
        <v>21.85</v>
      </c>
      <c r="D629" s="2">
        <f>IFERROR(__xludf.DUMMYFUNCTION("""COMPUTED_VALUE"""),20.84)</f>
        <v>20.84</v>
      </c>
      <c r="E629" s="2">
        <f>IFERROR(__xludf.DUMMYFUNCTION("""COMPUTED_VALUE"""),21.74)</f>
        <v>21.74</v>
      </c>
      <c r="F629" s="2">
        <f>IFERROR(__xludf.DUMMYFUNCTION("""COMPUTED_VALUE"""),115440.0)</f>
        <v>115440</v>
      </c>
    </row>
    <row r="630">
      <c r="A630" s="3">
        <f>IFERROR(__xludf.DUMMYFUNCTION("""COMPUTED_VALUE"""),37442.645833333336)</f>
        <v>37442.64583</v>
      </c>
      <c r="B630" s="2">
        <f>IFERROR(__xludf.DUMMYFUNCTION("""COMPUTED_VALUE"""),21.85)</f>
        <v>21.85</v>
      </c>
      <c r="C630" s="2">
        <f>IFERROR(__xludf.DUMMYFUNCTION("""COMPUTED_VALUE"""),21.85)</f>
        <v>21.85</v>
      </c>
      <c r="D630" s="2">
        <f>IFERROR(__xludf.DUMMYFUNCTION("""COMPUTED_VALUE"""),21.1)</f>
        <v>21.1</v>
      </c>
      <c r="E630" s="2">
        <f>IFERROR(__xludf.DUMMYFUNCTION("""COMPUTED_VALUE"""),21.34)</f>
        <v>21.34</v>
      </c>
      <c r="F630" s="2">
        <f>IFERROR(__xludf.DUMMYFUNCTION("""COMPUTED_VALUE"""),46638.0)</f>
        <v>46638</v>
      </c>
    </row>
    <row r="631">
      <c r="A631" s="3">
        <f>IFERROR(__xludf.DUMMYFUNCTION("""COMPUTED_VALUE"""),37445.645833333336)</f>
        <v>37445.64583</v>
      </c>
      <c r="B631" s="2">
        <f>IFERROR(__xludf.DUMMYFUNCTION("""COMPUTED_VALUE"""),21.18)</f>
        <v>21.18</v>
      </c>
      <c r="C631" s="2">
        <f>IFERROR(__xludf.DUMMYFUNCTION("""COMPUTED_VALUE"""),21.6)</f>
        <v>21.6</v>
      </c>
      <c r="D631" s="2">
        <f>IFERROR(__xludf.DUMMYFUNCTION("""COMPUTED_VALUE"""),20.88)</f>
        <v>20.88</v>
      </c>
      <c r="E631" s="2">
        <f>IFERROR(__xludf.DUMMYFUNCTION("""COMPUTED_VALUE"""),20.97)</f>
        <v>20.97</v>
      </c>
      <c r="F631" s="2">
        <f>IFERROR(__xludf.DUMMYFUNCTION("""COMPUTED_VALUE"""),66340.0)</f>
        <v>66340</v>
      </c>
    </row>
    <row r="632">
      <c r="A632" s="3">
        <f>IFERROR(__xludf.DUMMYFUNCTION("""COMPUTED_VALUE"""),37446.645833333336)</f>
        <v>37446.64583</v>
      </c>
      <c r="B632" s="2">
        <f>IFERROR(__xludf.DUMMYFUNCTION("""COMPUTED_VALUE"""),21.23)</f>
        <v>21.23</v>
      </c>
      <c r="C632" s="2">
        <f>IFERROR(__xludf.DUMMYFUNCTION("""COMPUTED_VALUE"""),21.35)</f>
        <v>21.35</v>
      </c>
      <c r="D632" s="2">
        <f>IFERROR(__xludf.DUMMYFUNCTION("""COMPUTED_VALUE"""),20.8)</f>
        <v>20.8</v>
      </c>
      <c r="E632" s="2">
        <f>IFERROR(__xludf.DUMMYFUNCTION("""COMPUTED_VALUE"""),20.97)</f>
        <v>20.97</v>
      </c>
      <c r="F632" s="2">
        <f>IFERROR(__xludf.DUMMYFUNCTION("""COMPUTED_VALUE"""),86858.0)</f>
        <v>86858</v>
      </c>
    </row>
    <row r="633">
      <c r="A633" s="3">
        <f>IFERROR(__xludf.DUMMYFUNCTION("""COMPUTED_VALUE"""),37447.645833333336)</f>
        <v>37447.64583</v>
      </c>
      <c r="B633" s="2">
        <f>IFERROR(__xludf.DUMMYFUNCTION("""COMPUTED_VALUE"""),21.0)</f>
        <v>21</v>
      </c>
      <c r="C633" s="2">
        <f>IFERROR(__xludf.DUMMYFUNCTION("""COMPUTED_VALUE"""),21.1)</f>
        <v>21.1</v>
      </c>
      <c r="D633" s="2">
        <f>IFERROR(__xludf.DUMMYFUNCTION("""COMPUTED_VALUE"""),20.87)</f>
        <v>20.87</v>
      </c>
      <c r="E633" s="2">
        <f>IFERROR(__xludf.DUMMYFUNCTION("""COMPUTED_VALUE"""),21.03)</f>
        <v>21.03</v>
      </c>
      <c r="F633" s="2">
        <f>IFERROR(__xludf.DUMMYFUNCTION("""COMPUTED_VALUE"""),128222.0)</f>
        <v>128222</v>
      </c>
    </row>
    <row r="634">
      <c r="A634" s="3">
        <f>IFERROR(__xludf.DUMMYFUNCTION("""COMPUTED_VALUE"""),37448.645833333336)</f>
        <v>37448.64583</v>
      </c>
      <c r="B634" s="2">
        <f>IFERROR(__xludf.DUMMYFUNCTION("""COMPUTED_VALUE"""),21.1)</f>
        <v>21.1</v>
      </c>
      <c r="C634" s="2">
        <f>IFERROR(__xludf.DUMMYFUNCTION("""COMPUTED_VALUE"""),21.1)</f>
        <v>21.1</v>
      </c>
      <c r="D634" s="2">
        <f>IFERROR(__xludf.DUMMYFUNCTION("""COMPUTED_VALUE"""),20.85)</f>
        <v>20.85</v>
      </c>
      <c r="E634" s="2">
        <f>IFERROR(__xludf.DUMMYFUNCTION("""COMPUTED_VALUE"""),21.02)</f>
        <v>21.02</v>
      </c>
      <c r="F634" s="2">
        <f>IFERROR(__xludf.DUMMYFUNCTION("""COMPUTED_VALUE"""),49148.0)</f>
        <v>49148</v>
      </c>
    </row>
    <row r="635">
      <c r="A635" s="3">
        <f>IFERROR(__xludf.DUMMYFUNCTION("""COMPUTED_VALUE"""),37449.645833333336)</f>
        <v>37449.64583</v>
      </c>
      <c r="B635" s="2">
        <f>IFERROR(__xludf.DUMMYFUNCTION("""COMPUTED_VALUE"""),21.1)</f>
        <v>21.1</v>
      </c>
      <c r="C635" s="2">
        <f>IFERROR(__xludf.DUMMYFUNCTION("""COMPUTED_VALUE"""),21.1)</f>
        <v>21.1</v>
      </c>
      <c r="D635" s="2">
        <f>IFERROR(__xludf.DUMMYFUNCTION("""COMPUTED_VALUE"""),20.91)</f>
        <v>20.91</v>
      </c>
      <c r="E635" s="2">
        <f>IFERROR(__xludf.DUMMYFUNCTION("""COMPUTED_VALUE"""),21.0)</f>
        <v>21</v>
      </c>
      <c r="F635" s="2">
        <f>IFERROR(__xludf.DUMMYFUNCTION("""COMPUTED_VALUE"""),18484.0)</f>
        <v>18484</v>
      </c>
    </row>
    <row r="636">
      <c r="A636" s="3">
        <f>IFERROR(__xludf.DUMMYFUNCTION("""COMPUTED_VALUE"""),37452.645833333336)</f>
        <v>37452.64583</v>
      </c>
      <c r="B636" s="2">
        <f>IFERROR(__xludf.DUMMYFUNCTION("""COMPUTED_VALUE"""),20.95)</f>
        <v>20.95</v>
      </c>
      <c r="C636" s="2">
        <f>IFERROR(__xludf.DUMMYFUNCTION("""COMPUTED_VALUE"""),21.1)</f>
        <v>21.1</v>
      </c>
      <c r="D636" s="2">
        <f>IFERROR(__xludf.DUMMYFUNCTION("""COMPUTED_VALUE"""),20.92)</f>
        <v>20.92</v>
      </c>
      <c r="E636" s="2">
        <f>IFERROR(__xludf.DUMMYFUNCTION("""COMPUTED_VALUE"""),21.01)</f>
        <v>21.01</v>
      </c>
      <c r="F636" s="2">
        <f>IFERROR(__xludf.DUMMYFUNCTION("""COMPUTED_VALUE"""),33878.0)</f>
        <v>33878</v>
      </c>
    </row>
    <row r="637">
      <c r="A637" s="3">
        <f>IFERROR(__xludf.DUMMYFUNCTION("""COMPUTED_VALUE"""),37453.645833333336)</f>
        <v>37453.64583</v>
      </c>
      <c r="B637" s="2">
        <f>IFERROR(__xludf.DUMMYFUNCTION("""COMPUTED_VALUE"""),21.02)</f>
        <v>21.02</v>
      </c>
      <c r="C637" s="2">
        <f>IFERROR(__xludf.DUMMYFUNCTION("""COMPUTED_VALUE"""),21.2)</f>
        <v>21.2</v>
      </c>
      <c r="D637" s="2">
        <f>IFERROR(__xludf.DUMMYFUNCTION("""COMPUTED_VALUE"""),20.66)</f>
        <v>20.66</v>
      </c>
      <c r="E637" s="2">
        <f>IFERROR(__xludf.DUMMYFUNCTION("""COMPUTED_VALUE"""),21.07)</f>
        <v>21.07</v>
      </c>
      <c r="F637" s="2">
        <f>IFERROR(__xludf.DUMMYFUNCTION("""COMPUTED_VALUE"""),64718.0)</f>
        <v>64718</v>
      </c>
    </row>
    <row r="638">
      <c r="A638" s="3">
        <f>IFERROR(__xludf.DUMMYFUNCTION("""COMPUTED_VALUE"""),37454.645833333336)</f>
        <v>37454.64583</v>
      </c>
      <c r="B638" s="2">
        <f>IFERROR(__xludf.DUMMYFUNCTION("""COMPUTED_VALUE"""),21.03)</f>
        <v>21.03</v>
      </c>
      <c r="C638" s="2">
        <f>IFERROR(__xludf.DUMMYFUNCTION("""COMPUTED_VALUE"""),21.05)</f>
        <v>21.05</v>
      </c>
      <c r="D638" s="2">
        <f>IFERROR(__xludf.DUMMYFUNCTION("""COMPUTED_VALUE"""),20.77)</f>
        <v>20.77</v>
      </c>
      <c r="E638" s="2">
        <f>IFERROR(__xludf.DUMMYFUNCTION("""COMPUTED_VALUE"""),20.99)</f>
        <v>20.99</v>
      </c>
      <c r="F638" s="2">
        <f>IFERROR(__xludf.DUMMYFUNCTION("""COMPUTED_VALUE"""),75479.0)</f>
        <v>75479</v>
      </c>
    </row>
    <row r="639">
      <c r="A639" s="3">
        <f>IFERROR(__xludf.DUMMYFUNCTION("""COMPUTED_VALUE"""),37455.645833333336)</f>
        <v>37455.64583</v>
      </c>
      <c r="B639" s="2">
        <f>IFERROR(__xludf.DUMMYFUNCTION("""COMPUTED_VALUE"""),21.27)</f>
        <v>21.27</v>
      </c>
      <c r="C639" s="2">
        <f>IFERROR(__xludf.DUMMYFUNCTION("""COMPUTED_VALUE"""),21.36)</f>
        <v>21.36</v>
      </c>
      <c r="D639" s="2">
        <f>IFERROR(__xludf.DUMMYFUNCTION("""COMPUTED_VALUE"""),20.92)</f>
        <v>20.92</v>
      </c>
      <c r="E639" s="2">
        <f>IFERROR(__xludf.DUMMYFUNCTION("""COMPUTED_VALUE"""),21.07)</f>
        <v>21.07</v>
      </c>
      <c r="F639" s="2">
        <f>IFERROR(__xludf.DUMMYFUNCTION("""COMPUTED_VALUE"""),36652.0)</f>
        <v>36652</v>
      </c>
    </row>
    <row r="640">
      <c r="A640" s="3">
        <f>IFERROR(__xludf.DUMMYFUNCTION("""COMPUTED_VALUE"""),37456.645833333336)</f>
        <v>37456.64583</v>
      </c>
      <c r="B640" s="2">
        <f>IFERROR(__xludf.DUMMYFUNCTION("""COMPUTED_VALUE"""),20.93)</f>
        <v>20.93</v>
      </c>
      <c r="C640" s="2">
        <f>IFERROR(__xludf.DUMMYFUNCTION("""COMPUTED_VALUE"""),21.5)</f>
        <v>21.5</v>
      </c>
      <c r="D640" s="2">
        <f>IFERROR(__xludf.DUMMYFUNCTION("""COMPUTED_VALUE"""),20.9)</f>
        <v>20.9</v>
      </c>
      <c r="E640" s="2">
        <f>IFERROR(__xludf.DUMMYFUNCTION("""COMPUTED_VALUE"""),21.42)</f>
        <v>21.42</v>
      </c>
      <c r="F640" s="2">
        <f>IFERROR(__xludf.DUMMYFUNCTION("""COMPUTED_VALUE"""),96170.0)</f>
        <v>96170</v>
      </c>
    </row>
    <row r="641">
      <c r="A641" s="3">
        <f>IFERROR(__xludf.DUMMYFUNCTION("""COMPUTED_VALUE"""),37459.645833333336)</f>
        <v>37459.64583</v>
      </c>
      <c r="B641" s="2">
        <f>IFERROR(__xludf.DUMMYFUNCTION("""COMPUTED_VALUE"""),21.9)</f>
        <v>21.9</v>
      </c>
      <c r="C641" s="2">
        <f>IFERROR(__xludf.DUMMYFUNCTION("""COMPUTED_VALUE"""),21.9)</f>
        <v>21.9</v>
      </c>
      <c r="D641" s="2">
        <f>IFERROR(__xludf.DUMMYFUNCTION("""COMPUTED_VALUE"""),21.13)</f>
        <v>21.13</v>
      </c>
      <c r="E641" s="2">
        <f>IFERROR(__xludf.DUMMYFUNCTION("""COMPUTED_VALUE"""),21.49)</f>
        <v>21.49</v>
      </c>
      <c r="F641" s="2">
        <f>IFERROR(__xludf.DUMMYFUNCTION("""COMPUTED_VALUE"""),217383.0)</f>
        <v>217383</v>
      </c>
    </row>
    <row r="642">
      <c r="A642" s="3">
        <f>IFERROR(__xludf.DUMMYFUNCTION("""COMPUTED_VALUE"""),37460.645833333336)</f>
        <v>37460.64583</v>
      </c>
      <c r="B642" s="2">
        <f>IFERROR(__xludf.DUMMYFUNCTION("""COMPUTED_VALUE"""),21.7)</f>
        <v>21.7</v>
      </c>
      <c r="C642" s="2">
        <f>IFERROR(__xludf.DUMMYFUNCTION("""COMPUTED_VALUE"""),21.91)</f>
        <v>21.91</v>
      </c>
      <c r="D642" s="2">
        <f>IFERROR(__xludf.DUMMYFUNCTION("""COMPUTED_VALUE"""),21.31)</f>
        <v>21.31</v>
      </c>
      <c r="E642" s="2">
        <f>IFERROR(__xludf.DUMMYFUNCTION("""COMPUTED_VALUE"""),21.48)</f>
        <v>21.48</v>
      </c>
      <c r="F642" s="2">
        <f>IFERROR(__xludf.DUMMYFUNCTION("""COMPUTED_VALUE"""),112241.0)</f>
        <v>112241</v>
      </c>
    </row>
    <row r="643">
      <c r="A643" s="3">
        <f>IFERROR(__xludf.DUMMYFUNCTION("""COMPUTED_VALUE"""),37461.645833333336)</f>
        <v>37461.64583</v>
      </c>
      <c r="B643" s="2">
        <f>IFERROR(__xludf.DUMMYFUNCTION("""COMPUTED_VALUE"""),21.55)</f>
        <v>21.55</v>
      </c>
      <c r="C643" s="2">
        <f>IFERROR(__xludf.DUMMYFUNCTION("""COMPUTED_VALUE"""),21.55)</f>
        <v>21.55</v>
      </c>
      <c r="D643" s="2">
        <f>IFERROR(__xludf.DUMMYFUNCTION("""COMPUTED_VALUE"""),20.9)</f>
        <v>20.9</v>
      </c>
      <c r="E643" s="2">
        <f>IFERROR(__xludf.DUMMYFUNCTION("""COMPUTED_VALUE"""),21.11)</f>
        <v>21.11</v>
      </c>
      <c r="F643" s="2">
        <f>IFERROR(__xludf.DUMMYFUNCTION("""COMPUTED_VALUE"""),40471.0)</f>
        <v>40471</v>
      </c>
    </row>
    <row r="644">
      <c r="A644" s="3">
        <f>IFERROR(__xludf.DUMMYFUNCTION("""COMPUTED_VALUE"""),37462.645833333336)</f>
        <v>37462.64583</v>
      </c>
      <c r="B644" s="2">
        <f>IFERROR(__xludf.DUMMYFUNCTION("""COMPUTED_VALUE"""),21.3)</f>
        <v>21.3</v>
      </c>
      <c r="C644" s="2">
        <f>IFERROR(__xludf.DUMMYFUNCTION("""COMPUTED_VALUE"""),21.3)</f>
        <v>21.3</v>
      </c>
      <c r="D644" s="2">
        <f>IFERROR(__xludf.DUMMYFUNCTION("""COMPUTED_VALUE"""),21.03)</f>
        <v>21.03</v>
      </c>
      <c r="E644" s="2">
        <f>IFERROR(__xludf.DUMMYFUNCTION("""COMPUTED_VALUE"""),21.28)</f>
        <v>21.28</v>
      </c>
      <c r="F644" s="2">
        <f>IFERROR(__xludf.DUMMYFUNCTION("""COMPUTED_VALUE"""),34361.0)</f>
        <v>34361</v>
      </c>
    </row>
    <row r="645">
      <c r="A645" s="3">
        <f>IFERROR(__xludf.DUMMYFUNCTION("""COMPUTED_VALUE"""),37463.645833333336)</f>
        <v>37463.64583</v>
      </c>
      <c r="B645" s="2">
        <f>IFERROR(__xludf.DUMMYFUNCTION("""COMPUTED_VALUE"""),21.19)</f>
        <v>21.19</v>
      </c>
      <c r="C645" s="2">
        <f>IFERROR(__xludf.DUMMYFUNCTION("""COMPUTED_VALUE"""),21.4)</f>
        <v>21.4</v>
      </c>
      <c r="D645" s="2">
        <f>IFERROR(__xludf.DUMMYFUNCTION("""COMPUTED_VALUE"""),20.93)</f>
        <v>20.93</v>
      </c>
      <c r="E645" s="2">
        <f>IFERROR(__xludf.DUMMYFUNCTION("""COMPUTED_VALUE"""),21.1)</f>
        <v>21.1</v>
      </c>
      <c r="F645" s="2">
        <f>IFERROR(__xludf.DUMMYFUNCTION("""COMPUTED_VALUE"""),73714.0)</f>
        <v>73714</v>
      </c>
    </row>
    <row r="646">
      <c r="A646" s="3">
        <f>IFERROR(__xludf.DUMMYFUNCTION("""COMPUTED_VALUE"""),37466.645833333336)</f>
        <v>37466.64583</v>
      </c>
      <c r="B646" s="2">
        <f>IFERROR(__xludf.DUMMYFUNCTION("""COMPUTED_VALUE"""),20.95)</f>
        <v>20.95</v>
      </c>
      <c r="C646" s="2">
        <f>IFERROR(__xludf.DUMMYFUNCTION("""COMPUTED_VALUE"""),21.45)</f>
        <v>21.45</v>
      </c>
      <c r="D646" s="2">
        <f>IFERROR(__xludf.DUMMYFUNCTION("""COMPUTED_VALUE"""),20.95)</f>
        <v>20.95</v>
      </c>
      <c r="E646" s="2">
        <f>IFERROR(__xludf.DUMMYFUNCTION("""COMPUTED_VALUE"""),21.23)</f>
        <v>21.23</v>
      </c>
      <c r="F646" s="2">
        <f>IFERROR(__xludf.DUMMYFUNCTION("""COMPUTED_VALUE"""),44779.0)</f>
        <v>44779</v>
      </c>
    </row>
    <row r="647">
      <c r="A647" s="3">
        <f>IFERROR(__xludf.DUMMYFUNCTION("""COMPUTED_VALUE"""),37467.645833333336)</f>
        <v>37467.64583</v>
      </c>
      <c r="B647" s="2">
        <f>IFERROR(__xludf.DUMMYFUNCTION("""COMPUTED_VALUE"""),21.22)</f>
        <v>21.22</v>
      </c>
      <c r="C647" s="2">
        <f>IFERROR(__xludf.DUMMYFUNCTION("""COMPUTED_VALUE"""),21.25)</f>
        <v>21.25</v>
      </c>
      <c r="D647" s="2">
        <f>IFERROR(__xludf.DUMMYFUNCTION("""COMPUTED_VALUE"""),20.97)</f>
        <v>20.97</v>
      </c>
      <c r="E647" s="2">
        <f>IFERROR(__xludf.DUMMYFUNCTION("""COMPUTED_VALUE"""),21.02)</f>
        <v>21.02</v>
      </c>
      <c r="F647" s="2">
        <f>IFERROR(__xludf.DUMMYFUNCTION("""COMPUTED_VALUE"""),45439.0)</f>
        <v>45439</v>
      </c>
    </row>
    <row r="648">
      <c r="A648" s="3">
        <f>IFERROR(__xludf.DUMMYFUNCTION("""COMPUTED_VALUE"""),37468.645833333336)</f>
        <v>37468.64583</v>
      </c>
      <c r="B648" s="2">
        <f>IFERROR(__xludf.DUMMYFUNCTION("""COMPUTED_VALUE"""),21.0)</f>
        <v>21</v>
      </c>
      <c r="C648" s="2">
        <f>IFERROR(__xludf.DUMMYFUNCTION("""COMPUTED_VALUE"""),21.4)</f>
        <v>21.4</v>
      </c>
      <c r="D648" s="2">
        <f>IFERROR(__xludf.DUMMYFUNCTION("""COMPUTED_VALUE"""),20.93)</f>
        <v>20.93</v>
      </c>
      <c r="E648" s="2">
        <f>IFERROR(__xludf.DUMMYFUNCTION("""COMPUTED_VALUE"""),21.28)</f>
        <v>21.28</v>
      </c>
      <c r="F648" s="2">
        <f>IFERROR(__xludf.DUMMYFUNCTION("""COMPUTED_VALUE"""),56705.0)</f>
        <v>56705</v>
      </c>
    </row>
    <row r="649">
      <c r="A649" s="3">
        <f>IFERROR(__xludf.DUMMYFUNCTION("""COMPUTED_VALUE"""),37469.645833333336)</f>
        <v>37469.64583</v>
      </c>
      <c r="B649" s="2">
        <f>IFERROR(__xludf.DUMMYFUNCTION("""COMPUTED_VALUE"""),21.4)</f>
        <v>21.4</v>
      </c>
      <c r="C649" s="2">
        <f>IFERROR(__xludf.DUMMYFUNCTION("""COMPUTED_VALUE"""),21.4)</f>
        <v>21.4</v>
      </c>
      <c r="D649" s="2">
        <f>IFERROR(__xludf.DUMMYFUNCTION("""COMPUTED_VALUE"""),20.75)</f>
        <v>20.75</v>
      </c>
      <c r="E649" s="2">
        <f>IFERROR(__xludf.DUMMYFUNCTION("""COMPUTED_VALUE"""),21.09)</f>
        <v>21.09</v>
      </c>
      <c r="F649" s="2">
        <f>IFERROR(__xludf.DUMMYFUNCTION("""COMPUTED_VALUE"""),50123.0)</f>
        <v>50123</v>
      </c>
    </row>
    <row r="650">
      <c r="A650" s="3">
        <f>IFERROR(__xludf.DUMMYFUNCTION("""COMPUTED_VALUE"""),37470.645833333336)</f>
        <v>37470.64583</v>
      </c>
      <c r="B650" s="2">
        <f>IFERROR(__xludf.DUMMYFUNCTION("""COMPUTED_VALUE"""),21.0)</f>
        <v>21</v>
      </c>
      <c r="C650" s="2">
        <f>IFERROR(__xludf.DUMMYFUNCTION("""COMPUTED_VALUE"""),21.05)</f>
        <v>21.05</v>
      </c>
      <c r="D650" s="2">
        <f>IFERROR(__xludf.DUMMYFUNCTION("""COMPUTED_VALUE"""),20.84)</f>
        <v>20.84</v>
      </c>
      <c r="E650" s="2">
        <f>IFERROR(__xludf.DUMMYFUNCTION("""COMPUTED_VALUE"""),21.0)</f>
        <v>21</v>
      </c>
      <c r="F650" s="2">
        <f>IFERROR(__xludf.DUMMYFUNCTION("""COMPUTED_VALUE"""),18924.0)</f>
        <v>18924</v>
      </c>
    </row>
    <row r="651">
      <c r="A651" s="3">
        <f>IFERROR(__xludf.DUMMYFUNCTION("""COMPUTED_VALUE"""),37473.645833333336)</f>
        <v>37473.64583</v>
      </c>
      <c r="B651" s="2">
        <f>IFERROR(__xludf.DUMMYFUNCTION("""COMPUTED_VALUE"""),21.29)</f>
        <v>21.29</v>
      </c>
      <c r="C651" s="2">
        <f>IFERROR(__xludf.DUMMYFUNCTION("""COMPUTED_VALUE"""),21.29)</f>
        <v>21.29</v>
      </c>
      <c r="D651" s="2">
        <f>IFERROR(__xludf.DUMMYFUNCTION("""COMPUTED_VALUE"""),20.96)</f>
        <v>20.96</v>
      </c>
      <c r="E651" s="2">
        <f>IFERROR(__xludf.DUMMYFUNCTION("""COMPUTED_VALUE"""),21.0)</f>
        <v>21</v>
      </c>
      <c r="F651" s="2">
        <f>IFERROR(__xludf.DUMMYFUNCTION("""COMPUTED_VALUE"""),22037.0)</f>
        <v>22037</v>
      </c>
    </row>
    <row r="652">
      <c r="A652" s="3">
        <f>IFERROR(__xludf.DUMMYFUNCTION("""COMPUTED_VALUE"""),37474.645833333336)</f>
        <v>37474.64583</v>
      </c>
      <c r="B652" s="2">
        <f>IFERROR(__xludf.DUMMYFUNCTION("""COMPUTED_VALUE"""),21.01)</f>
        <v>21.01</v>
      </c>
      <c r="C652" s="2">
        <f>IFERROR(__xludf.DUMMYFUNCTION("""COMPUTED_VALUE"""),21.18)</f>
        <v>21.18</v>
      </c>
      <c r="D652" s="2">
        <f>IFERROR(__xludf.DUMMYFUNCTION("""COMPUTED_VALUE"""),20.93)</f>
        <v>20.93</v>
      </c>
      <c r="E652" s="2">
        <f>IFERROR(__xludf.DUMMYFUNCTION("""COMPUTED_VALUE"""),21.09)</f>
        <v>21.09</v>
      </c>
      <c r="F652" s="2">
        <f>IFERROR(__xludf.DUMMYFUNCTION("""COMPUTED_VALUE"""),25955.0)</f>
        <v>25955</v>
      </c>
    </row>
    <row r="653">
      <c r="A653" s="3">
        <f>IFERROR(__xludf.DUMMYFUNCTION("""COMPUTED_VALUE"""),37475.645833333336)</f>
        <v>37475.64583</v>
      </c>
      <c r="B653" s="2">
        <f>IFERROR(__xludf.DUMMYFUNCTION("""COMPUTED_VALUE"""),21.01)</f>
        <v>21.01</v>
      </c>
      <c r="C653" s="2">
        <f>IFERROR(__xludf.DUMMYFUNCTION("""COMPUTED_VALUE"""),21.1)</f>
        <v>21.1</v>
      </c>
      <c r="D653" s="2">
        <f>IFERROR(__xludf.DUMMYFUNCTION("""COMPUTED_VALUE"""),20.99)</f>
        <v>20.99</v>
      </c>
      <c r="E653" s="2">
        <f>IFERROR(__xludf.DUMMYFUNCTION("""COMPUTED_VALUE"""),21.03)</f>
        <v>21.03</v>
      </c>
      <c r="F653" s="2">
        <f>IFERROR(__xludf.DUMMYFUNCTION("""COMPUTED_VALUE"""),32794.0)</f>
        <v>32794</v>
      </c>
    </row>
    <row r="654">
      <c r="A654" s="3">
        <f>IFERROR(__xludf.DUMMYFUNCTION("""COMPUTED_VALUE"""),37476.645833333336)</f>
        <v>37476.64583</v>
      </c>
      <c r="B654" s="2">
        <f>IFERROR(__xludf.DUMMYFUNCTION("""COMPUTED_VALUE"""),20.92)</f>
        <v>20.92</v>
      </c>
      <c r="C654" s="2">
        <f>IFERROR(__xludf.DUMMYFUNCTION("""COMPUTED_VALUE"""),21.07)</f>
        <v>21.07</v>
      </c>
      <c r="D654" s="2">
        <f>IFERROR(__xludf.DUMMYFUNCTION("""COMPUTED_VALUE"""),20.85)</f>
        <v>20.85</v>
      </c>
      <c r="E654" s="2">
        <f>IFERROR(__xludf.DUMMYFUNCTION("""COMPUTED_VALUE"""),20.94)</f>
        <v>20.94</v>
      </c>
      <c r="F654" s="2">
        <f>IFERROR(__xludf.DUMMYFUNCTION("""COMPUTED_VALUE"""),37812.0)</f>
        <v>37812</v>
      </c>
    </row>
    <row r="655">
      <c r="A655" s="3">
        <f>IFERROR(__xludf.DUMMYFUNCTION("""COMPUTED_VALUE"""),37477.645833333336)</f>
        <v>37477.64583</v>
      </c>
      <c r="B655" s="2">
        <f>IFERROR(__xludf.DUMMYFUNCTION("""COMPUTED_VALUE"""),20.81)</f>
        <v>20.81</v>
      </c>
      <c r="C655" s="2">
        <f>IFERROR(__xludf.DUMMYFUNCTION("""COMPUTED_VALUE"""),21.02)</f>
        <v>21.02</v>
      </c>
      <c r="D655" s="2">
        <f>IFERROR(__xludf.DUMMYFUNCTION("""COMPUTED_VALUE"""),20.81)</f>
        <v>20.81</v>
      </c>
      <c r="E655" s="2">
        <f>IFERROR(__xludf.DUMMYFUNCTION("""COMPUTED_VALUE"""),21.0)</f>
        <v>21</v>
      </c>
      <c r="F655" s="2">
        <f>IFERROR(__xludf.DUMMYFUNCTION("""COMPUTED_VALUE"""),77051.0)</f>
        <v>77051</v>
      </c>
    </row>
    <row r="656">
      <c r="A656" s="3">
        <f>IFERROR(__xludf.DUMMYFUNCTION("""COMPUTED_VALUE"""),37480.645833333336)</f>
        <v>37480.64583</v>
      </c>
      <c r="B656" s="2">
        <f>IFERROR(__xludf.DUMMYFUNCTION("""COMPUTED_VALUE"""),20.88)</f>
        <v>20.88</v>
      </c>
      <c r="C656" s="2">
        <f>IFERROR(__xludf.DUMMYFUNCTION("""COMPUTED_VALUE"""),21.05)</f>
        <v>21.05</v>
      </c>
      <c r="D656" s="2">
        <f>IFERROR(__xludf.DUMMYFUNCTION("""COMPUTED_VALUE"""),20.88)</f>
        <v>20.88</v>
      </c>
      <c r="E656" s="2">
        <f>IFERROR(__xludf.DUMMYFUNCTION("""COMPUTED_VALUE"""),20.98)</f>
        <v>20.98</v>
      </c>
      <c r="F656" s="2">
        <f>IFERROR(__xludf.DUMMYFUNCTION("""COMPUTED_VALUE"""),50422.0)</f>
        <v>50422</v>
      </c>
    </row>
    <row r="657">
      <c r="A657" s="3">
        <f>IFERROR(__xludf.DUMMYFUNCTION("""COMPUTED_VALUE"""),37481.645833333336)</f>
        <v>37481.64583</v>
      </c>
      <c r="B657" s="2">
        <f>IFERROR(__xludf.DUMMYFUNCTION("""COMPUTED_VALUE"""),21.0)</f>
        <v>21</v>
      </c>
      <c r="C657" s="2">
        <f>IFERROR(__xludf.DUMMYFUNCTION("""COMPUTED_VALUE"""),21.5)</f>
        <v>21.5</v>
      </c>
      <c r="D657" s="2">
        <f>IFERROR(__xludf.DUMMYFUNCTION("""COMPUTED_VALUE"""),20.91)</f>
        <v>20.91</v>
      </c>
      <c r="E657" s="2">
        <f>IFERROR(__xludf.DUMMYFUNCTION("""COMPUTED_VALUE"""),21.15)</f>
        <v>21.15</v>
      </c>
      <c r="F657" s="2">
        <f>IFERROR(__xludf.DUMMYFUNCTION("""COMPUTED_VALUE"""),31055.0)</f>
        <v>31055</v>
      </c>
    </row>
    <row r="658">
      <c r="A658" s="3">
        <f>IFERROR(__xludf.DUMMYFUNCTION("""COMPUTED_VALUE"""),37482.645833333336)</f>
        <v>37482.64583</v>
      </c>
      <c r="B658" s="2">
        <f>IFERROR(__xludf.DUMMYFUNCTION("""COMPUTED_VALUE"""),21.01)</f>
        <v>21.01</v>
      </c>
      <c r="C658" s="2">
        <f>IFERROR(__xludf.DUMMYFUNCTION("""COMPUTED_VALUE"""),21.28)</f>
        <v>21.28</v>
      </c>
      <c r="D658" s="2">
        <f>IFERROR(__xludf.DUMMYFUNCTION("""COMPUTED_VALUE"""),20.74)</f>
        <v>20.74</v>
      </c>
      <c r="E658" s="2">
        <f>IFERROR(__xludf.DUMMYFUNCTION("""COMPUTED_VALUE"""),20.83)</f>
        <v>20.83</v>
      </c>
      <c r="F658" s="2">
        <f>IFERROR(__xludf.DUMMYFUNCTION("""COMPUTED_VALUE"""),23487.0)</f>
        <v>23487</v>
      </c>
    </row>
    <row r="659">
      <c r="A659" s="3">
        <f>IFERROR(__xludf.DUMMYFUNCTION("""COMPUTED_VALUE"""),37484.645833333336)</f>
        <v>37484.64583</v>
      </c>
      <c r="B659" s="2">
        <f>IFERROR(__xludf.DUMMYFUNCTION("""COMPUTED_VALUE"""),20.92)</f>
        <v>20.92</v>
      </c>
      <c r="C659" s="2">
        <f>IFERROR(__xludf.DUMMYFUNCTION("""COMPUTED_VALUE"""),21.18)</f>
        <v>21.18</v>
      </c>
      <c r="D659" s="2">
        <f>IFERROR(__xludf.DUMMYFUNCTION("""COMPUTED_VALUE"""),20.83)</f>
        <v>20.83</v>
      </c>
      <c r="E659" s="2">
        <f>IFERROR(__xludf.DUMMYFUNCTION("""COMPUTED_VALUE"""),21.03)</f>
        <v>21.03</v>
      </c>
      <c r="F659" s="2">
        <f>IFERROR(__xludf.DUMMYFUNCTION("""COMPUTED_VALUE"""),68272.0)</f>
        <v>68272</v>
      </c>
    </row>
    <row r="660">
      <c r="A660" s="3">
        <f>IFERROR(__xludf.DUMMYFUNCTION("""COMPUTED_VALUE"""),37487.645833333336)</f>
        <v>37487.64583</v>
      </c>
      <c r="B660" s="2">
        <f>IFERROR(__xludf.DUMMYFUNCTION("""COMPUTED_VALUE"""),21.05)</f>
        <v>21.05</v>
      </c>
      <c r="C660" s="2">
        <f>IFERROR(__xludf.DUMMYFUNCTION("""COMPUTED_VALUE"""),21.2)</f>
        <v>21.2</v>
      </c>
      <c r="D660" s="2">
        <f>IFERROR(__xludf.DUMMYFUNCTION("""COMPUTED_VALUE"""),20.95)</f>
        <v>20.95</v>
      </c>
      <c r="E660" s="2">
        <f>IFERROR(__xludf.DUMMYFUNCTION("""COMPUTED_VALUE"""),21.1)</f>
        <v>21.1</v>
      </c>
      <c r="F660" s="2">
        <f>IFERROR(__xludf.DUMMYFUNCTION("""COMPUTED_VALUE"""),49330.0)</f>
        <v>49330</v>
      </c>
    </row>
    <row r="661">
      <c r="A661" s="3">
        <f>IFERROR(__xludf.DUMMYFUNCTION("""COMPUTED_VALUE"""),37488.645833333336)</f>
        <v>37488.64583</v>
      </c>
      <c r="B661" s="2">
        <f>IFERROR(__xludf.DUMMYFUNCTION("""COMPUTED_VALUE"""),21.2)</f>
        <v>21.2</v>
      </c>
      <c r="C661" s="2">
        <f>IFERROR(__xludf.DUMMYFUNCTION("""COMPUTED_VALUE"""),21.2)</f>
        <v>21.2</v>
      </c>
      <c r="D661" s="2">
        <f>IFERROR(__xludf.DUMMYFUNCTION("""COMPUTED_VALUE"""),20.98)</f>
        <v>20.98</v>
      </c>
      <c r="E661" s="2">
        <f>IFERROR(__xludf.DUMMYFUNCTION("""COMPUTED_VALUE"""),21.16)</f>
        <v>21.16</v>
      </c>
      <c r="F661" s="2">
        <f>IFERROR(__xludf.DUMMYFUNCTION("""COMPUTED_VALUE"""),38572.0)</f>
        <v>38572</v>
      </c>
    </row>
    <row r="662">
      <c r="A662" s="3">
        <f>IFERROR(__xludf.DUMMYFUNCTION("""COMPUTED_VALUE"""),37489.645833333336)</f>
        <v>37489.64583</v>
      </c>
      <c r="B662" s="2">
        <f>IFERROR(__xludf.DUMMYFUNCTION("""COMPUTED_VALUE"""),21.0)</f>
        <v>21</v>
      </c>
      <c r="C662" s="2">
        <f>IFERROR(__xludf.DUMMYFUNCTION("""COMPUTED_VALUE"""),21.05)</f>
        <v>21.05</v>
      </c>
      <c r="D662" s="2">
        <f>IFERROR(__xludf.DUMMYFUNCTION("""COMPUTED_VALUE"""),20.81)</f>
        <v>20.81</v>
      </c>
      <c r="E662" s="2">
        <f>IFERROR(__xludf.DUMMYFUNCTION("""COMPUTED_VALUE"""),20.94)</f>
        <v>20.94</v>
      </c>
      <c r="F662" s="2">
        <f>IFERROR(__xludf.DUMMYFUNCTION("""COMPUTED_VALUE"""),134260.0)</f>
        <v>134260</v>
      </c>
    </row>
    <row r="663">
      <c r="A663" s="3">
        <f>IFERROR(__xludf.DUMMYFUNCTION("""COMPUTED_VALUE"""),37490.645833333336)</f>
        <v>37490.64583</v>
      </c>
      <c r="B663" s="2">
        <f>IFERROR(__xludf.DUMMYFUNCTION("""COMPUTED_VALUE"""),21.0)</f>
        <v>21</v>
      </c>
      <c r="C663" s="2">
        <f>IFERROR(__xludf.DUMMYFUNCTION("""COMPUTED_VALUE"""),21.1)</f>
        <v>21.1</v>
      </c>
      <c r="D663" s="2">
        <f>IFERROR(__xludf.DUMMYFUNCTION("""COMPUTED_VALUE"""),20.7)</f>
        <v>20.7</v>
      </c>
      <c r="E663" s="2">
        <f>IFERROR(__xludf.DUMMYFUNCTION("""COMPUTED_VALUE"""),20.9)</f>
        <v>20.9</v>
      </c>
      <c r="F663" s="2">
        <f>IFERROR(__xludf.DUMMYFUNCTION("""COMPUTED_VALUE"""),44443.0)</f>
        <v>44443</v>
      </c>
    </row>
    <row r="664">
      <c r="A664" s="3">
        <f>IFERROR(__xludf.DUMMYFUNCTION("""COMPUTED_VALUE"""),37491.645833333336)</f>
        <v>37491.64583</v>
      </c>
      <c r="B664" s="2">
        <f>IFERROR(__xludf.DUMMYFUNCTION("""COMPUTED_VALUE"""),20.73)</f>
        <v>20.73</v>
      </c>
      <c r="C664" s="2">
        <f>IFERROR(__xludf.DUMMYFUNCTION("""COMPUTED_VALUE"""),21.02)</f>
        <v>21.02</v>
      </c>
      <c r="D664" s="2">
        <f>IFERROR(__xludf.DUMMYFUNCTION("""COMPUTED_VALUE"""),20.73)</f>
        <v>20.73</v>
      </c>
      <c r="E664" s="2">
        <f>IFERROR(__xludf.DUMMYFUNCTION("""COMPUTED_VALUE"""),20.95)</f>
        <v>20.95</v>
      </c>
      <c r="F664" s="2">
        <f>IFERROR(__xludf.DUMMYFUNCTION("""COMPUTED_VALUE"""),57058.0)</f>
        <v>57058</v>
      </c>
    </row>
    <row r="665">
      <c r="A665" s="3">
        <f>IFERROR(__xludf.DUMMYFUNCTION("""COMPUTED_VALUE"""),37494.645833333336)</f>
        <v>37494.64583</v>
      </c>
      <c r="B665" s="2">
        <f>IFERROR(__xludf.DUMMYFUNCTION("""COMPUTED_VALUE"""),21.13)</f>
        <v>21.13</v>
      </c>
      <c r="C665" s="2">
        <f>IFERROR(__xludf.DUMMYFUNCTION("""COMPUTED_VALUE"""),21.13)</f>
        <v>21.13</v>
      </c>
      <c r="D665" s="2">
        <f>IFERROR(__xludf.DUMMYFUNCTION("""COMPUTED_VALUE"""),20.8)</f>
        <v>20.8</v>
      </c>
      <c r="E665" s="2">
        <f>IFERROR(__xludf.DUMMYFUNCTION("""COMPUTED_VALUE"""),21.04)</f>
        <v>21.04</v>
      </c>
      <c r="F665" s="2">
        <f>IFERROR(__xludf.DUMMYFUNCTION("""COMPUTED_VALUE"""),31730.0)</f>
        <v>31730</v>
      </c>
    </row>
    <row r="666">
      <c r="A666" s="3">
        <f>IFERROR(__xludf.DUMMYFUNCTION("""COMPUTED_VALUE"""),37495.645833333336)</f>
        <v>37495.64583</v>
      </c>
      <c r="B666" s="2">
        <f>IFERROR(__xludf.DUMMYFUNCTION("""COMPUTED_VALUE"""),21.05)</f>
        <v>21.05</v>
      </c>
      <c r="C666" s="2">
        <f>IFERROR(__xludf.DUMMYFUNCTION("""COMPUTED_VALUE"""),21.05)</f>
        <v>21.05</v>
      </c>
      <c r="D666" s="2">
        <f>IFERROR(__xludf.DUMMYFUNCTION("""COMPUTED_VALUE"""),20.9)</f>
        <v>20.9</v>
      </c>
      <c r="E666" s="2">
        <f>IFERROR(__xludf.DUMMYFUNCTION("""COMPUTED_VALUE"""),20.99)</f>
        <v>20.99</v>
      </c>
      <c r="F666" s="2">
        <f>IFERROR(__xludf.DUMMYFUNCTION("""COMPUTED_VALUE"""),16977.0)</f>
        <v>16977</v>
      </c>
    </row>
    <row r="667">
      <c r="A667" s="3">
        <f>IFERROR(__xludf.DUMMYFUNCTION("""COMPUTED_VALUE"""),37496.645833333336)</f>
        <v>37496.64583</v>
      </c>
      <c r="B667" s="2">
        <f>IFERROR(__xludf.DUMMYFUNCTION("""COMPUTED_VALUE"""),20.9)</f>
        <v>20.9</v>
      </c>
      <c r="C667" s="2">
        <f>IFERROR(__xludf.DUMMYFUNCTION("""COMPUTED_VALUE"""),21.14)</f>
        <v>21.14</v>
      </c>
      <c r="D667" s="2">
        <f>IFERROR(__xludf.DUMMYFUNCTION("""COMPUTED_VALUE"""),20.88)</f>
        <v>20.88</v>
      </c>
      <c r="E667" s="2">
        <f>IFERROR(__xludf.DUMMYFUNCTION("""COMPUTED_VALUE"""),20.99)</f>
        <v>20.99</v>
      </c>
      <c r="F667" s="2">
        <f>IFERROR(__xludf.DUMMYFUNCTION("""COMPUTED_VALUE"""),19162.0)</f>
        <v>19162</v>
      </c>
    </row>
    <row r="668">
      <c r="A668" s="3">
        <f>IFERROR(__xludf.DUMMYFUNCTION("""COMPUTED_VALUE"""),37497.645833333336)</f>
        <v>37497.64583</v>
      </c>
      <c r="B668" s="2">
        <f>IFERROR(__xludf.DUMMYFUNCTION("""COMPUTED_VALUE"""),20.93)</f>
        <v>20.93</v>
      </c>
      <c r="C668" s="2">
        <f>IFERROR(__xludf.DUMMYFUNCTION("""COMPUTED_VALUE"""),21.13)</f>
        <v>21.13</v>
      </c>
      <c r="D668" s="2">
        <f>IFERROR(__xludf.DUMMYFUNCTION("""COMPUTED_VALUE"""),20.84)</f>
        <v>20.84</v>
      </c>
      <c r="E668" s="2">
        <f>IFERROR(__xludf.DUMMYFUNCTION("""COMPUTED_VALUE"""),21.06)</f>
        <v>21.06</v>
      </c>
      <c r="F668" s="2">
        <f>IFERROR(__xludf.DUMMYFUNCTION("""COMPUTED_VALUE"""),22816.0)</f>
        <v>22816</v>
      </c>
    </row>
    <row r="669">
      <c r="A669" s="3">
        <f>IFERROR(__xludf.DUMMYFUNCTION("""COMPUTED_VALUE"""),37498.645833333336)</f>
        <v>37498.64583</v>
      </c>
      <c r="B669" s="2">
        <f>IFERROR(__xludf.DUMMYFUNCTION("""COMPUTED_VALUE"""),20.98)</f>
        <v>20.98</v>
      </c>
      <c r="C669" s="2">
        <f>IFERROR(__xludf.DUMMYFUNCTION("""COMPUTED_VALUE"""),21.15)</f>
        <v>21.15</v>
      </c>
      <c r="D669" s="2">
        <f>IFERROR(__xludf.DUMMYFUNCTION("""COMPUTED_VALUE"""),20.91)</f>
        <v>20.91</v>
      </c>
      <c r="E669" s="2">
        <f>IFERROR(__xludf.DUMMYFUNCTION("""COMPUTED_VALUE"""),20.96)</f>
        <v>20.96</v>
      </c>
      <c r="F669" s="2">
        <f>IFERROR(__xludf.DUMMYFUNCTION("""COMPUTED_VALUE"""),169890.0)</f>
        <v>169890</v>
      </c>
    </row>
    <row r="670">
      <c r="A670" s="3">
        <f>IFERROR(__xludf.DUMMYFUNCTION("""COMPUTED_VALUE"""),37501.645833333336)</f>
        <v>37501.64583</v>
      </c>
      <c r="B670" s="2">
        <f>IFERROR(__xludf.DUMMYFUNCTION("""COMPUTED_VALUE"""),21.09)</f>
        <v>21.09</v>
      </c>
      <c r="C670" s="2">
        <f>IFERROR(__xludf.DUMMYFUNCTION("""COMPUTED_VALUE"""),21.1)</f>
        <v>21.1</v>
      </c>
      <c r="D670" s="2">
        <f>IFERROR(__xludf.DUMMYFUNCTION("""COMPUTED_VALUE"""),20.97)</f>
        <v>20.97</v>
      </c>
      <c r="E670" s="2">
        <f>IFERROR(__xludf.DUMMYFUNCTION("""COMPUTED_VALUE"""),20.99)</f>
        <v>20.99</v>
      </c>
      <c r="F670" s="2">
        <f>IFERROR(__xludf.DUMMYFUNCTION("""COMPUTED_VALUE"""),18045.0)</f>
        <v>18045</v>
      </c>
    </row>
    <row r="671">
      <c r="A671" s="3">
        <f>IFERROR(__xludf.DUMMYFUNCTION("""COMPUTED_VALUE"""),37502.645833333336)</f>
        <v>37502.64583</v>
      </c>
      <c r="B671" s="2">
        <f>IFERROR(__xludf.DUMMYFUNCTION("""COMPUTED_VALUE"""),21.08)</f>
        <v>21.08</v>
      </c>
      <c r="C671" s="2">
        <f>IFERROR(__xludf.DUMMYFUNCTION("""COMPUTED_VALUE"""),21.1)</f>
        <v>21.1</v>
      </c>
      <c r="D671" s="2">
        <f>IFERROR(__xludf.DUMMYFUNCTION("""COMPUTED_VALUE"""),20.9)</f>
        <v>20.9</v>
      </c>
      <c r="E671" s="2">
        <f>IFERROR(__xludf.DUMMYFUNCTION("""COMPUTED_VALUE"""),21.0)</f>
        <v>21</v>
      </c>
      <c r="F671" s="2">
        <f>IFERROR(__xludf.DUMMYFUNCTION("""COMPUTED_VALUE"""),19562.0)</f>
        <v>19562</v>
      </c>
    </row>
    <row r="672">
      <c r="A672" s="3">
        <f>IFERROR(__xludf.DUMMYFUNCTION("""COMPUTED_VALUE"""),37503.645833333336)</f>
        <v>37503.64583</v>
      </c>
      <c r="B672" s="2">
        <f>IFERROR(__xludf.DUMMYFUNCTION("""COMPUTED_VALUE"""),21.02)</f>
        <v>21.02</v>
      </c>
      <c r="C672" s="2">
        <f>IFERROR(__xludf.DUMMYFUNCTION("""COMPUTED_VALUE"""),21.34)</f>
        <v>21.34</v>
      </c>
      <c r="D672" s="2">
        <f>IFERROR(__xludf.DUMMYFUNCTION("""COMPUTED_VALUE"""),20.9)</f>
        <v>20.9</v>
      </c>
      <c r="E672" s="2">
        <f>IFERROR(__xludf.DUMMYFUNCTION("""COMPUTED_VALUE"""),21.29)</f>
        <v>21.29</v>
      </c>
      <c r="F672" s="2">
        <f>IFERROR(__xludf.DUMMYFUNCTION("""COMPUTED_VALUE"""),33034.0)</f>
        <v>33034</v>
      </c>
    </row>
    <row r="673">
      <c r="A673" s="3">
        <f>IFERROR(__xludf.DUMMYFUNCTION("""COMPUTED_VALUE"""),37504.645833333336)</f>
        <v>37504.64583</v>
      </c>
      <c r="B673" s="2">
        <f>IFERROR(__xludf.DUMMYFUNCTION("""COMPUTED_VALUE"""),21.2)</f>
        <v>21.2</v>
      </c>
      <c r="C673" s="2">
        <f>IFERROR(__xludf.DUMMYFUNCTION("""COMPUTED_VALUE"""),21.4)</f>
        <v>21.4</v>
      </c>
      <c r="D673" s="2">
        <f>IFERROR(__xludf.DUMMYFUNCTION("""COMPUTED_VALUE"""),21.03)</f>
        <v>21.03</v>
      </c>
      <c r="E673" s="2">
        <f>IFERROR(__xludf.DUMMYFUNCTION("""COMPUTED_VALUE"""),21.19)</f>
        <v>21.19</v>
      </c>
      <c r="F673" s="2">
        <f>IFERROR(__xludf.DUMMYFUNCTION("""COMPUTED_VALUE"""),35771.0)</f>
        <v>35771</v>
      </c>
    </row>
    <row r="674">
      <c r="A674" s="3">
        <f>IFERROR(__xludf.DUMMYFUNCTION("""COMPUTED_VALUE"""),37505.645833333336)</f>
        <v>37505.64583</v>
      </c>
      <c r="B674" s="2">
        <f>IFERROR(__xludf.DUMMYFUNCTION("""COMPUTED_VALUE"""),21.2)</f>
        <v>21.2</v>
      </c>
      <c r="C674" s="2">
        <f>IFERROR(__xludf.DUMMYFUNCTION("""COMPUTED_VALUE"""),21.22)</f>
        <v>21.22</v>
      </c>
      <c r="D674" s="2">
        <f>IFERROR(__xludf.DUMMYFUNCTION("""COMPUTED_VALUE"""),21.03)</f>
        <v>21.03</v>
      </c>
      <c r="E674" s="2">
        <f>IFERROR(__xludf.DUMMYFUNCTION("""COMPUTED_VALUE"""),21.07)</f>
        <v>21.07</v>
      </c>
      <c r="F674" s="2">
        <f>IFERROR(__xludf.DUMMYFUNCTION("""COMPUTED_VALUE"""),22439.0)</f>
        <v>22439</v>
      </c>
    </row>
    <row r="675">
      <c r="A675" s="3">
        <f>IFERROR(__xludf.DUMMYFUNCTION("""COMPUTED_VALUE"""),37508.645833333336)</f>
        <v>37508.64583</v>
      </c>
      <c r="B675" s="2">
        <f>IFERROR(__xludf.DUMMYFUNCTION("""COMPUTED_VALUE"""),21.0)</f>
        <v>21</v>
      </c>
      <c r="C675" s="2">
        <f>IFERROR(__xludf.DUMMYFUNCTION("""COMPUTED_VALUE"""),21.1)</f>
        <v>21.1</v>
      </c>
      <c r="D675" s="2">
        <f>IFERROR(__xludf.DUMMYFUNCTION("""COMPUTED_VALUE"""),20.88)</f>
        <v>20.88</v>
      </c>
      <c r="E675" s="2">
        <f>IFERROR(__xludf.DUMMYFUNCTION("""COMPUTED_VALUE"""),21.01)</f>
        <v>21.01</v>
      </c>
      <c r="F675" s="2">
        <f>IFERROR(__xludf.DUMMYFUNCTION("""COMPUTED_VALUE"""),19277.0)</f>
        <v>19277</v>
      </c>
    </row>
    <row r="676">
      <c r="A676" s="3">
        <f>IFERROR(__xludf.DUMMYFUNCTION("""COMPUTED_VALUE"""),37510.645833333336)</f>
        <v>37510.64583</v>
      </c>
      <c r="B676" s="2">
        <f>IFERROR(__xludf.DUMMYFUNCTION("""COMPUTED_VALUE"""),21.0)</f>
        <v>21</v>
      </c>
      <c r="C676" s="2">
        <f>IFERROR(__xludf.DUMMYFUNCTION("""COMPUTED_VALUE"""),21.29)</f>
        <v>21.29</v>
      </c>
      <c r="D676" s="2">
        <f>IFERROR(__xludf.DUMMYFUNCTION("""COMPUTED_VALUE"""),20.95)</f>
        <v>20.95</v>
      </c>
      <c r="E676" s="2">
        <f>IFERROR(__xludf.DUMMYFUNCTION("""COMPUTED_VALUE"""),21.26)</f>
        <v>21.26</v>
      </c>
      <c r="F676" s="2">
        <f>IFERROR(__xludf.DUMMYFUNCTION("""COMPUTED_VALUE"""),32720.0)</f>
        <v>32720</v>
      </c>
    </row>
    <row r="677">
      <c r="A677" s="3">
        <f>IFERROR(__xludf.DUMMYFUNCTION("""COMPUTED_VALUE"""),37511.645833333336)</f>
        <v>37511.64583</v>
      </c>
      <c r="B677" s="2">
        <f>IFERROR(__xludf.DUMMYFUNCTION("""COMPUTED_VALUE"""),21.2)</f>
        <v>21.2</v>
      </c>
      <c r="C677" s="2">
        <f>IFERROR(__xludf.DUMMYFUNCTION("""COMPUTED_VALUE"""),21.46)</f>
        <v>21.46</v>
      </c>
      <c r="D677" s="2">
        <f>IFERROR(__xludf.DUMMYFUNCTION("""COMPUTED_VALUE"""),21.05)</f>
        <v>21.05</v>
      </c>
      <c r="E677" s="2">
        <f>IFERROR(__xludf.DUMMYFUNCTION("""COMPUTED_VALUE"""),21.34)</f>
        <v>21.34</v>
      </c>
      <c r="F677" s="2">
        <f>IFERROR(__xludf.DUMMYFUNCTION("""COMPUTED_VALUE"""),29108.0)</f>
        <v>29108</v>
      </c>
    </row>
    <row r="678">
      <c r="A678" s="3">
        <f>IFERROR(__xludf.DUMMYFUNCTION("""COMPUTED_VALUE"""),37512.645833333336)</f>
        <v>37512.64583</v>
      </c>
      <c r="B678" s="2">
        <f>IFERROR(__xludf.DUMMYFUNCTION("""COMPUTED_VALUE"""),21.08)</f>
        <v>21.08</v>
      </c>
      <c r="C678" s="2">
        <f>IFERROR(__xludf.DUMMYFUNCTION("""COMPUTED_VALUE"""),21.52)</f>
        <v>21.52</v>
      </c>
      <c r="D678" s="2">
        <f>IFERROR(__xludf.DUMMYFUNCTION("""COMPUTED_VALUE"""),21.08)</f>
        <v>21.08</v>
      </c>
      <c r="E678" s="2">
        <f>IFERROR(__xludf.DUMMYFUNCTION("""COMPUTED_VALUE"""),21.48)</f>
        <v>21.48</v>
      </c>
      <c r="F678" s="2">
        <f>IFERROR(__xludf.DUMMYFUNCTION("""COMPUTED_VALUE"""),40485.0)</f>
        <v>40485</v>
      </c>
    </row>
    <row r="679">
      <c r="A679" s="3">
        <f>IFERROR(__xludf.DUMMYFUNCTION("""COMPUTED_VALUE"""),37515.645833333336)</f>
        <v>37515.64583</v>
      </c>
      <c r="B679" s="2">
        <f>IFERROR(__xludf.DUMMYFUNCTION("""COMPUTED_VALUE"""),21.28)</f>
        <v>21.28</v>
      </c>
      <c r="C679" s="2">
        <f>IFERROR(__xludf.DUMMYFUNCTION("""COMPUTED_VALUE"""),21.7)</f>
        <v>21.7</v>
      </c>
      <c r="D679" s="2">
        <f>IFERROR(__xludf.DUMMYFUNCTION("""COMPUTED_VALUE"""),21.28)</f>
        <v>21.28</v>
      </c>
      <c r="E679" s="2">
        <f>IFERROR(__xludf.DUMMYFUNCTION("""COMPUTED_VALUE"""),21.59)</f>
        <v>21.59</v>
      </c>
      <c r="F679" s="2">
        <f>IFERROR(__xludf.DUMMYFUNCTION("""COMPUTED_VALUE"""),29124.0)</f>
        <v>29124</v>
      </c>
    </row>
    <row r="680">
      <c r="A680" s="3">
        <f>IFERROR(__xludf.DUMMYFUNCTION("""COMPUTED_VALUE"""),37516.645833333336)</f>
        <v>37516.64583</v>
      </c>
      <c r="B680" s="2">
        <f>IFERROR(__xludf.DUMMYFUNCTION("""COMPUTED_VALUE"""),21.42)</f>
        <v>21.42</v>
      </c>
      <c r="C680" s="2">
        <f>IFERROR(__xludf.DUMMYFUNCTION("""COMPUTED_VALUE"""),22.38)</f>
        <v>22.38</v>
      </c>
      <c r="D680" s="2">
        <f>IFERROR(__xludf.DUMMYFUNCTION("""COMPUTED_VALUE"""),21.42)</f>
        <v>21.42</v>
      </c>
      <c r="E680" s="2">
        <f>IFERROR(__xludf.DUMMYFUNCTION("""COMPUTED_VALUE"""),22.27)</f>
        <v>22.27</v>
      </c>
      <c r="F680" s="2">
        <f>IFERROR(__xludf.DUMMYFUNCTION("""COMPUTED_VALUE"""),65112.0)</f>
        <v>65112</v>
      </c>
    </row>
    <row r="681">
      <c r="A681" s="3">
        <f>IFERROR(__xludf.DUMMYFUNCTION("""COMPUTED_VALUE"""),37517.645833333336)</f>
        <v>37517.64583</v>
      </c>
      <c r="B681" s="2">
        <f>IFERROR(__xludf.DUMMYFUNCTION("""COMPUTED_VALUE"""),22.11)</f>
        <v>22.11</v>
      </c>
      <c r="C681" s="2">
        <f>IFERROR(__xludf.DUMMYFUNCTION("""COMPUTED_VALUE"""),22.6)</f>
        <v>22.6</v>
      </c>
      <c r="D681" s="2">
        <f>IFERROR(__xludf.DUMMYFUNCTION("""COMPUTED_VALUE"""),22.0)</f>
        <v>22</v>
      </c>
      <c r="E681" s="2">
        <f>IFERROR(__xludf.DUMMYFUNCTION("""COMPUTED_VALUE"""),22.49)</f>
        <v>22.49</v>
      </c>
      <c r="F681" s="2">
        <f>IFERROR(__xludf.DUMMYFUNCTION("""COMPUTED_VALUE"""),110382.0)</f>
        <v>110382</v>
      </c>
    </row>
    <row r="682">
      <c r="A682" s="3">
        <f>IFERROR(__xludf.DUMMYFUNCTION("""COMPUTED_VALUE"""),37518.645833333336)</f>
        <v>37518.64583</v>
      </c>
      <c r="B682" s="2">
        <f>IFERROR(__xludf.DUMMYFUNCTION("""COMPUTED_VALUE"""),22.47)</f>
        <v>22.47</v>
      </c>
      <c r="C682" s="2">
        <f>IFERROR(__xludf.DUMMYFUNCTION("""COMPUTED_VALUE"""),22.47)</f>
        <v>22.47</v>
      </c>
      <c r="D682" s="2">
        <f>IFERROR(__xludf.DUMMYFUNCTION("""COMPUTED_VALUE"""),22.0)</f>
        <v>22</v>
      </c>
      <c r="E682" s="2">
        <f>IFERROR(__xludf.DUMMYFUNCTION("""COMPUTED_VALUE"""),22.01)</f>
        <v>22.01</v>
      </c>
      <c r="F682" s="2">
        <f>IFERROR(__xludf.DUMMYFUNCTION("""COMPUTED_VALUE"""),36995.0)</f>
        <v>36995</v>
      </c>
    </row>
    <row r="683">
      <c r="A683" s="3">
        <f>IFERROR(__xludf.DUMMYFUNCTION("""COMPUTED_VALUE"""),37519.645833333336)</f>
        <v>37519.64583</v>
      </c>
      <c r="B683" s="2">
        <f>IFERROR(__xludf.DUMMYFUNCTION("""COMPUTED_VALUE"""),22.0)</f>
        <v>22</v>
      </c>
      <c r="C683" s="2">
        <f>IFERROR(__xludf.DUMMYFUNCTION("""COMPUTED_VALUE"""),22.2)</f>
        <v>22.2</v>
      </c>
      <c r="D683" s="2">
        <f>IFERROR(__xludf.DUMMYFUNCTION("""COMPUTED_VALUE"""),21.8)</f>
        <v>21.8</v>
      </c>
      <c r="E683" s="2">
        <f>IFERROR(__xludf.DUMMYFUNCTION("""COMPUTED_VALUE"""),22.01)</f>
        <v>22.01</v>
      </c>
      <c r="F683" s="2">
        <f>IFERROR(__xludf.DUMMYFUNCTION("""COMPUTED_VALUE"""),17198.0)</f>
        <v>17198</v>
      </c>
    </row>
    <row r="684">
      <c r="A684" s="3">
        <f>IFERROR(__xludf.DUMMYFUNCTION("""COMPUTED_VALUE"""),37522.645833333336)</f>
        <v>37522.64583</v>
      </c>
      <c r="B684" s="2">
        <f>IFERROR(__xludf.DUMMYFUNCTION("""COMPUTED_VALUE"""),22.0)</f>
        <v>22</v>
      </c>
      <c r="C684" s="2">
        <f>IFERROR(__xludf.DUMMYFUNCTION("""COMPUTED_VALUE"""),22.1)</f>
        <v>22.1</v>
      </c>
      <c r="D684" s="2">
        <f>IFERROR(__xludf.DUMMYFUNCTION("""COMPUTED_VALUE"""),21.91)</f>
        <v>21.91</v>
      </c>
      <c r="E684" s="2">
        <f>IFERROR(__xludf.DUMMYFUNCTION("""COMPUTED_VALUE"""),21.99)</f>
        <v>21.99</v>
      </c>
      <c r="F684" s="2">
        <f>IFERROR(__xludf.DUMMYFUNCTION("""COMPUTED_VALUE"""),96244.0)</f>
        <v>96244</v>
      </c>
    </row>
    <row r="685">
      <c r="A685" s="3">
        <f>IFERROR(__xludf.DUMMYFUNCTION("""COMPUTED_VALUE"""),37523.645833333336)</f>
        <v>37523.64583</v>
      </c>
      <c r="B685" s="2">
        <f>IFERROR(__xludf.DUMMYFUNCTION("""COMPUTED_VALUE"""),21.87)</f>
        <v>21.87</v>
      </c>
      <c r="C685" s="2">
        <f>IFERROR(__xludf.DUMMYFUNCTION("""COMPUTED_VALUE"""),21.87)</f>
        <v>21.87</v>
      </c>
      <c r="D685" s="2">
        <f>IFERROR(__xludf.DUMMYFUNCTION("""COMPUTED_VALUE"""),21.44)</f>
        <v>21.44</v>
      </c>
      <c r="E685" s="2">
        <f>IFERROR(__xludf.DUMMYFUNCTION("""COMPUTED_VALUE"""),21.68)</f>
        <v>21.68</v>
      </c>
      <c r="F685" s="2">
        <f>IFERROR(__xludf.DUMMYFUNCTION("""COMPUTED_VALUE"""),48467.0)</f>
        <v>48467</v>
      </c>
    </row>
    <row r="686">
      <c r="A686" s="3">
        <f>IFERROR(__xludf.DUMMYFUNCTION("""COMPUTED_VALUE"""),37524.645833333336)</f>
        <v>37524.64583</v>
      </c>
      <c r="B686" s="2">
        <f>IFERROR(__xludf.DUMMYFUNCTION("""COMPUTED_VALUE"""),21.7)</f>
        <v>21.7</v>
      </c>
      <c r="C686" s="2">
        <f>IFERROR(__xludf.DUMMYFUNCTION("""COMPUTED_VALUE"""),21.7)</f>
        <v>21.7</v>
      </c>
      <c r="D686" s="2">
        <f>IFERROR(__xludf.DUMMYFUNCTION("""COMPUTED_VALUE"""),20.97)</f>
        <v>20.97</v>
      </c>
      <c r="E686" s="2">
        <f>IFERROR(__xludf.DUMMYFUNCTION("""COMPUTED_VALUE"""),20.99)</f>
        <v>20.99</v>
      </c>
      <c r="F686" s="2">
        <f>IFERROR(__xludf.DUMMYFUNCTION("""COMPUTED_VALUE"""),56126.0)</f>
        <v>56126</v>
      </c>
    </row>
    <row r="687">
      <c r="A687" s="3">
        <f>IFERROR(__xludf.DUMMYFUNCTION("""COMPUTED_VALUE"""),37525.645833333336)</f>
        <v>37525.64583</v>
      </c>
      <c r="B687" s="2">
        <f>IFERROR(__xludf.DUMMYFUNCTION("""COMPUTED_VALUE"""),21.0)</f>
        <v>21</v>
      </c>
      <c r="C687" s="2">
        <f>IFERROR(__xludf.DUMMYFUNCTION("""COMPUTED_VALUE"""),21.27)</f>
        <v>21.27</v>
      </c>
      <c r="D687" s="2">
        <f>IFERROR(__xludf.DUMMYFUNCTION("""COMPUTED_VALUE"""),20.84)</f>
        <v>20.84</v>
      </c>
      <c r="E687" s="2">
        <f>IFERROR(__xludf.DUMMYFUNCTION("""COMPUTED_VALUE"""),20.95)</f>
        <v>20.95</v>
      </c>
      <c r="F687" s="2">
        <f>IFERROR(__xludf.DUMMYFUNCTION("""COMPUTED_VALUE"""),15418.0)</f>
        <v>15418</v>
      </c>
    </row>
    <row r="688">
      <c r="A688" s="3">
        <f>IFERROR(__xludf.DUMMYFUNCTION("""COMPUTED_VALUE"""),37526.645833333336)</f>
        <v>37526.64583</v>
      </c>
      <c r="B688" s="2">
        <f>IFERROR(__xludf.DUMMYFUNCTION("""COMPUTED_VALUE"""),20.9)</f>
        <v>20.9</v>
      </c>
      <c r="C688" s="2">
        <f>IFERROR(__xludf.DUMMYFUNCTION("""COMPUTED_VALUE"""),22.5)</f>
        <v>22.5</v>
      </c>
      <c r="D688" s="2">
        <f>IFERROR(__xludf.DUMMYFUNCTION("""COMPUTED_VALUE"""),20.9)</f>
        <v>20.9</v>
      </c>
      <c r="E688" s="2">
        <f>IFERROR(__xludf.DUMMYFUNCTION("""COMPUTED_VALUE"""),22.08)</f>
        <v>22.08</v>
      </c>
      <c r="F688" s="2">
        <f>IFERROR(__xludf.DUMMYFUNCTION("""COMPUTED_VALUE"""),148191.0)</f>
        <v>148191</v>
      </c>
    </row>
    <row r="689">
      <c r="A689" s="3">
        <f>IFERROR(__xludf.DUMMYFUNCTION("""COMPUTED_VALUE"""),37529.645833333336)</f>
        <v>37529.64583</v>
      </c>
      <c r="B689" s="2">
        <f>IFERROR(__xludf.DUMMYFUNCTION("""COMPUTED_VALUE"""),21.7)</f>
        <v>21.7</v>
      </c>
      <c r="C689" s="2">
        <f>IFERROR(__xludf.DUMMYFUNCTION("""COMPUTED_VALUE"""),22.1)</f>
        <v>22.1</v>
      </c>
      <c r="D689" s="2">
        <f>IFERROR(__xludf.DUMMYFUNCTION("""COMPUTED_VALUE"""),21.11)</f>
        <v>21.11</v>
      </c>
      <c r="E689" s="2">
        <f>IFERROR(__xludf.DUMMYFUNCTION("""COMPUTED_VALUE"""),21.86)</f>
        <v>21.86</v>
      </c>
      <c r="F689" s="2">
        <f>IFERROR(__xludf.DUMMYFUNCTION("""COMPUTED_VALUE"""),65278.0)</f>
        <v>65278</v>
      </c>
    </row>
    <row r="690">
      <c r="A690" s="3">
        <f>IFERROR(__xludf.DUMMYFUNCTION("""COMPUTED_VALUE"""),37530.645833333336)</f>
        <v>37530.64583</v>
      </c>
      <c r="B690" s="2">
        <f>IFERROR(__xludf.DUMMYFUNCTION("""COMPUTED_VALUE"""),21.61)</f>
        <v>21.61</v>
      </c>
      <c r="C690" s="2">
        <f>IFERROR(__xludf.DUMMYFUNCTION("""COMPUTED_VALUE"""),21.7)</f>
        <v>21.7</v>
      </c>
      <c r="D690" s="2">
        <f>IFERROR(__xludf.DUMMYFUNCTION("""COMPUTED_VALUE"""),21.11)</f>
        <v>21.11</v>
      </c>
      <c r="E690" s="2">
        <f>IFERROR(__xludf.DUMMYFUNCTION("""COMPUTED_VALUE"""),21.17)</f>
        <v>21.17</v>
      </c>
      <c r="F690" s="2">
        <f>IFERROR(__xludf.DUMMYFUNCTION("""COMPUTED_VALUE"""),45803.0)</f>
        <v>45803</v>
      </c>
    </row>
    <row r="691">
      <c r="A691" s="3">
        <f>IFERROR(__xludf.DUMMYFUNCTION("""COMPUTED_VALUE"""),37532.645833333336)</f>
        <v>37532.64583</v>
      </c>
      <c r="B691" s="2">
        <f>IFERROR(__xludf.DUMMYFUNCTION("""COMPUTED_VALUE"""),21.3)</f>
        <v>21.3</v>
      </c>
      <c r="C691" s="2">
        <f>IFERROR(__xludf.DUMMYFUNCTION("""COMPUTED_VALUE"""),21.3)</f>
        <v>21.3</v>
      </c>
      <c r="D691" s="2">
        <f>IFERROR(__xludf.DUMMYFUNCTION("""COMPUTED_VALUE"""),20.8)</f>
        <v>20.8</v>
      </c>
      <c r="E691" s="2">
        <f>IFERROR(__xludf.DUMMYFUNCTION("""COMPUTED_VALUE"""),20.98)</f>
        <v>20.98</v>
      </c>
      <c r="F691" s="2">
        <f>IFERROR(__xludf.DUMMYFUNCTION("""COMPUTED_VALUE"""),145215.0)</f>
        <v>145215</v>
      </c>
    </row>
    <row r="692">
      <c r="A692" s="3">
        <f>IFERROR(__xludf.DUMMYFUNCTION("""COMPUTED_VALUE"""),37533.645833333336)</f>
        <v>37533.64583</v>
      </c>
      <c r="B692" s="2">
        <f>IFERROR(__xludf.DUMMYFUNCTION("""COMPUTED_VALUE"""),20.96)</f>
        <v>20.96</v>
      </c>
      <c r="C692" s="2">
        <f>IFERROR(__xludf.DUMMYFUNCTION("""COMPUTED_VALUE"""),21.15)</f>
        <v>21.15</v>
      </c>
      <c r="D692" s="2">
        <f>IFERROR(__xludf.DUMMYFUNCTION("""COMPUTED_VALUE"""),20.75)</f>
        <v>20.75</v>
      </c>
      <c r="E692" s="2">
        <f>IFERROR(__xludf.DUMMYFUNCTION("""COMPUTED_VALUE"""),21.01)</f>
        <v>21.01</v>
      </c>
      <c r="F692" s="2">
        <f>IFERROR(__xludf.DUMMYFUNCTION("""COMPUTED_VALUE"""),74638.0)</f>
        <v>74638</v>
      </c>
    </row>
    <row r="693">
      <c r="A693" s="3">
        <f>IFERROR(__xludf.DUMMYFUNCTION("""COMPUTED_VALUE"""),37536.645833333336)</f>
        <v>37536.64583</v>
      </c>
      <c r="B693" s="2">
        <f>IFERROR(__xludf.DUMMYFUNCTION("""COMPUTED_VALUE"""),20.95)</f>
        <v>20.95</v>
      </c>
      <c r="C693" s="2">
        <f>IFERROR(__xludf.DUMMYFUNCTION("""COMPUTED_VALUE"""),21.1)</f>
        <v>21.1</v>
      </c>
      <c r="D693" s="2">
        <f>IFERROR(__xludf.DUMMYFUNCTION("""COMPUTED_VALUE"""),20.8)</f>
        <v>20.8</v>
      </c>
      <c r="E693" s="2">
        <f>IFERROR(__xludf.DUMMYFUNCTION("""COMPUTED_VALUE"""),20.91)</f>
        <v>20.91</v>
      </c>
      <c r="F693" s="2">
        <f>IFERROR(__xludf.DUMMYFUNCTION("""COMPUTED_VALUE"""),82004.0)</f>
        <v>82004</v>
      </c>
    </row>
    <row r="694">
      <c r="A694" s="3">
        <f>IFERROR(__xludf.DUMMYFUNCTION("""COMPUTED_VALUE"""),37537.645833333336)</f>
        <v>37537.64583</v>
      </c>
      <c r="B694" s="2">
        <f>IFERROR(__xludf.DUMMYFUNCTION("""COMPUTED_VALUE"""),20.82)</f>
        <v>20.82</v>
      </c>
      <c r="C694" s="2">
        <f>IFERROR(__xludf.DUMMYFUNCTION("""COMPUTED_VALUE"""),21.08)</f>
        <v>21.08</v>
      </c>
      <c r="D694" s="2">
        <f>IFERROR(__xludf.DUMMYFUNCTION("""COMPUTED_VALUE"""),20.81)</f>
        <v>20.81</v>
      </c>
      <c r="E694" s="2">
        <f>IFERROR(__xludf.DUMMYFUNCTION("""COMPUTED_VALUE"""),20.91)</f>
        <v>20.91</v>
      </c>
      <c r="F694" s="2">
        <f>IFERROR(__xludf.DUMMYFUNCTION("""COMPUTED_VALUE"""),72413.0)</f>
        <v>72413</v>
      </c>
    </row>
    <row r="695">
      <c r="A695" s="3">
        <f>IFERROR(__xludf.DUMMYFUNCTION("""COMPUTED_VALUE"""),37538.645833333336)</f>
        <v>37538.64583</v>
      </c>
      <c r="B695" s="2">
        <f>IFERROR(__xludf.DUMMYFUNCTION("""COMPUTED_VALUE"""),20.9)</f>
        <v>20.9</v>
      </c>
      <c r="C695" s="2">
        <f>IFERROR(__xludf.DUMMYFUNCTION("""COMPUTED_VALUE"""),20.99)</f>
        <v>20.99</v>
      </c>
      <c r="D695" s="2">
        <f>IFERROR(__xludf.DUMMYFUNCTION("""COMPUTED_VALUE"""),20.76)</f>
        <v>20.76</v>
      </c>
      <c r="E695" s="2">
        <f>IFERROR(__xludf.DUMMYFUNCTION("""COMPUTED_VALUE"""),20.83)</f>
        <v>20.83</v>
      </c>
      <c r="F695" s="2">
        <f>IFERROR(__xludf.DUMMYFUNCTION("""COMPUTED_VALUE"""),122320.0)</f>
        <v>122320</v>
      </c>
    </row>
    <row r="696">
      <c r="A696" s="3">
        <f>IFERROR(__xludf.DUMMYFUNCTION("""COMPUTED_VALUE"""),37539.645833333336)</f>
        <v>37539.64583</v>
      </c>
      <c r="B696" s="2">
        <f>IFERROR(__xludf.DUMMYFUNCTION("""COMPUTED_VALUE"""),20.85)</f>
        <v>20.85</v>
      </c>
      <c r="C696" s="2">
        <f>IFERROR(__xludf.DUMMYFUNCTION("""COMPUTED_VALUE"""),20.85)</f>
        <v>20.85</v>
      </c>
      <c r="D696" s="2">
        <f>IFERROR(__xludf.DUMMYFUNCTION("""COMPUTED_VALUE"""),20.5)</f>
        <v>20.5</v>
      </c>
      <c r="E696" s="2">
        <f>IFERROR(__xludf.DUMMYFUNCTION("""COMPUTED_VALUE"""),20.64)</f>
        <v>20.64</v>
      </c>
      <c r="F696" s="2">
        <f>IFERROR(__xludf.DUMMYFUNCTION("""COMPUTED_VALUE"""),83125.0)</f>
        <v>83125</v>
      </c>
    </row>
    <row r="697">
      <c r="A697" s="3">
        <f>IFERROR(__xludf.DUMMYFUNCTION("""COMPUTED_VALUE"""),37540.645833333336)</f>
        <v>37540.64583</v>
      </c>
      <c r="B697" s="2">
        <f>IFERROR(__xludf.DUMMYFUNCTION("""COMPUTED_VALUE"""),20.8)</f>
        <v>20.8</v>
      </c>
      <c r="C697" s="2">
        <f>IFERROR(__xludf.DUMMYFUNCTION("""COMPUTED_VALUE"""),20.85)</f>
        <v>20.85</v>
      </c>
      <c r="D697" s="2">
        <f>IFERROR(__xludf.DUMMYFUNCTION("""COMPUTED_VALUE"""),20.64)</f>
        <v>20.64</v>
      </c>
      <c r="E697" s="2">
        <f>IFERROR(__xludf.DUMMYFUNCTION("""COMPUTED_VALUE"""),20.67)</f>
        <v>20.67</v>
      </c>
      <c r="F697" s="2">
        <f>IFERROR(__xludf.DUMMYFUNCTION("""COMPUTED_VALUE"""),42270.0)</f>
        <v>42270</v>
      </c>
    </row>
    <row r="698">
      <c r="A698" s="3">
        <f>IFERROR(__xludf.DUMMYFUNCTION("""COMPUTED_VALUE"""),37543.645833333336)</f>
        <v>37543.64583</v>
      </c>
      <c r="B698" s="2">
        <f>IFERROR(__xludf.DUMMYFUNCTION("""COMPUTED_VALUE"""),20.7)</f>
        <v>20.7</v>
      </c>
      <c r="C698" s="2">
        <f>IFERROR(__xludf.DUMMYFUNCTION("""COMPUTED_VALUE"""),20.93)</f>
        <v>20.93</v>
      </c>
      <c r="D698" s="2">
        <f>IFERROR(__xludf.DUMMYFUNCTION("""COMPUTED_VALUE"""),20.7)</f>
        <v>20.7</v>
      </c>
      <c r="E698" s="2">
        <f>IFERROR(__xludf.DUMMYFUNCTION("""COMPUTED_VALUE"""),20.8)</f>
        <v>20.8</v>
      </c>
      <c r="F698" s="2">
        <f>IFERROR(__xludf.DUMMYFUNCTION("""COMPUTED_VALUE"""),63841.0)</f>
        <v>63841</v>
      </c>
    </row>
    <row r="699">
      <c r="A699" s="3">
        <f>IFERROR(__xludf.DUMMYFUNCTION("""COMPUTED_VALUE"""),37545.645833333336)</f>
        <v>37545.64583</v>
      </c>
      <c r="B699" s="2">
        <f>IFERROR(__xludf.DUMMYFUNCTION("""COMPUTED_VALUE"""),20.9)</f>
        <v>20.9</v>
      </c>
      <c r="C699" s="2">
        <f>IFERROR(__xludf.DUMMYFUNCTION("""COMPUTED_VALUE"""),20.9)</f>
        <v>20.9</v>
      </c>
      <c r="D699" s="2">
        <f>IFERROR(__xludf.DUMMYFUNCTION("""COMPUTED_VALUE"""),20.35)</f>
        <v>20.35</v>
      </c>
      <c r="E699" s="2">
        <f>IFERROR(__xludf.DUMMYFUNCTION("""COMPUTED_VALUE"""),20.43)</f>
        <v>20.43</v>
      </c>
      <c r="F699" s="2">
        <f>IFERROR(__xludf.DUMMYFUNCTION("""COMPUTED_VALUE"""),82658.0)</f>
        <v>82658</v>
      </c>
    </row>
    <row r="700">
      <c r="A700" s="3">
        <f>IFERROR(__xludf.DUMMYFUNCTION("""COMPUTED_VALUE"""),37546.645833333336)</f>
        <v>37546.64583</v>
      </c>
      <c r="B700" s="2">
        <f>IFERROR(__xludf.DUMMYFUNCTION("""COMPUTED_VALUE"""),20.5)</f>
        <v>20.5</v>
      </c>
      <c r="C700" s="2">
        <f>IFERROR(__xludf.DUMMYFUNCTION("""COMPUTED_VALUE"""),20.7)</f>
        <v>20.7</v>
      </c>
      <c r="D700" s="2">
        <f>IFERROR(__xludf.DUMMYFUNCTION("""COMPUTED_VALUE"""),19.9)</f>
        <v>19.9</v>
      </c>
      <c r="E700" s="2">
        <f>IFERROR(__xludf.DUMMYFUNCTION("""COMPUTED_VALUE"""),19.97)</f>
        <v>19.97</v>
      </c>
      <c r="F700" s="2">
        <f>IFERROR(__xludf.DUMMYFUNCTION("""COMPUTED_VALUE"""),193846.0)</f>
        <v>193846</v>
      </c>
    </row>
    <row r="701">
      <c r="A701" s="3">
        <f>IFERROR(__xludf.DUMMYFUNCTION("""COMPUTED_VALUE"""),37547.645833333336)</f>
        <v>37547.64583</v>
      </c>
      <c r="B701" s="2">
        <f>IFERROR(__xludf.DUMMYFUNCTION("""COMPUTED_VALUE"""),20.27)</f>
        <v>20.27</v>
      </c>
      <c r="C701" s="2">
        <f>IFERROR(__xludf.DUMMYFUNCTION("""COMPUTED_VALUE"""),20.27)</f>
        <v>20.27</v>
      </c>
      <c r="D701" s="2">
        <f>IFERROR(__xludf.DUMMYFUNCTION("""COMPUTED_VALUE"""),19.4)</f>
        <v>19.4</v>
      </c>
      <c r="E701" s="2">
        <f>IFERROR(__xludf.DUMMYFUNCTION("""COMPUTED_VALUE"""),19.61)</f>
        <v>19.61</v>
      </c>
      <c r="F701" s="2">
        <f>IFERROR(__xludf.DUMMYFUNCTION("""COMPUTED_VALUE"""),173293.0)</f>
        <v>173293</v>
      </c>
    </row>
    <row r="702">
      <c r="A702" s="3">
        <f>IFERROR(__xludf.DUMMYFUNCTION("""COMPUTED_VALUE"""),37550.645833333336)</f>
        <v>37550.64583</v>
      </c>
      <c r="B702" s="2">
        <f>IFERROR(__xludf.DUMMYFUNCTION("""COMPUTED_VALUE"""),20.0)</f>
        <v>20</v>
      </c>
      <c r="C702" s="2">
        <f>IFERROR(__xludf.DUMMYFUNCTION("""COMPUTED_VALUE"""),20.0)</f>
        <v>20</v>
      </c>
      <c r="D702" s="2">
        <f>IFERROR(__xludf.DUMMYFUNCTION("""COMPUTED_VALUE"""),19.6)</f>
        <v>19.6</v>
      </c>
      <c r="E702" s="2">
        <f>IFERROR(__xludf.DUMMYFUNCTION("""COMPUTED_VALUE"""),19.74)</f>
        <v>19.74</v>
      </c>
      <c r="F702" s="2">
        <f>IFERROR(__xludf.DUMMYFUNCTION("""COMPUTED_VALUE"""),151437.0)</f>
        <v>151437</v>
      </c>
    </row>
    <row r="703">
      <c r="A703" s="3">
        <f>IFERROR(__xludf.DUMMYFUNCTION("""COMPUTED_VALUE"""),37551.645833333336)</f>
        <v>37551.64583</v>
      </c>
      <c r="B703" s="2">
        <f>IFERROR(__xludf.DUMMYFUNCTION("""COMPUTED_VALUE"""),20.1)</f>
        <v>20.1</v>
      </c>
      <c r="C703" s="2">
        <f>IFERROR(__xludf.DUMMYFUNCTION("""COMPUTED_VALUE"""),20.1)</f>
        <v>20.1</v>
      </c>
      <c r="D703" s="2">
        <f>IFERROR(__xludf.DUMMYFUNCTION("""COMPUTED_VALUE"""),19.55)</f>
        <v>19.55</v>
      </c>
      <c r="E703" s="2">
        <f>IFERROR(__xludf.DUMMYFUNCTION("""COMPUTED_VALUE"""),19.65)</f>
        <v>19.65</v>
      </c>
      <c r="F703" s="2">
        <f>IFERROR(__xludf.DUMMYFUNCTION("""COMPUTED_VALUE"""),85600.0)</f>
        <v>85600</v>
      </c>
    </row>
    <row r="704">
      <c r="A704" s="3">
        <f>IFERROR(__xludf.DUMMYFUNCTION("""COMPUTED_VALUE"""),37552.645833333336)</f>
        <v>37552.64583</v>
      </c>
      <c r="B704" s="2">
        <f>IFERROR(__xludf.DUMMYFUNCTION("""COMPUTED_VALUE"""),19.88)</f>
        <v>19.88</v>
      </c>
      <c r="C704" s="2">
        <f>IFERROR(__xludf.DUMMYFUNCTION("""COMPUTED_VALUE"""),19.9)</f>
        <v>19.9</v>
      </c>
      <c r="D704" s="2">
        <f>IFERROR(__xludf.DUMMYFUNCTION("""COMPUTED_VALUE"""),19.45)</f>
        <v>19.45</v>
      </c>
      <c r="E704" s="2">
        <f>IFERROR(__xludf.DUMMYFUNCTION("""COMPUTED_VALUE"""),19.52)</f>
        <v>19.52</v>
      </c>
      <c r="F704" s="2">
        <f>IFERROR(__xludf.DUMMYFUNCTION("""COMPUTED_VALUE"""),54674.0)</f>
        <v>54674</v>
      </c>
    </row>
    <row r="705">
      <c r="A705" s="3">
        <f>IFERROR(__xludf.DUMMYFUNCTION("""COMPUTED_VALUE"""),37553.645833333336)</f>
        <v>37553.64583</v>
      </c>
      <c r="B705" s="2">
        <f>IFERROR(__xludf.DUMMYFUNCTION("""COMPUTED_VALUE"""),19.48)</f>
        <v>19.48</v>
      </c>
      <c r="C705" s="2">
        <f>IFERROR(__xludf.DUMMYFUNCTION("""COMPUTED_VALUE"""),19.64)</f>
        <v>19.64</v>
      </c>
      <c r="D705" s="2">
        <f>IFERROR(__xludf.DUMMYFUNCTION("""COMPUTED_VALUE"""),19.33)</f>
        <v>19.33</v>
      </c>
      <c r="E705" s="2">
        <f>IFERROR(__xludf.DUMMYFUNCTION("""COMPUTED_VALUE"""),19.4)</f>
        <v>19.4</v>
      </c>
      <c r="F705" s="2">
        <f>IFERROR(__xludf.DUMMYFUNCTION("""COMPUTED_VALUE"""),233552.0)</f>
        <v>233552</v>
      </c>
    </row>
    <row r="706">
      <c r="A706" s="3">
        <f>IFERROR(__xludf.DUMMYFUNCTION("""COMPUTED_VALUE"""),37554.645833333336)</f>
        <v>37554.64583</v>
      </c>
      <c r="B706" s="2">
        <f>IFERROR(__xludf.DUMMYFUNCTION("""COMPUTED_VALUE"""),19.3)</f>
        <v>19.3</v>
      </c>
      <c r="C706" s="2">
        <f>IFERROR(__xludf.DUMMYFUNCTION("""COMPUTED_VALUE"""),19.6)</f>
        <v>19.6</v>
      </c>
      <c r="D706" s="2">
        <f>IFERROR(__xludf.DUMMYFUNCTION("""COMPUTED_VALUE"""),19.1)</f>
        <v>19.1</v>
      </c>
      <c r="E706" s="2">
        <f>IFERROR(__xludf.DUMMYFUNCTION("""COMPUTED_VALUE"""),19.24)</f>
        <v>19.24</v>
      </c>
      <c r="F706" s="2">
        <f>IFERROR(__xludf.DUMMYFUNCTION("""COMPUTED_VALUE"""),107728.0)</f>
        <v>107728</v>
      </c>
    </row>
    <row r="707">
      <c r="A707" s="3">
        <f>IFERROR(__xludf.DUMMYFUNCTION("""COMPUTED_VALUE"""),37557.645833333336)</f>
        <v>37557.64583</v>
      </c>
      <c r="B707" s="2">
        <f>IFERROR(__xludf.DUMMYFUNCTION("""COMPUTED_VALUE"""),19.28)</f>
        <v>19.28</v>
      </c>
      <c r="C707" s="2">
        <f>IFERROR(__xludf.DUMMYFUNCTION("""COMPUTED_VALUE"""),19.6)</f>
        <v>19.6</v>
      </c>
      <c r="D707" s="2">
        <f>IFERROR(__xludf.DUMMYFUNCTION("""COMPUTED_VALUE"""),19.28)</f>
        <v>19.28</v>
      </c>
      <c r="E707" s="2">
        <f>IFERROR(__xludf.DUMMYFUNCTION("""COMPUTED_VALUE"""),19.37)</f>
        <v>19.37</v>
      </c>
      <c r="F707" s="2">
        <f>IFERROR(__xludf.DUMMYFUNCTION("""COMPUTED_VALUE"""),138090.0)</f>
        <v>138090</v>
      </c>
    </row>
    <row r="708">
      <c r="A708" s="3">
        <f>IFERROR(__xludf.DUMMYFUNCTION("""COMPUTED_VALUE"""),37558.645833333336)</f>
        <v>37558.64583</v>
      </c>
      <c r="B708" s="2">
        <f>IFERROR(__xludf.DUMMYFUNCTION("""COMPUTED_VALUE"""),19.3)</f>
        <v>19.3</v>
      </c>
      <c r="C708" s="2">
        <f>IFERROR(__xludf.DUMMYFUNCTION("""COMPUTED_VALUE"""),19.7)</f>
        <v>19.7</v>
      </c>
      <c r="D708" s="2">
        <f>IFERROR(__xludf.DUMMYFUNCTION("""COMPUTED_VALUE"""),19.3)</f>
        <v>19.3</v>
      </c>
      <c r="E708" s="2">
        <f>IFERROR(__xludf.DUMMYFUNCTION("""COMPUTED_VALUE"""),19.49)</f>
        <v>19.49</v>
      </c>
      <c r="F708" s="2">
        <f>IFERROR(__xludf.DUMMYFUNCTION("""COMPUTED_VALUE"""),55944.0)</f>
        <v>55944</v>
      </c>
    </row>
    <row r="709">
      <c r="A709" s="3">
        <f>IFERROR(__xludf.DUMMYFUNCTION("""COMPUTED_VALUE"""),37559.645833333336)</f>
        <v>37559.64583</v>
      </c>
      <c r="B709" s="2">
        <f>IFERROR(__xludf.DUMMYFUNCTION("""COMPUTED_VALUE"""),19.31)</f>
        <v>19.31</v>
      </c>
      <c r="C709" s="2">
        <f>IFERROR(__xludf.DUMMYFUNCTION("""COMPUTED_VALUE"""),19.59)</f>
        <v>19.59</v>
      </c>
      <c r="D709" s="2">
        <f>IFERROR(__xludf.DUMMYFUNCTION("""COMPUTED_VALUE"""),18.6)</f>
        <v>18.6</v>
      </c>
      <c r="E709" s="2">
        <f>IFERROR(__xludf.DUMMYFUNCTION("""COMPUTED_VALUE"""),18.91)</f>
        <v>18.91</v>
      </c>
      <c r="F709" s="2">
        <f>IFERROR(__xludf.DUMMYFUNCTION("""COMPUTED_VALUE"""),140307.0)</f>
        <v>140307</v>
      </c>
    </row>
    <row r="710">
      <c r="A710" s="3">
        <f>IFERROR(__xludf.DUMMYFUNCTION("""COMPUTED_VALUE"""),37560.645833333336)</f>
        <v>37560.64583</v>
      </c>
      <c r="B710" s="2">
        <f>IFERROR(__xludf.DUMMYFUNCTION("""COMPUTED_VALUE"""),18.95)</f>
        <v>18.95</v>
      </c>
      <c r="C710" s="2">
        <f>IFERROR(__xludf.DUMMYFUNCTION("""COMPUTED_VALUE"""),19.23)</f>
        <v>19.23</v>
      </c>
      <c r="D710" s="2">
        <f>IFERROR(__xludf.DUMMYFUNCTION("""COMPUTED_VALUE"""),18.86)</f>
        <v>18.86</v>
      </c>
      <c r="E710" s="2">
        <f>IFERROR(__xludf.DUMMYFUNCTION("""COMPUTED_VALUE"""),18.99)</f>
        <v>18.99</v>
      </c>
      <c r="F710" s="2">
        <f>IFERROR(__xludf.DUMMYFUNCTION("""COMPUTED_VALUE"""),95990.0)</f>
        <v>95990</v>
      </c>
    </row>
    <row r="711">
      <c r="A711" s="3">
        <f>IFERROR(__xludf.DUMMYFUNCTION("""COMPUTED_VALUE"""),37561.645833333336)</f>
        <v>37561.64583</v>
      </c>
      <c r="B711" s="2">
        <f>IFERROR(__xludf.DUMMYFUNCTION("""COMPUTED_VALUE"""),18.9)</f>
        <v>18.9</v>
      </c>
      <c r="C711" s="2">
        <f>IFERROR(__xludf.DUMMYFUNCTION("""COMPUTED_VALUE"""),19.42)</f>
        <v>19.42</v>
      </c>
      <c r="D711" s="2">
        <f>IFERROR(__xludf.DUMMYFUNCTION("""COMPUTED_VALUE"""),18.8)</f>
        <v>18.8</v>
      </c>
      <c r="E711" s="2">
        <f>IFERROR(__xludf.DUMMYFUNCTION("""COMPUTED_VALUE"""),18.99)</f>
        <v>18.99</v>
      </c>
      <c r="F711" s="2">
        <f>IFERROR(__xludf.DUMMYFUNCTION("""COMPUTED_VALUE"""),196187.0)</f>
        <v>196187</v>
      </c>
    </row>
    <row r="712">
      <c r="A712" s="3">
        <f>IFERROR(__xludf.DUMMYFUNCTION("""COMPUTED_VALUE"""),37564.645833333336)</f>
        <v>37564.64583</v>
      </c>
      <c r="B712" s="2">
        <f>IFERROR(__xludf.DUMMYFUNCTION("""COMPUTED_VALUE"""),19.2)</f>
        <v>19.2</v>
      </c>
      <c r="C712" s="2">
        <f>IFERROR(__xludf.DUMMYFUNCTION("""COMPUTED_VALUE"""),19.39)</f>
        <v>19.39</v>
      </c>
      <c r="D712" s="2">
        <f>IFERROR(__xludf.DUMMYFUNCTION("""COMPUTED_VALUE"""),19.1)</f>
        <v>19.1</v>
      </c>
      <c r="E712" s="2">
        <f>IFERROR(__xludf.DUMMYFUNCTION("""COMPUTED_VALUE"""),19.22)</f>
        <v>19.22</v>
      </c>
      <c r="F712" s="2">
        <f>IFERROR(__xludf.DUMMYFUNCTION("""COMPUTED_VALUE"""),13910.0)</f>
        <v>13910</v>
      </c>
    </row>
    <row r="713">
      <c r="A713" s="3">
        <f>IFERROR(__xludf.DUMMYFUNCTION("""COMPUTED_VALUE"""),37565.645833333336)</f>
        <v>37565.64583</v>
      </c>
      <c r="B713" s="2">
        <f>IFERROR(__xludf.DUMMYFUNCTION("""COMPUTED_VALUE"""),19.3)</f>
        <v>19.3</v>
      </c>
      <c r="C713" s="2">
        <f>IFERROR(__xludf.DUMMYFUNCTION("""COMPUTED_VALUE"""),19.5)</f>
        <v>19.5</v>
      </c>
      <c r="D713" s="2">
        <f>IFERROR(__xludf.DUMMYFUNCTION("""COMPUTED_VALUE"""),19.13)</f>
        <v>19.13</v>
      </c>
      <c r="E713" s="2">
        <f>IFERROR(__xludf.DUMMYFUNCTION("""COMPUTED_VALUE"""),19.48)</f>
        <v>19.48</v>
      </c>
      <c r="F713" s="2">
        <f>IFERROR(__xludf.DUMMYFUNCTION("""COMPUTED_VALUE"""),20320.0)</f>
        <v>20320</v>
      </c>
    </row>
    <row r="714">
      <c r="A714" s="3">
        <f>IFERROR(__xludf.DUMMYFUNCTION("""COMPUTED_VALUE"""),37567.645833333336)</f>
        <v>37567.64583</v>
      </c>
      <c r="B714" s="2">
        <f>IFERROR(__xludf.DUMMYFUNCTION("""COMPUTED_VALUE"""),19.51)</f>
        <v>19.51</v>
      </c>
      <c r="C714" s="2">
        <f>IFERROR(__xludf.DUMMYFUNCTION("""COMPUTED_VALUE"""),19.6)</f>
        <v>19.6</v>
      </c>
      <c r="D714" s="2">
        <f>IFERROR(__xludf.DUMMYFUNCTION("""COMPUTED_VALUE"""),19.29)</f>
        <v>19.29</v>
      </c>
      <c r="E714" s="2">
        <f>IFERROR(__xludf.DUMMYFUNCTION("""COMPUTED_VALUE"""),19.49)</f>
        <v>19.49</v>
      </c>
      <c r="F714" s="2">
        <f>IFERROR(__xludf.DUMMYFUNCTION("""COMPUTED_VALUE"""),35542.0)</f>
        <v>35542</v>
      </c>
    </row>
    <row r="715">
      <c r="A715" s="3">
        <f>IFERROR(__xludf.DUMMYFUNCTION("""COMPUTED_VALUE"""),37568.645833333336)</f>
        <v>37568.64583</v>
      </c>
      <c r="B715" s="2">
        <f>IFERROR(__xludf.DUMMYFUNCTION("""COMPUTED_VALUE"""),19.55)</f>
        <v>19.55</v>
      </c>
      <c r="C715" s="2">
        <f>IFERROR(__xludf.DUMMYFUNCTION("""COMPUTED_VALUE"""),19.61)</f>
        <v>19.61</v>
      </c>
      <c r="D715" s="2">
        <f>IFERROR(__xludf.DUMMYFUNCTION("""COMPUTED_VALUE"""),19.42)</f>
        <v>19.42</v>
      </c>
      <c r="E715" s="2">
        <f>IFERROR(__xludf.DUMMYFUNCTION("""COMPUTED_VALUE"""),19.51)</f>
        <v>19.51</v>
      </c>
      <c r="F715" s="2">
        <f>IFERROR(__xludf.DUMMYFUNCTION("""COMPUTED_VALUE"""),49075.0)</f>
        <v>49075</v>
      </c>
    </row>
    <row r="716">
      <c r="A716" s="3">
        <f>IFERROR(__xludf.DUMMYFUNCTION("""COMPUTED_VALUE"""),37571.645833333336)</f>
        <v>37571.64583</v>
      </c>
      <c r="B716" s="2">
        <f>IFERROR(__xludf.DUMMYFUNCTION("""COMPUTED_VALUE"""),19.48)</f>
        <v>19.48</v>
      </c>
      <c r="C716" s="2">
        <f>IFERROR(__xludf.DUMMYFUNCTION("""COMPUTED_VALUE"""),19.62)</f>
        <v>19.62</v>
      </c>
      <c r="D716" s="2">
        <f>IFERROR(__xludf.DUMMYFUNCTION("""COMPUTED_VALUE"""),19.48)</f>
        <v>19.48</v>
      </c>
      <c r="E716" s="2">
        <f>IFERROR(__xludf.DUMMYFUNCTION("""COMPUTED_VALUE"""),19.59)</f>
        <v>19.59</v>
      </c>
      <c r="F716" s="2">
        <f>IFERROR(__xludf.DUMMYFUNCTION("""COMPUTED_VALUE"""),28920.0)</f>
        <v>28920</v>
      </c>
    </row>
    <row r="717">
      <c r="A717" s="3">
        <f>IFERROR(__xludf.DUMMYFUNCTION("""COMPUTED_VALUE"""),37572.645833333336)</f>
        <v>37572.64583</v>
      </c>
      <c r="B717" s="2">
        <f>IFERROR(__xludf.DUMMYFUNCTION("""COMPUTED_VALUE"""),19.74)</f>
        <v>19.74</v>
      </c>
      <c r="C717" s="2">
        <f>IFERROR(__xludf.DUMMYFUNCTION("""COMPUTED_VALUE"""),19.9)</f>
        <v>19.9</v>
      </c>
      <c r="D717" s="2">
        <f>IFERROR(__xludf.DUMMYFUNCTION("""COMPUTED_VALUE"""),19.51)</f>
        <v>19.51</v>
      </c>
      <c r="E717" s="2">
        <f>IFERROR(__xludf.DUMMYFUNCTION("""COMPUTED_VALUE"""),19.82)</f>
        <v>19.82</v>
      </c>
      <c r="F717" s="2">
        <f>IFERROR(__xludf.DUMMYFUNCTION("""COMPUTED_VALUE"""),19643.0)</f>
        <v>19643</v>
      </c>
    </row>
    <row r="718">
      <c r="A718" s="3">
        <f>IFERROR(__xludf.DUMMYFUNCTION("""COMPUTED_VALUE"""),37573.645833333336)</f>
        <v>37573.64583</v>
      </c>
      <c r="B718" s="2">
        <f>IFERROR(__xludf.DUMMYFUNCTION("""COMPUTED_VALUE"""),19.0)</f>
        <v>19</v>
      </c>
      <c r="C718" s="2">
        <f>IFERROR(__xludf.DUMMYFUNCTION("""COMPUTED_VALUE"""),19.84)</f>
        <v>19.84</v>
      </c>
      <c r="D718" s="2">
        <f>IFERROR(__xludf.DUMMYFUNCTION("""COMPUTED_VALUE"""),19.0)</f>
        <v>19</v>
      </c>
      <c r="E718" s="2">
        <f>IFERROR(__xludf.DUMMYFUNCTION("""COMPUTED_VALUE"""),19.38)</f>
        <v>19.38</v>
      </c>
      <c r="F718" s="2">
        <f>IFERROR(__xludf.DUMMYFUNCTION("""COMPUTED_VALUE"""),122238.0)</f>
        <v>122238</v>
      </c>
    </row>
    <row r="719">
      <c r="A719" s="3">
        <f>IFERROR(__xludf.DUMMYFUNCTION("""COMPUTED_VALUE"""),37574.645833333336)</f>
        <v>37574.64583</v>
      </c>
      <c r="B719" s="2">
        <f>IFERROR(__xludf.DUMMYFUNCTION("""COMPUTED_VALUE"""),19.31)</f>
        <v>19.31</v>
      </c>
      <c r="C719" s="2">
        <f>IFERROR(__xludf.DUMMYFUNCTION("""COMPUTED_VALUE"""),19.5)</f>
        <v>19.5</v>
      </c>
      <c r="D719" s="2">
        <f>IFERROR(__xludf.DUMMYFUNCTION("""COMPUTED_VALUE"""),18.91)</f>
        <v>18.91</v>
      </c>
      <c r="E719" s="2">
        <f>IFERROR(__xludf.DUMMYFUNCTION("""COMPUTED_VALUE"""),19.27)</f>
        <v>19.27</v>
      </c>
      <c r="F719" s="2">
        <f>IFERROR(__xludf.DUMMYFUNCTION("""COMPUTED_VALUE"""),132530.0)</f>
        <v>132530</v>
      </c>
    </row>
    <row r="720">
      <c r="A720" s="3">
        <f>IFERROR(__xludf.DUMMYFUNCTION("""COMPUTED_VALUE"""),37575.645833333336)</f>
        <v>37575.64583</v>
      </c>
      <c r="B720" s="2">
        <f>IFERROR(__xludf.DUMMYFUNCTION("""COMPUTED_VALUE"""),19.26)</f>
        <v>19.26</v>
      </c>
      <c r="C720" s="2">
        <f>IFERROR(__xludf.DUMMYFUNCTION("""COMPUTED_VALUE"""),19.31)</f>
        <v>19.31</v>
      </c>
      <c r="D720" s="2">
        <f>IFERROR(__xludf.DUMMYFUNCTION("""COMPUTED_VALUE"""),19.15)</f>
        <v>19.15</v>
      </c>
      <c r="E720" s="2">
        <f>IFERROR(__xludf.DUMMYFUNCTION("""COMPUTED_VALUE"""),19.27)</f>
        <v>19.27</v>
      </c>
      <c r="F720" s="2">
        <f>IFERROR(__xludf.DUMMYFUNCTION("""COMPUTED_VALUE"""),187023.0)</f>
        <v>187023</v>
      </c>
    </row>
    <row r="721">
      <c r="A721" s="3">
        <f>IFERROR(__xludf.DUMMYFUNCTION("""COMPUTED_VALUE"""),37578.645833333336)</f>
        <v>37578.64583</v>
      </c>
      <c r="B721" s="2">
        <f>IFERROR(__xludf.DUMMYFUNCTION("""COMPUTED_VALUE"""),19.23)</f>
        <v>19.23</v>
      </c>
      <c r="C721" s="2">
        <f>IFERROR(__xludf.DUMMYFUNCTION("""COMPUTED_VALUE"""),19.48)</f>
        <v>19.48</v>
      </c>
      <c r="D721" s="2">
        <f>IFERROR(__xludf.DUMMYFUNCTION("""COMPUTED_VALUE"""),19.23)</f>
        <v>19.23</v>
      </c>
      <c r="E721" s="2">
        <f>IFERROR(__xludf.DUMMYFUNCTION("""COMPUTED_VALUE"""),19.38)</f>
        <v>19.38</v>
      </c>
      <c r="F721" s="2">
        <f>IFERROR(__xludf.DUMMYFUNCTION("""COMPUTED_VALUE"""),69249.0)</f>
        <v>69249</v>
      </c>
    </row>
    <row r="722">
      <c r="A722" s="3">
        <f>IFERROR(__xludf.DUMMYFUNCTION("""COMPUTED_VALUE"""),37580.645833333336)</f>
        <v>37580.64583</v>
      </c>
      <c r="B722" s="2">
        <f>IFERROR(__xludf.DUMMYFUNCTION("""COMPUTED_VALUE"""),19.4)</f>
        <v>19.4</v>
      </c>
      <c r="C722" s="2">
        <f>IFERROR(__xludf.DUMMYFUNCTION("""COMPUTED_VALUE"""),19.5)</f>
        <v>19.5</v>
      </c>
      <c r="D722" s="2">
        <f>IFERROR(__xludf.DUMMYFUNCTION("""COMPUTED_VALUE"""),19.2)</f>
        <v>19.2</v>
      </c>
      <c r="E722" s="2">
        <f>IFERROR(__xludf.DUMMYFUNCTION("""COMPUTED_VALUE"""),19.45)</f>
        <v>19.45</v>
      </c>
      <c r="F722" s="2">
        <f>IFERROR(__xludf.DUMMYFUNCTION("""COMPUTED_VALUE"""),50100.0)</f>
        <v>50100</v>
      </c>
    </row>
    <row r="723">
      <c r="A723" s="3">
        <f>IFERROR(__xludf.DUMMYFUNCTION("""COMPUTED_VALUE"""),37581.645833333336)</f>
        <v>37581.64583</v>
      </c>
      <c r="B723" s="2">
        <f>IFERROR(__xludf.DUMMYFUNCTION("""COMPUTED_VALUE"""),19.41)</f>
        <v>19.41</v>
      </c>
      <c r="C723" s="2">
        <f>IFERROR(__xludf.DUMMYFUNCTION("""COMPUTED_VALUE"""),19.41)</f>
        <v>19.41</v>
      </c>
      <c r="D723" s="2">
        <f>IFERROR(__xludf.DUMMYFUNCTION("""COMPUTED_VALUE"""),19.25)</f>
        <v>19.25</v>
      </c>
      <c r="E723" s="2">
        <f>IFERROR(__xludf.DUMMYFUNCTION("""COMPUTED_VALUE"""),19.35)</f>
        <v>19.35</v>
      </c>
      <c r="F723" s="2">
        <f>IFERROR(__xludf.DUMMYFUNCTION("""COMPUTED_VALUE"""),77988.0)</f>
        <v>77988</v>
      </c>
    </row>
    <row r="724">
      <c r="A724" s="3">
        <f>IFERROR(__xludf.DUMMYFUNCTION("""COMPUTED_VALUE"""),37582.645833333336)</f>
        <v>37582.64583</v>
      </c>
      <c r="B724" s="2">
        <f>IFERROR(__xludf.DUMMYFUNCTION("""COMPUTED_VALUE"""),19.5)</f>
        <v>19.5</v>
      </c>
      <c r="C724" s="2">
        <f>IFERROR(__xludf.DUMMYFUNCTION("""COMPUTED_VALUE"""),19.64)</f>
        <v>19.64</v>
      </c>
      <c r="D724" s="2">
        <f>IFERROR(__xludf.DUMMYFUNCTION("""COMPUTED_VALUE"""),19.31)</f>
        <v>19.31</v>
      </c>
      <c r="E724" s="2">
        <f>IFERROR(__xludf.DUMMYFUNCTION("""COMPUTED_VALUE"""),19.55)</f>
        <v>19.55</v>
      </c>
      <c r="F724" s="2">
        <f>IFERROR(__xludf.DUMMYFUNCTION("""COMPUTED_VALUE"""),101586.0)</f>
        <v>101586</v>
      </c>
    </row>
    <row r="725">
      <c r="A725" s="3">
        <f>IFERROR(__xludf.DUMMYFUNCTION("""COMPUTED_VALUE"""),37585.645833333336)</f>
        <v>37585.64583</v>
      </c>
      <c r="B725" s="2">
        <f>IFERROR(__xludf.DUMMYFUNCTION("""COMPUTED_VALUE"""),19.6)</f>
        <v>19.6</v>
      </c>
      <c r="C725" s="2">
        <f>IFERROR(__xludf.DUMMYFUNCTION("""COMPUTED_VALUE"""),20.01)</f>
        <v>20.01</v>
      </c>
      <c r="D725" s="2">
        <f>IFERROR(__xludf.DUMMYFUNCTION("""COMPUTED_VALUE"""),19.45)</f>
        <v>19.45</v>
      </c>
      <c r="E725" s="2">
        <f>IFERROR(__xludf.DUMMYFUNCTION("""COMPUTED_VALUE"""),19.55)</f>
        <v>19.55</v>
      </c>
      <c r="F725" s="2">
        <f>IFERROR(__xludf.DUMMYFUNCTION("""COMPUTED_VALUE"""),488654.0)</f>
        <v>488654</v>
      </c>
    </row>
    <row r="726">
      <c r="A726" s="3">
        <f>IFERROR(__xludf.DUMMYFUNCTION("""COMPUTED_VALUE"""),37586.645833333336)</f>
        <v>37586.64583</v>
      </c>
      <c r="B726" s="2">
        <f>IFERROR(__xludf.DUMMYFUNCTION("""COMPUTED_VALUE"""),19.74)</f>
        <v>19.74</v>
      </c>
      <c r="C726" s="2">
        <f>IFERROR(__xludf.DUMMYFUNCTION("""COMPUTED_VALUE"""),19.74)</f>
        <v>19.74</v>
      </c>
      <c r="D726" s="2">
        <f>IFERROR(__xludf.DUMMYFUNCTION("""COMPUTED_VALUE"""),19.5)</f>
        <v>19.5</v>
      </c>
      <c r="E726" s="2">
        <f>IFERROR(__xludf.DUMMYFUNCTION("""COMPUTED_VALUE"""),19.58)</f>
        <v>19.58</v>
      </c>
      <c r="F726" s="2">
        <f>IFERROR(__xludf.DUMMYFUNCTION("""COMPUTED_VALUE"""),68406.0)</f>
        <v>68406</v>
      </c>
    </row>
    <row r="727">
      <c r="A727" s="3">
        <f>IFERROR(__xludf.DUMMYFUNCTION("""COMPUTED_VALUE"""),37587.645833333336)</f>
        <v>37587.64583</v>
      </c>
      <c r="B727" s="2">
        <f>IFERROR(__xludf.DUMMYFUNCTION("""COMPUTED_VALUE"""),19.6)</f>
        <v>19.6</v>
      </c>
      <c r="C727" s="2">
        <f>IFERROR(__xludf.DUMMYFUNCTION("""COMPUTED_VALUE"""),19.75)</f>
        <v>19.75</v>
      </c>
      <c r="D727" s="2">
        <f>IFERROR(__xludf.DUMMYFUNCTION("""COMPUTED_VALUE"""),19.4)</f>
        <v>19.4</v>
      </c>
      <c r="E727" s="2">
        <f>IFERROR(__xludf.DUMMYFUNCTION("""COMPUTED_VALUE"""),19.58)</f>
        <v>19.58</v>
      </c>
      <c r="F727" s="2">
        <f>IFERROR(__xludf.DUMMYFUNCTION("""COMPUTED_VALUE"""),128081.0)</f>
        <v>128081</v>
      </c>
    </row>
    <row r="728">
      <c r="A728" s="3">
        <f>IFERROR(__xludf.DUMMYFUNCTION("""COMPUTED_VALUE"""),37588.645833333336)</f>
        <v>37588.64583</v>
      </c>
      <c r="B728" s="2">
        <f>IFERROR(__xludf.DUMMYFUNCTION("""COMPUTED_VALUE"""),19.65)</f>
        <v>19.65</v>
      </c>
      <c r="C728" s="2">
        <f>IFERROR(__xludf.DUMMYFUNCTION("""COMPUTED_VALUE"""),19.65)</f>
        <v>19.65</v>
      </c>
      <c r="D728" s="2">
        <f>IFERROR(__xludf.DUMMYFUNCTION("""COMPUTED_VALUE"""),19.48)</f>
        <v>19.48</v>
      </c>
      <c r="E728" s="2">
        <f>IFERROR(__xludf.DUMMYFUNCTION("""COMPUTED_VALUE"""),19.54)</f>
        <v>19.54</v>
      </c>
      <c r="F728" s="2">
        <f>IFERROR(__xludf.DUMMYFUNCTION("""COMPUTED_VALUE"""),114623.0)</f>
        <v>114623</v>
      </c>
    </row>
    <row r="729">
      <c r="A729" s="3">
        <f>IFERROR(__xludf.DUMMYFUNCTION("""COMPUTED_VALUE"""),37589.645833333336)</f>
        <v>37589.64583</v>
      </c>
      <c r="B729" s="2">
        <f>IFERROR(__xludf.DUMMYFUNCTION("""COMPUTED_VALUE"""),19.6)</f>
        <v>19.6</v>
      </c>
      <c r="C729" s="2">
        <f>IFERROR(__xludf.DUMMYFUNCTION("""COMPUTED_VALUE"""),19.65)</f>
        <v>19.65</v>
      </c>
      <c r="D729" s="2">
        <f>IFERROR(__xludf.DUMMYFUNCTION("""COMPUTED_VALUE"""),19.49)</f>
        <v>19.49</v>
      </c>
      <c r="E729" s="2">
        <f>IFERROR(__xludf.DUMMYFUNCTION("""COMPUTED_VALUE"""),19.51)</f>
        <v>19.51</v>
      </c>
      <c r="F729" s="2">
        <f>IFERROR(__xludf.DUMMYFUNCTION("""COMPUTED_VALUE"""),123063.0)</f>
        <v>123063</v>
      </c>
    </row>
    <row r="730">
      <c r="A730" s="3">
        <f>IFERROR(__xludf.DUMMYFUNCTION("""COMPUTED_VALUE"""),37592.645833333336)</f>
        <v>37592.64583</v>
      </c>
      <c r="B730" s="2">
        <f>IFERROR(__xludf.DUMMYFUNCTION("""COMPUTED_VALUE"""),19.59)</f>
        <v>19.59</v>
      </c>
      <c r="C730" s="2">
        <f>IFERROR(__xludf.DUMMYFUNCTION("""COMPUTED_VALUE"""),19.59)</f>
        <v>19.59</v>
      </c>
      <c r="D730" s="2">
        <f>IFERROR(__xludf.DUMMYFUNCTION("""COMPUTED_VALUE"""),19.41)</f>
        <v>19.41</v>
      </c>
      <c r="E730" s="2">
        <f>IFERROR(__xludf.DUMMYFUNCTION("""COMPUTED_VALUE"""),19.49)</f>
        <v>19.49</v>
      </c>
      <c r="F730" s="2">
        <f>IFERROR(__xludf.DUMMYFUNCTION("""COMPUTED_VALUE"""),73633.0)</f>
        <v>73633</v>
      </c>
    </row>
    <row r="731">
      <c r="A731" s="3">
        <f>IFERROR(__xludf.DUMMYFUNCTION("""COMPUTED_VALUE"""),37593.645833333336)</f>
        <v>37593.64583</v>
      </c>
      <c r="B731" s="2">
        <f>IFERROR(__xludf.DUMMYFUNCTION("""COMPUTED_VALUE"""),19.52)</f>
        <v>19.52</v>
      </c>
      <c r="C731" s="2">
        <f>IFERROR(__xludf.DUMMYFUNCTION("""COMPUTED_VALUE"""),19.55)</f>
        <v>19.55</v>
      </c>
      <c r="D731" s="2">
        <f>IFERROR(__xludf.DUMMYFUNCTION("""COMPUTED_VALUE"""),19.4)</f>
        <v>19.4</v>
      </c>
      <c r="E731" s="2">
        <f>IFERROR(__xludf.DUMMYFUNCTION("""COMPUTED_VALUE"""),19.51)</f>
        <v>19.51</v>
      </c>
      <c r="F731" s="2">
        <f>IFERROR(__xludf.DUMMYFUNCTION("""COMPUTED_VALUE"""),108026.0)</f>
        <v>108026</v>
      </c>
    </row>
    <row r="732">
      <c r="A732" s="3">
        <f>IFERROR(__xludf.DUMMYFUNCTION("""COMPUTED_VALUE"""),37594.645833333336)</f>
        <v>37594.64583</v>
      </c>
      <c r="B732" s="2">
        <f>IFERROR(__xludf.DUMMYFUNCTION("""COMPUTED_VALUE"""),19.34)</f>
        <v>19.34</v>
      </c>
      <c r="C732" s="2">
        <f>IFERROR(__xludf.DUMMYFUNCTION("""COMPUTED_VALUE"""),19.9)</f>
        <v>19.9</v>
      </c>
      <c r="D732" s="2">
        <f>IFERROR(__xludf.DUMMYFUNCTION("""COMPUTED_VALUE"""),19.34)</f>
        <v>19.34</v>
      </c>
      <c r="E732" s="2">
        <f>IFERROR(__xludf.DUMMYFUNCTION("""COMPUTED_VALUE"""),19.58)</f>
        <v>19.58</v>
      </c>
      <c r="F732" s="2">
        <f>IFERROR(__xludf.DUMMYFUNCTION("""COMPUTED_VALUE"""),151088.0)</f>
        <v>151088</v>
      </c>
    </row>
    <row r="733">
      <c r="A733" s="3">
        <f>IFERROR(__xludf.DUMMYFUNCTION("""COMPUTED_VALUE"""),37595.645833333336)</f>
        <v>37595.64583</v>
      </c>
      <c r="B733" s="2">
        <f>IFERROR(__xludf.DUMMYFUNCTION("""COMPUTED_VALUE"""),19.68)</f>
        <v>19.68</v>
      </c>
      <c r="C733" s="2">
        <f>IFERROR(__xludf.DUMMYFUNCTION("""COMPUTED_VALUE"""),19.89)</f>
        <v>19.89</v>
      </c>
      <c r="D733" s="2">
        <f>IFERROR(__xludf.DUMMYFUNCTION("""COMPUTED_VALUE"""),19.46)</f>
        <v>19.46</v>
      </c>
      <c r="E733" s="2">
        <f>IFERROR(__xludf.DUMMYFUNCTION("""COMPUTED_VALUE"""),19.79)</f>
        <v>19.79</v>
      </c>
      <c r="F733" s="2">
        <f>IFERROR(__xludf.DUMMYFUNCTION("""COMPUTED_VALUE"""),47359.0)</f>
        <v>47359</v>
      </c>
    </row>
    <row r="734">
      <c r="A734" s="3">
        <f>IFERROR(__xludf.DUMMYFUNCTION("""COMPUTED_VALUE"""),37596.645833333336)</f>
        <v>37596.64583</v>
      </c>
      <c r="B734" s="2">
        <f>IFERROR(__xludf.DUMMYFUNCTION("""COMPUTED_VALUE"""),20.0)</f>
        <v>20</v>
      </c>
      <c r="C734" s="2">
        <f>IFERROR(__xludf.DUMMYFUNCTION("""COMPUTED_VALUE"""),20.08)</f>
        <v>20.08</v>
      </c>
      <c r="D734" s="2">
        <f>IFERROR(__xludf.DUMMYFUNCTION("""COMPUTED_VALUE"""),19.55)</f>
        <v>19.55</v>
      </c>
      <c r="E734" s="2">
        <f>IFERROR(__xludf.DUMMYFUNCTION("""COMPUTED_VALUE"""),19.83)</f>
        <v>19.83</v>
      </c>
      <c r="F734" s="2">
        <f>IFERROR(__xludf.DUMMYFUNCTION("""COMPUTED_VALUE"""),58471.0)</f>
        <v>58471</v>
      </c>
    </row>
    <row r="735">
      <c r="A735" s="3">
        <f>IFERROR(__xludf.DUMMYFUNCTION("""COMPUTED_VALUE"""),37599.645833333336)</f>
        <v>37599.64583</v>
      </c>
      <c r="B735" s="2">
        <f>IFERROR(__xludf.DUMMYFUNCTION("""COMPUTED_VALUE"""),19.02)</f>
        <v>19.02</v>
      </c>
      <c r="C735" s="2">
        <f>IFERROR(__xludf.DUMMYFUNCTION("""COMPUTED_VALUE"""),20.0)</f>
        <v>20</v>
      </c>
      <c r="D735" s="2">
        <f>IFERROR(__xludf.DUMMYFUNCTION("""COMPUTED_VALUE"""),19.02)</f>
        <v>19.02</v>
      </c>
      <c r="E735" s="2">
        <f>IFERROR(__xludf.DUMMYFUNCTION("""COMPUTED_VALUE"""),19.63)</f>
        <v>19.63</v>
      </c>
      <c r="F735" s="2">
        <f>IFERROR(__xludf.DUMMYFUNCTION("""COMPUTED_VALUE"""),101049.0)</f>
        <v>101049</v>
      </c>
    </row>
    <row r="736">
      <c r="A736" s="3">
        <f>IFERROR(__xludf.DUMMYFUNCTION("""COMPUTED_VALUE"""),37600.645833333336)</f>
        <v>37600.64583</v>
      </c>
      <c r="B736" s="2">
        <f>IFERROR(__xludf.DUMMYFUNCTION("""COMPUTED_VALUE"""),19.51)</f>
        <v>19.51</v>
      </c>
      <c r="C736" s="2">
        <f>IFERROR(__xludf.DUMMYFUNCTION("""COMPUTED_VALUE"""),19.52)</f>
        <v>19.52</v>
      </c>
      <c r="D736" s="2">
        <f>IFERROR(__xludf.DUMMYFUNCTION("""COMPUTED_VALUE"""),18.8)</f>
        <v>18.8</v>
      </c>
      <c r="E736" s="2">
        <f>IFERROR(__xludf.DUMMYFUNCTION("""COMPUTED_VALUE"""),19.0)</f>
        <v>19</v>
      </c>
      <c r="F736" s="2">
        <f>IFERROR(__xludf.DUMMYFUNCTION("""COMPUTED_VALUE"""),141389.0)</f>
        <v>141389</v>
      </c>
    </row>
    <row r="737">
      <c r="A737" s="3">
        <f>IFERROR(__xludf.DUMMYFUNCTION("""COMPUTED_VALUE"""),37601.645833333336)</f>
        <v>37601.64583</v>
      </c>
      <c r="B737" s="2">
        <f>IFERROR(__xludf.DUMMYFUNCTION("""COMPUTED_VALUE"""),19.02)</f>
        <v>19.02</v>
      </c>
      <c r="C737" s="2">
        <f>IFERROR(__xludf.DUMMYFUNCTION("""COMPUTED_VALUE"""),19.19)</f>
        <v>19.19</v>
      </c>
      <c r="D737" s="2">
        <f>IFERROR(__xludf.DUMMYFUNCTION("""COMPUTED_VALUE"""),18.73)</f>
        <v>18.73</v>
      </c>
      <c r="E737" s="2">
        <f>IFERROR(__xludf.DUMMYFUNCTION("""COMPUTED_VALUE"""),18.8)</f>
        <v>18.8</v>
      </c>
      <c r="F737" s="2">
        <f>IFERROR(__xludf.DUMMYFUNCTION("""COMPUTED_VALUE"""),84652.0)</f>
        <v>84652</v>
      </c>
    </row>
    <row r="738">
      <c r="A738" s="3">
        <f>IFERROR(__xludf.DUMMYFUNCTION("""COMPUTED_VALUE"""),37602.645833333336)</f>
        <v>37602.64583</v>
      </c>
      <c r="B738" s="2">
        <f>IFERROR(__xludf.DUMMYFUNCTION("""COMPUTED_VALUE"""),19.0)</f>
        <v>19</v>
      </c>
      <c r="C738" s="2">
        <f>IFERROR(__xludf.DUMMYFUNCTION("""COMPUTED_VALUE"""),19.75)</f>
        <v>19.75</v>
      </c>
      <c r="D738" s="2">
        <f>IFERROR(__xludf.DUMMYFUNCTION("""COMPUTED_VALUE"""),18.92)</f>
        <v>18.92</v>
      </c>
      <c r="E738" s="2">
        <f>IFERROR(__xludf.DUMMYFUNCTION("""COMPUTED_VALUE"""),19.41)</f>
        <v>19.41</v>
      </c>
      <c r="F738" s="2">
        <f>IFERROR(__xludf.DUMMYFUNCTION("""COMPUTED_VALUE"""),311628.0)</f>
        <v>311628</v>
      </c>
    </row>
    <row r="739">
      <c r="A739" s="3">
        <f>IFERROR(__xludf.DUMMYFUNCTION("""COMPUTED_VALUE"""),37603.645833333336)</f>
        <v>37603.64583</v>
      </c>
      <c r="B739" s="2">
        <f>IFERROR(__xludf.DUMMYFUNCTION("""COMPUTED_VALUE"""),19.7)</f>
        <v>19.7</v>
      </c>
      <c r="C739" s="2">
        <f>IFERROR(__xludf.DUMMYFUNCTION("""COMPUTED_VALUE"""),20.48)</f>
        <v>20.48</v>
      </c>
      <c r="D739" s="2">
        <f>IFERROR(__xludf.DUMMYFUNCTION("""COMPUTED_VALUE"""),19.7)</f>
        <v>19.7</v>
      </c>
      <c r="E739" s="2">
        <f>IFERROR(__xludf.DUMMYFUNCTION("""COMPUTED_VALUE"""),20.29)</f>
        <v>20.29</v>
      </c>
      <c r="F739" s="2">
        <f>IFERROR(__xludf.DUMMYFUNCTION("""COMPUTED_VALUE"""),502623.0)</f>
        <v>502623</v>
      </c>
    </row>
    <row r="740">
      <c r="A740" s="3">
        <f>IFERROR(__xludf.DUMMYFUNCTION("""COMPUTED_VALUE"""),37606.645833333336)</f>
        <v>37606.64583</v>
      </c>
      <c r="B740" s="2">
        <f>IFERROR(__xludf.DUMMYFUNCTION("""COMPUTED_VALUE"""),20.5)</f>
        <v>20.5</v>
      </c>
      <c r="C740" s="2">
        <f>IFERROR(__xludf.DUMMYFUNCTION("""COMPUTED_VALUE"""),21.56)</f>
        <v>21.56</v>
      </c>
      <c r="D740" s="2">
        <f>IFERROR(__xludf.DUMMYFUNCTION("""COMPUTED_VALUE"""),20.5)</f>
        <v>20.5</v>
      </c>
      <c r="E740" s="2">
        <f>IFERROR(__xludf.DUMMYFUNCTION("""COMPUTED_VALUE"""),20.95)</f>
        <v>20.95</v>
      </c>
      <c r="F740" s="2">
        <f>IFERROR(__xludf.DUMMYFUNCTION("""COMPUTED_VALUE"""),345437.0)</f>
        <v>345437</v>
      </c>
    </row>
    <row r="741">
      <c r="A741" s="3">
        <f>IFERROR(__xludf.DUMMYFUNCTION("""COMPUTED_VALUE"""),37607.645833333336)</f>
        <v>37607.64583</v>
      </c>
      <c r="B741" s="2">
        <f>IFERROR(__xludf.DUMMYFUNCTION("""COMPUTED_VALUE"""),21.1)</f>
        <v>21.1</v>
      </c>
      <c r="C741" s="2">
        <f>IFERROR(__xludf.DUMMYFUNCTION("""COMPUTED_VALUE"""),21.59)</f>
        <v>21.59</v>
      </c>
      <c r="D741" s="2">
        <f>IFERROR(__xludf.DUMMYFUNCTION("""COMPUTED_VALUE"""),20.51)</f>
        <v>20.51</v>
      </c>
      <c r="E741" s="2">
        <f>IFERROR(__xludf.DUMMYFUNCTION("""COMPUTED_VALUE"""),21.51)</f>
        <v>21.51</v>
      </c>
      <c r="F741" s="2">
        <f>IFERROR(__xludf.DUMMYFUNCTION("""COMPUTED_VALUE"""),222956.0)</f>
        <v>222956</v>
      </c>
    </row>
    <row r="742">
      <c r="A742" s="3">
        <f>IFERROR(__xludf.DUMMYFUNCTION("""COMPUTED_VALUE"""),37608.645833333336)</f>
        <v>37608.64583</v>
      </c>
      <c r="B742" s="2">
        <f>IFERROR(__xludf.DUMMYFUNCTION("""COMPUTED_VALUE"""),21.6)</f>
        <v>21.6</v>
      </c>
      <c r="C742" s="2">
        <f>IFERROR(__xludf.DUMMYFUNCTION("""COMPUTED_VALUE"""),21.99)</f>
        <v>21.99</v>
      </c>
      <c r="D742" s="2">
        <f>IFERROR(__xludf.DUMMYFUNCTION("""COMPUTED_VALUE"""),21.24)</f>
        <v>21.24</v>
      </c>
      <c r="E742" s="2">
        <f>IFERROR(__xludf.DUMMYFUNCTION("""COMPUTED_VALUE"""),21.79)</f>
        <v>21.79</v>
      </c>
      <c r="F742" s="2">
        <f>IFERROR(__xludf.DUMMYFUNCTION("""COMPUTED_VALUE"""),267483.0)</f>
        <v>267483</v>
      </c>
    </row>
    <row r="743">
      <c r="A743" s="3">
        <f>IFERROR(__xludf.DUMMYFUNCTION("""COMPUTED_VALUE"""),37609.645833333336)</f>
        <v>37609.64583</v>
      </c>
      <c r="B743" s="2">
        <f>IFERROR(__xludf.DUMMYFUNCTION("""COMPUTED_VALUE"""),21.5)</f>
        <v>21.5</v>
      </c>
      <c r="C743" s="2">
        <f>IFERROR(__xludf.DUMMYFUNCTION("""COMPUTED_VALUE"""),21.89)</f>
        <v>21.89</v>
      </c>
      <c r="D743" s="2">
        <f>IFERROR(__xludf.DUMMYFUNCTION("""COMPUTED_VALUE"""),21.28)</f>
        <v>21.28</v>
      </c>
      <c r="E743" s="2">
        <f>IFERROR(__xludf.DUMMYFUNCTION("""COMPUTED_VALUE"""),21.81)</f>
        <v>21.81</v>
      </c>
      <c r="F743" s="2">
        <f>IFERROR(__xludf.DUMMYFUNCTION("""COMPUTED_VALUE"""),197377.0)</f>
        <v>197377</v>
      </c>
    </row>
    <row r="744">
      <c r="A744" s="3">
        <f>IFERROR(__xludf.DUMMYFUNCTION("""COMPUTED_VALUE"""),37610.645833333336)</f>
        <v>37610.64583</v>
      </c>
      <c r="B744" s="2">
        <f>IFERROR(__xludf.DUMMYFUNCTION("""COMPUTED_VALUE"""),21.88)</f>
        <v>21.88</v>
      </c>
      <c r="C744" s="2">
        <f>IFERROR(__xludf.DUMMYFUNCTION("""COMPUTED_VALUE"""),22.2)</f>
        <v>22.2</v>
      </c>
      <c r="D744" s="2">
        <f>IFERROR(__xludf.DUMMYFUNCTION("""COMPUTED_VALUE"""),21.73)</f>
        <v>21.73</v>
      </c>
      <c r="E744" s="2">
        <f>IFERROR(__xludf.DUMMYFUNCTION("""COMPUTED_VALUE"""),22.05)</f>
        <v>22.05</v>
      </c>
      <c r="F744" s="2">
        <f>IFERROR(__xludf.DUMMYFUNCTION("""COMPUTED_VALUE"""),151988.0)</f>
        <v>151988</v>
      </c>
    </row>
    <row r="745">
      <c r="A745" s="3">
        <f>IFERROR(__xludf.DUMMYFUNCTION("""COMPUTED_VALUE"""),37613.645833333336)</f>
        <v>37613.64583</v>
      </c>
      <c r="B745" s="2">
        <f>IFERROR(__xludf.DUMMYFUNCTION("""COMPUTED_VALUE"""),22.08)</f>
        <v>22.08</v>
      </c>
      <c r="C745" s="2">
        <f>IFERROR(__xludf.DUMMYFUNCTION("""COMPUTED_VALUE"""),22.3)</f>
        <v>22.3</v>
      </c>
      <c r="D745" s="2">
        <f>IFERROR(__xludf.DUMMYFUNCTION("""COMPUTED_VALUE"""),21.8)</f>
        <v>21.8</v>
      </c>
      <c r="E745" s="2">
        <f>IFERROR(__xludf.DUMMYFUNCTION("""COMPUTED_VALUE"""),21.98)</f>
        <v>21.98</v>
      </c>
      <c r="F745" s="2">
        <f>IFERROR(__xludf.DUMMYFUNCTION("""COMPUTED_VALUE"""),87463.0)</f>
        <v>87463</v>
      </c>
    </row>
    <row r="746">
      <c r="A746" s="3">
        <f>IFERROR(__xludf.DUMMYFUNCTION("""COMPUTED_VALUE"""),37614.645833333336)</f>
        <v>37614.64583</v>
      </c>
      <c r="B746" s="2">
        <f>IFERROR(__xludf.DUMMYFUNCTION("""COMPUTED_VALUE"""),21.93)</f>
        <v>21.93</v>
      </c>
      <c r="C746" s="2">
        <f>IFERROR(__xludf.DUMMYFUNCTION("""COMPUTED_VALUE"""),22.08)</f>
        <v>22.08</v>
      </c>
      <c r="D746" s="2">
        <f>IFERROR(__xludf.DUMMYFUNCTION("""COMPUTED_VALUE"""),21.8)</f>
        <v>21.8</v>
      </c>
      <c r="E746" s="2">
        <f>IFERROR(__xludf.DUMMYFUNCTION("""COMPUTED_VALUE"""),21.85)</f>
        <v>21.85</v>
      </c>
      <c r="F746" s="2">
        <f>IFERROR(__xludf.DUMMYFUNCTION("""COMPUTED_VALUE"""),83455.0)</f>
        <v>83455</v>
      </c>
    </row>
    <row r="747">
      <c r="A747" s="3">
        <f>IFERROR(__xludf.DUMMYFUNCTION("""COMPUTED_VALUE"""),37616.645833333336)</f>
        <v>37616.64583</v>
      </c>
      <c r="B747" s="2">
        <f>IFERROR(__xludf.DUMMYFUNCTION("""COMPUTED_VALUE"""),21.95)</f>
        <v>21.95</v>
      </c>
      <c r="C747" s="2">
        <f>IFERROR(__xludf.DUMMYFUNCTION("""COMPUTED_VALUE"""),21.98)</f>
        <v>21.98</v>
      </c>
      <c r="D747" s="2">
        <f>IFERROR(__xludf.DUMMYFUNCTION("""COMPUTED_VALUE"""),21.8)</f>
        <v>21.8</v>
      </c>
      <c r="E747" s="2">
        <f>IFERROR(__xludf.DUMMYFUNCTION("""COMPUTED_VALUE"""),21.8)</f>
        <v>21.8</v>
      </c>
      <c r="F747" s="2">
        <f>IFERROR(__xludf.DUMMYFUNCTION("""COMPUTED_VALUE"""),33996.0)</f>
        <v>33996</v>
      </c>
    </row>
    <row r="748">
      <c r="A748" s="3">
        <f>IFERROR(__xludf.DUMMYFUNCTION("""COMPUTED_VALUE"""),37617.645833333336)</f>
        <v>37617.64583</v>
      </c>
      <c r="B748" s="2">
        <f>IFERROR(__xludf.DUMMYFUNCTION("""COMPUTED_VALUE"""),21.73)</f>
        <v>21.73</v>
      </c>
      <c r="C748" s="2">
        <f>IFERROR(__xludf.DUMMYFUNCTION("""COMPUTED_VALUE"""),21.95)</f>
        <v>21.95</v>
      </c>
      <c r="D748" s="2">
        <f>IFERROR(__xludf.DUMMYFUNCTION("""COMPUTED_VALUE"""),21.73)</f>
        <v>21.73</v>
      </c>
      <c r="E748" s="2">
        <f>IFERROR(__xludf.DUMMYFUNCTION("""COMPUTED_VALUE"""),21.86)</f>
        <v>21.86</v>
      </c>
      <c r="F748" s="2">
        <f>IFERROR(__xludf.DUMMYFUNCTION("""COMPUTED_VALUE"""),207767.0)</f>
        <v>207767</v>
      </c>
    </row>
    <row r="749">
      <c r="A749" s="3">
        <f>IFERROR(__xludf.DUMMYFUNCTION("""COMPUTED_VALUE"""),37620.645833333336)</f>
        <v>37620.64583</v>
      </c>
      <c r="B749" s="2">
        <f>IFERROR(__xludf.DUMMYFUNCTION("""COMPUTED_VALUE"""),21.73)</f>
        <v>21.73</v>
      </c>
      <c r="C749" s="2">
        <f>IFERROR(__xludf.DUMMYFUNCTION("""COMPUTED_VALUE"""),21.8)</f>
        <v>21.8</v>
      </c>
      <c r="D749" s="2">
        <f>IFERROR(__xludf.DUMMYFUNCTION("""COMPUTED_VALUE"""),21.31)</f>
        <v>21.31</v>
      </c>
      <c r="E749" s="2">
        <f>IFERROR(__xludf.DUMMYFUNCTION("""COMPUTED_VALUE"""),21.42)</f>
        <v>21.42</v>
      </c>
      <c r="F749" s="2">
        <f>IFERROR(__xludf.DUMMYFUNCTION("""COMPUTED_VALUE"""),33827.0)</f>
        <v>33827</v>
      </c>
    </row>
    <row r="750">
      <c r="A750" s="3">
        <f>IFERROR(__xludf.DUMMYFUNCTION("""COMPUTED_VALUE"""),37621.645833333336)</f>
        <v>37621.64583</v>
      </c>
      <c r="B750" s="2">
        <f>IFERROR(__xludf.DUMMYFUNCTION("""COMPUTED_VALUE"""),21.31)</f>
        <v>21.31</v>
      </c>
      <c r="C750" s="2">
        <f>IFERROR(__xludf.DUMMYFUNCTION("""COMPUTED_VALUE"""),21.99)</f>
        <v>21.99</v>
      </c>
      <c r="D750" s="2">
        <f>IFERROR(__xludf.DUMMYFUNCTION("""COMPUTED_VALUE"""),21.1)</f>
        <v>21.1</v>
      </c>
      <c r="E750" s="2">
        <f>IFERROR(__xludf.DUMMYFUNCTION("""COMPUTED_VALUE"""),21.61)</f>
        <v>21.61</v>
      </c>
      <c r="F750" s="2">
        <f>IFERROR(__xludf.DUMMYFUNCTION("""COMPUTED_VALUE"""),130035.0)</f>
        <v>130035</v>
      </c>
    </row>
    <row r="751">
      <c r="A751" s="3">
        <f>IFERROR(__xludf.DUMMYFUNCTION("""COMPUTED_VALUE"""),37622.645833333336)</f>
        <v>37622.64583</v>
      </c>
      <c r="B751" s="2">
        <f>IFERROR(__xludf.DUMMYFUNCTION("""COMPUTED_VALUE"""),21.99)</f>
        <v>21.99</v>
      </c>
      <c r="C751" s="2">
        <f>IFERROR(__xludf.DUMMYFUNCTION("""COMPUTED_VALUE"""),21.99)</f>
        <v>21.99</v>
      </c>
      <c r="D751" s="2">
        <f>IFERROR(__xludf.DUMMYFUNCTION("""COMPUTED_VALUE"""),21.5)</f>
        <v>21.5</v>
      </c>
      <c r="E751" s="2">
        <f>IFERROR(__xludf.DUMMYFUNCTION("""COMPUTED_VALUE"""),21.56)</f>
        <v>21.56</v>
      </c>
      <c r="F751" s="2">
        <f>IFERROR(__xludf.DUMMYFUNCTION("""COMPUTED_VALUE"""),18752.0)</f>
        <v>18752</v>
      </c>
    </row>
    <row r="752">
      <c r="A752" s="3">
        <f>IFERROR(__xludf.DUMMYFUNCTION("""COMPUTED_VALUE"""),37623.645833333336)</f>
        <v>37623.64583</v>
      </c>
      <c r="B752" s="2">
        <f>IFERROR(__xludf.DUMMYFUNCTION("""COMPUTED_VALUE"""),21.7)</f>
        <v>21.7</v>
      </c>
      <c r="C752" s="2">
        <f>IFERROR(__xludf.DUMMYFUNCTION("""COMPUTED_VALUE"""),21.9)</f>
        <v>21.9</v>
      </c>
      <c r="D752" s="2">
        <f>IFERROR(__xludf.DUMMYFUNCTION("""COMPUTED_VALUE"""),21.49)</f>
        <v>21.49</v>
      </c>
      <c r="E752" s="2">
        <f>IFERROR(__xludf.DUMMYFUNCTION("""COMPUTED_VALUE"""),21.84)</f>
        <v>21.84</v>
      </c>
      <c r="F752" s="2">
        <f>IFERROR(__xludf.DUMMYFUNCTION("""COMPUTED_VALUE"""),31539.0)</f>
        <v>31539</v>
      </c>
    </row>
    <row r="753">
      <c r="A753" s="3">
        <f>IFERROR(__xludf.DUMMYFUNCTION("""COMPUTED_VALUE"""),37624.645833333336)</f>
        <v>37624.64583</v>
      </c>
      <c r="B753" s="2">
        <f>IFERROR(__xludf.DUMMYFUNCTION("""COMPUTED_VALUE"""),21.56)</f>
        <v>21.56</v>
      </c>
      <c r="C753" s="2">
        <f>IFERROR(__xludf.DUMMYFUNCTION("""COMPUTED_VALUE"""),21.85)</f>
        <v>21.85</v>
      </c>
      <c r="D753" s="2">
        <f>IFERROR(__xludf.DUMMYFUNCTION("""COMPUTED_VALUE"""),21.5)</f>
        <v>21.5</v>
      </c>
      <c r="E753" s="2">
        <f>IFERROR(__xludf.DUMMYFUNCTION("""COMPUTED_VALUE"""),21.55)</f>
        <v>21.55</v>
      </c>
      <c r="F753" s="2">
        <f>IFERROR(__xludf.DUMMYFUNCTION("""COMPUTED_VALUE"""),34211.0)</f>
        <v>34211</v>
      </c>
    </row>
    <row r="754">
      <c r="A754" s="3">
        <f>IFERROR(__xludf.DUMMYFUNCTION("""COMPUTED_VALUE"""),37627.645833333336)</f>
        <v>37627.64583</v>
      </c>
      <c r="B754" s="2">
        <f>IFERROR(__xludf.DUMMYFUNCTION("""COMPUTED_VALUE"""),21.54)</f>
        <v>21.54</v>
      </c>
      <c r="C754" s="2">
        <f>IFERROR(__xludf.DUMMYFUNCTION("""COMPUTED_VALUE"""),21.6)</f>
        <v>21.6</v>
      </c>
      <c r="D754" s="2">
        <f>IFERROR(__xludf.DUMMYFUNCTION("""COMPUTED_VALUE"""),21.41)</f>
        <v>21.41</v>
      </c>
      <c r="E754" s="2">
        <f>IFERROR(__xludf.DUMMYFUNCTION("""COMPUTED_VALUE"""),21.49)</f>
        <v>21.49</v>
      </c>
      <c r="F754" s="2">
        <f>IFERROR(__xludf.DUMMYFUNCTION("""COMPUTED_VALUE"""),90909.0)</f>
        <v>90909</v>
      </c>
    </row>
    <row r="755">
      <c r="A755" s="3">
        <f>IFERROR(__xludf.DUMMYFUNCTION("""COMPUTED_VALUE"""),37628.645833333336)</f>
        <v>37628.64583</v>
      </c>
      <c r="B755" s="2">
        <f>IFERROR(__xludf.DUMMYFUNCTION("""COMPUTED_VALUE"""),21.5)</f>
        <v>21.5</v>
      </c>
      <c r="C755" s="2">
        <f>IFERROR(__xludf.DUMMYFUNCTION("""COMPUTED_VALUE"""),21.8)</f>
        <v>21.8</v>
      </c>
      <c r="D755" s="2">
        <f>IFERROR(__xludf.DUMMYFUNCTION("""COMPUTED_VALUE"""),21.46)</f>
        <v>21.46</v>
      </c>
      <c r="E755" s="2">
        <f>IFERROR(__xludf.DUMMYFUNCTION("""COMPUTED_VALUE"""),21.77)</f>
        <v>21.77</v>
      </c>
      <c r="F755" s="2">
        <f>IFERROR(__xludf.DUMMYFUNCTION("""COMPUTED_VALUE"""),88901.0)</f>
        <v>88901</v>
      </c>
    </row>
    <row r="756">
      <c r="A756" s="3">
        <f>IFERROR(__xludf.DUMMYFUNCTION("""COMPUTED_VALUE"""),37629.645833333336)</f>
        <v>37629.64583</v>
      </c>
      <c r="B756" s="2">
        <f>IFERROR(__xludf.DUMMYFUNCTION("""COMPUTED_VALUE"""),21.64)</f>
        <v>21.64</v>
      </c>
      <c r="C756" s="2">
        <f>IFERROR(__xludf.DUMMYFUNCTION("""COMPUTED_VALUE"""),21.7)</f>
        <v>21.7</v>
      </c>
      <c r="D756" s="2">
        <f>IFERROR(__xludf.DUMMYFUNCTION("""COMPUTED_VALUE"""),21.45)</f>
        <v>21.45</v>
      </c>
      <c r="E756" s="2">
        <f>IFERROR(__xludf.DUMMYFUNCTION("""COMPUTED_VALUE"""),21.5)</f>
        <v>21.5</v>
      </c>
      <c r="F756" s="2">
        <f>IFERROR(__xludf.DUMMYFUNCTION("""COMPUTED_VALUE"""),121544.0)</f>
        <v>121544</v>
      </c>
    </row>
    <row r="757">
      <c r="A757" s="3">
        <f>IFERROR(__xludf.DUMMYFUNCTION("""COMPUTED_VALUE"""),37630.645833333336)</f>
        <v>37630.64583</v>
      </c>
      <c r="B757" s="2">
        <f>IFERROR(__xludf.DUMMYFUNCTION("""COMPUTED_VALUE"""),21.4)</f>
        <v>21.4</v>
      </c>
      <c r="C757" s="2">
        <f>IFERROR(__xludf.DUMMYFUNCTION("""COMPUTED_VALUE"""),21.53)</f>
        <v>21.53</v>
      </c>
      <c r="D757" s="2">
        <f>IFERROR(__xludf.DUMMYFUNCTION("""COMPUTED_VALUE"""),21.15)</f>
        <v>21.15</v>
      </c>
      <c r="E757" s="2">
        <f>IFERROR(__xludf.DUMMYFUNCTION("""COMPUTED_VALUE"""),21.4)</f>
        <v>21.4</v>
      </c>
      <c r="F757" s="2">
        <f>IFERROR(__xludf.DUMMYFUNCTION("""COMPUTED_VALUE"""),152386.0)</f>
        <v>152386</v>
      </c>
    </row>
    <row r="758">
      <c r="A758" s="3">
        <f>IFERROR(__xludf.DUMMYFUNCTION("""COMPUTED_VALUE"""),37631.645833333336)</f>
        <v>37631.64583</v>
      </c>
      <c r="B758" s="2">
        <f>IFERROR(__xludf.DUMMYFUNCTION("""COMPUTED_VALUE"""),21.21)</f>
        <v>21.21</v>
      </c>
      <c r="C758" s="2">
        <f>IFERROR(__xludf.DUMMYFUNCTION("""COMPUTED_VALUE"""),21.74)</f>
        <v>21.74</v>
      </c>
      <c r="D758" s="2">
        <f>IFERROR(__xludf.DUMMYFUNCTION("""COMPUTED_VALUE"""),20.99)</f>
        <v>20.99</v>
      </c>
      <c r="E758" s="2">
        <f>IFERROR(__xludf.DUMMYFUNCTION("""COMPUTED_VALUE"""),21.49)</f>
        <v>21.49</v>
      </c>
      <c r="F758" s="2">
        <f>IFERROR(__xludf.DUMMYFUNCTION("""COMPUTED_VALUE"""),142193.0)</f>
        <v>142193</v>
      </c>
    </row>
    <row r="759">
      <c r="A759" s="3">
        <f>IFERROR(__xludf.DUMMYFUNCTION("""COMPUTED_VALUE"""),37634.645833333336)</f>
        <v>37634.64583</v>
      </c>
      <c r="B759" s="2">
        <f>IFERROR(__xludf.DUMMYFUNCTION("""COMPUTED_VALUE"""),21.58)</f>
        <v>21.58</v>
      </c>
      <c r="C759" s="2">
        <f>IFERROR(__xludf.DUMMYFUNCTION("""COMPUTED_VALUE"""),21.94)</f>
        <v>21.94</v>
      </c>
      <c r="D759" s="2">
        <f>IFERROR(__xludf.DUMMYFUNCTION("""COMPUTED_VALUE"""),21.56)</f>
        <v>21.56</v>
      </c>
      <c r="E759" s="2">
        <f>IFERROR(__xludf.DUMMYFUNCTION("""COMPUTED_VALUE"""),21.72)</f>
        <v>21.72</v>
      </c>
      <c r="F759" s="2">
        <f>IFERROR(__xludf.DUMMYFUNCTION("""COMPUTED_VALUE"""),59613.0)</f>
        <v>59613</v>
      </c>
    </row>
    <row r="760">
      <c r="A760" s="3">
        <f>IFERROR(__xludf.DUMMYFUNCTION("""COMPUTED_VALUE"""),37635.645833333336)</f>
        <v>37635.64583</v>
      </c>
      <c r="B760" s="2">
        <f>IFERROR(__xludf.DUMMYFUNCTION("""COMPUTED_VALUE"""),21.85)</f>
        <v>21.85</v>
      </c>
      <c r="C760" s="2">
        <f>IFERROR(__xludf.DUMMYFUNCTION("""COMPUTED_VALUE"""),21.85)</f>
        <v>21.85</v>
      </c>
      <c r="D760" s="2">
        <f>IFERROR(__xludf.DUMMYFUNCTION("""COMPUTED_VALUE"""),21.62)</f>
        <v>21.62</v>
      </c>
      <c r="E760" s="2">
        <f>IFERROR(__xludf.DUMMYFUNCTION("""COMPUTED_VALUE"""),21.81)</f>
        <v>21.81</v>
      </c>
      <c r="F760" s="2">
        <f>IFERROR(__xludf.DUMMYFUNCTION("""COMPUTED_VALUE"""),57997.0)</f>
        <v>57997</v>
      </c>
    </row>
    <row r="761">
      <c r="A761" s="3">
        <f>IFERROR(__xludf.DUMMYFUNCTION("""COMPUTED_VALUE"""),37636.645833333336)</f>
        <v>37636.64583</v>
      </c>
      <c r="B761" s="2">
        <f>IFERROR(__xludf.DUMMYFUNCTION("""COMPUTED_VALUE"""),21.94)</f>
        <v>21.94</v>
      </c>
      <c r="C761" s="2">
        <f>IFERROR(__xludf.DUMMYFUNCTION("""COMPUTED_VALUE"""),22.35)</f>
        <v>22.35</v>
      </c>
      <c r="D761" s="2">
        <f>IFERROR(__xludf.DUMMYFUNCTION("""COMPUTED_VALUE"""),21.61)</f>
        <v>21.61</v>
      </c>
      <c r="E761" s="2">
        <f>IFERROR(__xludf.DUMMYFUNCTION("""COMPUTED_VALUE"""),21.75)</f>
        <v>21.75</v>
      </c>
      <c r="F761" s="2">
        <f>IFERROR(__xludf.DUMMYFUNCTION("""COMPUTED_VALUE"""),135584.0)</f>
        <v>135584</v>
      </c>
    </row>
    <row r="762">
      <c r="A762" s="3">
        <f>IFERROR(__xludf.DUMMYFUNCTION("""COMPUTED_VALUE"""),37637.645833333336)</f>
        <v>37637.64583</v>
      </c>
      <c r="B762" s="2">
        <f>IFERROR(__xludf.DUMMYFUNCTION("""COMPUTED_VALUE"""),21.99)</f>
        <v>21.99</v>
      </c>
      <c r="C762" s="2">
        <f>IFERROR(__xludf.DUMMYFUNCTION("""COMPUTED_VALUE"""),21.99)</f>
        <v>21.99</v>
      </c>
      <c r="D762" s="2">
        <f>IFERROR(__xludf.DUMMYFUNCTION("""COMPUTED_VALUE"""),21.76)</f>
        <v>21.76</v>
      </c>
      <c r="E762" s="2">
        <f>IFERROR(__xludf.DUMMYFUNCTION("""COMPUTED_VALUE"""),21.91)</f>
        <v>21.91</v>
      </c>
      <c r="F762" s="2">
        <f>IFERROR(__xludf.DUMMYFUNCTION("""COMPUTED_VALUE"""),65633.0)</f>
        <v>65633</v>
      </c>
    </row>
    <row r="763">
      <c r="A763" s="3">
        <f>IFERROR(__xludf.DUMMYFUNCTION("""COMPUTED_VALUE"""),37638.645833333336)</f>
        <v>37638.64583</v>
      </c>
      <c r="B763" s="2">
        <f>IFERROR(__xludf.DUMMYFUNCTION("""COMPUTED_VALUE"""),22.0)</f>
        <v>22</v>
      </c>
      <c r="C763" s="2">
        <f>IFERROR(__xludf.DUMMYFUNCTION("""COMPUTED_VALUE"""),23.6)</f>
        <v>23.6</v>
      </c>
      <c r="D763" s="2">
        <f>IFERROR(__xludf.DUMMYFUNCTION("""COMPUTED_VALUE"""),21.95)</f>
        <v>21.95</v>
      </c>
      <c r="E763" s="2">
        <f>IFERROR(__xludf.DUMMYFUNCTION("""COMPUTED_VALUE"""),22.37)</f>
        <v>22.37</v>
      </c>
      <c r="F763" s="2">
        <f>IFERROR(__xludf.DUMMYFUNCTION("""COMPUTED_VALUE"""),180136.0)</f>
        <v>180136</v>
      </c>
    </row>
    <row r="764">
      <c r="A764" s="3">
        <f>IFERROR(__xludf.DUMMYFUNCTION("""COMPUTED_VALUE"""),37641.645833333336)</f>
        <v>37641.64583</v>
      </c>
      <c r="B764" s="2">
        <f>IFERROR(__xludf.DUMMYFUNCTION("""COMPUTED_VALUE"""),22.4)</f>
        <v>22.4</v>
      </c>
      <c r="C764" s="2">
        <f>IFERROR(__xludf.DUMMYFUNCTION("""COMPUTED_VALUE"""),22.55)</f>
        <v>22.55</v>
      </c>
      <c r="D764" s="2">
        <f>IFERROR(__xludf.DUMMYFUNCTION("""COMPUTED_VALUE"""),22.2)</f>
        <v>22.2</v>
      </c>
      <c r="E764" s="2">
        <f>IFERROR(__xludf.DUMMYFUNCTION("""COMPUTED_VALUE"""),22.39)</f>
        <v>22.39</v>
      </c>
      <c r="F764" s="2">
        <f>IFERROR(__xludf.DUMMYFUNCTION("""COMPUTED_VALUE"""),96987.0)</f>
        <v>96987</v>
      </c>
    </row>
    <row r="765">
      <c r="A765" s="3">
        <f>IFERROR(__xludf.DUMMYFUNCTION("""COMPUTED_VALUE"""),37642.645833333336)</f>
        <v>37642.64583</v>
      </c>
      <c r="B765" s="2">
        <f>IFERROR(__xludf.DUMMYFUNCTION("""COMPUTED_VALUE"""),22.45)</f>
        <v>22.45</v>
      </c>
      <c r="C765" s="2">
        <f>IFERROR(__xludf.DUMMYFUNCTION("""COMPUTED_VALUE"""),22.8)</f>
        <v>22.8</v>
      </c>
      <c r="D765" s="2">
        <f>IFERROR(__xludf.DUMMYFUNCTION("""COMPUTED_VALUE"""),22.29)</f>
        <v>22.29</v>
      </c>
      <c r="E765" s="2">
        <f>IFERROR(__xludf.DUMMYFUNCTION("""COMPUTED_VALUE"""),22.63)</f>
        <v>22.63</v>
      </c>
      <c r="F765" s="2">
        <f>IFERROR(__xludf.DUMMYFUNCTION("""COMPUTED_VALUE"""),102769.0)</f>
        <v>102769</v>
      </c>
    </row>
    <row r="766">
      <c r="A766" s="3">
        <f>IFERROR(__xludf.DUMMYFUNCTION("""COMPUTED_VALUE"""),37643.645833333336)</f>
        <v>37643.64583</v>
      </c>
      <c r="B766" s="2">
        <f>IFERROR(__xludf.DUMMYFUNCTION("""COMPUTED_VALUE"""),22.7)</f>
        <v>22.7</v>
      </c>
      <c r="C766" s="2">
        <f>IFERROR(__xludf.DUMMYFUNCTION("""COMPUTED_VALUE"""),24.19)</f>
        <v>24.19</v>
      </c>
      <c r="D766" s="2">
        <f>IFERROR(__xludf.DUMMYFUNCTION("""COMPUTED_VALUE"""),22.7)</f>
        <v>22.7</v>
      </c>
      <c r="E766" s="2">
        <f>IFERROR(__xludf.DUMMYFUNCTION("""COMPUTED_VALUE"""),24.02)</f>
        <v>24.02</v>
      </c>
      <c r="F766" s="2">
        <f>IFERROR(__xludf.DUMMYFUNCTION("""COMPUTED_VALUE"""),393737.0)</f>
        <v>393737</v>
      </c>
    </row>
    <row r="767">
      <c r="A767" s="3">
        <f>IFERROR(__xludf.DUMMYFUNCTION("""COMPUTED_VALUE"""),37644.645833333336)</f>
        <v>37644.64583</v>
      </c>
      <c r="B767" s="2">
        <f>IFERROR(__xludf.DUMMYFUNCTION("""COMPUTED_VALUE"""),24.2)</f>
        <v>24.2</v>
      </c>
      <c r="C767" s="2">
        <f>IFERROR(__xludf.DUMMYFUNCTION("""COMPUTED_VALUE"""),24.35)</f>
        <v>24.35</v>
      </c>
      <c r="D767" s="2">
        <f>IFERROR(__xludf.DUMMYFUNCTION("""COMPUTED_VALUE"""),23.47)</f>
        <v>23.47</v>
      </c>
      <c r="E767" s="2">
        <f>IFERROR(__xludf.DUMMYFUNCTION("""COMPUTED_VALUE"""),23.63)</f>
        <v>23.63</v>
      </c>
      <c r="F767" s="2">
        <f>IFERROR(__xludf.DUMMYFUNCTION("""COMPUTED_VALUE"""),147069.0)</f>
        <v>147069</v>
      </c>
    </row>
    <row r="768">
      <c r="A768" s="3">
        <f>IFERROR(__xludf.DUMMYFUNCTION("""COMPUTED_VALUE"""),37645.645833333336)</f>
        <v>37645.64583</v>
      </c>
      <c r="B768" s="2">
        <f>IFERROR(__xludf.DUMMYFUNCTION("""COMPUTED_VALUE"""),23.7)</f>
        <v>23.7</v>
      </c>
      <c r="C768" s="2">
        <f>IFERROR(__xludf.DUMMYFUNCTION("""COMPUTED_VALUE"""),23.99)</f>
        <v>23.99</v>
      </c>
      <c r="D768" s="2">
        <f>IFERROR(__xludf.DUMMYFUNCTION("""COMPUTED_VALUE"""),23.41)</f>
        <v>23.41</v>
      </c>
      <c r="E768" s="2">
        <f>IFERROR(__xludf.DUMMYFUNCTION("""COMPUTED_VALUE"""),23.75)</f>
        <v>23.75</v>
      </c>
      <c r="F768" s="2">
        <f>IFERROR(__xludf.DUMMYFUNCTION("""COMPUTED_VALUE"""),151801.0)</f>
        <v>151801</v>
      </c>
    </row>
    <row r="769">
      <c r="A769" s="3">
        <f>IFERROR(__xludf.DUMMYFUNCTION("""COMPUTED_VALUE"""),37648.645833333336)</f>
        <v>37648.64583</v>
      </c>
      <c r="B769" s="2">
        <f>IFERROR(__xludf.DUMMYFUNCTION("""COMPUTED_VALUE"""),23.8)</f>
        <v>23.8</v>
      </c>
      <c r="C769" s="2">
        <f>IFERROR(__xludf.DUMMYFUNCTION("""COMPUTED_VALUE"""),23.95)</f>
        <v>23.95</v>
      </c>
      <c r="D769" s="2">
        <f>IFERROR(__xludf.DUMMYFUNCTION("""COMPUTED_VALUE"""),23.5)</f>
        <v>23.5</v>
      </c>
      <c r="E769" s="2">
        <f>IFERROR(__xludf.DUMMYFUNCTION("""COMPUTED_VALUE"""),23.81)</f>
        <v>23.81</v>
      </c>
      <c r="F769" s="2">
        <f>IFERROR(__xludf.DUMMYFUNCTION("""COMPUTED_VALUE"""),163080.0)</f>
        <v>163080</v>
      </c>
    </row>
    <row r="770">
      <c r="A770" s="3">
        <f>IFERROR(__xludf.DUMMYFUNCTION("""COMPUTED_VALUE"""),37649.645833333336)</f>
        <v>37649.64583</v>
      </c>
      <c r="B770" s="2">
        <f>IFERROR(__xludf.DUMMYFUNCTION("""COMPUTED_VALUE"""),23.8)</f>
        <v>23.8</v>
      </c>
      <c r="C770" s="2">
        <f>IFERROR(__xludf.DUMMYFUNCTION("""COMPUTED_VALUE"""),23.99)</f>
        <v>23.99</v>
      </c>
      <c r="D770" s="2">
        <f>IFERROR(__xludf.DUMMYFUNCTION("""COMPUTED_VALUE"""),22.1)</f>
        <v>22.1</v>
      </c>
      <c r="E770" s="2">
        <f>IFERROR(__xludf.DUMMYFUNCTION("""COMPUTED_VALUE"""),23.21)</f>
        <v>23.21</v>
      </c>
      <c r="F770" s="2">
        <f>IFERROR(__xludf.DUMMYFUNCTION("""COMPUTED_VALUE"""),191557.0)</f>
        <v>191557</v>
      </c>
    </row>
    <row r="771">
      <c r="A771" s="3">
        <f>IFERROR(__xludf.DUMMYFUNCTION("""COMPUTED_VALUE"""),37650.645833333336)</f>
        <v>37650.64583</v>
      </c>
      <c r="B771" s="2">
        <f>IFERROR(__xludf.DUMMYFUNCTION("""COMPUTED_VALUE"""),23.99)</f>
        <v>23.99</v>
      </c>
      <c r="C771" s="2">
        <f>IFERROR(__xludf.DUMMYFUNCTION("""COMPUTED_VALUE"""),23.99)</f>
        <v>23.99</v>
      </c>
      <c r="D771" s="2">
        <f>IFERROR(__xludf.DUMMYFUNCTION("""COMPUTED_VALUE"""),22.7)</f>
        <v>22.7</v>
      </c>
      <c r="E771" s="2">
        <f>IFERROR(__xludf.DUMMYFUNCTION("""COMPUTED_VALUE"""),22.94)</f>
        <v>22.94</v>
      </c>
      <c r="F771" s="2">
        <f>IFERROR(__xludf.DUMMYFUNCTION("""COMPUTED_VALUE"""),31929.0)</f>
        <v>31929</v>
      </c>
    </row>
    <row r="772">
      <c r="A772" s="3">
        <f>IFERROR(__xludf.DUMMYFUNCTION("""COMPUTED_VALUE"""),37651.645833333336)</f>
        <v>37651.64583</v>
      </c>
      <c r="B772" s="2">
        <f>IFERROR(__xludf.DUMMYFUNCTION("""COMPUTED_VALUE"""),22.81)</f>
        <v>22.81</v>
      </c>
      <c r="C772" s="2">
        <f>IFERROR(__xludf.DUMMYFUNCTION("""COMPUTED_VALUE"""),23.18)</f>
        <v>23.18</v>
      </c>
      <c r="D772" s="2">
        <f>IFERROR(__xludf.DUMMYFUNCTION("""COMPUTED_VALUE"""),22.4)</f>
        <v>22.4</v>
      </c>
      <c r="E772" s="2">
        <f>IFERROR(__xludf.DUMMYFUNCTION("""COMPUTED_VALUE"""),22.7)</f>
        <v>22.7</v>
      </c>
      <c r="F772" s="2">
        <f>IFERROR(__xludf.DUMMYFUNCTION("""COMPUTED_VALUE"""),60936.0)</f>
        <v>60936</v>
      </c>
    </row>
    <row r="773">
      <c r="A773" s="3">
        <f>IFERROR(__xludf.DUMMYFUNCTION("""COMPUTED_VALUE"""),37652.645833333336)</f>
        <v>37652.64583</v>
      </c>
      <c r="B773" s="2">
        <f>IFERROR(__xludf.DUMMYFUNCTION("""COMPUTED_VALUE"""),22.9)</f>
        <v>22.9</v>
      </c>
      <c r="C773" s="2">
        <f>IFERROR(__xludf.DUMMYFUNCTION("""COMPUTED_VALUE"""),23.9)</f>
        <v>23.9</v>
      </c>
      <c r="D773" s="2">
        <f>IFERROR(__xludf.DUMMYFUNCTION("""COMPUTED_VALUE"""),22.65)</f>
        <v>22.65</v>
      </c>
      <c r="E773" s="2">
        <f>IFERROR(__xludf.DUMMYFUNCTION("""COMPUTED_VALUE"""),23.71)</f>
        <v>23.71</v>
      </c>
      <c r="F773" s="2">
        <f>IFERROR(__xludf.DUMMYFUNCTION("""COMPUTED_VALUE"""),200312.0)</f>
        <v>200312</v>
      </c>
    </row>
    <row r="774">
      <c r="A774" s="3">
        <f>IFERROR(__xludf.DUMMYFUNCTION("""COMPUTED_VALUE"""),37655.645833333336)</f>
        <v>37655.64583</v>
      </c>
      <c r="B774" s="2">
        <f>IFERROR(__xludf.DUMMYFUNCTION("""COMPUTED_VALUE"""),22.2)</f>
        <v>22.2</v>
      </c>
      <c r="C774" s="2">
        <f>IFERROR(__xludf.DUMMYFUNCTION("""COMPUTED_VALUE"""),24.3)</f>
        <v>24.3</v>
      </c>
      <c r="D774" s="2">
        <f>IFERROR(__xludf.DUMMYFUNCTION("""COMPUTED_VALUE"""),22.2)</f>
        <v>22.2</v>
      </c>
      <c r="E774" s="2">
        <f>IFERROR(__xludf.DUMMYFUNCTION("""COMPUTED_VALUE"""),23.83)</f>
        <v>23.83</v>
      </c>
      <c r="F774" s="2">
        <f>IFERROR(__xludf.DUMMYFUNCTION("""COMPUTED_VALUE"""),146708.0)</f>
        <v>146708</v>
      </c>
    </row>
    <row r="775">
      <c r="A775" s="3">
        <f>IFERROR(__xludf.DUMMYFUNCTION("""COMPUTED_VALUE"""),37656.645833333336)</f>
        <v>37656.64583</v>
      </c>
      <c r="B775" s="2">
        <f>IFERROR(__xludf.DUMMYFUNCTION("""COMPUTED_VALUE"""),24.0)</f>
        <v>24</v>
      </c>
      <c r="C775" s="2">
        <f>IFERROR(__xludf.DUMMYFUNCTION("""COMPUTED_VALUE"""),24.45)</f>
        <v>24.45</v>
      </c>
      <c r="D775" s="2">
        <f>IFERROR(__xludf.DUMMYFUNCTION("""COMPUTED_VALUE"""),23.85)</f>
        <v>23.85</v>
      </c>
      <c r="E775" s="2">
        <f>IFERROR(__xludf.DUMMYFUNCTION("""COMPUTED_VALUE"""),24.01)</f>
        <v>24.01</v>
      </c>
      <c r="F775" s="2">
        <f>IFERROR(__xludf.DUMMYFUNCTION("""COMPUTED_VALUE"""),225801.0)</f>
        <v>225801</v>
      </c>
    </row>
    <row r="776">
      <c r="A776" s="3">
        <f>IFERROR(__xludf.DUMMYFUNCTION("""COMPUTED_VALUE"""),37657.645833333336)</f>
        <v>37657.64583</v>
      </c>
      <c r="B776" s="2">
        <f>IFERROR(__xludf.DUMMYFUNCTION("""COMPUTED_VALUE"""),24.12)</f>
        <v>24.12</v>
      </c>
      <c r="C776" s="2">
        <f>IFERROR(__xludf.DUMMYFUNCTION("""COMPUTED_VALUE"""),24.13)</f>
        <v>24.13</v>
      </c>
      <c r="D776" s="2">
        <f>IFERROR(__xludf.DUMMYFUNCTION("""COMPUTED_VALUE"""),23.89)</f>
        <v>23.89</v>
      </c>
      <c r="E776" s="2">
        <f>IFERROR(__xludf.DUMMYFUNCTION("""COMPUTED_VALUE"""),24.01)</f>
        <v>24.01</v>
      </c>
      <c r="F776" s="2">
        <f>IFERROR(__xludf.DUMMYFUNCTION("""COMPUTED_VALUE"""),64409.0)</f>
        <v>64409</v>
      </c>
    </row>
    <row r="777">
      <c r="A777" s="3">
        <f>IFERROR(__xludf.DUMMYFUNCTION("""COMPUTED_VALUE"""),37658.645833333336)</f>
        <v>37658.64583</v>
      </c>
      <c r="B777" s="2">
        <f>IFERROR(__xludf.DUMMYFUNCTION("""COMPUTED_VALUE"""),24.0)</f>
        <v>24</v>
      </c>
      <c r="C777" s="2">
        <f>IFERROR(__xludf.DUMMYFUNCTION("""COMPUTED_VALUE"""),24.32)</f>
        <v>24.32</v>
      </c>
      <c r="D777" s="2">
        <f>IFERROR(__xludf.DUMMYFUNCTION("""COMPUTED_VALUE"""),24.0)</f>
        <v>24</v>
      </c>
      <c r="E777" s="2">
        <f>IFERROR(__xludf.DUMMYFUNCTION("""COMPUTED_VALUE"""),24.24)</f>
        <v>24.24</v>
      </c>
      <c r="F777" s="2">
        <f>IFERROR(__xludf.DUMMYFUNCTION("""COMPUTED_VALUE"""),79260.0)</f>
        <v>79260</v>
      </c>
    </row>
    <row r="778">
      <c r="A778" s="3">
        <f>IFERROR(__xludf.DUMMYFUNCTION("""COMPUTED_VALUE"""),37659.645833333336)</f>
        <v>37659.64583</v>
      </c>
      <c r="B778" s="2">
        <f>IFERROR(__xludf.DUMMYFUNCTION("""COMPUTED_VALUE"""),24.3)</f>
        <v>24.3</v>
      </c>
      <c r="C778" s="2">
        <f>IFERROR(__xludf.DUMMYFUNCTION("""COMPUTED_VALUE"""),25.04)</f>
        <v>25.04</v>
      </c>
      <c r="D778" s="2">
        <f>IFERROR(__xludf.DUMMYFUNCTION("""COMPUTED_VALUE"""),24.15)</f>
        <v>24.15</v>
      </c>
      <c r="E778" s="2">
        <f>IFERROR(__xludf.DUMMYFUNCTION("""COMPUTED_VALUE"""),24.68)</f>
        <v>24.68</v>
      </c>
      <c r="F778" s="2">
        <f>IFERROR(__xludf.DUMMYFUNCTION("""COMPUTED_VALUE"""),295679.0)</f>
        <v>295679</v>
      </c>
    </row>
    <row r="779">
      <c r="A779" s="3">
        <f>IFERROR(__xludf.DUMMYFUNCTION("""COMPUTED_VALUE"""),37662.645833333336)</f>
        <v>37662.64583</v>
      </c>
      <c r="B779" s="2">
        <f>IFERROR(__xludf.DUMMYFUNCTION("""COMPUTED_VALUE"""),24.59)</f>
        <v>24.59</v>
      </c>
      <c r="C779" s="2">
        <f>IFERROR(__xludf.DUMMYFUNCTION("""COMPUTED_VALUE"""),24.7)</f>
        <v>24.7</v>
      </c>
      <c r="D779" s="2">
        <f>IFERROR(__xludf.DUMMYFUNCTION("""COMPUTED_VALUE"""),24.25)</f>
        <v>24.25</v>
      </c>
      <c r="E779" s="2">
        <f>IFERROR(__xludf.DUMMYFUNCTION("""COMPUTED_VALUE"""),24.64)</f>
        <v>24.64</v>
      </c>
      <c r="F779" s="2">
        <f>IFERROR(__xludf.DUMMYFUNCTION("""COMPUTED_VALUE"""),78241.0)</f>
        <v>78241</v>
      </c>
    </row>
    <row r="780">
      <c r="A780" s="3">
        <f>IFERROR(__xludf.DUMMYFUNCTION("""COMPUTED_VALUE"""),37663.645833333336)</f>
        <v>37663.64583</v>
      </c>
      <c r="B780" s="2">
        <f>IFERROR(__xludf.DUMMYFUNCTION("""COMPUTED_VALUE"""),24.48)</f>
        <v>24.48</v>
      </c>
      <c r="C780" s="2">
        <f>IFERROR(__xludf.DUMMYFUNCTION("""COMPUTED_VALUE"""),24.9)</f>
        <v>24.9</v>
      </c>
      <c r="D780" s="2">
        <f>IFERROR(__xludf.DUMMYFUNCTION("""COMPUTED_VALUE"""),24.48)</f>
        <v>24.48</v>
      </c>
      <c r="E780" s="2">
        <f>IFERROR(__xludf.DUMMYFUNCTION("""COMPUTED_VALUE"""),24.56)</f>
        <v>24.56</v>
      </c>
      <c r="F780" s="2">
        <f>IFERROR(__xludf.DUMMYFUNCTION("""COMPUTED_VALUE"""),149638.0)</f>
        <v>149638</v>
      </c>
    </row>
    <row r="781">
      <c r="A781" s="3">
        <f>IFERROR(__xludf.DUMMYFUNCTION("""COMPUTED_VALUE"""),37664.645833333336)</f>
        <v>37664.64583</v>
      </c>
      <c r="B781" s="2">
        <f>IFERROR(__xludf.DUMMYFUNCTION("""COMPUTED_VALUE"""),24.72)</f>
        <v>24.72</v>
      </c>
      <c r="C781" s="2">
        <f>IFERROR(__xludf.DUMMYFUNCTION("""COMPUTED_VALUE"""),25.0)</f>
        <v>25</v>
      </c>
      <c r="D781" s="2">
        <f>IFERROR(__xludf.DUMMYFUNCTION("""COMPUTED_VALUE"""),24.11)</f>
        <v>24.11</v>
      </c>
      <c r="E781" s="2">
        <f>IFERROR(__xludf.DUMMYFUNCTION("""COMPUTED_VALUE"""),24.87)</f>
        <v>24.87</v>
      </c>
      <c r="F781" s="2">
        <f>IFERROR(__xludf.DUMMYFUNCTION("""COMPUTED_VALUE"""),278563.0)</f>
        <v>278563</v>
      </c>
    </row>
    <row r="782">
      <c r="A782" s="3">
        <f>IFERROR(__xludf.DUMMYFUNCTION("""COMPUTED_VALUE"""),37666.645833333336)</f>
        <v>37666.64583</v>
      </c>
      <c r="B782" s="2">
        <f>IFERROR(__xludf.DUMMYFUNCTION("""COMPUTED_VALUE"""),24.95)</f>
        <v>24.95</v>
      </c>
      <c r="C782" s="2">
        <f>IFERROR(__xludf.DUMMYFUNCTION("""COMPUTED_VALUE"""),25.24)</f>
        <v>25.24</v>
      </c>
      <c r="D782" s="2">
        <f>IFERROR(__xludf.DUMMYFUNCTION("""COMPUTED_VALUE"""),24.65)</f>
        <v>24.65</v>
      </c>
      <c r="E782" s="2">
        <f>IFERROR(__xludf.DUMMYFUNCTION("""COMPUTED_VALUE"""),24.83)</f>
        <v>24.83</v>
      </c>
      <c r="F782" s="2">
        <f>IFERROR(__xludf.DUMMYFUNCTION("""COMPUTED_VALUE"""),193587.0)</f>
        <v>193587</v>
      </c>
    </row>
    <row r="783">
      <c r="A783" s="3">
        <f>IFERROR(__xludf.DUMMYFUNCTION("""COMPUTED_VALUE"""),37669.645833333336)</f>
        <v>37669.64583</v>
      </c>
      <c r="B783" s="2">
        <f>IFERROR(__xludf.DUMMYFUNCTION("""COMPUTED_VALUE"""),24.71)</f>
        <v>24.71</v>
      </c>
      <c r="C783" s="2">
        <f>IFERROR(__xludf.DUMMYFUNCTION("""COMPUTED_VALUE"""),24.95)</f>
        <v>24.95</v>
      </c>
      <c r="D783" s="2">
        <f>IFERROR(__xludf.DUMMYFUNCTION("""COMPUTED_VALUE"""),24.63)</f>
        <v>24.63</v>
      </c>
      <c r="E783" s="2">
        <f>IFERROR(__xludf.DUMMYFUNCTION("""COMPUTED_VALUE"""),24.83)</f>
        <v>24.83</v>
      </c>
      <c r="F783" s="2">
        <f>IFERROR(__xludf.DUMMYFUNCTION("""COMPUTED_VALUE"""),43115.0)</f>
        <v>43115</v>
      </c>
    </row>
    <row r="784">
      <c r="A784" s="3">
        <f>IFERROR(__xludf.DUMMYFUNCTION("""COMPUTED_VALUE"""),37670.645833333336)</f>
        <v>37670.64583</v>
      </c>
      <c r="B784" s="2">
        <f>IFERROR(__xludf.DUMMYFUNCTION("""COMPUTED_VALUE"""),24.75)</f>
        <v>24.75</v>
      </c>
      <c r="C784" s="2">
        <f>IFERROR(__xludf.DUMMYFUNCTION("""COMPUTED_VALUE"""),25.0)</f>
        <v>25</v>
      </c>
      <c r="D784" s="2">
        <f>IFERROR(__xludf.DUMMYFUNCTION("""COMPUTED_VALUE"""),24.5)</f>
        <v>24.5</v>
      </c>
      <c r="E784" s="2">
        <f>IFERROR(__xludf.DUMMYFUNCTION("""COMPUTED_VALUE"""),24.62)</f>
        <v>24.62</v>
      </c>
      <c r="F784" s="2">
        <f>IFERROR(__xludf.DUMMYFUNCTION("""COMPUTED_VALUE"""),61293.0)</f>
        <v>61293</v>
      </c>
    </row>
    <row r="785">
      <c r="A785" s="3">
        <f>IFERROR(__xludf.DUMMYFUNCTION("""COMPUTED_VALUE"""),37671.645833333336)</f>
        <v>37671.64583</v>
      </c>
      <c r="B785" s="2">
        <f>IFERROR(__xludf.DUMMYFUNCTION("""COMPUTED_VALUE"""),25.01)</f>
        <v>25.01</v>
      </c>
      <c r="C785" s="2">
        <f>IFERROR(__xludf.DUMMYFUNCTION("""COMPUTED_VALUE"""),25.3)</f>
        <v>25.3</v>
      </c>
      <c r="D785" s="2">
        <f>IFERROR(__xludf.DUMMYFUNCTION("""COMPUTED_VALUE"""),24.7)</f>
        <v>24.7</v>
      </c>
      <c r="E785" s="2">
        <f>IFERROR(__xludf.DUMMYFUNCTION("""COMPUTED_VALUE"""),25.18)</f>
        <v>25.18</v>
      </c>
      <c r="F785" s="2">
        <f>IFERROR(__xludf.DUMMYFUNCTION("""COMPUTED_VALUE"""),341219.0)</f>
        <v>341219</v>
      </c>
    </row>
    <row r="786">
      <c r="A786" s="3">
        <f>IFERROR(__xludf.DUMMYFUNCTION("""COMPUTED_VALUE"""),37672.645833333336)</f>
        <v>37672.64583</v>
      </c>
      <c r="B786" s="2">
        <f>IFERROR(__xludf.DUMMYFUNCTION("""COMPUTED_VALUE"""),25.5)</f>
        <v>25.5</v>
      </c>
      <c r="C786" s="2">
        <f>IFERROR(__xludf.DUMMYFUNCTION("""COMPUTED_VALUE"""),25.6)</f>
        <v>25.6</v>
      </c>
      <c r="D786" s="2">
        <f>IFERROR(__xludf.DUMMYFUNCTION("""COMPUTED_VALUE"""),24.92)</f>
        <v>24.92</v>
      </c>
      <c r="E786" s="2">
        <f>IFERROR(__xludf.DUMMYFUNCTION("""COMPUTED_VALUE"""),25.04)</f>
        <v>25.04</v>
      </c>
      <c r="F786" s="2">
        <f>IFERROR(__xludf.DUMMYFUNCTION("""COMPUTED_VALUE"""),117455.0)</f>
        <v>117455</v>
      </c>
    </row>
    <row r="787">
      <c r="A787" s="3">
        <f>IFERROR(__xludf.DUMMYFUNCTION("""COMPUTED_VALUE"""),37673.645833333336)</f>
        <v>37673.64583</v>
      </c>
      <c r="B787" s="2">
        <f>IFERROR(__xludf.DUMMYFUNCTION("""COMPUTED_VALUE"""),25.2)</f>
        <v>25.2</v>
      </c>
      <c r="C787" s="2">
        <f>IFERROR(__xludf.DUMMYFUNCTION("""COMPUTED_VALUE"""),25.2)</f>
        <v>25.2</v>
      </c>
      <c r="D787" s="2">
        <f>IFERROR(__xludf.DUMMYFUNCTION("""COMPUTED_VALUE"""),24.51)</f>
        <v>24.51</v>
      </c>
      <c r="E787" s="2">
        <f>IFERROR(__xludf.DUMMYFUNCTION("""COMPUTED_VALUE"""),25.02)</f>
        <v>25.02</v>
      </c>
      <c r="F787" s="2">
        <f>IFERROR(__xludf.DUMMYFUNCTION("""COMPUTED_VALUE"""),101212.0)</f>
        <v>101212</v>
      </c>
    </row>
    <row r="788">
      <c r="A788" s="3">
        <f>IFERROR(__xludf.DUMMYFUNCTION("""COMPUTED_VALUE"""),37676.645833333336)</f>
        <v>37676.64583</v>
      </c>
      <c r="B788" s="2">
        <f>IFERROR(__xludf.DUMMYFUNCTION("""COMPUTED_VALUE"""),24.71)</f>
        <v>24.71</v>
      </c>
      <c r="C788" s="2">
        <f>IFERROR(__xludf.DUMMYFUNCTION("""COMPUTED_VALUE"""),25.0)</f>
        <v>25</v>
      </c>
      <c r="D788" s="2">
        <f>IFERROR(__xludf.DUMMYFUNCTION("""COMPUTED_VALUE"""),24.6)</f>
        <v>24.6</v>
      </c>
      <c r="E788" s="2">
        <f>IFERROR(__xludf.DUMMYFUNCTION("""COMPUTED_VALUE"""),24.76)</f>
        <v>24.76</v>
      </c>
      <c r="F788" s="2">
        <f>IFERROR(__xludf.DUMMYFUNCTION("""COMPUTED_VALUE"""),42826.0)</f>
        <v>42826</v>
      </c>
    </row>
    <row r="789">
      <c r="A789" s="3">
        <f>IFERROR(__xludf.DUMMYFUNCTION("""COMPUTED_VALUE"""),37677.645833333336)</f>
        <v>37677.64583</v>
      </c>
      <c r="B789" s="2">
        <f>IFERROR(__xludf.DUMMYFUNCTION("""COMPUTED_VALUE"""),24.72)</f>
        <v>24.72</v>
      </c>
      <c r="C789" s="2">
        <f>IFERROR(__xludf.DUMMYFUNCTION("""COMPUTED_VALUE"""),24.75)</f>
        <v>24.75</v>
      </c>
      <c r="D789" s="2">
        <f>IFERROR(__xludf.DUMMYFUNCTION("""COMPUTED_VALUE"""),24.51)</f>
        <v>24.51</v>
      </c>
      <c r="E789" s="2">
        <f>IFERROR(__xludf.DUMMYFUNCTION("""COMPUTED_VALUE"""),24.55)</f>
        <v>24.55</v>
      </c>
      <c r="F789" s="2">
        <f>IFERROR(__xludf.DUMMYFUNCTION("""COMPUTED_VALUE"""),22236.0)</f>
        <v>22236</v>
      </c>
    </row>
    <row r="790">
      <c r="A790" s="3">
        <f>IFERROR(__xludf.DUMMYFUNCTION("""COMPUTED_VALUE"""),37678.645833333336)</f>
        <v>37678.64583</v>
      </c>
      <c r="B790" s="2">
        <f>IFERROR(__xludf.DUMMYFUNCTION("""COMPUTED_VALUE"""),24.65)</f>
        <v>24.65</v>
      </c>
      <c r="C790" s="2">
        <f>IFERROR(__xludf.DUMMYFUNCTION("""COMPUTED_VALUE"""),25.0)</f>
        <v>25</v>
      </c>
      <c r="D790" s="2">
        <f>IFERROR(__xludf.DUMMYFUNCTION("""COMPUTED_VALUE"""),24.5)</f>
        <v>24.5</v>
      </c>
      <c r="E790" s="2">
        <f>IFERROR(__xludf.DUMMYFUNCTION("""COMPUTED_VALUE"""),24.86)</f>
        <v>24.86</v>
      </c>
      <c r="F790" s="2">
        <f>IFERROR(__xludf.DUMMYFUNCTION("""COMPUTED_VALUE"""),80646.0)</f>
        <v>80646</v>
      </c>
    </row>
    <row r="791">
      <c r="A791" s="3">
        <f>IFERROR(__xludf.DUMMYFUNCTION("""COMPUTED_VALUE"""),37679.645833333336)</f>
        <v>37679.64583</v>
      </c>
      <c r="B791" s="2">
        <f>IFERROR(__xludf.DUMMYFUNCTION("""COMPUTED_VALUE"""),24.85)</f>
        <v>24.85</v>
      </c>
      <c r="C791" s="2">
        <f>IFERROR(__xludf.DUMMYFUNCTION("""COMPUTED_VALUE"""),25.0)</f>
        <v>25</v>
      </c>
      <c r="D791" s="2">
        <f>IFERROR(__xludf.DUMMYFUNCTION("""COMPUTED_VALUE"""),24.62)</f>
        <v>24.62</v>
      </c>
      <c r="E791" s="2">
        <f>IFERROR(__xludf.DUMMYFUNCTION("""COMPUTED_VALUE"""),24.84)</f>
        <v>24.84</v>
      </c>
      <c r="F791" s="2">
        <f>IFERROR(__xludf.DUMMYFUNCTION("""COMPUTED_VALUE"""),69178.0)</f>
        <v>69178</v>
      </c>
    </row>
    <row r="792">
      <c r="A792" s="3">
        <f>IFERROR(__xludf.DUMMYFUNCTION("""COMPUTED_VALUE"""),37680.645833333336)</f>
        <v>37680.64583</v>
      </c>
      <c r="B792" s="2">
        <f>IFERROR(__xludf.DUMMYFUNCTION("""COMPUTED_VALUE"""),24.83)</f>
        <v>24.83</v>
      </c>
      <c r="C792" s="2">
        <f>IFERROR(__xludf.DUMMYFUNCTION("""COMPUTED_VALUE"""),25.37)</f>
        <v>25.37</v>
      </c>
      <c r="D792" s="2">
        <f>IFERROR(__xludf.DUMMYFUNCTION("""COMPUTED_VALUE"""),24.43)</f>
        <v>24.43</v>
      </c>
      <c r="E792" s="2">
        <f>IFERROR(__xludf.DUMMYFUNCTION("""COMPUTED_VALUE"""),24.99)</f>
        <v>24.99</v>
      </c>
      <c r="F792" s="2">
        <f>IFERROR(__xludf.DUMMYFUNCTION("""COMPUTED_VALUE"""),212786.0)</f>
        <v>212786</v>
      </c>
    </row>
    <row r="793">
      <c r="A793" s="3">
        <f>IFERROR(__xludf.DUMMYFUNCTION("""COMPUTED_VALUE"""),37683.645833333336)</f>
        <v>37683.64583</v>
      </c>
      <c r="B793" s="2">
        <f>IFERROR(__xludf.DUMMYFUNCTION("""COMPUTED_VALUE"""),25.01)</f>
        <v>25.01</v>
      </c>
      <c r="C793" s="2">
        <f>IFERROR(__xludf.DUMMYFUNCTION("""COMPUTED_VALUE"""),25.23)</f>
        <v>25.23</v>
      </c>
      <c r="D793" s="2">
        <f>IFERROR(__xludf.DUMMYFUNCTION("""COMPUTED_VALUE"""),24.06)</f>
        <v>24.06</v>
      </c>
      <c r="E793" s="2">
        <f>IFERROR(__xludf.DUMMYFUNCTION("""COMPUTED_VALUE"""),24.29)</f>
        <v>24.29</v>
      </c>
      <c r="F793" s="2">
        <f>IFERROR(__xludf.DUMMYFUNCTION("""COMPUTED_VALUE"""),36165.0)</f>
        <v>36165</v>
      </c>
    </row>
    <row r="794">
      <c r="A794" s="3">
        <f>IFERROR(__xludf.DUMMYFUNCTION("""COMPUTED_VALUE"""),37684.645833333336)</f>
        <v>37684.64583</v>
      </c>
      <c r="B794" s="2">
        <f>IFERROR(__xludf.DUMMYFUNCTION("""COMPUTED_VALUE"""),24.21)</f>
        <v>24.21</v>
      </c>
      <c r="C794" s="2">
        <f>IFERROR(__xludf.DUMMYFUNCTION("""COMPUTED_VALUE"""),24.6)</f>
        <v>24.6</v>
      </c>
      <c r="D794" s="2">
        <f>IFERROR(__xludf.DUMMYFUNCTION("""COMPUTED_VALUE"""),24.0)</f>
        <v>24</v>
      </c>
      <c r="E794" s="2">
        <f>IFERROR(__xludf.DUMMYFUNCTION("""COMPUTED_VALUE"""),24.29)</f>
        <v>24.29</v>
      </c>
      <c r="F794" s="2">
        <f>IFERROR(__xludf.DUMMYFUNCTION("""COMPUTED_VALUE"""),56164.0)</f>
        <v>56164</v>
      </c>
    </row>
    <row r="795">
      <c r="A795" s="3">
        <f>IFERROR(__xludf.DUMMYFUNCTION("""COMPUTED_VALUE"""),37685.645833333336)</f>
        <v>37685.64583</v>
      </c>
      <c r="B795" s="2">
        <f>IFERROR(__xludf.DUMMYFUNCTION("""COMPUTED_VALUE"""),24.28)</f>
        <v>24.28</v>
      </c>
      <c r="C795" s="2">
        <f>IFERROR(__xludf.DUMMYFUNCTION("""COMPUTED_VALUE"""),24.5)</f>
        <v>24.5</v>
      </c>
      <c r="D795" s="2">
        <f>IFERROR(__xludf.DUMMYFUNCTION("""COMPUTED_VALUE"""),24.04)</f>
        <v>24.04</v>
      </c>
      <c r="E795" s="2">
        <f>IFERROR(__xludf.DUMMYFUNCTION("""COMPUTED_VALUE"""),24.12)</f>
        <v>24.12</v>
      </c>
      <c r="F795" s="2">
        <f>IFERROR(__xludf.DUMMYFUNCTION("""COMPUTED_VALUE"""),71007.0)</f>
        <v>71007</v>
      </c>
    </row>
    <row r="796">
      <c r="A796" s="3">
        <f>IFERROR(__xludf.DUMMYFUNCTION("""COMPUTED_VALUE"""),37686.645833333336)</f>
        <v>37686.64583</v>
      </c>
      <c r="B796" s="2">
        <f>IFERROR(__xludf.DUMMYFUNCTION("""COMPUTED_VALUE"""),24.3)</f>
        <v>24.3</v>
      </c>
      <c r="C796" s="2">
        <f>IFERROR(__xludf.DUMMYFUNCTION("""COMPUTED_VALUE"""),24.3)</f>
        <v>24.3</v>
      </c>
      <c r="D796" s="2">
        <f>IFERROR(__xludf.DUMMYFUNCTION("""COMPUTED_VALUE"""),24.01)</f>
        <v>24.01</v>
      </c>
      <c r="E796" s="2">
        <f>IFERROR(__xludf.DUMMYFUNCTION("""COMPUTED_VALUE"""),24.09)</f>
        <v>24.09</v>
      </c>
      <c r="F796" s="2">
        <f>IFERROR(__xludf.DUMMYFUNCTION("""COMPUTED_VALUE"""),63424.0)</f>
        <v>63424</v>
      </c>
    </row>
    <row r="797">
      <c r="A797" s="3">
        <f>IFERROR(__xludf.DUMMYFUNCTION("""COMPUTED_VALUE"""),37687.645833333336)</f>
        <v>37687.64583</v>
      </c>
      <c r="B797" s="2">
        <f>IFERROR(__xludf.DUMMYFUNCTION("""COMPUTED_VALUE"""),24.01)</f>
        <v>24.01</v>
      </c>
      <c r="C797" s="2">
        <f>IFERROR(__xludf.DUMMYFUNCTION("""COMPUTED_VALUE"""),24.01)</f>
        <v>24.01</v>
      </c>
      <c r="D797" s="2">
        <f>IFERROR(__xludf.DUMMYFUNCTION("""COMPUTED_VALUE"""),23.7)</f>
        <v>23.7</v>
      </c>
      <c r="E797" s="2">
        <f>IFERROR(__xludf.DUMMYFUNCTION("""COMPUTED_VALUE"""),23.8)</f>
        <v>23.8</v>
      </c>
      <c r="F797" s="2">
        <f>IFERROR(__xludf.DUMMYFUNCTION("""COMPUTED_VALUE"""),156291.0)</f>
        <v>156291</v>
      </c>
    </row>
    <row r="798">
      <c r="A798" s="3">
        <f>IFERROR(__xludf.DUMMYFUNCTION("""COMPUTED_VALUE"""),37690.645833333336)</f>
        <v>37690.64583</v>
      </c>
      <c r="B798" s="2">
        <f>IFERROR(__xludf.DUMMYFUNCTION("""COMPUTED_VALUE"""),23.82)</f>
        <v>23.82</v>
      </c>
      <c r="C798" s="2">
        <f>IFERROR(__xludf.DUMMYFUNCTION("""COMPUTED_VALUE"""),24.6)</f>
        <v>24.6</v>
      </c>
      <c r="D798" s="2">
        <f>IFERROR(__xludf.DUMMYFUNCTION("""COMPUTED_VALUE"""),23.82)</f>
        <v>23.82</v>
      </c>
      <c r="E798" s="2">
        <f>IFERROR(__xludf.DUMMYFUNCTION("""COMPUTED_VALUE"""),24.02)</f>
        <v>24.02</v>
      </c>
      <c r="F798" s="2">
        <f>IFERROR(__xludf.DUMMYFUNCTION("""COMPUTED_VALUE"""),50717.0)</f>
        <v>50717</v>
      </c>
    </row>
    <row r="799">
      <c r="A799" s="3">
        <f>IFERROR(__xludf.DUMMYFUNCTION("""COMPUTED_VALUE"""),37691.645833333336)</f>
        <v>37691.64583</v>
      </c>
      <c r="B799" s="2">
        <f>IFERROR(__xludf.DUMMYFUNCTION("""COMPUTED_VALUE"""),23.73)</f>
        <v>23.73</v>
      </c>
      <c r="C799" s="2">
        <f>IFERROR(__xludf.DUMMYFUNCTION("""COMPUTED_VALUE"""),24.59)</f>
        <v>24.59</v>
      </c>
      <c r="D799" s="2">
        <f>IFERROR(__xludf.DUMMYFUNCTION("""COMPUTED_VALUE"""),23.49)</f>
        <v>23.49</v>
      </c>
      <c r="E799" s="2">
        <f>IFERROR(__xludf.DUMMYFUNCTION("""COMPUTED_VALUE"""),23.84)</f>
        <v>23.84</v>
      </c>
      <c r="F799" s="2">
        <f>IFERROR(__xludf.DUMMYFUNCTION("""COMPUTED_VALUE"""),33954.0)</f>
        <v>33954</v>
      </c>
    </row>
    <row r="800">
      <c r="A800" s="3">
        <f>IFERROR(__xludf.DUMMYFUNCTION("""COMPUTED_VALUE"""),37692.645833333336)</f>
        <v>37692.64583</v>
      </c>
      <c r="B800" s="2">
        <f>IFERROR(__xludf.DUMMYFUNCTION("""COMPUTED_VALUE"""),23.82)</f>
        <v>23.82</v>
      </c>
      <c r="C800" s="2">
        <f>IFERROR(__xludf.DUMMYFUNCTION("""COMPUTED_VALUE"""),23.9)</f>
        <v>23.9</v>
      </c>
      <c r="D800" s="2">
        <f>IFERROR(__xludf.DUMMYFUNCTION("""COMPUTED_VALUE"""),23.7)</f>
        <v>23.7</v>
      </c>
      <c r="E800" s="2">
        <f>IFERROR(__xludf.DUMMYFUNCTION("""COMPUTED_VALUE"""),23.82)</f>
        <v>23.82</v>
      </c>
      <c r="F800" s="2">
        <f>IFERROR(__xludf.DUMMYFUNCTION("""COMPUTED_VALUE"""),31489.0)</f>
        <v>31489</v>
      </c>
    </row>
    <row r="801">
      <c r="A801" s="3">
        <f>IFERROR(__xludf.DUMMYFUNCTION("""COMPUTED_VALUE"""),37693.645833333336)</f>
        <v>37693.64583</v>
      </c>
      <c r="B801" s="2">
        <f>IFERROR(__xludf.DUMMYFUNCTION("""COMPUTED_VALUE"""),24.0)</f>
        <v>24</v>
      </c>
      <c r="C801" s="2">
        <f>IFERROR(__xludf.DUMMYFUNCTION("""COMPUTED_VALUE"""),24.15)</f>
        <v>24.15</v>
      </c>
      <c r="D801" s="2">
        <f>IFERROR(__xludf.DUMMYFUNCTION("""COMPUTED_VALUE"""),23.9)</f>
        <v>23.9</v>
      </c>
      <c r="E801" s="2">
        <f>IFERROR(__xludf.DUMMYFUNCTION("""COMPUTED_VALUE"""),23.93)</f>
        <v>23.93</v>
      </c>
      <c r="F801" s="2">
        <f>IFERROR(__xludf.DUMMYFUNCTION("""COMPUTED_VALUE"""),142497.0)</f>
        <v>142497</v>
      </c>
    </row>
    <row r="802">
      <c r="A802" s="3">
        <f>IFERROR(__xludf.DUMMYFUNCTION("""COMPUTED_VALUE"""),37697.645833333336)</f>
        <v>37697.64583</v>
      </c>
      <c r="B802" s="2">
        <f>IFERROR(__xludf.DUMMYFUNCTION("""COMPUTED_VALUE"""),23.86)</f>
        <v>23.86</v>
      </c>
      <c r="C802" s="2">
        <f>IFERROR(__xludf.DUMMYFUNCTION("""COMPUTED_VALUE"""),24.02)</f>
        <v>24.02</v>
      </c>
      <c r="D802" s="2">
        <f>IFERROR(__xludf.DUMMYFUNCTION("""COMPUTED_VALUE"""),23.83)</f>
        <v>23.83</v>
      </c>
      <c r="E802" s="2">
        <f>IFERROR(__xludf.DUMMYFUNCTION("""COMPUTED_VALUE"""),23.95)</f>
        <v>23.95</v>
      </c>
      <c r="F802" s="2">
        <f>IFERROR(__xludf.DUMMYFUNCTION("""COMPUTED_VALUE"""),246925.0)</f>
        <v>246925</v>
      </c>
    </row>
    <row r="803">
      <c r="A803" s="3">
        <f>IFERROR(__xludf.DUMMYFUNCTION("""COMPUTED_VALUE"""),37699.645833333336)</f>
        <v>37699.64583</v>
      </c>
      <c r="B803" s="2">
        <f>IFERROR(__xludf.DUMMYFUNCTION("""COMPUTED_VALUE"""),23.9)</f>
        <v>23.9</v>
      </c>
      <c r="C803" s="2">
        <f>IFERROR(__xludf.DUMMYFUNCTION("""COMPUTED_VALUE"""),24.3)</f>
        <v>24.3</v>
      </c>
      <c r="D803" s="2">
        <f>IFERROR(__xludf.DUMMYFUNCTION("""COMPUTED_VALUE"""),23.65)</f>
        <v>23.65</v>
      </c>
      <c r="E803" s="2">
        <f>IFERROR(__xludf.DUMMYFUNCTION("""COMPUTED_VALUE"""),24.08)</f>
        <v>24.08</v>
      </c>
      <c r="F803" s="2">
        <f>IFERROR(__xludf.DUMMYFUNCTION("""COMPUTED_VALUE"""),153220.0)</f>
        <v>153220</v>
      </c>
    </row>
    <row r="804">
      <c r="A804" s="3">
        <f>IFERROR(__xludf.DUMMYFUNCTION("""COMPUTED_VALUE"""),37700.645833333336)</f>
        <v>37700.64583</v>
      </c>
      <c r="B804" s="2">
        <f>IFERROR(__xludf.DUMMYFUNCTION("""COMPUTED_VALUE"""),24.3)</f>
        <v>24.3</v>
      </c>
      <c r="C804" s="2">
        <f>IFERROR(__xludf.DUMMYFUNCTION("""COMPUTED_VALUE"""),24.6)</f>
        <v>24.6</v>
      </c>
      <c r="D804" s="2">
        <f>IFERROR(__xludf.DUMMYFUNCTION("""COMPUTED_VALUE"""),23.78)</f>
        <v>23.78</v>
      </c>
      <c r="E804" s="2">
        <f>IFERROR(__xludf.DUMMYFUNCTION("""COMPUTED_VALUE"""),24.5)</f>
        <v>24.5</v>
      </c>
      <c r="F804" s="2">
        <f>IFERROR(__xludf.DUMMYFUNCTION("""COMPUTED_VALUE"""),80892.0)</f>
        <v>80892</v>
      </c>
    </row>
    <row r="805">
      <c r="A805" s="3">
        <f>IFERROR(__xludf.DUMMYFUNCTION("""COMPUTED_VALUE"""),37701.645833333336)</f>
        <v>37701.64583</v>
      </c>
      <c r="B805" s="2">
        <f>IFERROR(__xludf.DUMMYFUNCTION("""COMPUTED_VALUE"""),24.2)</f>
        <v>24.2</v>
      </c>
      <c r="C805" s="2">
        <f>IFERROR(__xludf.DUMMYFUNCTION("""COMPUTED_VALUE"""),24.95)</f>
        <v>24.95</v>
      </c>
      <c r="D805" s="2">
        <f>IFERROR(__xludf.DUMMYFUNCTION("""COMPUTED_VALUE"""),23.8)</f>
        <v>23.8</v>
      </c>
      <c r="E805" s="2">
        <f>IFERROR(__xludf.DUMMYFUNCTION("""COMPUTED_VALUE"""),24.25)</f>
        <v>24.25</v>
      </c>
      <c r="F805" s="2">
        <f>IFERROR(__xludf.DUMMYFUNCTION("""COMPUTED_VALUE"""),68664.0)</f>
        <v>68664</v>
      </c>
    </row>
    <row r="806">
      <c r="A806" s="3">
        <f>IFERROR(__xludf.DUMMYFUNCTION("""COMPUTED_VALUE"""),37704.645833333336)</f>
        <v>37704.64583</v>
      </c>
      <c r="B806" s="2">
        <f>IFERROR(__xludf.DUMMYFUNCTION("""COMPUTED_VALUE"""),24.88)</f>
        <v>24.88</v>
      </c>
      <c r="C806" s="2">
        <f>IFERROR(__xludf.DUMMYFUNCTION("""COMPUTED_VALUE"""),24.88)</f>
        <v>24.88</v>
      </c>
      <c r="D806" s="2">
        <f>IFERROR(__xludf.DUMMYFUNCTION("""COMPUTED_VALUE"""),23.4)</f>
        <v>23.4</v>
      </c>
      <c r="E806" s="2">
        <f>IFERROR(__xludf.DUMMYFUNCTION("""COMPUTED_VALUE"""),23.59)</f>
        <v>23.59</v>
      </c>
      <c r="F806" s="2">
        <f>IFERROR(__xludf.DUMMYFUNCTION("""COMPUTED_VALUE"""),97538.0)</f>
        <v>97538</v>
      </c>
    </row>
    <row r="807">
      <c r="A807" s="3">
        <f>IFERROR(__xludf.DUMMYFUNCTION("""COMPUTED_VALUE"""),37705.645833333336)</f>
        <v>37705.64583</v>
      </c>
      <c r="B807" s="2">
        <f>IFERROR(__xludf.DUMMYFUNCTION("""COMPUTED_VALUE"""),23.4)</f>
        <v>23.4</v>
      </c>
      <c r="C807" s="2">
        <f>IFERROR(__xludf.DUMMYFUNCTION("""COMPUTED_VALUE"""),23.68)</f>
        <v>23.68</v>
      </c>
      <c r="D807" s="2">
        <f>IFERROR(__xludf.DUMMYFUNCTION("""COMPUTED_VALUE"""),23.0)</f>
        <v>23</v>
      </c>
      <c r="E807" s="2">
        <f>IFERROR(__xludf.DUMMYFUNCTION("""COMPUTED_VALUE"""),23.29)</f>
        <v>23.29</v>
      </c>
      <c r="F807" s="2">
        <f>IFERROR(__xludf.DUMMYFUNCTION("""COMPUTED_VALUE"""),28170.0)</f>
        <v>28170</v>
      </c>
    </row>
    <row r="808">
      <c r="A808" s="3">
        <f>IFERROR(__xludf.DUMMYFUNCTION("""COMPUTED_VALUE"""),37706.645833333336)</f>
        <v>37706.64583</v>
      </c>
      <c r="B808" s="2">
        <f>IFERROR(__xludf.DUMMYFUNCTION("""COMPUTED_VALUE"""),23.4)</f>
        <v>23.4</v>
      </c>
      <c r="C808" s="2">
        <f>IFERROR(__xludf.DUMMYFUNCTION("""COMPUTED_VALUE"""),23.9)</f>
        <v>23.9</v>
      </c>
      <c r="D808" s="2">
        <f>IFERROR(__xludf.DUMMYFUNCTION("""COMPUTED_VALUE"""),20.5)</f>
        <v>20.5</v>
      </c>
      <c r="E808" s="2">
        <f>IFERROR(__xludf.DUMMYFUNCTION("""COMPUTED_VALUE"""),23.78)</f>
        <v>23.78</v>
      </c>
      <c r="F808" s="2">
        <f>IFERROR(__xludf.DUMMYFUNCTION("""COMPUTED_VALUE"""),45963.0)</f>
        <v>45963</v>
      </c>
    </row>
    <row r="809">
      <c r="A809" s="3">
        <f>IFERROR(__xludf.DUMMYFUNCTION("""COMPUTED_VALUE"""),37707.645833333336)</f>
        <v>37707.64583</v>
      </c>
      <c r="B809" s="2">
        <f>IFERROR(__xludf.DUMMYFUNCTION("""COMPUTED_VALUE"""),23.76)</f>
        <v>23.76</v>
      </c>
      <c r="C809" s="2">
        <f>IFERROR(__xludf.DUMMYFUNCTION("""COMPUTED_VALUE"""),23.8)</f>
        <v>23.8</v>
      </c>
      <c r="D809" s="2">
        <f>IFERROR(__xludf.DUMMYFUNCTION("""COMPUTED_VALUE"""),21.64)</f>
        <v>21.64</v>
      </c>
      <c r="E809" s="2">
        <f>IFERROR(__xludf.DUMMYFUNCTION("""COMPUTED_VALUE"""),22.73)</f>
        <v>22.73</v>
      </c>
      <c r="F809" s="2">
        <f>IFERROR(__xludf.DUMMYFUNCTION("""COMPUTED_VALUE"""),80504.0)</f>
        <v>80504</v>
      </c>
    </row>
    <row r="810">
      <c r="A810" s="3">
        <f>IFERROR(__xludf.DUMMYFUNCTION("""COMPUTED_VALUE"""),37708.645833333336)</f>
        <v>37708.64583</v>
      </c>
      <c r="B810" s="2">
        <f>IFERROR(__xludf.DUMMYFUNCTION("""COMPUTED_VALUE"""),22.89)</f>
        <v>22.89</v>
      </c>
      <c r="C810" s="2">
        <f>IFERROR(__xludf.DUMMYFUNCTION("""COMPUTED_VALUE"""),23.68)</f>
        <v>23.68</v>
      </c>
      <c r="D810" s="2">
        <f>IFERROR(__xludf.DUMMYFUNCTION("""COMPUTED_VALUE"""),22.7)</f>
        <v>22.7</v>
      </c>
      <c r="E810" s="2">
        <f>IFERROR(__xludf.DUMMYFUNCTION("""COMPUTED_VALUE"""),23.63)</f>
        <v>23.63</v>
      </c>
      <c r="F810" s="2">
        <f>IFERROR(__xludf.DUMMYFUNCTION("""COMPUTED_VALUE"""),54433.0)</f>
        <v>54433</v>
      </c>
    </row>
    <row r="811">
      <c r="A811" s="3">
        <f>IFERROR(__xludf.DUMMYFUNCTION("""COMPUTED_VALUE"""),37711.645833333336)</f>
        <v>37711.64583</v>
      </c>
      <c r="B811" s="2">
        <f>IFERROR(__xludf.DUMMYFUNCTION("""COMPUTED_VALUE"""),23.4)</f>
        <v>23.4</v>
      </c>
      <c r="C811" s="2">
        <f>IFERROR(__xludf.DUMMYFUNCTION("""COMPUTED_VALUE"""),23.94)</f>
        <v>23.94</v>
      </c>
      <c r="D811" s="2">
        <f>IFERROR(__xludf.DUMMYFUNCTION("""COMPUTED_VALUE"""),23.21)</f>
        <v>23.21</v>
      </c>
      <c r="E811" s="2">
        <f>IFERROR(__xludf.DUMMYFUNCTION("""COMPUTED_VALUE"""),23.46)</f>
        <v>23.46</v>
      </c>
      <c r="F811" s="2">
        <f>IFERROR(__xludf.DUMMYFUNCTION("""COMPUTED_VALUE"""),98015.0)</f>
        <v>98015</v>
      </c>
    </row>
    <row r="812">
      <c r="A812" s="3">
        <f>IFERROR(__xludf.DUMMYFUNCTION("""COMPUTED_VALUE"""),37712.645833333336)</f>
        <v>37712.64583</v>
      </c>
      <c r="B812" s="2">
        <f>IFERROR(__xludf.DUMMYFUNCTION("""COMPUTED_VALUE"""),23.31)</f>
        <v>23.31</v>
      </c>
      <c r="C812" s="2">
        <f>IFERROR(__xludf.DUMMYFUNCTION("""COMPUTED_VALUE"""),23.58)</f>
        <v>23.58</v>
      </c>
      <c r="D812" s="2">
        <f>IFERROR(__xludf.DUMMYFUNCTION("""COMPUTED_VALUE"""),23.1)</f>
        <v>23.1</v>
      </c>
      <c r="E812" s="2">
        <f>IFERROR(__xludf.DUMMYFUNCTION("""COMPUTED_VALUE"""),23.43)</f>
        <v>23.43</v>
      </c>
      <c r="F812" s="2">
        <f>IFERROR(__xludf.DUMMYFUNCTION("""COMPUTED_VALUE"""),43108.0)</f>
        <v>43108</v>
      </c>
    </row>
    <row r="813">
      <c r="A813" s="3">
        <f>IFERROR(__xludf.DUMMYFUNCTION("""COMPUTED_VALUE"""),37713.645833333336)</f>
        <v>37713.64583</v>
      </c>
      <c r="B813" s="2">
        <f>IFERROR(__xludf.DUMMYFUNCTION("""COMPUTED_VALUE"""),23.55)</f>
        <v>23.55</v>
      </c>
      <c r="C813" s="2">
        <f>IFERROR(__xludf.DUMMYFUNCTION("""COMPUTED_VALUE"""),23.7)</f>
        <v>23.7</v>
      </c>
      <c r="D813" s="2">
        <f>IFERROR(__xludf.DUMMYFUNCTION("""COMPUTED_VALUE"""),23.1)</f>
        <v>23.1</v>
      </c>
      <c r="E813" s="2">
        <f>IFERROR(__xludf.DUMMYFUNCTION("""COMPUTED_VALUE"""),23.32)</f>
        <v>23.32</v>
      </c>
      <c r="F813" s="2">
        <f>IFERROR(__xludf.DUMMYFUNCTION("""COMPUTED_VALUE"""),116211.0)</f>
        <v>116211</v>
      </c>
    </row>
    <row r="814">
      <c r="A814" s="3">
        <f>IFERROR(__xludf.DUMMYFUNCTION("""COMPUTED_VALUE"""),37714.645833333336)</f>
        <v>37714.64583</v>
      </c>
      <c r="B814" s="2">
        <f>IFERROR(__xludf.DUMMYFUNCTION("""COMPUTED_VALUE"""),23.3)</f>
        <v>23.3</v>
      </c>
      <c r="C814" s="2">
        <f>IFERROR(__xludf.DUMMYFUNCTION("""COMPUTED_VALUE"""),23.74)</f>
        <v>23.74</v>
      </c>
      <c r="D814" s="2">
        <f>IFERROR(__xludf.DUMMYFUNCTION("""COMPUTED_VALUE"""),23.3)</f>
        <v>23.3</v>
      </c>
      <c r="E814" s="2">
        <f>IFERROR(__xludf.DUMMYFUNCTION("""COMPUTED_VALUE"""),23.66)</f>
        <v>23.66</v>
      </c>
      <c r="F814" s="2">
        <f>IFERROR(__xludf.DUMMYFUNCTION("""COMPUTED_VALUE"""),32183.0)</f>
        <v>32183</v>
      </c>
    </row>
    <row r="815">
      <c r="A815" s="3">
        <f>IFERROR(__xludf.DUMMYFUNCTION("""COMPUTED_VALUE"""),37715.645833333336)</f>
        <v>37715.64583</v>
      </c>
      <c r="B815" s="2">
        <f>IFERROR(__xludf.DUMMYFUNCTION("""COMPUTED_VALUE"""),23.5)</f>
        <v>23.5</v>
      </c>
      <c r="C815" s="2">
        <f>IFERROR(__xludf.DUMMYFUNCTION("""COMPUTED_VALUE"""),24.2)</f>
        <v>24.2</v>
      </c>
      <c r="D815" s="2">
        <f>IFERROR(__xludf.DUMMYFUNCTION("""COMPUTED_VALUE"""),23.38)</f>
        <v>23.38</v>
      </c>
      <c r="E815" s="2">
        <f>IFERROR(__xludf.DUMMYFUNCTION("""COMPUTED_VALUE"""),23.94)</f>
        <v>23.94</v>
      </c>
      <c r="F815" s="2">
        <f>IFERROR(__xludf.DUMMYFUNCTION("""COMPUTED_VALUE"""),65009.0)</f>
        <v>65009</v>
      </c>
    </row>
    <row r="816">
      <c r="A816" s="3">
        <f>IFERROR(__xludf.DUMMYFUNCTION("""COMPUTED_VALUE"""),37718.645833333336)</f>
        <v>37718.64583</v>
      </c>
      <c r="B816" s="2">
        <f>IFERROR(__xludf.DUMMYFUNCTION("""COMPUTED_VALUE"""),24.1)</f>
        <v>24.1</v>
      </c>
      <c r="C816" s="2">
        <f>IFERROR(__xludf.DUMMYFUNCTION("""COMPUTED_VALUE"""),24.98)</f>
        <v>24.98</v>
      </c>
      <c r="D816" s="2">
        <f>IFERROR(__xludf.DUMMYFUNCTION("""COMPUTED_VALUE"""),24.1)</f>
        <v>24.1</v>
      </c>
      <c r="E816" s="2">
        <f>IFERROR(__xludf.DUMMYFUNCTION("""COMPUTED_VALUE"""),24.6)</f>
        <v>24.6</v>
      </c>
      <c r="F816" s="2">
        <f>IFERROR(__xludf.DUMMYFUNCTION("""COMPUTED_VALUE"""),106192.0)</f>
        <v>106192</v>
      </c>
    </row>
    <row r="817">
      <c r="A817" s="3">
        <f>IFERROR(__xludf.DUMMYFUNCTION("""COMPUTED_VALUE"""),37719.645833333336)</f>
        <v>37719.64583</v>
      </c>
      <c r="B817" s="2">
        <f>IFERROR(__xludf.DUMMYFUNCTION("""COMPUTED_VALUE"""),24.79)</f>
        <v>24.79</v>
      </c>
      <c r="C817" s="2">
        <f>IFERROR(__xludf.DUMMYFUNCTION("""COMPUTED_VALUE"""),24.79)</f>
        <v>24.79</v>
      </c>
      <c r="D817" s="2">
        <f>IFERROR(__xludf.DUMMYFUNCTION("""COMPUTED_VALUE"""),23.8)</f>
        <v>23.8</v>
      </c>
      <c r="E817" s="2">
        <f>IFERROR(__xludf.DUMMYFUNCTION("""COMPUTED_VALUE"""),23.97)</f>
        <v>23.97</v>
      </c>
      <c r="F817" s="2">
        <f>IFERROR(__xludf.DUMMYFUNCTION("""COMPUTED_VALUE"""),120123.0)</f>
        <v>120123</v>
      </c>
    </row>
    <row r="818">
      <c r="A818" s="3">
        <f>IFERROR(__xludf.DUMMYFUNCTION("""COMPUTED_VALUE"""),37720.645833333336)</f>
        <v>37720.64583</v>
      </c>
      <c r="B818" s="2">
        <f>IFERROR(__xludf.DUMMYFUNCTION("""COMPUTED_VALUE"""),24.0)</f>
        <v>24</v>
      </c>
      <c r="C818" s="2">
        <f>IFERROR(__xludf.DUMMYFUNCTION("""COMPUTED_VALUE"""),24.0)</f>
        <v>24</v>
      </c>
      <c r="D818" s="2">
        <f>IFERROR(__xludf.DUMMYFUNCTION("""COMPUTED_VALUE"""),23.24)</f>
        <v>23.24</v>
      </c>
      <c r="E818" s="2">
        <f>IFERROR(__xludf.DUMMYFUNCTION("""COMPUTED_VALUE"""),23.46)</f>
        <v>23.46</v>
      </c>
      <c r="F818" s="2">
        <f>IFERROR(__xludf.DUMMYFUNCTION("""COMPUTED_VALUE"""),61539.0)</f>
        <v>61539</v>
      </c>
    </row>
    <row r="819">
      <c r="A819" s="3">
        <f>IFERROR(__xludf.DUMMYFUNCTION("""COMPUTED_VALUE"""),37721.645833333336)</f>
        <v>37721.64583</v>
      </c>
      <c r="B819" s="2">
        <f>IFERROR(__xludf.DUMMYFUNCTION("""COMPUTED_VALUE"""),23.1)</f>
        <v>23.1</v>
      </c>
      <c r="C819" s="2">
        <f>IFERROR(__xludf.DUMMYFUNCTION("""COMPUTED_VALUE"""),25.0)</f>
        <v>25</v>
      </c>
      <c r="D819" s="2">
        <f>IFERROR(__xludf.DUMMYFUNCTION("""COMPUTED_VALUE"""),23.1)</f>
        <v>23.1</v>
      </c>
      <c r="E819" s="2">
        <f>IFERROR(__xludf.DUMMYFUNCTION("""COMPUTED_VALUE"""),23.56)</f>
        <v>23.56</v>
      </c>
      <c r="F819" s="2">
        <f>IFERROR(__xludf.DUMMYFUNCTION("""COMPUTED_VALUE"""),157312.0)</f>
        <v>157312</v>
      </c>
    </row>
    <row r="820">
      <c r="A820" s="3">
        <f>IFERROR(__xludf.DUMMYFUNCTION("""COMPUTED_VALUE"""),37722.645833333336)</f>
        <v>37722.64583</v>
      </c>
      <c r="B820" s="2">
        <f>IFERROR(__xludf.DUMMYFUNCTION("""COMPUTED_VALUE"""),24.1)</f>
        <v>24.1</v>
      </c>
      <c r="C820" s="2">
        <f>IFERROR(__xludf.DUMMYFUNCTION("""COMPUTED_VALUE"""),24.49)</f>
        <v>24.49</v>
      </c>
      <c r="D820" s="2">
        <f>IFERROR(__xludf.DUMMYFUNCTION("""COMPUTED_VALUE"""),23.5)</f>
        <v>23.5</v>
      </c>
      <c r="E820" s="2">
        <f>IFERROR(__xludf.DUMMYFUNCTION("""COMPUTED_VALUE"""),23.97)</f>
        <v>23.97</v>
      </c>
      <c r="F820" s="2">
        <f>IFERROR(__xludf.DUMMYFUNCTION("""COMPUTED_VALUE"""),107262.0)</f>
        <v>107262</v>
      </c>
    </row>
    <row r="821">
      <c r="A821" s="3">
        <f>IFERROR(__xludf.DUMMYFUNCTION("""COMPUTED_VALUE"""),37726.645833333336)</f>
        <v>37726.64583</v>
      </c>
      <c r="B821" s="2">
        <f>IFERROR(__xludf.DUMMYFUNCTION("""COMPUTED_VALUE"""),24.5)</f>
        <v>24.5</v>
      </c>
      <c r="C821" s="2">
        <f>IFERROR(__xludf.DUMMYFUNCTION("""COMPUTED_VALUE"""),24.5)</f>
        <v>24.5</v>
      </c>
      <c r="D821" s="2">
        <f>IFERROR(__xludf.DUMMYFUNCTION("""COMPUTED_VALUE"""),23.81)</f>
        <v>23.81</v>
      </c>
      <c r="E821" s="2">
        <f>IFERROR(__xludf.DUMMYFUNCTION("""COMPUTED_VALUE"""),24.11)</f>
        <v>24.11</v>
      </c>
      <c r="F821" s="2">
        <f>IFERROR(__xludf.DUMMYFUNCTION("""COMPUTED_VALUE"""),135814.0)</f>
        <v>135814</v>
      </c>
    </row>
    <row r="822">
      <c r="A822" s="3">
        <f>IFERROR(__xludf.DUMMYFUNCTION("""COMPUTED_VALUE"""),37727.645833333336)</f>
        <v>37727.64583</v>
      </c>
      <c r="B822" s="2">
        <f>IFERROR(__xludf.DUMMYFUNCTION("""COMPUTED_VALUE"""),24.43)</f>
        <v>24.43</v>
      </c>
      <c r="C822" s="2">
        <f>IFERROR(__xludf.DUMMYFUNCTION("""COMPUTED_VALUE"""),24.65)</f>
        <v>24.65</v>
      </c>
      <c r="D822" s="2">
        <f>IFERROR(__xludf.DUMMYFUNCTION("""COMPUTED_VALUE"""),24.26)</f>
        <v>24.26</v>
      </c>
      <c r="E822" s="2">
        <f>IFERROR(__xludf.DUMMYFUNCTION("""COMPUTED_VALUE"""),24.37)</f>
        <v>24.37</v>
      </c>
      <c r="F822" s="2">
        <f>IFERROR(__xludf.DUMMYFUNCTION("""COMPUTED_VALUE"""),428456.0)</f>
        <v>428456</v>
      </c>
    </row>
    <row r="823">
      <c r="A823" s="3">
        <f>IFERROR(__xludf.DUMMYFUNCTION("""COMPUTED_VALUE"""),37728.645833333336)</f>
        <v>37728.64583</v>
      </c>
      <c r="B823" s="2">
        <f>IFERROR(__xludf.DUMMYFUNCTION("""COMPUTED_VALUE"""),24.4)</f>
        <v>24.4</v>
      </c>
      <c r="C823" s="2">
        <f>IFERROR(__xludf.DUMMYFUNCTION("""COMPUTED_VALUE"""),24.89)</f>
        <v>24.89</v>
      </c>
      <c r="D823" s="2">
        <f>IFERROR(__xludf.DUMMYFUNCTION("""COMPUTED_VALUE"""),24.3)</f>
        <v>24.3</v>
      </c>
      <c r="E823" s="2">
        <f>IFERROR(__xludf.DUMMYFUNCTION("""COMPUTED_VALUE"""),24.71)</f>
        <v>24.71</v>
      </c>
      <c r="F823" s="2">
        <f>IFERROR(__xludf.DUMMYFUNCTION("""COMPUTED_VALUE"""),369924.0)</f>
        <v>369924</v>
      </c>
    </row>
    <row r="824">
      <c r="A824" s="3">
        <f>IFERROR(__xludf.DUMMYFUNCTION("""COMPUTED_VALUE"""),37732.645833333336)</f>
        <v>37732.64583</v>
      </c>
      <c r="B824" s="2">
        <f>IFERROR(__xludf.DUMMYFUNCTION("""COMPUTED_VALUE"""),24.6)</f>
        <v>24.6</v>
      </c>
      <c r="C824" s="2">
        <f>IFERROR(__xludf.DUMMYFUNCTION("""COMPUTED_VALUE"""),24.7)</f>
        <v>24.7</v>
      </c>
      <c r="D824" s="2">
        <f>IFERROR(__xludf.DUMMYFUNCTION("""COMPUTED_VALUE"""),24.4)</f>
        <v>24.4</v>
      </c>
      <c r="E824" s="2">
        <f>IFERROR(__xludf.DUMMYFUNCTION("""COMPUTED_VALUE"""),24.51)</f>
        <v>24.51</v>
      </c>
      <c r="F824" s="2">
        <f>IFERROR(__xludf.DUMMYFUNCTION("""COMPUTED_VALUE"""),70843.0)</f>
        <v>70843</v>
      </c>
    </row>
    <row r="825">
      <c r="A825" s="3">
        <f>IFERROR(__xludf.DUMMYFUNCTION("""COMPUTED_VALUE"""),37733.645833333336)</f>
        <v>37733.64583</v>
      </c>
      <c r="B825" s="2">
        <f>IFERROR(__xludf.DUMMYFUNCTION("""COMPUTED_VALUE"""),24.28)</f>
        <v>24.28</v>
      </c>
      <c r="C825" s="2">
        <f>IFERROR(__xludf.DUMMYFUNCTION("""COMPUTED_VALUE"""),24.5)</f>
        <v>24.5</v>
      </c>
      <c r="D825" s="2">
        <f>IFERROR(__xludf.DUMMYFUNCTION("""COMPUTED_VALUE"""),24.23)</f>
        <v>24.23</v>
      </c>
      <c r="E825" s="2">
        <f>IFERROR(__xludf.DUMMYFUNCTION("""COMPUTED_VALUE"""),24.4)</f>
        <v>24.4</v>
      </c>
      <c r="F825" s="2">
        <f>IFERROR(__xludf.DUMMYFUNCTION("""COMPUTED_VALUE"""),119501.0)</f>
        <v>119501</v>
      </c>
    </row>
    <row r="826">
      <c r="A826" s="3">
        <f>IFERROR(__xludf.DUMMYFUNCTION("""COMPUTED_VALUE"""),37734.645833333336)</f>
        <v>37734.64583</v>
      </c>
      <c r="B826" s="2">
        <f>IFERROR(__xludf.DUMMYFUNCTION("""COMPUTED_VALUE"""),24.43)</f>
        <v>24.43</v>
      </c>
      <c r="C826" s="2">
        <f>IFERROR(__xludf.DUMMYFUNCTION("""COMPUTED_VALUE"""),24.43)</f>
        <v>24.43</v>
      </c>
      <c r="D826" s="2">
        <f>IFERROR(__xludf.DUMMYFUNCTION("""COMPUTED_VALUE"""),23.6)</f>
        <v>23.6</v>
      </c>
      <c r="E826" s="2">
        <f>IFERROR(__xludf.DUMMYFUNCTION("""COMPUTED_VALUE"""),23.71)</f>
        <v>23.71</v>
      </c>
      <c r="F826" s="2">
        <f>IFERROR(__xludf.DUMMYFUNCTION("""COMPUTED_VALUE"""),153565.0)</f>
        <v>153565</v>
      </c>
    </row>
    <row r="827">
      <c r="A827" s="3">
        <f>IFERROR(__xludf.DUMMYFUNCTION("""COMPUTED_VALUE"""),37735.645833333336)</f>
        <v>37735.64583</v>
      </c>
      <c r="B827" s="2">
        <f>IFERROR(__xludf.DUMMYFUNCTION("""COMPUTED_VALUE"""),23.75)</f>
        <v>23.75</v>
      </c>
      <c r="C827" s="2">
        <f>IFERROR(__xludf.DUMMYFUNCTION("""COMPUTED_VALUE"""),24.3)</f>
        <v>24.3</v>
      </c>
      <c r="D827" s="2">
        <f>IFERROR(__xludf.DUMMYFUNCTION("""COMPUTED_VALUE"""),23.6)</f>
        <v>23.6</v>
      </c>
      <c r="E827" s="2">
        <f>IFERROR(__xludf.DUMMYFUNCTION("""COMPUTED_VALUE"""),23.98)</f>
        <v>23.98</v>
      </c>
      <c r="F827" s="2">
        <f>IFERROR(__xludf.DUMMYFUNCTION("""COMPUTED_VALUE"""),154002.0)</f>
        <v>154002</v>
      </c>
    </row>
    <row r="828">
      <c r="A828" s="3">
        <f>IFERROR(__xludf.DUMMYFUNCTION("""COMPUTED_VALUE"""),37736.645833333336)</f>
        <v>37736.64583</v>
      </c>
      <c r="B828" s="2">
        <f>IFERROR(__xludf.DUMMYFUNCTION("""COMPUTED_VALUE"""),23.8)</f>
        <v>23.8</v>
      </c>
      <c r="C828" s="2">
        <f>IFERROR(__xludf.DUMMYFUNCTION("""COMPUTED_VALUE"""),24.55)</f>
        <v>24.55</v>
      </c>
      <c r="D828" s="2">
        <f>IFERROR(__xludf.DUMMYFUNCTION("""COMPUTED_VALUE"""),23.76)</f>
        <v>23.76</v>
      </c>
      <c r="E828" s="2">
        <f>IFERROR(__xludf.DUMMYFUNCTION("""COMPUTED_VALUE"""),24.45)</f>
        <v>24.45</v>
      </c>
      <c r="F828" s="2">
        <f>IFERROR(__xludf.DUMMYFUNCTION("""COMPUTED_VALUE"""),103252.0)</f>
        <v>103252</v>
      </c>
    </row>
    <row r="829">
      <c r="A829" s="3">
        <f>IFERROR(__xludf.DUMMYFUNCTION("""COMPUTED_VALUE"""),37739.645833333336)</f>
        <v>37739.64583</v>
      </c>
      <c r="B829" s="2">
        <f>IFERROR(__xludf.DUMMYFUNCTION("""COMPUTED_VALUE"""),24.6)</f>
        <v>24.6</v>
      </c>
      <c r="C829" s="2">
        <f>IFERROR(__xludf.DUMMYFUNCTION("""COMPUTED_VALUE"""),24.6)</f>
        <v>24.6</v>
      </c>
      <c r="D829" s="2">
        <f>IFERROR(__xludf.DUMMYFUNCTION("""COMPUTED_VALUE"""),24.21)</f>
        <v>24.21</v>
      </c>
      <c r="E829" s="2">
        <f>IFERROR(__xludf.DUMMYFUNCTION("""COMPUTED_VALUE"""),24.4)</f>
        <v>24.4</v>
      </c>
      <c r="F829" s="2">
        <f>IFERROR(__xludf.DUMMYFUNCTION("""COMPUTED_VALUE"""),40796.0)</f>
        <v>40796</v>
      </c>
    </row>
    <row r="830">
      <c r="A830" s="3">
        <f>IFERROR(__xludf.DUMMYFUNCTION("""COMPUTED_VALUE"""),37740.645833333336)</f>
        <v>37740.64583</v>
      </c>
      <c r="B830" s="2">
        <f>IFERROR(__xludf.DUMMYFUNCTION("""COMPUTED_VALUE"""),24.5)</f>
        <v>24.5</v>
      </c>
      <c r="C830" s="2">
        <f>IFERROR(__xludf.DUMMYFUNCTION("""COMPUTED_VALUE"""),24.88)</f>
        <v>24.88</v>
      </c>
      <c r="D830" s="2">
        <f>IFERROR(__xludf.DUMMYFUNCTION("""COMPUTED_VALUE"""),24.32)</f>
        <v>24.32</v>
      </c>
      <c r="E830" s="2">
        <f>IFERROR(__xludf.DUMMYFUNCTION("""COMPUTED_VALUE"""),24.51)</f>
        <v>24.51</v>
      </c>
      <c r="F830" s="2">
        <f>IFERROR(__xludf.DUMMYFUNCTION("""COMPUTED_VALUE"""),138332.0)</f>
        <v>138332</v>
      </c>
    </row>
    <row r="831">
      <c r="A831" s="3">
        <f>IFERROR(__xludf.DUMMYFUNCTION("""COMPUTED_VALUE"""),37741.645833333336)</f>
        <v>37741.64583</v>
      </c>
      <c r="B831" s="2">
        <f>IFERROR(__xludf.DUMMYFUNCTION("""COMPUTED_VALUE"""),24.31)</f>
        <v>24.31</v>
      </c>
      <c r="C831" s="2">
        <f>IFERROR(__xludf.DUMMYFUNCTION("""COMPUTED_VALUE"""),24.88)</f>
        <v>24.88</v>
      </c>
      <c r="D831" s="2">
        <f>IFERROR(__xludf.DUMMYFUNCTION("""COMPUTED_VALUE"""),24.18)</f>
        <v>24.18</v>
      </c>
      <c r="E831" s="2">
        <f>IFERROR(__xludf.DUMMYFUNCTION("""COMPUTED_VALUE"""),24.7)</f>
        <v>24.7</v>
      </c>
      <c r="F831" s="2">
        <f>IFERROR(__xludf.DUMMYFUNCTION("""COMPUTED_VALUE"""),238604.0)</f>
        <v>238604</v>
      </c>
    </row>
    <row r="832">
      <c r="A832" s="3">
        <f>IFERROR(__xludf.DUMMYFUNCTION("""COMPUTED_VALUE"""),37743.645833333336)</f>
        <v>37743.64583</v>
      </c>
      <c r="B832" s="2">
        <f>IFERROR(__xludf.DUMMYFUNCTION("""COMPUTED_VALUE"""),24.8)</f>
        <v>24.8</v>
      </c>
      <c r="C832" s="2">
        <f>IFERROR(__xludf.DUMMYFUNCTION("""COMPUTED_VALUE"""),25.6)</f>
        <v>25.6</v>
      </c>
      <c r="D832" s="2">
        <f>IFERROR(__xludf.DUMMYFUNCTION("""COMPUTED_VALUE"""),24.6)</f>
        <v>24.6</v>
      </c>
      <c r="E832" s="2">
        <f>IFERROR(__xludf.DUMMYFUNCTION("""COMPUTED_VALUE"""),25.26)</f>
        <v>25.26</v>
      </c>
      <c r="F832" s="2">
        <f>IFERROR(__xludf.DUMMYFUNCTION("""COMPUTED_VALUE"""),336690.0)</f>
        <v>336690</v>
      </c>
    </row>
    <row r="833">
      <c r="A833" s="3">
        <f>IFERROR(__xludf.DUMMYFUNCTION("""COMPUTED_VALUE"""),37746.645833333336)</f>
        <v>37746.64583</v>
      </c>
      <c r="B833" s="2">
        <f>IFERROR(__xludf.DUMMYFUNCTION("""COMPUTED_VALUE"""),25.5)</f>
        <v>25.5</v>
      </c>
      <c r="C833" s="2">
        <f>IFERROR(__xludf.DUMMYFUNCTION("""COMPUTED_VALUE"""),25.7)</f>
        <v>25.7</v>
      </c>
      <c r="D833" s="2">
        <f>IFERROR(__xludf.DUMMYFUNCTION("""COMPUTED_VALUE"""),24.81)</f>
        <v>24.81</v>
      </c>
      <c r="E833" s="2">
        <f>IFERROR(__xludf.DUMMYFUNCTION("""COMPUTED_VALUE"""),25.02)</f>
        <v>25.02</v>
      </c>
      <c r="F833" s="2">
        <f>IFERROR(__xludf.DUMMYFUNCTION("""COMPUTED_VALUE"""),173757.0)</f>
        <v>173757</v>
      </c>
    </row>
    <row r="834">
      <c r="A834" s="3">
        <f>IFERROR(__xludf.DUMMYFUNCTION("""COMPUTED_VALUE"""),37747.645833333336)</f>
        <v>37747.64583</v>
      </c>
      <c r="B834" s="2">
        <f>IFERROR(__xludf.DUMMYFUNCTION("""COMPUTED_VALUE"""),24.5)</f>
        <v>24.5</v>
      </c>
      <c r="C834" s="2">
        <f>IFERROR(__xludf.DUMMYFUNCTION("""COMPUTED_VALUE"""),25.0)</f>
        <v>25</v>
      </c>
      <c r="D834" s="2">
        <f>IFERROR(__xludf.DUMMYFUNCTION("""COMPUTED_VALUE"""),24.5)</f>
        <v>24.5</v>
      </c>
      <c r="E834" s="2">
        <f>IFERROR(__xludf.DUMMYFUNCTION("""COMPUTED_VALUE"""),24.75)</f>
        <v>24.75</v>
      </c>
      <c r="F834" s="2">
        <f>IFERROR(__xludf.DUMMYFUNCTION("""COMPUTED_VALUE"""),102158.0)</f>
        <v>102158</v>
      </c>
    </row>
    <row r="835">
      <c r="A835" s="3">
        <f>IFERROR(__xludf.DUMMYFUNCTION("""COMPUTED_VALUE"""),37748.645833333336)</f>
        <v>37748.64583</v>
      </c>
      <c r="B835" s="2">
        <f>IFERROR(__xludf.DUMMYFUNCTION("""COMPUTED_VALUE"""),24.8)</f>
        <v>24.8</v>
      </c>
      <c r="C835" s="2">
        <f>IFERROR(__xludf.DUMMYFUNCTION("""COMPUTED_VALUE"""),24.85)</f>
        <v>24.85</v>
      </c>
      <c r="D835" s="2">
        <f>IFERROR(__xludf.DUMMYFUNCTION("""COMPUTED_VALUE"""),24.33)</f>
        <v>24.33</v>
      </c>
      <c r="E835" s="2">
        <f>IFERROR(__xludf.DUMMYFUNCTION("""COMPUTED_VALUE"""),24.58)</f>
        <v>24.58</v>
      </c>
      <c r="F835" s="2">
        <f>IFERROR(__xludf.DUMMYFUNCTION("""COMPUTED_VALUE"""),144015.0)</f>
        <v>144015</v>
      </c>
    </row>
    <row r="836">
      <c r="A836" s="3">
        <f>IFERROR(__xludf.DUMMYFUNCTION("""COMPUTED_VALUE"""),37749.645833333336)</f>
        <v>37749.64583</v>
      </c>
      <c r="B836" s="2">
        <f>IFERROR(__xludf.DUMMYFUNCTION("""COMPUTED_VALUE"""),24.59)</f>
        <v>24.59</v>
      </c>
      <c r="C836" s="2">
        <f>IFERROR(__xludf.DUMMYFUNCTION("""COMPUTED_VALUE"""),24.59)</f>
        <v>24.59</v>
      </c>
      <c r="D836" s="2">
        <f>IFERROR(__xludf.DUMMYFUNCTION("""COMPUTED_VALUE"""),24.17)</f>
        <v>24.17</v>
      </c>
      <c r="E836" s="2">
        <f>IFERROR(__xludf.DUMMYFUNCTION("""COMPUTED_VALUE"""),24.35)</f>
        <v>24.35</v>
      </c>
      <c r="F836" s="2">
        <f>IFERROR(__xludf.DUMMYFUNCTION("""COMPUTED_VALUE"""),77703.0)</f>
        <v>77703</v>
      </c>
    </row>
    <row r="837">
      <c r="A837" s="3">
        <f>IFERROR(__xludf.DUMMYFUNCTION("""COMPUTED_VALUE"""),37750.645833333336)</f>
        <v>37750.64583</v>
      </c>
      <c r="B837" s="2">
        <f>IFERROR(__xludf.DUMMYFUNCTION("""COMPUTED_VALUE"""),24.8)</f>
        <v>24.8</v>
      </c>
      <c r="C837" s="2">
        <f>IFERROR(__xludf.DUMMYFUNCTION("""COMPUTED_VALUE"""),24.8)</f>
        <v>24.8</v>
      </c>
      <c r="D837" s="2">
        <f>IFERROR(__xludf.DUMMYFUNCTION("""COMPUTED_VALUE"""),24.2)</f>
        <v>24.2</v>
      </c>
      <c r="E837" s="2">
        <f>IFERROR(__xludf.DUMMYFUNCTION("""COMPUTED_VALUE"""),24.58)</f>
        <v>24.58</v>
      </c>
      <c r="F837" s="2">
        <f>IFERROR(__xludf.DUMMYFUNCTION("""COMPUTED_VALUE"""),40765.0)</f>
        <v>40765</v>
      </c>
    </row>
    <row r="838">
      <c r="A838" s="3">
        <f>IFERROR(__xludf.DUMMYFUNCTION("""COMPUTED_VALUE"""),37753.645833333336)</f>
        <v>37753.64583</v>
      </c>
      <c r="B838" s="2">
        <f>IFERROR(__xludf.DUMMYFUNCTION("""COMPUTED_VALUE"""),24.5)</f>
        <v>24.5</v>
      </c>
      <c r="C838" s="2">
        <f>IFERROR(__xludf.DUMMYFUNCTION("""COMPUTED_VALUE"""),24.8)</f>
        <v>24.8</v>
      </c>
      <c r="D838" s="2">
        <f>IFERROR(__xludf.DUMMYFUNCTION("""COMPUTED_VALUE"""),24.22)</f>
        <v>24.22</v>
      </c>
      <c r="E838" s="2">
        <f>IFERROR(__xludf.DUMMYFUNCTION("""COMPUTED_VALUE"""),24.34)</f>
        <v>24.34</v>
      </c>
      <c r="F838" s="2">
        <f>IFERROR(__xludf.DUMMYFUNCTION("""COMPUTED_VALUE"""),97259.0)</f>
        <v>97259</v>
      </c>
    </row>
    <row r="839">
      <c r="A839" s="3">
        <f>IFERROR(__xludf.DUMMYFUNCTION("""COMPUTED_VALUE"""),37754.645833333336)</f>
        <v>37754.64583</v>
      </c>
      <c r="B839" s="2">
        <f>IFERROR(__xludf.DUMMYFUNCTION("""COMPUTED_VALUE"""),24.68)</f>
        <v>24.68</v>
      </c>
      <c r="C839" s="2">
        <f>IFERROR(__xludf.DUMMYFUNCTION("""COMPUTED_VALUE"""),24.68)</f>
        <v>24.68</v>
      </c>
      <c r="D839" s="2">
        <f>IFERROR(__xludf.DUMMYFUNCTION("""COMPUTED_VALUE"""),24.33)</f>
        <v>24.33</v>
      </c>
      <c r="E839" s="2">
        <f>IFERROR(__xludf.DUMMYFUNCTION("""COMPUTED_VALUE"""),24.48)</f>
        <v>24.48</v>
      </c>
      <c r="F839" s="2">
        <f>IFERROR(__xludf.DUMMYFUNCTION("""COMPUTED_VALUE"""),39488.0)</f>
        <v>39488</v>
      </c>
    </row>
    <row r="840">
      <c r="A840" s="3">
        <f>IFERROR(__xludf.DUMMYFUNCTION("""COMPUTED_VALUE"""),37755.645833333336)</f>
        <v>37755.64583</v>
      </c>
      <c r="B840" s="2">
        <f>IFERROR(__xludf.DUMMYFUNCTION("""COMPUTED_VALUE"""),24.0)</f>
        <v>24</v>
      </c>
      <c r="C840" s="2">
        <f>IFERROR(__xludf.DUMMYFUNCTION("""COMPUTED_VALUE"""),24.52)</f>
        <v>24.52</v>
      </c>
      <c r="D840" s="2">
        <f>IFERROR(__xludf.DUMMYFUNCTION("""COMPUTED_VALUE"""),24.0)</f>
        <v>24</v>
      </c>
      <c r="E840" s="2">
        <f>IFERROR(__xludf.DUMMYFUNCTION("""COMPUTED_VALUE"""),24.41)</f>
        <v>24.41</v>
      </c>
      <c r="F840" s="2">
        <f>IFERROR(__xludf.DUMMYFUNCTION("""COMPUTED_VALUE"""),24511.0)</f>
        <v>24511</v>
      </c>
    </row>
    <row r="841">
      <c r="A841" s="3">
        <f>IFERROR(__xludf.DUMMYFUNCTION("""COMPUTED_VALUE"""),37756.645833333336)</f>
        <v>37756.64583</v>
      </c>
      <c r="B841" s="2">
        <f>IFERROR(__xludf.DUMMYFUNCTION("""COMPUTED_VALUE"""),24.4)</f>
        <v>24.4</v>
      </c>
      <c r="C841" s="2">
        <f>IFERROR(__xludf.DUMMYFUNCTION("""COMPUTED_VALUE"""),25.0)</f>
        <v>25</v>
      </c>
      <c r="D841" s="2">
        <f>IFERROR(__xludf.DUMMYFUNCTION("""COMPUTED_VALUE"""),24.26)</f>
        <v>24.26</v>
      </c>
      <c r="E841" s="2">
        <f>IFERROR(__xludf.DUMMYFUNCTION("""COMPUTED_VALUE"""),24.9)</f>
        <v>24.9</v>
      </c>
      <c r="F841" s="2">
        <f>IFERROR(__xludf.DUMMYFUNCTION("""COMPUTED_VALUE"""),51185.0)</f>
        <v>51185</v>
      </c>
    </row>
    <row r="842">
      <c r="A842" s="3">
        <f>IFERROR(__xludf.DUMMYFUNCTION("""COMPUTED_VALUE"""),37757.645833333336)</f>
        <v>37757.64583</v>
      </c>
      <c r="B842" s="2">
        <f>IFERROR(__xludf.DUMMYFUNCTION("""COMPUTED_VALUE"""),24.9)</f>
        <v>24.9</v>
      </c>
      <c r="C842" s="2">
        <f>IFERROR(__xludf.DUMMYFUNCTION("""COMPUTED_VALUE"""),25.21)</f>
        <v>25.21</v>
      </c>
      <c r="D842" s="2">
        <f>IFERROR(__xludf.DUMMYFUNCTION("""COMPUTED_VALUE"""),24.9)</f>
        <v>24.9</v>
      </c>
      <c r="E842" s="2">
        <f>IFERROR(__xludf.DUMMYFUNCTION("""COMPUTED_VALUE"""),25.12)</f>
        <v>25.12</v>
      </c>
      <c r="F842" s="2">
        <f>IFERROR(__xludf.DUMMYFUNCTION("""COMPUTED_VALUE"""),81685.0)</f>
        <v>81685</v>
      </c>
    </row>
    <row r="843">
      <c r="A843" s="3">
        <f>IFERROR(__xludf.DUMMYFUNCTION("""COMPUTED_VALUE"""),37760.645833333336)</f>
        <v>37760.64583</v>
      </c>
      <c r="B843" s="2">
        <f>IFERROR(__xludf.DUMMYFUNCTION("""COMPUTED_VALUE"""),25.38)</f>
        <v>25.38</v>
      </c>
      <c r="C843" s="2">
        <f>IFERROR(__xludf.DUMMYFUNCTION("""COMPUTED_VALUE"""),25.4)</f>
        <v>25.4</v>
      </c>
      <c r="D843" s="2">
        <f>IFERROR(__xludf.DUMMYFUNCTION("""COMPUTED_VALUE"""),24.54)</f>
        <v>24.54</v>
      </c>
      <c r="E843" s="2">
        <f>IFERROR(__xludf.DUMMYFUNCTION("""COMPUTED_VALUE"""),24.85)</f>
        <v>24.85</v>
      </c>
      <c r="F843" s="2">
        <f>IFERROR(__xludf.DUMMYFUNCTION("""COMPUTED_VALUE"""),167472.0)</f>
        <v>167472</v>
      </c>
    </row>
    <row r="844">
      <c r="A844" s="3">
        <f>IFERROR(__xludf.DUMMYFUNCTION("""COMPUTED_VALUE"""),37761.645833333336)</f>
        <v>37761.64583</v>
      </c>
      <c r="B844" s="2">
        <f>IFERROR(__xludf.DUMMYFUNCTION("""COMPUTED_VALUE"""),24.68)</f>
        <v>24.68</v>
      </c>
      <c r="C844" s="2">
        <f>IFERROR(__xludf.DUMMYFUNCTION("""COMPUTED_VALUE"""),24.79)</f>
        <v>24.79</v>
      </c>
      <c r="D844" s="2">
        <f>IFERROR(__xludf.DUMMYFUNCTION("""COMPUTED_VALUE"""),24.51)</f>
        <v>24.51</v>
      </c>
      <c r="E844" s="2">
        <f>IFERROR(__xludf.DUMMYFUNCTION("""COMPUTED_VALUE"""),24.55)</f>
        <v>24.55</v>
      </c>
      <c r="F844" s="2">
        <f>IFERROR(__xludf.DUMMYFUNCTION("""COMPUTED_VALUE"""),71134.0)</f>
        <v>71134</v>
      </c>
    </row>
    <row r="845">
      <c r="A845" s="3">
        <f>IFERROR(__xludf.DUMMYFUNCTION("""COMPUTED_VALUE"""),37762.645833333336)</f>
        <v>37762.64583</v>
      </c>
      <c r="B845" s="2">
        <f>IFERROR(__xludf.DUMMYFUNCTION("""COMPUTED_VALUE"""),24.79)</f>
        <v>24.79</v>
      </c>
      <c r="C845" s="2">
        <f>IFERROR(__xludf.DUMMYFUNCTION("""COMPUTED_VALUE"""),25.25)</f>
        <v>25.25</v>
      </c>
      <c r="D845" s="2">
        <f>IFERROR(__xludf.DUMMYFUNCTION("""COMPUTED_VALUE"""),23.91)</f>
        <v>23.91</v>
      </c>
      <c r="E845" s="2">
        <f>IFERROR(__xludf.DUMMYFUNCTION("""COMPUTED_VALUE"""),24.68)</f>
        <v>24.68</v>
      </c>
      <c r="F845" s="2">
        <f>IFERROR(__xludf.DUMMYFUNCTION("""COMPUTED_VALUE"""),116477.0)</f>
        <v>116477</v>
      </c>
    </row>
    <row r="846">
      <c r="A846" s="3">
        <f>IFERROR(__xludf.DUMMYFUNCTION("""COMPUTED_VALUE"""),37763.645833333336)</f>
        <v>37763.64583</v>
      </c>
      <c r="B846" s="2">
        <f>IFERROR(__xludf.DUMMYFUNCTION("""COMPUTED_VALUE"""),24.95)</f>
        <v>24.95</v>
      </c>
      <c r="C846" s="2">
        <f>IFERROR(__xludf.DUMMYFUNCTION("""COMPUTED_VALUE"""),25.3)</f>
        <v>25.3</v>
      </c>
      <c r="D846" s="2">
        <f>IFERROR(__xludf.DUMMYFUNCTION("""COMPUTED_VALUE"""),24.02)</f>
        <v>24.02</v>
      </c>
      <c r="E846" s="2">
        <f>IFERROR(__xludf.DUMMYFUNCTION("""COMPUTED_VALUE"""),24.11)</f>
        <v>24.11</v>
      </c>
      <c r="F846" s="2">
        <f>IFERROR(__xludf.DUMMYFUNCTION("""COMPUTED_VALUE"""),53920.0)</f>
        <v>53920</v>
      </c>
    </row>
    <row r="847">
      <c r="A847" s="3">
        <f>IFERROR(__xludf.DUMMYFUNCTION("""COMPUTED_VALUE"""),37764.645833333336)</f>
        <v>37764.64583</v>
      </c>
      <c r="B847" s="2">
        <f>IFERROR(__xludf.DUMMYFUNCTION("""COMPUTED_VALUE"""),24.78)</f>
        <v>24.78</v>
      </c>
      <c r="C847" s="2">
        <f>IFERROR(__xludf.DUMMYFUNCTION("""COMPUTED_VALUE"""),24.78)</f>
        <v>24.78</v>
      </c>
      <c r="D847" s="2">
        <f>IFERROR(__xludf.DUMMYFUNCTION("""COMPUTED_VALUE"""),24.15)</f>
        <v>24.15</v>
      </c>
      <c r="E847" s="2">
        <f>IFERROR(__xludf.DUMMYFUNCTION("""COMPUTED_VALUE"""),24.3)</f>
        <v>24.3</v>
      </c>
      <c r="F847" s="2">
        <f>IFERROR(__xludf.DUMMYFUNCTION("""COMPUTED_VALUE"""),43224.0)</f>
        <v>43224</v>
      </c>
    </row>
    <row r="848">
      <c r="A848" s="3">
        <f>IFERROR(__xludf.DUMMYFUNCTION("""COMPUTED_VALUE"""),37767.645833333336)</f>
        <v>37767.64583</v>
      </c>
      <c r="B848" s="2">
        <f>IFERROR(__xludf.DUMMYFUNCTION("""COMPUTED_VALUE"""),24.6)</f>
        <v>24.6</v>
      </c>
      <c r="C848" s="2">
        <f>IFERROR(__xludf.DUMMYFUNCTION("""COMPUTED_VALUE"""),25.25)</f>
        <v>25.25</v>
      </c>
      <c r="D848" s="2">
        <f>IFERROR(__xludf.DUMMYFUNCTION("""COMPUTED_VALUE"""),24.36)</f>
        <v>24.36</v>
      </c>
      <c r="E848" s="2">
        <f>IFERROR(__xludf.DUMMYFUNCTION("""COMPUTED_VALUE"""),25.02)</f>
        <v>25.02</v>
      </c>
      <c r="F848" s="2">
        <f>IFERROR(__xludf.DUMMYFUNCTION("""COMPUTED_VALUE"""),139529.0)</f>
        <v>139529</v>
      </c>
    </row>
    <row r="849">
      <c r="A849" s="3">
        <f>IFERROR(__xludf.DUMMYFUNCTION("""COMPUTED_VALUE"""),37768.645833333336)</f>
        <v>37768.64583</v>
      </c>
      <c r="B849" s="2">
        <f>IFERROR(__xludf.DUMMYFUNCTION("""COMPUTED_VALUE"""),25.1)</f>
        <v>25.1</v>
      </c>
      <c r="C849" s="2">
        <f>IFERROR(__xludf.DUMMYFUNCTION("""COMPUTED_VALUE"""),25.2)</f>
        <v>25.2</v>
      </c>
      <c r="D849" s="2">
        <f>IFERROR(__xludf.DUMMYFUNCTION("""COMPUTED_VALUE"""),24.4)</f>
        <v>24.4</v>
      </c>
      <c r="E849" s="2">
        <f>IFERROR(__xludf.DUMMYFUNCTION("""COMPUTED_VALUE"""),24.54)</f>
        <v>24.54</v>
      </c>
      <c r="F849" s="2">
        <f>IFERROR(__xludf.DUMMYFUNCTION("""COMPUTED_VALUE"""),50708.0)</f>
        <v>50708</v>
      </c>
    </row>
    <row r="850">
      <c r="A850" s="3">
        <f>IFERROR(__xludf.DUMMYFUNCTION("""COMPUTED_VALUE"""),37769.645833333336)</f>
        <v>37769.64583</v>
      </c>
      <c r="B850" s="2">
        <f>IFERROR(__xludf.DUMMYFUNCTION("""COMPUTED_VALUE"""),24.75)</f>
        <v>24.75</v>
      </c>
      <c r="C850" s="2">
        <f>IFERROR(__xludf.DUMMYFUNCTION("""COMPUTED_VALUE"""),24.75)</f>
        <v>24.75</v>
      </c>
      <c r="D850" s="2">
        <f>IFERROR(__xludf.DUMMYFUNCTION("""COMPUTED_VALUE"""),24.21)</f>
        <v>24.21</v>
      </c>
      <c r="E850" s="2">
        <f>IFERROR(__xludf.DUMMYFUNCTION("""COMPUTED_VALUE"""),24.3)</f>
        <v>24.3</v>
      </c>
      <c r="F850" s="2">
        <f>IFERROR(__xludf.DUMMYFUNCTION("""COMPUTED_VALUE"""),51050.0)</f>
        <v>51050</v>
      </c>
    </row>
    <row r="851">
      <c r="A851" s="3">
        <f>IFERROR(__xludf.DUMMYFUNCTION("""COMPUTED_VALUE"""),37770.645833333336)</f>
        <v>37770.64583</v>
      </c>
      <c r="B851" s="2">
        <f>IFERROR(__xludf.DUMMYFUNCTION("""COMPUTED_VALUE"""),24.13)</f>
        <v>24.13</v>
      </c>
      <c r="C851" s="2">
        <f>IFERROR(__xludf.DUMMYFUNCTION("""COMPUTED_VALUE"""),25.0)</f>
        <v>25</v>
      </c>
      <c r="D851" s="2">
        <f>IFERROR(__xludf.DUMMYFUNCTION("""COMPUTED_VALUE"""),24.13)</f>
        <v>24.13</v>
      </c>
      <c r="E851" s="2">
        <f>IFERROR(__xludf.DUMMYFUNCTION("""COMPUTED_VALUE"""),24.7)</f>
        <v>24.7</v>
      </c>
      <c r="F851" s="2">
        <f>IFERROR(__xludf.DUMMYFUNCTION("""COMPUTED_VALUE"""),174400.0)</f>
        <v>174400</v>
      </c>
    </row>
    <row r="852">
      <c r="A852" s="3">
        <f>IFERROR(__xludf.DUMMYFUNCTION("""COMPUTED_VALUE"""),37771.645833333336)</f>
        <v>37771.64583</v>
      </c>
      <c r="B852" s="2">
        <f>IFERROR(__xludf.DUMMYFUNCTION("""COMPUTED_VALUE"""),24.61)</f>
        <v>24.61</v>
      </c>
      <c r="C852" s="2">
        <f>IFERROR(__xludf.DUMMYFUNCTION("""COMPUTED_VALUE"""),25.0)</f>
        <v>25</v>
      </c>
      <c r="D852" s="2">
        <f>IFERROR(__xludf.DUMMYFUNCTION("""COMPUTED_VALUE"""),24.41)</f>
        <v>24.41</v>
      </c>
      <c r="E852" s="2">
        <f>IFERROR(__xludf.DUMMYFUNCTION("""COMPUTED_VALUE"""),24.51)</f>
        <v>24.51</v>
      </c>
      <c r="F852" s="2">
        <f>IFERROR(__xludf.DUMMYFUNCTION("""COMPUTED_VALUE"""),110524.0)</f>
        <v>110524</v>
      </c>
    </row>
    <row r="853">
      <c r="A853" s="3">
        <f>IFERROR(__xludf.DUMMYFUNCTION("""COMPUTED_VALUE"""),37774.645833333336)</f>
        <v>37774.64583</v>
      </c>
      <c r="B853" s="2">
        <f>IFERROR(__xludf.DUMMYFUNCTION("""COMPUTED_VALUE"""),24.31)</f>
        <v>24.31</v>
      </c>
      <c r="C853" s="2">
        <f>IFERROR(__xludf.DUMMYFUNCTION("""COMPUTED_VALUE"""),24.79)</f>
        <v>24.79</v>
      </c>
      <c r="D853" s="2">
        <f>IFERROR(__xludf.DUMMYFUNCTION("""COMPUTED_VALUE"""),24.12)</f>
        <v>24.12</v>
      </c>
      <c r="E853" s="2">
        <f>IFERROR(__xludf.DUMMYFUNCTION("""COMPUTED_VALUE"""),24.35)</f>
        <v>24.35</v>
      </c>
      <c r="F853" s="2">
        <f>IFERROR(__xludf.DUMMYFUNCTION("""COMPUTED_VALUE"""),92367.0)</f>
        <v>92367</v>
      </c>
    </row>
    <row r="854">
      <c r="A854" s="3">
        <f>IFERROR(__xludf.DUMMYFUNCTION("""COMPUTED_VALUE"""),37775.645833333336)</f>
        <v>37775.64583</v>
      </c>
      <c r="B854" s="2">
        <f>IFERROR(__xludf.DUMMYFUNCTION("""COMPUTED_VALUE"""),24.1)</f>
        <v>24.1</v>
      </c>
      <c r="C854" s="2">
        <f>IFERROR(__xludf.DUMMYFUNCTION("""COMPUTED_VALUE"""),25.1)</f>
        <v>25.1</v>
      </c>
      <c r="D854" s="2">
        <f>IFERROR(__xludf.DUMMYFUNCTION("""COMPUTED_VALUE"""),24.08)</f>
        <v>24.08</v>
      </c>
      <c r="E854" s="2">
        <f>IFERROR(__xludf.DUMMYFUNCTION("""COMPUTED_VALUE"""),24.94)</f>
        <v>24.94</v>
      </c>
      <c r="F854" s="2">
        <f>IFERROR(__xludf.DUMMYFUNCTION("""COMPUTED_VALUE"""),544884.0)</f>
        <v>544884</v>
      </c>
    </row>
    <row r="855">
      <c r="A855" s="3">
        <f>IFERROR(__xludf.DUMMYFUNCTION("""COMPUTED_VALUE"""),37776.645833333336)</f>
        <v>37776.64583</v>
      </c>
      <c r="B855" s="2">
        <f>IFERROR(__xludf.DUMMYFUNCTION("""COMPUTED_VALUE"""),25.21)</f>
        <v>25.21</v>
      </c>
      <c r="C855" s="2">
        <f>IFERROR(__xludf.DUMMYFUNCTION("""COMPUTED_VALUE"""),25.59)</f>
        <v>25.59</v>
      </c>
      <c r="D855" s="2">
        <f>IFERROR(__xludf.DUMMYFUNCTION("""COMPUTED_VALUE"""),25.0)</f>
        <v>25</v>
      </c>
      <c r="E855" s="2">
        <f>IFERROR(__xludf.DUMMYFUNCTION("""COMPUTED_VALUE"""),25.19)</f>
        <v>25.19</v>
      </c>
      <c r="F855" s="2">
        <f>IFERROR(__xludf.DUMMYFUNCTION("""COMPUTED_VALUE"""),153436.0)</f>
        <v>153436</v>
      </c>
    </row>
    <row r="856">
      <c r="A856" s="3">
        <f>IFERROR(__xludf.DUMMYFUNCTION("""COMPUTED_VALUE"""),37777.645833333336)</f>
        <v>37777.64583</v>
      </c>
      <c r="B856" s="2">
        <f>IFERROR(__xludf.DUMMYFUNCTION("""COMPUTED_VALUE"""),25.4)</f>
        <v>25.4</v>
      </c>
      <c r="C856" s="2">
        <f>IFERROR(__xludf.DUMMYFUNCTION("""COMPUTED_VALUE"""),25.68)</f>
        <v>25.68</v>
      </c>
      <c r="D856" s="2">
        <f>IFERROR(__xludf.DUMMYFUNCTION("""COMPUTED_VALUE"""),25.1)</f>
        <v>25.1</v>
      </c>
      <c r="E856" s="2">
        <f>IFERROR(__xludf.DUMMYFUNCTION("""COMPUTED_VALUE"""),25.21)</f>
        <v>25.21</v>
      </c>
      <c r="F856" s="2">
        <f>IFERROR(__xludf.DUMMYFUNCTION("""COMPUTED_VALUE"""),195030.0)</f>
        <v>195030</v>
      </c>
    </row>
    <row r="857">
      <c r="A857" s="3">
        <f>IFERROR(__xludf.DUMMYFUNCTION("""COMPUTED_VALUE"""),37778.645833333336)</f>
        <v>37778.64583</v>
      </c>
      <c r="B857" s="2">
        <f>IFERROR(__xludf.DUMMYFUNCTION("""COMPUTED_VALUE"""),25.28)</f>
        <v>25.28</v>
      </c>
      <c r="C857" s="2">
        <f>IFERROR(__xludf.DUMMYFUNCTION("""COMPUTED_VALUE"""),26.45)</f>
        <v>26.45</v>
      </c>
      <c r="D857" s="2">
        <f>IFERROR(__xludf.DUMMYFUNCTION("""COMPUTED_VALUE"""),25.2)</f>
        <v>25.2</v>
      </c>
      <c r="E857" s="2">
        <f>IFERROR(__xludf.DUMMYFUNCTION("""COMPUTED_VALUE"""),25.94)</f>
        <v>25.94</v>
      </c>
      <c r="F857" s="2">
        <f>IFERROR(__xludf.DUMMYFUNCTION("""COMPUTED_VALUE"""),554751.0)</f>
        <v>554751</v>
      </c>
    </row>
    <row r="858">
      <c r="A858" s="3">
        <f>IFERROR(__xludf.DUMMYFUNCTION("""COMPUTED_VALUE"""),37781.645833333336)</f>
        <v>37781.64583</v>
      </c>
      <c r="B858" s="2">
        <f>IFERROR(__xludf.DUMMYFUNCTION("""COMPUTED_VALUE"""),26.06)</f>
        <v>26.06</v>
      </c>
      <c r="C858" s="2">
        <f>IFERROR(__xludf.DUMMYFUNCTION("""COMPUTED_VALUE"""),26.72)</f>
        <v>26.72</v>
      </c>
      <c r="D858" s="2">
        <f>IFERROR(__xludf.DUMMYFUNCTION("""COMPUTED_VALUE"""),25.94)</f>
        <v>25.94</v>
      </c>
      <c r="E858" s="2">
        <f>IFERROR(__xludf.DUMMYFUNCTION("""COMPUTED_VALUE"""),26.17)</f>
        <v>26.17</v>
      </c>
      <c r="F858" s="2">
        <f>IFERROR(__xludf.DUMMYFUNCTION("""COMPUTED_VALUE"""),200769.0)</f>
        <v>200769</v>
      </c>
    </row>
    <row r="859">
      <c r="A859" s="3">
        <f>IFERROR(__xludf.DUMMYFUNCTION("""COMPUTED_VALUE"""),37782.645833333336)</f>
        <v>37782.64583</v>
      </c>
      <c r="B859" s="2">
        <f>IFERROR(__xludf.DUMMYFUNCTION("""COMPUTED_VALUE"""),25.8)</f>
        <v>25.8</v>
      </c>
      <c r="C859" s="2">
        <f>IFERROR(__xludf.DUMMYFUNCTION("""COMPUTED_VALUE"""),26.0)</f>
        <v>26</v>
      </c>
      <c r="D859" s="2">
        <f>IFERROR(__xludf.DUMMYFUNCTION("""COMPUTED_VALUE"""),25.12)</f>
        <v>25.12</v>
      </c>
      <c r="E859" s="2">
        <f>IFERROR(__xludf.DUMMYFUNCTION("""COMPUTED_VALUE"""),25.27)</f>
        <v>25.27</v>
      </c>
      <c r="F859" s="2">
        <f>IFERROR(__xludf.DUMMYFUNCTION("""COMPUTED_VALUE"""),77421.0)</f>
        <v>77421</v>
      </c>
    </row>
    <row r="860">
      <c r="A860" s="3">
        <f>IFERROR(__xludf.DUMMYFUNCTION("""COMPUTED_VALUE"""),37783.645833333336)</f>
        <v>37783.64583</v>
      </c>
      <c r="B860" s="2">
        <f>IFERROR(__xludf.DUMMYFUNCTION("""COMPUTED_VALUE"""),25.6)</f>
        <v>25.6</v>
      </c>
      <c r="C860" s="2">
        <f>IFERROR(__xludf.DUMMYFUNCTION("""COMPUTED_VALUE"""),26.14)</f>
        <v>26.14</v>
      </c>
      <c r="D860" s="2">
        <f>IFERROR(__xludf.DUMMYFUNCTION("""COMPUTED_VALUE"""),25.01)</f>
        <v>25.01</v>
      </c>
      <c r="E860" s="2">
        <f>IFERROR(__xludf.DUMMYFUNCTION("""COMPUTED_VALUE"""),25.81)</f>
        <v>25.81</v>
      </c>
      <c r="F860" s="2">
        <f>IFERROR(__xludf.DUMMYFUNCTION("""COMPUTED_VALUE"""),334366.0)</f>
        <v>334366</v>
      </c>
    </row>
    <row r="861">
      <c r="A861" s="3">
        <f>IFERROR(__xludf.DUMMYFUNCTION("""COMPUTED_VALUE"""),37784.645833333336)</f>
        <v>37784.64583</v>
      </c>
      <c r="B861" s="2">
        <f>IFERROR(__xludf.DUMMYFUNCTION("""COMPUTED_VALUE"""),25.6)</f>
        <v>25.6</v>
      </c>
      <c r="C861" s="2">
        <f>IFERROR(__xludf.DUMMYFUNCTION("""COMPUTED_VALUE"""),25.85)</f>
        <v>25.85</v>
      </c>
      <c r="D861" s="2">
        <f>IFERROR(__xludf.DUMMYFUNCTION("""COMPUTED_VALUE"""),25.03)</f>
        <v>25.03</v>
      </c>
      <c r="E861" s="2">
        <f>IFERROR(__xludf.DUMMYFUNCTION("""COMPUTED_VALUE"""),25.17)</f>
        <v>25.17</v>
      </c>
      <c r="F861" s="2">
        <f>IFERROR(__xludf.DUMMYFUNCTION("""COMPUTED_VALUE"""),74323.0)</f>
        <v>74323</v>
      </c>
    </row>
    <row r="862">
      <c r="A862" s="3">
        <f>IFERROR(__xludf.DUMMYFUNCTION("""COMPUTED_VALUE"""),37785.645833333336)</f>
        <v>37785.64583</v>
      </c>
      <c r="B862" s="2">
        <f>IFERROR(__xludf.DUMMYFUNCTION("""COMPUTED_VALUE"""),25.1)</f>
        <v>25.1</v>
      </c>
      <c r="C862" s="2">
        <f>IFERROR(__xludf.DUMMYFUNCTION("""COMPUTED_VALUE"""),25.7)</f>
        <v>25.7</v>
      </c>
      <c r="D862" s="2">
        <f>IFERROR(__xludf.DUMMYFUNCTION("""COMPUTED_VALUE"""),25.0)</f>
        <v>25</v>
      </c>
      <c r="E862" s="2">
        <f>IFERROR(__xludf.DUMMYFUNCTION("""COMPUTED_VALUE"""),25.18)</f>
        <v>25.18</v>
      </c>
      <c r="F862" s="2">
        <f>IFERROR(__xludf.DUMMYFUNCTION("""COMPUTED_VALUE"""),120609.0)</f>
        <v>120609</v>
      </c>
    </row>
    <row r="863">
      <c r="A863" s="3">
        <f>IFERROR(__xludf.DUMMYFUNCTION("""COMPUTED_VALUE"""),37788.645833333336)</f>
        <v>37788.64583</v>
      </c>
      <c r="B863" s="2">
        <f>IFERROR(__xludf.DUMMYFUNCTION("""COMPUTED_VALUE"""),25.2)</f>
        <v>25.2</v>
      </c>
      <c r="C863" s="2">
        <f>IFERROR(__xludf.DUMMYFUNCTION("""COMPUTED_VALUE"""),25.45)</f>
        <v>25.45</v>
      </c>
      <c r="D863" s="2">
        <f>IFERROR(__xludf.DUMMYFUNCTION("""COMPUTED_VALUE"""),25.13)</f>
        <v>25.13</v>
      </c>
      <c r="E863" s="2">
        <f>IFERROR(__xludf.DUMMYFUNCTION("""COMPUTED_VALUE"""),25.29)</f>
        <v>25.29</v>
      </c>
      <c r="F863" s="2">
        <f>IFERROR(__xludf.DUMMYFUNCTION("""COMPUTED_VALUE"""),130150.0)</f>
        <v>130150</v>
      </c>
    </row>
    <row r="864">
      <c r="A864" s="3">
        <f>IFERROR(__xludf.DUMMYFUNCTION("""COMPUTED_VALUE"""),37789.645833333336)</f>
        <v>37789.64583</v>
      </c>
      <c r="B864" s="2">
        <f>IFERROR(__xludf.DUMMYFUNCTION("""COMPUTED_VALUE"""),25.5)</f>
        <v>25.5</v>
      </c>
      <c r="C864" s="2">
        <f>IFERROR(__xludf.DUMMYFUNCTION("""COMPUTED_VALUE"""),25.74)</f>
        <v>25.74</v>
      </c>
      <c r="D864" s="2">
        <f>IFERROR(__xludf.DUMMYFUNCTION("""COMPUTED_VALUE"""),25.2)</f>
        <v>25.2</v>
      </c>
      <c r="E864" s="2">
        <f>IFERROR(__xludf.DUMMYFUNCTION("""COMPUTED_VALUE"""),25.3)</f>
        <v>25.3</v>
      </c>
      <c r="F864" s="2">
        <f>IFERROR(__xludf.DUMMYFUNCTION("""COMPUTED_VALUE"""),184293.0)</f>
        <v>184293</v>
      </c>
    </row>
    <row r="865">
      <c r="A865" s="3">
        <f>IFERROR(__xludf.DUMMYFUNCTION("""COMPUTED_VALUE"""),37790.645833333336)</f>
        <v>37790.64583</v>
      </c>
      <c r="B865" s="2">
        <f>IFERROR(__xludf.DUMMYFUNCTION("""COMPUTED_VALUE"""),25.4)</f>
        <v>25.4</v>
      </c>
      <c r="C865" s="2">
        <f>IFERROR(__xludf.DUMMYFUNCTION("""COMPUTED_VALUE"""),25.47)</f>
        <v>25.47</v>
      </c>
      <c r="D865" s="2">
        <f>IFERROR(__xludf.DUMMYFUNCTION("""COMPUTED_VALUE"""),24.81)</f>
        <v>24.81</v>
      </c>
      <c r="E865" s="2">
        <f>IFERROR(__xludf.DUMMYFUNCTION("""COMPUTED_VALUE"""),25.17)</f>
        <v>25.17</v>
      </c>
      <c r="F865" s="2">
        <f>IFERROR(__xludf.DUMMYFUNCTION("""COMPUTED_VALUE"""),116769.0)</f>
        <v>116769</v>
      </c>
    </row>
    <row r="866">
      <c r="A866" s="3">
        <f>IFERROR(__xludf.DUMMYFUNCTION("""COMPUTED_VALUE"""),37791.645833333336)</f>
        <v>37791.64583</v>
      </c>
      <c r="B866" s="2">
        <f>IFERROR(__xludf.DUMMYFUNCTION("""COMPUTED_VALUE"""),25.39)</f>
        <v>25.39</v>
      </c>
      <c r="C866" s="2">
        <f>IFERROR(__xludf.DUMMYFUNCTION("""COMPUTED_VALUE"""),25.41)</f>
        <v>25.41</v>
      </c>
      <c r="D866" s="2">
        <f>IFERROR(__xludf.DUMMYFUNCTION("""COMPUTED_VALUE"""),24.9)</f>
        <v>24.9</v>
      </c>
      <c r="E866" s="2">
        <f>IFERROR(__xludf.DUMMYFUNCTION("""COMPUTED_VALUE"""),24.93)</f>
        <v>24.93</v>
      </c>
      <c r="F866" s="2">
        <f>IFERROR(__xludf.DUMMYFUNCTION("""COMPUTED_VALUE"""),159101.0)</f>
        <v>159101</v>
      </c>
    </row>
    <row r="867">
      <c r="A867" s="3">
        <f>IFERROR(__xludf.DUMMYFUNCTION("""COMPUTED_VALUE"""),37792.645833333336)</f>
        <v>37792.64583</v>
      </c>
      <c r="B867" s="2">
        <f>IFERROR(__xludf.DUMMYFUNCTION("""COMPUTED_VALUE"""),25.1)</f>
        <v>25.1</v>
      </c>
      <c r="C867" s="2">
        <f>IFERROR(__xludf.DUMMYFUNCTION("""COMPUTED_VALUE"""),25.39)</f>
        <v>25.39</v>
      </c>
      <c r="D867" s="2">
        <f>IFERROR(__xludf.DUMMYFUNCTION("""COMPUTED_VALUE"""),24.4)</f>
        <v>24.4</v>
      </c>
      <c r="E867" s="2">
        <f>IFERROR(__xludf.DUMMYFUNCTION("""COMPUTED_VALUE"""),24.82)</f>
        <v>24.82</v>
      </c>
      <c r="F867" s="2">
        <f>IFERROR(__xludf.DUMMYFUNCTION("""COMPUTED_VALUE"""),139204.0)</f>
        <v>139204</v>
      </c>
    </row>
    <row r="868">
      <c r="A868" s="3">
        <f>IFERROR(__xludf.DUMMYFUNCTION("""COMPUTED_VALUE"""),37795.645833333336)</f>
        <v>37795.64583</v>
      </c>
      <c r="B868" s="2">
        <f>IFERROR(__xludf.DUMMYFUNCTION("""COMPUTED_VALUE"""),24.9)</f>
        <v>24.9</v>
      </c>
      <c r="C868" s="2">
        <f>IFERROR(__xludf.DUMMYFUNCTION("""COMPUTED_VALUE"""),24.98)</f>
        <v>24.98</v>
      </c>
      <c r="D868" s="2">
        <f>IFERROR(__xludf.DUMMYFUNCTION("""COMPUTED_VALUE"""),24.22)</f>
        <v>24.22</v>
      </c>
      <c r="E868" s="2">
        <f>IFERROR(__xludf.DUMMYFUNCTION("""COMPUTED_VALUE"""),24.31)</f>
        <v>24.31</v>
      </c>
      <c r="F868" s="2">
        <f>IFERROR(__xludf.DUMMYFUNCTION("""COMPUTED_VALUE"""),60771.0)</f>
        <v>60771</v>
      </c>
    </row>
    <row r="869">
      <c r="A869" s="3">
        <f>IFERROR(__xludf.DUMMYFUNCTION("""COMPUTED_VALUE"""),37796.645833333336)</f>
        <v>37796.64583</v>
      </c>
      <c r="B869" s="2">
        <f>IFERROR(__xludf.DUMMYFUNCTION("""COMPUTED_VALUE"""),24.41)</f>
        <v>24.41</v>
      </c>
      <c r="C869" s="2">
        <f>IFERROR(__xludf.DUMMYFUNCTION("""COMPUTED_VALUE"""),24.5)</f>
        <v>24.5</v>
      </c>
      <c r="D869" s="2">
        <f>IFERROR(__xludf.DUMMYFUNCTION("""COMPUTED_VALUE"""),23.99)</f>
        <v>23.99</v>
      </c>
      <c r="E869" s="2">
        <f>IFERROR(__xludf.DUMMYFUNCTION("""COMPUTED_VALUE"""),24.12)</f>
        <v>24.12</v>
      </c>
      <c r="F869" s="2">
        <f>IFERROR(__xludf.DUMMYFUNCTION("""COMPUTED_VALUE"""),157769.0)</f>
        <v>157769</v>
      </c>
    </row>
    <row r="870">
      <c r="A870" s="3">
        <f>IFERROR(__xludf.DUMMYFUNCTION("""COMPUTED_VALUE"""),37797.645833333336)</f>
        <v>37797.64583</v>
      </c>
      <c r="B870" s="2">
        <f>IFERROR(__xludf.DUMMYFUNCTION("""COMPUTED_VALUE"""),24.11)</f>
        <v>24.11</v>
      </c>
      <c r="C870" s="2">
        <f>IFERROR(__xludf.DUMMYFUNCTION("""COMPUTED_VALUE"""),24.4)</f>
        <v>24.4</v>
      </c>
      <c r="D870" s="2">
        <f>IFERROR(__xludf.DUMMYFUNCTION("""COMPUTED_VALUE"""),24.0)</f>
        <v>24</v>
      </c>
      <c r="E870" s="2">
        <f>IFERROR(__xludf.DUMMYFUNCTION("""COMPUTED_VALUE"""),24.2)</f>
        <v>24.2</v>
      </c>
      <c r="F870" s="2">
        <f>IFERROR(__xludf.DUMMYFUNCTION("""COMPUTED_VALUE"""),157947.0)</f>
        <v>157947</v>
      </c>
    </row>
    <row r="871">
      <c r="A871" s="3">
        <f>IFERROR(__xludf.DUMMYFUNCTION("""COMPUTED_VALUE"""),37798.645833333336)</f>
        <v>37798.64583</v>
      </c>
      <c r="B871" s="2">
        <f>IFERROR(__xludf.DUMMYFUNCTION("""COMPUTED_VALUE"""),24.21)</f>
        <v>24.21</v>
      </c>
      <c r="C871" s="2">
        <f>IFERROR(__xludf.DUMMYFUNCTION("""COMPUTED_VALUE"""),24.7)</f>
        <v>24.7</v>
      </c>
      <c r="D871" s="2">
        <f>IFERROR(__xludf.DUMMYFUNCTION("""COMPUTED_VALUE"""),23.9)</f>
        <v>23.9</v>
      </c>
      <c r="E871" s="2">
        <f>IFERROR(__xludf.DUMMYFUNCTION("""COMPUTED_VALUE"""),24.48)</f>
        <v>24.48</v>
      </c>
      <c r="F871" s="2">
        <f>IFERROR(__xludf.DUMMYFUNCTION("""COMPUTED_VALUE"""),311125.0)</f>
        <v>311125</v>
      </c>
    </row>
    <row r="872">
      <c r="A872" s="3">
        <f>IFERROR(__xludf.DUMMYFUNCTION("""COMPUTED_VALUE"""),37799.645833333336)</f>
        <v>37799.64583</v>
      </c>
      <c r="B872" s="2">
        <f>IFERROR(__xludf.DUMMYFUNCTION("""COMPUTED_VALUE"""),24.4)</f>
        <v>24.4</v>
      </c>
      <c r="C872" s="2">
        <f>IFERROR(__xludf.DUMMYFUNCTION("""COMPUTED_VALUE"""),25.1)</f>
        <v>25.1</v>
      </c>
      <c r="D872" s="2">
        <f>IFERROR(__xludf.DUMMYFUNCTION("""COMPUTED_VALUE"""),24.4)</f>
        <v>24.4</v>
      </c>
      <c r="E872" s="2">
        <f>IFERROR(__xludf.DUMMYFUNCTION("""COMPUTED_VALUE"""),24.83)</f>
        <v>24.83</v>
      </c>
      <c r="F872" s="2">
        <f>IFERROR(__xludf.DUMMYFUNCTION("""COMPUTED_VALUE"""),207054.0)</f>
        <v>207054</v>
      </c>
    </row>
    <row r="873">
      <c r="A873" s="3">
        <f>IFERROR(__xludf.DUMMYFUNCTION("""COMPUTED_VALUE"""),37802.645833333336)</f>
        <v>37802.64583</v>
      </c>
      <c r="B873" s="2">
        <f>IFERROR(__xludf.DUMMYFUNCTION("""COMPUTED_VALUE"""),25.0)</f>
        <v>25</v>
      </c>
      <c r="C873" s="2">
        <f>IFERROR(__xludf.DUMMYFUNCTION("""COMPUTED_VALUE"""),26.1)</f>
        <v>26.1</v>
      </c>
      <c r="D873" s="2">
        <f>IFERROR(__xludf.DUMMYFUNCTION("""COMPUTED_VALUE"""),25.0)</f>
        <v>25</v>
      </c>
      <c r="E873" s="2">
        <f>IFERROR(__xludf.DUMMYFUNCTION("""COMPUTED_VALUE"""),25.81)</f>
        <v>25.81</v>
      </c>
      <c r="F873" s="2">
        <f>IFERROR(__xludf.DUMMYFUNCTION("""COMPUTED_VALUE"""),245734.0)</f>
        <v>245734</v>
      </c>
    </row>
    <row r="874">
      <c r="A874" s="3">
        <f>IFERROR(__xludf.DUMMYFUNCTION("""COMPUTED_VALUE"""),37803.645833333336)</f>
        <v>37803.64583</v>
      </c>
      <c r="B874" s="2">
        <f>IFERROR(__xludf.DUMMYFUNCTION("""COMPUTED_VALUE"""),26.5)</f>
        <v>26.5</v>
      </c>
      <c r="C874" s="2">
        <f>IFERROR(__xludf.DUMMYFUNCTION("""COMPUTED_VALUE"""),26.8)</f>
        <v>26.8</v>
      </c>
      <c r="D874" s="2">
        <f>IFERROR(__xludf.DUMMYFUNCTION("""COMPUTED_VALUE"""),25.6)</f>
        <v>25.6</v>
      </c>
      <c r="E874" s="2">
        <f>IFERROR(__xludf.DUMMYFUNCTION("""COMPUTED_VALUE"""),26.12)</f>
        <v>26.12</v>
      </c>
      <c r="F874" s="2">
        <f>IFERROR(__xludf.DUMMYFUNCTION("""COMPUTED_VALUE"""),213122.0)</f>
        <v>213122</v>
      </c>
    </row>
    <row r="875">
      <c r="A875" s="3">
        <f>IFERROR(__xludf.DUMMYFUNCTION("""COMPUTED_VALUE"""),37804.645833333336)</f>
        <v>37804.64583</v>
      </c>
      <c r="B875" s="2">
        <f>IFERROR(__xludf.DUMMYFUNCTION("""COMPUTED_VALUE"""),26.59)</f>
        <v>26.59</v>
      </c>
      <c r="C875" s="2">
        <f>IFERROR(__xludf.DUMMYFUNCTION("""COMPUTED_VALUE"""),26.74)</f>
        <v>26.74</v>
      </c>
      <c r="D875" s="2">
        <f>IFERROR(__xludf.DUMMYFUNCTION("""COMPUTED_VALUE"""),26.01)</f>
        <v>26.01</v>
      </c>
      <c r="E875" s="2">
        <f>IFERROR(__xludf.DUMMYFUNCTION("""COMPUTED_VALUE"""),26.34)</f>
        <v>26.34</v>
      </c>
      <c r="F875" s="2">
        <f>IFERROR(__xludf.DUMMYFUNCTION("""COMPUTED_VALUE"""),268772.0)</f>
        <v>268772</v>
      </c>
    </row>
    <row r="876">
      <c r="A876" s="3">
        <f>IFERROR(__xludf.DUMMYFUNCTION("""COMPUTED_VALUE"""),37805.645833333336)</f>
        <v>37805.64583</v>
      </c>
      <c r="B876" s="2">
        <f>IFERROR(__xludf.DUMMYFUNCTION("""COMPUTED_VALUE"""),26.7)</f>
        <v>26.7</v>
      </c>
      <c r="C876" s="2">
        <f>IFERROR(__xludf.DUMMYFUNCTION("""COMPUTED_VALUE"""),30.21)</f>
        <v>30.21</v>
      </c>
      <c r="D876" s="2">
        <f>IFERROR(__xludf.DUMMYFUNCTION("""COMPUTED_VALUE"""),26.7)</f>
        <v>26.7</v>
      </c>
      <c r="E876" s="2">
        <f>IFERROR(__xludf.DUMMYFUNCTION("""COMPUTED_VALUE"""),28.99)</f>
        <v>28.99</v>
      </c>
      <c r="F876" s="2">
        <f>IFERROR(__xludf.DUMMYFUNCTION("""COMPUTED_VALUE"""),1548863.0)</f>
        <v>1548863</v>
      </c>
    </row>
    <row r="877">
      <c r="A877" s="3">
        <f>IFERROR(__xludf.DUMMYFUNCTION("""COMPUTED_VALUE"""),37806.645833333336)</f>
        <v>37806.64583</v>
      </c>
      <c r="B877" s="2">
        <f>IFERROR(__xludf.DUMMYFUNCTION("""COMPUTED_VALUE"""),28.5)</f>
        <v>28.5</v>
      </c>
      <c r="C877" s="2">
        <f>IFERROR(__xludf.DUMMYFUNCTION("""COMPUTED_VALUE"""),28.7)</f>
        <v>28.7</v>
      </c>
      <c r="D877" s="2">
        <f>IFERROR(__xludf.DUMMYFUNCTION("""COMPUTED_VALUE"""),27.26)</f>
        <v>27.26</v>
      </c>
      <c r="E877" s="2">
        <f>IFERROR(__xludf.DUMMYFUNCTION("""COMPUTED_VALUE"""),27.68)</f>
        <v>27.68</v>
      </c>
      <c r="F877" s="2">
        <f>IFERROR(__xludf.DUMMYFUNCTION("""COMPUTED_VALUE"""),271078.0)</f>
        <v>271078</v>
      </c>
    </row>
    <row r="878">
      <c r="A878" s="3">
        <f>IFERROR(__xludf.DUMMYFUNCTION("""COMPUTED_VALUE"""),37809.645833333336)</f>
        <v>37809.64583</v>
      </c>
      <c r="B878" s="2">
        <f>IFERROR(__xludf.DUMMYFUNCTION("""COMPUTED_VALUE"""),27.03)</f>
        <v>27.03</v>
      </c>
      <c r="C878" s="2">
        <f>IFERROR(__xludf.DUMMYFUNCTION("""COMPUTED_VALUE"""),28.65)</f>
        <v>28.65</v>
      </c>
      <c r="D878" s="2">
        <f>IFERROR(__xludf.DUMMYFUNCTION("""COMPUTED_VALUE"""),27.03)</f>
        <v>27.03</v>
      </c>
      <c r="E878" s="2">
        <f>IFERROR(__xludf.DUMMYFUNCTION("""COMPUTED_VALUE"""),27.78)</f>
        <v>27.78</v>
      </c>
      <c r="F878" s="2">
        <f>IFERROR(__xludf.DUMMYFUNCTION("""COMPUTED_VALUE"""),222938.0)</f>
        <v>222938</v>
      </c>
    </row>
    <row r="879">
      <c r="A879" s="3">
        <f>IFERROR(__xludf.DUMMYFUNCTION("""COMPUTED_VALUE"""),37810.645833333336)</f>
        <v>37810.64583</v>
      </c>
      <c r="B879" s="2">
        <f>IFERROR(__xludf.DUMMYFUNCTION("""COMPUTED_VALUE"""),29.0)</f>
        <v>29</v>
      </c>
      <c r="C879" s="2">
        <f>IFERROR(__xludf.DUMMYFUNCTION("""COMPUTED_VALUE"""),30.35)</f>
        <v>30.35</v>
      </c>
      <c r="D879" s="2">
        <f>IFERROR(__xludf.DUMMYFUNCTION("""COMPUTED_VALUE"""),28.3)</f>
        <v>28.3</v>
      </c>
      <c r="E879" s="2">
        <f>IFERROR(__xludf.DUMMYFUNCTION("""COMPUTED_VALUE"""),28.44)</f>
        <v>28.44</v>
      </c>
      <c r="F879" s="2">
        <f>IFERROR(__xludf.DUMMYFUNCTION("""COMPUTED_VALUE"""),482408.0)</f>
        <v>482408</v>
      </c>
    </row>
    <row r="880">
      <c r="A880" s="3">
        <f>IFERROR(__xludf.DUMMYFUNCTION("""COMPUTED_VALUE"""),37811.645833333336)</f>
        <v>37811.64583</v>
      </c>
      <c r="B880" s="2">
        <f>IFERROR(__xludf.DUMMYFUNCTION("""COMPUTED_VALUE"""),28.43)</f>
        <v>28.43</v>
      </c>
      <c r="C880" s="2">
        <f>IFERROR(__xludf.DUMMYFUNCTION("""COMPUTED_VALUE"""),28.6)</f>
        <v>28.6</v>
      </c>
      <c r="D880" s="2">
        <f>IFERROR(__xludf.DUMMYFUNCTION("""COMPUTED_VALUE"""),28.06)</f>
        <v>28.06</v>
      </c>
      <c r="E880" s="2">
        <f>IFERROR(__xludf.DUMMYFUNCTION("""COMPUTED_VALUE"""),28.27)</f>
        <v>28.27</v>
      </c>
      <c r="F880" s="2">
        <f>IFERROR(__xludf.DUMMYFUNCTION("""COMPUTED_VALUE"""),107555.0)</f>
        <v>107555</v>
      </c>
    </row>
    <row r="881">
      <c r="A881" s="3">
        <f>IFERROR(__xludf.DUMMYFUNCTION("""COMPUTED_VALUE"""),37812.645833333336)</f>
        <v>37812.64583</v>
      </c>
      <c r="B881" s="2">
        <f>IFERROR(__xludf.DUMMYFUNCTION("""COMPUTED_VALUE"""),28.3)</f>
        <v>28.3</v>
      </c>
      <c r="C881" s="2">
        <f>IFERROR(__xludf.DUMMYFUNCTION("""COMPUTED_VALUE"""),28.57)</f>
        <v>28.57</v>
      </c>
      <c r="D881" s="2">
        <f>IFERROR(__xludf.DUMMYFUNCTION("""COMPUTED_VALUE"""),28.2)</f>
        <v>28.2</v>
      </c>
      <c r="E881" s="2">
        <f>IFERROR(__xludf.DUMMYFUNCTION("""COMPUTED_VALUE"""),28.42)</f>
        <v>28.42</v>
      </c>
      <c r="F881" s="2">
        <f>IFERROR(__xludf.DUMMYFUNCTION("""COMPUTED_VALUE"""),251522.0)</f>
        <v>251522</v>
      </c>
    </row>
    <row r="882">
      <c r="A882" s="3">
        <f>IFERROR(__xludf.DUMMYFUNCTION("""COMPUTED_VALUE"""),37813.645833333336)</f>
        <v>37813.64583</v>
      </c>
      <c r="B882" s="2">
        <f>IFERROR(__xludf.DUMMYFUNCTION("""COMPUTED_VALUE"""),28.45)</f>
        <v>28.45</v>
      </c>
      <c r="C882" s="2">
        <f>IFERROR(__xludf.DUMMYFUNCTION("""COMPUTED_VALUE"""),29.1)</f>
        <v>29.1</v>
      </c>
      <c r="D882" s="2">
        <f>IFERROR(__xludf.DUMMYFUNCTION("""COMPUTED_VALUE"""),28.45)</f>
        <v>28.45</v>
      </c>
      <c r="E882" s="2">
        <f>IFERROR(__xludf.DUMMYFUNCTION("""COMPUTED_VALUE"""),28.98)</f>
        <v>28.98</v>
      </c>
      <c r="F882" s="2">
        <f>IFERROR(__xludf.DUMMYFUNCTION("""COMPUTED_VALUE"""),592725.0)</f>
        <v>592725</v>
      </c>
    </row>
    <row r="883">
      <c r="A883" s="3">
        <f>IFERROR(__xludf.DUMMYFUNCTION("""COMPUTED_VALUE"""),37816.645833333336)</f>
        <v>37816.64583</v>
      </c>
      <c r="B883" s="2">
        <f>IFERROR(__xludf.DUMMYFUNCTION("""COMPUTED_VALUE"""),29.4)</f>
        <v>29.4</v>
      </c>
      <c r="C883" s="2">
        <f>IFERROR(__xludf.DUMMYFUNCTION("""COMPUTED_VALUE"""),29.6)</f>
        <v>29.6</v>
      </c>
      <c r="D883" s="2">
        <f>IFERROR(__xludf.DUMMYFUNCTION("""COMPUTED_VALUE"""),28.04)</f>
        <v>28.04</v>
      </c>
      <c r="E883" s="2">
        <f>IFERROR(__xludf.DUMMYFUNCTION("""COMPUTED_VALUE"""),28.51)</f>
        <v>28.51</v>
      </c>
      <c r="F883" s="2">
        <f>IFERROR(__xludf.DUMMYFUNCTION("""COMPUTED_VALUE"""),363993.0)</f>
        <v>363993</v>
      </c>
    </row>
    <row r="884">
      <c r="A884" s="3">
        <f>IFERROR(__xludf.DUMMYFUNCTION("""COMPUTED_VALUE"""),37817.645833333336)</f>
        <v>37817.64583</v>
      </c>
      <c r="B884" s="2">
        <f>IFERROR(__xludf.DUMMYFUNCTION("""COMPUTED_VALUE"""),29.4)</f>
        <v>29.4</v>
      </c>
      <c r="C884" s="2">
        <f>IFERROR(__xludf.DUMMYFUNCTION("""COMPUTED_VALUE"""),29.87)</f>
        <v>29.87</v>
      </c>
      <c r="D884" s="2">
        <f>IFERROR(__xludf.DUMMYFUNCTION("""COMPUTED_VALUE"""),27.4)</f>
        <v>27.4</v>
      </c>
      <c r="E884" s="2">
        <f>IFERROR(__xludf.DUMMYFUNCTION("""COMPUTED_VALUE"""),27.69)</f>
        <v>27.69</v>
      </c>
      <c r="F884" s="2">
        <f>IFERROR(__xludf.DUMMYFUNCTION("""COMPUTED_VALUE"""),193934.0)</f>
        <v>193934</v>
      </c>
    </row>
    <row r="885">
      <c r="A885" s="3">
        <f>IFERROR(__xludf.DUMMYFUNCTION("""COMPUTED_VALUE"""),37818.645833333336)</f>
        <v>37818.64583</v>
      </c>
      <c r="B885" s="2">
        <f>IFERROR(__xludf.DUMMYFUNCTION("""COMPUTED_VALUE"""),27.91)</f>
        <v>27.91</v>
      </c>
      <c r="C885" s="2">
        <f>IFERROR(__xludf.DUMMYFUNCTION("""COMPUTED_VALUE"""),28.5)</f>
        <v>28.5</v>
      </c>
      <c r="D885" s="2">
        <f>IFERROR(__xludf.DUMMYFUNCTION("""COMPUTED_VALUE"""),27.61)</f>
        <v>27.61</v>
      </c>
      <c r="E885" s="2">
        <f>IFERROR(__xludf.DUMMYFUNCTION("""COMPUTED_VALUE"""),28.32)</f>
        <v>28.32</v>
      </c>
      <c r="F885" s="2">
        <f>IFERROR(__xludf.DUMMYFUNCTION("""COMPUTED_VALUE"""),377155.0)</f>
        <v>377155</v>
      </c>
    </row>
    <row r="886">
      <c r="A886" s="3">
        <f>IFERROR(__xludf.DUMMYFUNCTION("""COMPUTED_VALUE"""),37819.645833333336)</f>
        <v>37819.64583</v>
      </c>
      <c r="B886" s="2">
        <f>IFERROR(__xludf.DUMMYFUNCTION("""COMPUTED_VALUE"""),28.25)</f>
        <v>28.25</v>
      </c>
      <c r="C886" s="2">
        <f>IFERROR(__xludf.DUMMYFUNCTION("""COMPUTED_VALUE"""),28.25)</f>
        <v>28.25</v>
      </c>
      <c r="D886" s="2">
        <f>IFERROR(__xludf.DUMMYFUNCTION("""COMPUTED_VALUE"""),27.03)</f>
        <v>27.03</v>
      </c>
      <c r="E886" s="2">
        <f>IFERROR(__xludf.DUMMYFUNCTION("""COMPUTED_VALUE"""),27.28)</f>
        <v>27.28</v>
      </c>
      <c r="F886" s="2">
        <f>IFERROR(__xludf.DUMMYFUNCTION("""COMPUTED_VALUE"""),119780.0)</f>
        <v>119780</v>
      </c>
    </row>
    <row r="887">
      <c r="A887" s="3">
        <f>IFERROR(__xludf.DUMMYFUNCTION("""COMPUTED_VALUE"""),37820.645833333336)</f>
        <v>37820.64583</v>
      </c>
      <c r="B887" s="2">
        <f>IFERROR(__xludf.DUMMYFUNCTION("""COMPUTED_VALUE"""),27.1)</f>
        <v>27.1</v>
      </c>
      <c r="C887" s="2">
        <f>IFERROR(__xludf.DUMMYFUNCTION("""COMPUTED_VALUE"""),27.8)</f>
        <v>27.8</v>
      </c>
      <c r="D887" s="2">
        <f>IFERROR(__xludf.DUMMYFUNCTION("""COMPUTED_VALUE"""),26.51)</f>
        <v>26.51</v>
      </c>
      <c r="E887" s="2">
        <f>IFERROR(__xludf.DUMMYFUNCTION("""COMPUTED_VALUE"""),27.66)</f>
        <v>27.66</v>
      </c>
      <c r="F887" s="2">
        <f>IFERROR(__xludf.DUMMYFUNCTION("""COMPUTED_VALUE"""),107796.0)</f>
        <v>107796</v>
      </c>
    </row>
    <row r="888">
      <c r="A888" s="3">
        <f>IFERROR(__xludf.DUMMYFUNCTION("""COMPUTED_VALUE"""),37823.645833333336)</f>
        <v>37823.64583</v>
      </c>
      <c r="B888" s="2">
        <f>IFERROR(__xludf.DUMMYFUNCTION("""COMPUTED_VALUE"""),27.8)</f>
        <v>27.8</v>
      </c>
      <c r="C888" s="2">
        <f>IFERROR(__xludf.DUMMYFUNCTION("""COMPUTED_VALUE"""),28.0)</f>
        <v>28</v>
      </c>
      <c r="D888" s="2">
        <f>IFERROR(__xludf.DUMMYFUNCTION("""COMPUTED_VALUE"""),27.32)</f>
        <v>27.32</v>
      </c>
      <c r="E888" s="2">
        <f>IFERROR(__xludf.DUMMYFUNCTION("""COMPUTED_VALUE"""),27.7)</f>
        <v>27.7</v>
      </c>
      <c r="F888" s="2">
        <f>IFERROR(__xludf.DUMMYFUNCTION("""COMPUTED_VALUE"""),124196.0)</f>
        <v>124196</v>
      </c>
    </row>
    <row r="889">
      <c r="A889" s="3">
        <f>IFERROR(__xludf.DUMMYFUNCTION("""COMPUTED_VALUE"""),37824.645833333336)</f>
        <v>37824.64583</v>
      </c>
      <c r="B889" s="2">
        <f>IFERROR(__xludf.DUMMYFUNCTION("""COMPUTED_VALUE"""),27.52)</f>
        <v>27.52</v>
      </c>
      <c r="C889" s="2">
        <f>IFERROR(__xludf.DUMMYFUNCTION("""COMPUTED_VALUE"""),28.0)</f>
        <v>28</v>
      </c>
      <c r="D889" s="2">
        <f>IFERROR(__xludf.DUMMYFUNCTION("""COMPUTED_VALUE"""),26.83)</f>
        <v>26.83</v>
      </c>
      <c r="E889" s="2">
        <f>IFERROR(__xludf.DUMMYFUNCTION("""COMPUTED_VALUE"""),26.98)</f>
        <v>26.98</v>
      </c>
      <c r="F889" s="2">
        <f>IFERROR(__xludf.DUMMYFUNCTION("""COMPUTED_VALUE"""),83495.0)</f>
        <v>83495</v>
      </c>
    </row>
    <row r="890">
      <c r="A890" s="3">
        <f>IFERROR(__xludf.DUMMYFUNCTION("""COMPUTED_VALUE"""),37825.645833333336)</f>
        <v>37825.64583</v>
      </c>
      <c r="B890" s="2">
        <f>IFERROR(__xludf.DUMMYFUNCTION("""COMPUTED_VALUE"""),27.7)</f>
        <v>27.7</v>
      </c>
      <c r="C890" s="2">
        <f>IFERROR(__xludf.DUMMYFUNCTION("""COMPUTED_VALUE"""),27.7)</f>
        <v>27.7</v>
      </c>
      <c r="D890" s="2">
        <f>IFERROR(__xludf.DUMMYFUNCTION("""COMPUTED_VALUE"""),25.26)</f>
        <v>25.26</v>
      </c>
      <c r="E890" s="2">
        <f>IFERROR(__xludf.DUMMYFUNCTION("""COMPUTED_VALUE"""),25.59)</f>
        <v>25.59</v>
      </c>
      <c r="F890" s="2">
        <f>IFERROR(__xludf.DUMMYFUNCTION("""COMPUTED_VALUE"""),426440.0)</f>
        <v>426440</v>
      </c>
    </row>
    <row r="891">
      <c r="A891" s="3">
        <f>IFERROR(__xludf.DUMMYFUNCTION("""COMPUTED_VALUE"""),37826.645833333336)</f>
        <v>37826.64583</v>
      </c>
      <c r="B891" s="2">
        <f>IFERROR(__xludf.DUMMYFUNCTION("""COMPUTED_VALUE"""),25.89)</f>
        <v>25.89</v>
      </c>
      <c r="C891" s="2">
        <f>IFERROR(__xludf.DUMMYFUNCTION("""COMPUTED_VALUE"""),26.08)</f>
        <v>26.08</v>
      </c>
      <c r="D891" s="2">
        <f>IFERROR(__xludf.DUMMYFUNCTION("""COMPUTED_VALUE"""),25.65)</f>
        <v>25.65</v>
      </c>
      <c r="E891" s="2">
        <f>IFERROR(__xludf.DUMMYFUNCTION("""COMPUTED_VALUE"""),25.85)</f>
        <v>25.85</v>
      </c>
      <c r="F891" s="2">
        <f>IFERROR(__xludf.DUMMYFUNCTION("""COMPUTED_VALUE"""),305012.0)</f>
        <v>305012</v>
      </c>
    </row>
    <row r="892">
      <c r="A892" s="3">
        <f>IFERROR(__xludf.DUMMYFUNCTION("""COMPUTED_VALUE"""),37827.645833333336)</f>
        <v>37827.64583</v>
      </c>
      <c r="B892" s="2">
        <f>IFERROR(__xludf.DUMMYFUNCTION("""COMPUTED_VALUE"""),26.0)</f>
        <v>26</v>
      </c>
      <c r="C892" s="2">
        <f>IFERROR(__xludf.DUMMYFUNCTION("""COMPUTED_VALUE"""),26.88)</f>
        <v>26.88</v>
      </c>
      <c r="D892" s="2">
        <f>IFERROR(__xludf.DUMMYFUNCTION("""COMPUTED_VALUE"""),25.9)</f>
        <v>25.9</v>
      </c>
      <c r="E892" s="2">
        <f>IFERROR(__xludf.DUMMYFUNCTION("""COMPUTED_VALUE"""),26.49)</f>
        <v>26.49</v>
      </c>
      <c r="F892" s="2">
        <f>IFERROR(__xludf.DUMMYFUNCTION("""COMPUTED_VALUE"""),252472.0)</f>
        <v>252472</v>
      </c>
    </row>
    <row r="893">
      <c r="A893" s="3">
        <f>IFERROR(__xludf.DUMMYFUNCTION("""COMPUTED_VALUE"""),37830.645833333336)</f>
        <v>37830.64583</v>
      </c>
      <c r="B893" s="2">
        <f>IFERROR(__xludf.DUMMYFUNCTION("""COMPUTED_VALUE"""),26.95)</f>
        <v>26.95</v>
      </c>
      <c r="C893" s="2">
        <f>IFERROR(__xludf.DUMMYFUNCTION("""COMPUTED_VALUE"""),27.0)</f>
        <v>27</v>
      </c>
      <c r="D893" s="2">
        <f>IFERROR(__xludf.DUMMYFUNCTION("""COMPUTED_VALUE"""),26.3)</f>
        <v>26.3</v>
      </c>
      <c r="E893" s="2">
        <f>IFERROR(__xludf.DUMMYFUNCTION("""COMPUTED_VALUE"""),26.63)</f>
        <v>26.63</v>
      </c>
      <c r="F893" s="2">
        <f>IFERROR(__xludf.DUMMYFUNCTION("""COMPUTED_VALUE"""),90865.0)</f>
        <v>90865</v>
      </c>
    </row>
    <row r="894">
      <c r="A894" s="3">
        <f>IFERROR(__xludf.DUMMYFUNCTION("""COMPUTED_VALUE"""),37831.645833333336)</f>
        <v>37831.64583</v>
      </c>
      <c r="B894" s="2">
        <f>IFERROR(__xludf.DUMMYFUNCTION("""COMPUTED_VALUE"""),26.79)</f>
        <v>26.79</v>
      </c>
      <c r="C894" s="2">
        <f>IFERROR(__xludf.DUMMYFUNCTION("""COMPUTED_VALUE"""),26.97)</f>
        <v>26.97</v>
      </c>
      <c r="D894" s="2">
        <f>IFERROR(__xludf.DUMMYFUNCTION("""COMPUTED_VALUE"""),26.01)</f>
        <v>26.01</v>
      </c>
      <c r="E894" s="2">
        <f>IFERROR(__xludf.DUMMYFUNCTION("""COMPUTED_VALUE"""),26.56)</f>
        <v>26.56</v>
      </c>
      <c r="F894" s="2">
        <f>IFERROR(__xludf.DUMMYFUNCTION("""COMPUTED_VALUE"""),111947.0)</f>
        <v>111947</v>
      </c>
    </row>
    <row r="895">
      <c r="A895" s="3">
        <f>IFERROR(__xludf.DUMMYFUNCTION("""COMPUTED_VALUE"""),37832.645833333336)</f>
        <v>37832.64583</v>
      </c>
      <c r="B895" s="2">
        <f>IFERROR(__xludf.DUMMYFUNCTION("""COMPUTED_VALUE"""),26.7)</f>
        <v>26.7</v>
      </c>
      <c r="C895" s="2">
        <f>IFERROR(__xludf.DUMMYFUNCTION("""COMPUTED_VALUE"""),27.38)</f>
        <v>27.38</v>
      </c>
      <c r="D895" s="2">
        <f>IFERROR(__xludf.DUMMYFUNCTION("""COMPUTED_VALUE"""),26.6)</f>
        <v>26.6</v>
      </c>
      <c r="E895" s="2">
        <f>IFERROR(__xludf.DUMMYFUNCTION("""COMPUTED_VALUE"""),27.13)</f>
        <v>27.13</v>
      </c>
      <c r="F895" s="2">
        <f>IFERROR(__xludf.DUMMYFUNCTION("""COMPUTED_VALUE"""),178857.0)</f>
        <v>178857</v>
      </c>
    </row>
    <row r="896">
      <c r="A896" s="3">
        <f>IFERROR(__xludf.DUMMYFUNCTION("""COMPUTED_VALUE"""),37833.645833333336)</f>
        <v>37833.64583</v>
      </c>
      <c r="B896" s="2">
        <f>IFERROR(__xludf.DUMMYFUNCTION("""COMPUTED_VALUE"""),27.2)</f>
        <v>27.2</v>
      </c>
      <c r="C896" s="2">
        <f>IFERROR(__xludf.DUMMYFUNCTION("""COMPUTED_VALUE"""),27.21)</f>
        <v>27.21</v>
      </c>
      <c r="D896" s="2">
        <f>IFERROR(__xludf.DUMMYFUNCTION("""COMPUTED_VALUE"""),26.3)</f>
        <v>26.3</v>
      </c>
      <c r="E896" s="2">
        <f>IFERROR(__xludf.DUMMYFUNCTION("""COMPUTED_VALUE"""),26.54)</f>
        <v>26.54</v>
      </c>
      <c r="F896" s="2">
        <f>IFERROR(__xludf.DUMMYFUNCTION("""COMPUTED_VALUE"""),227137.0)</f>
        <v>227137</v>
      </c>
    </row>
    <row r="897">
      <c r="A897" s="3">
        <f>IFERROR(__xludf.DUMMYFUNCTION("""COMPUTED_VALUE"""),37834.645833333336)</f>
        <v>37834.64583</v>
      </c>
      <c r="B897" s="2">
        <f>IFERROR(__xludf.DUMMYFUNCTION("""COMPUTED_VALUE"""),26.65)</f>
        <v>26.65</v>
      </c>
      <c r="C897" s="2">
        <f>IFERROR(__xludf.DUMMYFUNCTION("""COMPUTED_VALUE"""),26.83)</f>
        <v>26.83</v>
      </c>
      <c r="D897" s="2">
        <f>IFERROR(__xludf.DUMMYFUNCTION("""COMPUTED_VALUE"""),26.32)</f>
        <v>26.32</v>
      </c>
      <c r="E897" s="2">
        <f>IFERROR(__xludf.DUMMYFUNCTION("""COMPUTED_VALUE"""),26.64)</f>
        <v>26.64</v>
      </c>
      <c r="F897" s="2">
        <f>IFERROR(__xludf.DUMMYFUNCTION("""COMPUTED_VALUE"""),51130.0)</f>
        <v>51130</v>
      </c>
    </row>
    <row r="898">
      <c r="A898" s="3">
        <f>IFERROR(__xludf.DUMMYFUNCTION("""COMPUTED_VALUE"""),37837.645833333336)</f>
        <v>37837.64583</v>
      </c>
      <c r="B898" s="2">
        <f>IFERROR(__xludf.DUMMYFUNCTION("""COMPUTED_VALUE"""),26.61)</f>
        <v>26.61</v>
      </c>
      <c r="C898" s="2">
        <f>IFERROR(__xludf.DUMMYFUNCTION("""COMPUTED_VALUE"""),27.1)</f>
        <v>27.1</v>
      </c>
      <c r="D898" s="2">
        <f>IFERROR(__xludf.DUMMYFUNCTION("""COMPUTED_VALUE"""),26.61)</f>
        <v>26.61</v>
      </c>
      <c r="E898" s="2">
        <f>IFERROR(__xludf.DUMMYFUNCTION("""COMPUTED_VALUE"""),26.91)</f>
        <v>26.91</v>
      </c>
      <c r="F898" s="2">
        <f>IFERROR(__xludf.DUMMYFUNCTION("""COMPUTED_VALUE"""),100997.0)</f>
        <v>100997</v>
      </c>
    </row>
    <row r="899">
      <c r="A899" s="3">
        <f>IFERROR(__xludf.DUMMYFUNCTION("""COMPUTED_VALUE"""),37838.645833333336)</f>
        <v>37838.64583</v>
      </c>
      <c r="B899" s="2">
        <f>IFERROR(__xludf.DUMMYFUNCTION("""COMPUTED_VALUE"""),27.14)</f>
        <v>27.14</v>
      </c>
      <c r="C899" s="2">
        <f>IFERROR(__xludf.DUMMYFUNCTION("""COMPUTED_VALUE"""),28.2)</f>
        <v>28.2</v>
      </c>
      <c r="D899" s="2">
        <f>IFERROR(__xludf.DUMMYFUNCTION("""COMPUTED_VALUE"""),26.8)</f>
        <v>26.8</v>
      </c>
      <c r="E899" s="2">
        <f>IFERROR(__xludf.DUMMYFUNCTION("""COMPUTED_VALUE"""),27.97)</f>
        <v>27.97</v>
      </c>
      <c r="F899" s="2">
        <f>IFERROR(__xludf.DUMMYFUNCTION("""COMPUTED_VALUE"""),441570.0)</f>
        <v>441570</v>
      </c>
    </row>
    <row r="900">
      <c r="A900" s="3">
        <f>IFERROR(__xludf.DUMMYFUNCTION("""COMPUTED_VALUE"""),37839.645833333336)</f>
        <v>37839.64583</v>
      </c>
      <c r="B900" s="2">
        <f>IFERROR(__xludf.DUMMYFUNCTION("""COMPUTED_VALUE"""),27.95)</f>
        <v>27.95</v>
      </c>
      <c r="C900" s="2">
        <f>IFERROR(__xludf.DUMMYFUNCTION("""COMPUTED_VALUE"""),28.0)</f>
        <v>28</v>
      </c>
      <c r="D900" s="2">
        <f>IFERROR(__xludf.DUMMYFUNCTION("""COMPUTED_VALUE"""),27.23)</f>
        <v>27.23</v>
      </c>
      <c r="E900" s="2">
        <f>IFERROR(__xludf.DUMMYFUNCTION("""COMPUTED_VALUE"""),27.66)</f>
        <v>27.66</v>
      </c>
      <c r="F900" s="2">
        <f>IFERROR(__xludf.DUMMYFUNCTION("""COMPUTED_VALUE"""),157921.0)</f>
        <v>157921</v>
      </c>
    </row>
    <row r="901">
      <c r="A901" s="3">
        <f>IFERROR(__xludf.DUMMYFUNCTION("""COMPUTED_VALUE"""),37840.645833333336)</f>
        <v>37840.64583</v>
      </c>
      <c r="B901" s="2">
        <f>IFERROR(__xludf.DUMMYFUNCTION("""COMPUTED_VALUE"""),27.58)</f>
        <v>27.58</v>
      </c>
      <c r="C901" s="2">
        <f>IFERROR(__xludf.DUMMYFUNCTION("""COMPUTED_VALUE"""),27.6)</f>
        <v>27.6</v>
      </c>
      <c r="D901" s="2">
        <f>IFERROR(__xludf.DUMMYFUNCTION("""COMPUTED_VALUE"""),27.07)</f>
        <v>27.07</v>
      </c>
      <c r="E901" s="2">
        <f>IFERROR(__xludf.DUMMYFUNCTION("""COMPUTED_VALUE"""),27.21)</f>
        <v>27.21</v>
      </c>
      <c r="F901" s="2">
        <f>IFERROR(__xludf.DUMMYFUNCTION("""COMPUTED_VALUE"""),73170.0)</f>
        <v>73170</v>
      </c>
    </row>
    <row r="902">
      <c r="A902" s="3">
        <f>IFERROR(__xludf.DUMMYFUNCTION("""COMPUTED_VALUE"""),37841.645833333336)</f>
        <v>37841.64583</v>
      </c>
      <c r="B902" s="2">
        <f>IFERROR(__xludf.DUMMYFUNCTION("""COMPUTED_VALUE"""),27.2)</f>
        <v>27.2</v>
      </c>
      <c r="C902" s="2">
        <f>IFERROR(__xludf.DUMMYFUNCTION("""COMPUTED_VALUE"""),27.98)</f>
        <v>27.98</v>
      </c>
      <c r="D902" s="2">
        <f>IFERROR(__xludf.DUMMYFUNCTION("""COMPUTED_VALUE"""),26.7)</f>
        <v>26.7</v>
      </c>
      <c r="E902" s="2">
        <f>IFERROR(__xludf.DUMMYFUNCTION("""COMPUTED_VALUE"""),27.53)</f>
        <v>27.53</v>
      </c>
      <c r="F902" s="2">
        <f>IFERROR(__xludf.DUMMYFUNCTION("""COMPUTED_VALUE"""),204525.0)</f>
        <v>204525</v>
      </c>
    </row>
    <row r="903">
      <c r="A903" s="3">
        <f>IFERROR(__xludf.DUMMYFUNCTION("""COMPUTED_VALUE"""),37844.645833333336)</f>
        <v>37844.64583</v>
      </c>
      <c r="B903" s="2">
        <f>IFERROR(__xludf.DUMMYFUNCTION("""COMPUTED_VALUE"""),27.21)</f>
        <v>27.21</v>
      </c>
      <c r="C903" s="2">
        <f>IFERROR(__xludf.DUMMYFUNCTION("""COMPUTED_VALUE"""),27.7)</f>
        <v>27.7</v>
      </c>
      <c r="D903" s="2">
        <f>IFERROR(__xludf.DUMMYFUNCTION("""COMPUTED_VALUE"""),27.21)</f>
        <v>27.21</v>
      </c>
      <c r="E903" s="2">
        <f>IFERROR(__xludf.DUMMYFUNCTION("""COMPUTED_VALUE"""),27.48)</f>
        <v>27.48</v>
      </c>
      <c r="F903" s="2">
        <f>IFERROR(__xludf.DUMMYFUNCTION("""COMPUTED_VALUE"""),94742.0)</f>
        <v>94742</v>
      </c>
    </row>
    <row r="904">
      <c r="A904" s="3">
        <f>IFERROR(__xludf.DUMMYFUNCTION("""COMPUTED_VALUE"""),37845.645833333336)</f>
        <v>37845.64583</v>
      </c>
      <c r="B904" s="2">
        <f>IFERROR(__xludf.DUMMYFUNCTION("""COMPUTED_VALUE"""),27.8)</f>
        <v>27.8</v>
      </c>
      <c r="C904" s="2">
        <f>IFERROR(__xludf.DUMMYFUNCTION("""COMPUTED_VALUE"""),27.8)</f>
        <v>27.8</v>
      </c>
      <c r="D904" s="2">
        <f>IFERROR(__xludf.DUMMYFUNCTION("""COMPUTED_VALUE"""),27.2)</f>
        <v>27.2</v>
      </c>
      <c r="E904" s="2">
        <f>IFERROR(__xludf.DUMMYFUNCTION("""COMPUTED_VALUE"""),27.34)</f>
        <v>27.34</v>
      </c>
      <c r="F904" s="2">
        <f>IFERROR(__xludf.DUMMYFUNCTION("""COMPUTED_VALUE"""),86250.0)</f>
        <v>86250</v>
      </c>
    </row>
    <row r="905">
      <c r="A905" s="3">
        <f>IFERROR(__xludf.DUMMYFUNCTION("""COMPUTED_VALUE"""),37846.645833333336)</f>
        <v>37846.64583</v>
      </c>
      <c r="B905" s="2">
        <f>IFERROR(__xludf.DUMMYFUNCTION("""COMPUTED_VALUE"""),27.21)</f>
        <v>27.21</v>
      </c>
      <c r="C905" s="2">
        <f>IFERROR(__xludf.DUMMYFUNCTION("""COMPUTED_VALUE"""),27.5)</f>
        <v>27.5</v>
      </c>
      <c r="D905" s="2">
        <f>IFERROR(__xludf.DUMMYFUNCTION("""COMPUTED_VALUE"""),23.51)</f>
        <v>23.51</v>
      </c>
      <c r="E905" s="2">
        <f>IFERROR(__xludf.DUMMYFUNCTION("""COMPUTED_VALUE"""),27.25)</f>
        <v>27.25</v>
      </c>
      <c r="F905" s="2">
        <f>IFERROR(__xludf.DUMMYFUNCTION("""COMPUTED_VALUE"""),263763.0)</f>
        <v>263763</v>
      </c>
    </row>
    <row r="906">
      <c r="A906" s="3">
        <f>IFERROR(__xludf.DUMMYFUNCTION("""COMPUTED_VALUE"""),37847.645833333336)</f>
        <v>37847.64583</v>
      </c>
      <c r="B906" s="2">
        <f>IFERROR(__xludf.DUMMYFUNCTION("""COMPUTED_VALUE"""),27.47)</f>
        <v>27.47</v>
      </c>
      <c r="C906" s="2">
        <f>IFERROR(__xludf.DUMMYFUNCTION("""COMPUTED_VALUE"""),27.58)</f>
        <v>27.58</v>
      </c>
      <c r="D906" s="2">
        <f>IFERROR(__xludf.DUMMYFUNCTION("""COMPUTED_VALUE"""),26.5)</f>
        <v>26.5</v>
      </c>
      <c r="E906" s="2">
        <f>IFERROR(__xludf.DUMMYFUNCTION("""COMPUTED_VALUE"""),26.73)</f>
        <v>26.73</v>
      </c>
      <c r="F906" s="2">
        <f>IFERROR(__xludf.DUMMYFUNCTION("""COMPUTED_VALUE"""),193673.0)</f>
        <v>193673</v>
      </c>
    </row>
    <row r="907">
      <c r="A907" s="3">
        <f>IFERROR(__xludf.DUMMYFUNCTION("""COMPUTED_VALUE"""),37851.645833333336)</f>
        <v>37851.64583</v>
      </c>
      <c r="B907" s="2">
        <f>IFERROR(__xludf.DUMMYFUNCTION("""COMPUTED_VALUE"""),26.75)</f>
        <v>26.75</v>
      </c>
      <c r="C907" s="2">
        <f>IFERROR(__xludf.DUMMYFUNCTION("""COMPUTED_VALUE"""),28.0)</f>
        <v>28</v>
      </c>
      <c r="D907" s="2">
        <f>IFERROR(__xludf.DUMMYFUNCTION("""COMPUTED_VALUE"""),26.63)</f>
        <v>26.63</v>
      </c>
      <c r="E907" s="2">
        <f>IFERROR(__xludf.DUMMYFUNCTION("""COMPUTED_VALUE"""),27.79)</f>
        <v>27.79</v>
      </c>
      <c r="F907" s="2">
        <f>IFERROR(__xludf.DUMMYFUNCTION("""COMPUTED_VALUE"""),253052.0)</f>
        <v>253052</v>
      </c>
    </row>
    <row r="908">
      <c r="A908" s="3">
        <f>IFERROR(__xludf.DUMMYFUNCTION("""COMPUTED_VALUE"""),37852.645833333336)</f>
        <v>37852.64583</v>
      </c>
      <c r="B908" s="2">
        <f>IFERROR(__xludf.DUMMYFUNCTION("""COMPUTED_VALUE"""),27.93)</f>
        <v>27.93</v>
      </c>
      <c r="C908" s="2">
        <f>IFERROR(__xludf.DUMMYFUNCTION("""COMPUTED_VALUE"""),28.2)</f>
        <v>28.2</v>
      </c>
      <c r="D908" s="2">
        <f>IFERROR(__xludf.DUMMYFUNCTION("""COMPUTED_VALUE"""),27.8)</f>
        <v>27.8</v>
      </c>
      <c r="E908" s="2">
        <f>IFERROR(__xludf.DUMMYFUNCTION("""COMPUTED_VALUE"""),28.13)</f>
        <v>28.13</v>
      </c>
      <c r="F908" s="2">
        <f>IFERROR(__xludf.DUMMYFUNCTION("""COMPUTED_VALUE"""),226708.0)</f>
        <v>226708</v>
      </c>
    </row>
    <row r="909">
      <c r="A909" s="3">
        <f>IFERROR(__xludf.DUMMYFUNCTION("""COMPUTED_VALUE"""),37853.645833333336)</f>
        <v>37853.64583</v>
      </c>
      <c r="B909" s="2">
        <f>IFERROR(__xludf.DUMMYFUNCTION("""COMPUTED_VALUE"""),28.2)</f>
        <v>28.2</v>
      </c>
      <c r="C909" s="2">
        <f>IFERROR(__xludf.DUMMYFUNCTION("""COMPUTED_VALUE"""),28.9)</f>
        <v>28.9</v>
      </c>
      <c r="D909" s="2">
        <f>IFERROR(__xludf.DUMMYFUNCTION("""COMPUTED_VALUE"""),28.1)</f>
        <v>28.1</v>
      </c>
      <c r="E909" s="2">
        <f>IFERROR(__xludf.DUMMYFUNCTION("""COMPUTED_VALUE"""),28.47)</f>
        <v>28.47</v>
      </c>
      <c r="F909" s="2">
        <f>IFERROR(__xludf.DUMMYFUNCTION("""COMPUTED_VALUE"""),277947.0)</f>
        <v>277947</v>
      </c>
    </row>
    <row r="910">
      <c r="A910" s="3">
        <f>IFERROR(__xludf.DUMMYFUNCTION("""COMPUTED_VALUE"""),37854.645833333336)</f>
        <v>37854.64583</v>
      </c>
      <c r="B910" s="2">
        <f>IFERROR(__xludf.DUMMYFUNCTION("""COMPUTED_VALUE"""),28.4)</f>
        <v>28.4</v>
      </c>
      <c r="C910" s="2">
        <f>IFERROR(__xludf.DUMMYFUNCTION("""COMPUTED_VALUE"""),29.0)</f>
        <v>29</v>
      </c>
      <c r="D910" s="2">
        <f>IFERROR(__xludf.DUMMYFUNCTION("""COMPUTED_VALUE"""),28.1)</f>
        <v>28.1</v>
      </c>
      <c r="E910" s="2">
        <f>IFERROR(__xludf.DUMMYFUNCTION("""COMPUTED_VALUE"""),28.79)</f>
        <v>28.79</v>
      </c>
      <c r="F910" s="2">
        <f>IFERROR(__xludf.DUMMYFUNCTION("""COMPUTED_VALUE"""),177914.0)</f>
        <v>177914</v>
      </c>
    </row>
    <row r="911">
      <c r="A911" s="3">
        <f>IFERROR(__xludf.DUMMYFUNCTION("""COMPUTED_VALUE"""),37855.645833333336)</f>
        <v>37855.64583</v>
      </c>
      <c r="B911" s="2">
        <f>IFERROR(__xludf.DUMMYFUNCTION("""COMPUTED_VALUE"""),28.61)</f>
        <v>28.61</v>
      </c>
      <c r="C911" s="2">
        <f>IFERROR(__xludf.DUMMYFUNCTION("""COMPUTED_VALUE"""),29.16)</f>
        <v>29.16</v>
      </c>
      <c r="D911" s="2">
        <f>IFERROR(__xludf.DUMMYFUNCTION("""COMPUTED_VALUE"""),28.51)</f>
        <v>28.51</v>
      </c>
      <c r="E911" s="2">
        <f>IFERROR(__xludf.DUMMYFUNCTION("""COMPUTED_VALUE"""),28.9)</f>
        <v>28.9</v>
      </c>
      <c r="F911" s="2">
        <f>IFERROR(__xludf.DUMMYFUNCTION("""COMPUTED_VALUE"""),152501.0)</f>
        <v>152501</v>
      </c>
    </row>
    <row r="912">
      <c r="A912" s="3">
        <f>IFERROR(__xludf.DUMMYFUNCTION("""COMPUTED_VALUE"""),37858.645833333336)</f>
        <v>37858.64583</v>
      </c>
      <c r="B912" s="2">
        <f>IFERROR(__xludf.DUMMYFUNCTION("""COMPUTED_VALUE"""),28.87)</f>
        <v>28.87</v>
      </c>
      <c r="C912" s="2">
        <f>IFERROR(__xludf.DUMMYFUNCTION("""COMPUTED_VALUE"""),28.87)</f>
        <v>28.87</v>
      </c>
      <c r="D912" s="2">
        <f>IFERROR(__xludf.DUMMYFUNCTION("""COMPUTED_VALUE"""),26.4)</f>
        <v>26.4</v>
      </c>
      <c r="E912" s="2">
        <f>IFERROR(__xludf.DUMMYFUNCTION("""COMPUTED_VALUE"""),28.1)</f>
        <v>28.1</v>
      </c>
      <c r="F912" s="2">
        <f>IFERROR(__xludf.DUMMYFUNCTION("""COMPUTED_VALUE"""),261905.0)</f>
        <v>261905</v>
      </c>
    </row>
    <row r="913">
      <c r="A913" s="3">
        <f>IFERROR(__xludf.DUMMYFUNCTION("""COMPUTED_VALUE"""),37859.645833333336)</f>
        <v>37859.64583</v>
      </c>
      <c r="B913" s="2">
        <f>IFERROR(__xludf.DUMMYFUNCTION("""COMPUTED_VALUE"""),28.3)</f>
        <v>28.3</v>
      </c>
      <c r="C913" s="2">
        <f>IFERROR(__xludf.DUMMYFUNCTION("""COMPUTED_VALUE"""),28.3)</f>
        <v>28.3</v>
      </c>
      <c r="D913" s="2">
        <f>IFERROR(__xludf.DUMMYFUNCTION("""COMPUTED_VALUE"""),27.83)</f>
        <v>27.83</v>
      </c>
      <c r="E913" s="2">
        <f>IFERROR(__xludf.DUMMYFUNCTION("""COMPUTED_VALUE"""),27.92)</f>
        <v>27.92</v>
      </c>
      <c r="F913" s="2">
        <f>IFERROR(__xludf.DUMMYFUNCTION("""COMPUTED_VALUE"""),116402.0)</f>
        <v>116402</v>
      </c>
    </row>
    <row r="914">
      <c r="A914" s="3">
        <f>IFERROR(__xludf.DUMMYFUNCTION("""COMPUTED_VALUE"""),37860.645833333336)</f>
        <v>37860.64583</v>
      </c>
      <c r="B914" s="2">
        <f>IFERROR(__xludf.DUMMYFUNCTION("""COMPUTED_VALUE"""),28.3)</f>
        <v>28.3</v>
      </c>
      <c r="C914" s="2">
        <f>IFERROR(__xludf.DUMMYFUNCTION("""COMPUTED_VALUE"""),28.9)</f>
        <v>28.9</v>
      </c>
      <c r="D914" s="2">
        <f>IFERROR(__xludf.DUMMYFUNCTION("""COMPUTED_VALUE"""),28.0)</f>
        <v>28</v>
      </c>
      <c r="E914" s="2">
        <f>IFERROR(__xludf.DUMMYFUNCTION("""COMPUTED_VALUE"""),28.33)</f>
        <v>28.33</v>
      </c>
      <c r="F914" s="2">
        <f>IFERROR(__xludf.DUMMYFUNCTION("""COMPUTED_VALUE"""),235968.0)</f>
        <v>235968</v>
      </c>
    </row>
    <row r="915">
      <c r="A915" s="3">
        <f>IFERROR(__xludf.DUMMYFUNCTION("""COMPUTED_VALUE"""),37861.645833333336)</f>
        <v>37861.64583</v>
      </c>
      <c r="B915" s="2">
        <f>IFERROR(__xludf.DUMMYFUNCTION("""COMPUTED_VALUE"""),28.6)</f>
        <v>28.6</v>
      </c>
      <c r="C915" s="2">
        <f>IFERROR(__xludf.DUMMYFUNCTION("""COMPUTED_VALUE"""),28.6)</f>
        <v>28.6</v>
      </c>
      <c r="D915" s="2">
        <f>IFERROR(__xludf.DUMMYFUNCTION("""COMPUTED_VALUE"""),27.8)</f>
        <v>27.8</v>
      </c>
      <c r="E915" s="2">
        <f>IFERROR(__xludf.DUMMYFUNCTION("""COMPUTED_VALUE"""),28.09)</f>
        <v>28.09</v>
      </c>
      <c r="F915" s="2">
        <f>IFERROR(__xludf.DUMMYFUNCTION("""COMPUTED_VALUE"""),379679.0)</f>
        <v>379679</v>
      </c>
    </row>
    <row r="916">
      <c r="A916" s="3">
        <f>IFERROR(__xludf.DUMMYFUNCTION("""COMPUTED_VALUE"""),37862.645833333336)</f>
        <v>37862.64583</v>
      </c>
      <c r="B916" s="2">
        <f>IFERROR(__xludf.DUMMYFUNCTION("""COMPUTED_VALUE"""),27.4)</f>
        <v>27.4</v>
      </c>
      <c r="C916" s="2">
        <f>IFERROR(__xludf.DUMMYFUNCTION("""COMPUTED_VALUE"""),28.06)</f>
        <v>28.06</v>
      </c>
      <c r="D916" s="2">
        <f>IFERROR(__xludf.DUMMYFUNCTION("""COMPUTED_VALUE"""),27.21)</f>
        <v>27.21</v>
      </c>
      <c r="E916" s="2">
        <f>IFERROR(__xludf.DUMMYFUNCTION("""COMPUTED_VALUE"""),27.57)</f>
        <v>27.57</v>
      </c>
      <c r="F916" s="2">
        <f>IFERROR(__xludf.DUMMYFUNCTION("""COMPUTED_VALUE"""),371507.0)</f>
        <v>371507</v>
      </c>
    </row>
    <row r="917">
      <c r="A917" s="3">
        <f>IFERROR(__xludf.DUMMYFUNCTION("""COMPUTED_VALUE"""),37865.645833333336)</f>
        <v>37865.64583</v>
      </c>
      <c r="B917" s="2">
        <f>IFERROR(__xludf.DUMMYFUNCTION("""COMPUTED_VALUE"""),27.5)</f>
        <v>27.5</v>
      </c>
      <c r="C917" s="2">
        <f>IFERROR(__xludf.DUMMYFUNCTION("""COMPUTED_VALUE"""),28.0)</f>
        <v>28</v>
      </c>
      <c r="D917" s="2">
        <f>IFERROR(__xludf.DUMMYFUNCTION("""COMPUTED_VALUE"""),27.5)</f>
        <v>27.5</v>
      </c>
      <c r="E917" s="2">
        <f>IFERROR(__xludf.DUMMYFUNCTION("""COMPUTED_VALUE"""),27.85)</f>
        <v>27.85</v>
      </c>
      <c r="F917" s="2">
        <f>IFERROR(__xludf.DUMMYFUNCTION("""COMPUTED_VALUE"""),131486.0)</f>
        <v>131486</v>
      </c>
    </row>
    <row r="918">
      <c r="A918" s="3">
        <f>IFERROR(__xludf.DUMMYFUNCTION("""COMPUTED_VALUE"""),37866.645833333336)</f>
        <v>37866.64583</v>
      </c>
      <c r="B918" s="2">
        <f>IFERROR(__xludf.DUMMYFUNCTION("""COMPUTED_VALUE"""),27.5)</f>
        <v>27.5</v>
      </c>
      <c r="C918" s="2">
        <f>IFERROR(__xludf.DUMMYFUNCTION("""COMPUTED_VALUE"""),28.9)</f>
        <v>28.9</v>
      </c>
      <c r="D918" s="2">
        <f>IFERROR(__xludf.DUMMYFUNCTION("""COMPUTED_VALUE"""),27.5)</f>
        <v>27.5</v>
      </c>
      <c r="E918" s="2">
        <f>IFERROR(__xludf.DUMMYFUNCTION("""COMPUTED_VALUE"""),28.2)</f>
        <v>28.2</v>
      </c>
      <c r="F918" s="2">
        <f>IFERROR(__xludf.DUMMYFUNCTION("""COMPUTED_VALUE"""),119877.0)</f>
        <v>119877</v>
      </c>
    </row>
    <row r="919">
      <c r="A919" s="3">
        <f>IFERROR(__xludf.DUMMYFUNCTION("""COMPUTED_VALUE"""),37867.645833333336)</f>
        <v>37867.64583</v>
      </c>
      <c r="B919" s="2">
        <f>IFERROR(__xludf.DUMMYFUNCTION("""COMPUTED_VALUE"""),28.0)</f>
        <v>28</v>
      </c>
      <c r="C919" s="2">
        <f>IFERROR(__xludf.DUMMYFUNCTION("""COMPUTED_VALUE"""),29.1)</f>
        <v>29.1</v>
      </c>
      <c r="D919" s="2">
        <f>IFERROR(__xludf.DUMMYFUNCTION("""COMPUTED_VALUE"""),28.0)</f>
        <v>28</v>
      </c>
      <c r="E919" s="2">
        <f>IFERROR(__xludf.DUMMYFUNCTION("""COMPUTED_VALUE"""),28.04)</f>
        <v>28.04</v>
      </c>
      <c r="F919" s="2">
        <f>IFERROR(__xludf.DUMMYFUNCTION("""COMPUTED_VALUE"""),486713.0)</f>
        <v>486713</v>
      </c>
    </row>
    <row r="920">
      <c r="A920" s="3">
        <f>IFERROR(__xludf.DUMMYFUNCTION("""COMPUTED_VALUE"""),37868.645833333336)</f>
        <v>37868.64583</v>
      </c>
      <c r="B920" s="2">
        <f>IFERROR(__xludf.DUMMYFUNCTION("""COMPUTED_VALUE"""),28.05)</f>
        <v>28.05</v>
      </c>
      <c r="C920" s="2">
        <f>IFERROR(__xludf.DUMMYFUNCTION("""COMPUTED_VALUE"""),28.34)</f>
        <v>28.34</v>
      </c>
      <c r="D920" s="2">
        <f>IFERROR(__xludf.DUMMYFUNCTION("""COMPUTED_VALUE"""),27.0)</f>
        <v>27</v>
      </c>
      <c r="E920" s="2">
        <f>IFERROR(__xludf.DUMMYFUNCTION("""COMPUTED_VALUE"""),28.04)</f>
        <v>28.04</v>
      </c>
      <c r="F920" s="2">
        <f>IFERROR(__xludf.DUMMYFUNCTION("""COMPUTED_VALUE"""),367317.0)</f>
        <v>367317</v>
      </c>
    </row>
    <row r="921">
      <c r="A921" s="3">
        <f>IFERROR(__xludf.DUMMYFUNCTION("""COMPUTED_VALUE"""),37869.645833333336)</f>
        <v>37869.64583</v>
      </c>
      <c r="B921" s="2">
        <f>IFERROR(__xludf.DUMMYFUNCTION("""COMPUTED_VALUE"""),28.0)</f>
        <v>28</v>
      </c>
      <c r="C921" s="2">
        <f>IFERROR(__xludf.DUMMYFUNCTION("""COMPUTED_VALUE"""),28.4)</f>
        <v>28.4</v>
      </c>
      <c r="D921" s="2">
        <f>IFERROR(__xludf.DUMMYFUNCTION("""COMPUTED_VALUE"""),27.83)</f>
        <v>27.83</v>
      </c>
      <c r="E921" s="2">
        <f>IFERROR(__xludf.DUMMYFUNCTION("""COMPUTED_VALUE"""),27.97)</f>
        <v>27.97</v>
      </c>
      <c r="F921" s="2">
        <f>IFERROR(__xludf.DUMMYFUNCTION("""COMPUTED_VALUE"""),341929.0)</f>
        <v>341929</v>
      </c>
    </row>
    <row r="922">
      <c r="A922" s="3">
        <f>IFERROR(__xludf.DUMMYFUNCTION("""COMPUTED_VALUE"""),37872.645833333336)</f>
        <v>37872.64583</v>
      </c>
      <c r="B922" s="2">
        <f>IFERROR(__xludf.DUMMYFUNCTION("""COMPUTED_VALUE"""),27.65)</f>
        <v>27.65</v>
      </c>
      <c r="C922" s="2">
        <f>IFERROR(__xludf.DUMMYFUNCTION("""COMPUTED_VALUE"""),28.29)</f>
        <v>28.29</v>
      </c>
      <c r="D922" s="2">
        <f>IFERROR(__xludf.DUMMYFUNCTION("""COMPUTED_VALUE"""),27.6)</f>
        <v>27.6</v>
      </c>
      <c r="E922" s="2">
        <f>IFERROR(__xludf.DUMMYFUNCTION("""COMPUTED_VALUE"""),27.84)</f>
        <v>27.84</v>
      </c>
      <c r="F922" s="2">
        <f>IFERROR(__xludf.DUMMYFUNCTION("""COMPUTED_VALUE"""),128305.0)</f>
        <v>128305</v>
      </c>
    </row>
    <row r="923">
      <c r="A923" s="3">
        <f>IFERROR(__xludf.DUMMYFUNCTION("""COMPUTED_VALUE"""),37873.645833333336)</f>
        <v>37873.64583</v>
      </c>
      <c r="B923" s="2">
        <f>IFERROR(__xludf.DUMMYFUNCTION("""COMPUTED_VALUE"""),27.7)</f>
        <v>27.7</v>
      </c>
      <c r="C923" s="2">
        <f>IFERROR(__xludf.DUMMYFUNCTION("""COMPUTED_VALUE"""),28.19)</f>
        <v>28.19</v>
      </c>
      <c r="D923" s="2">
        <f>IFERROR(__xludf.DUMMYFUNCTION("""COMPUTED_VALUE"""),27.5)</f>
        <v>27.5</v>
      </c>
      <c r="E923" s="2">
        <f>IFERROR(__xludf.DUMMYFUNCTION("""COMPUTED_VALUE"""),28.01)</f>
        <v>28.01</v>
      </c>
      <c r="F923" s="2">
        <f>IFERROR(__xludf.DUMMYFUNCTION("""COMPUTED_VALUE"""),204692.0)</f>
        <v>204692</v>
      </c>
    </row>
    <row r="924">
      <c r="A924" s="3">
        <f>IFERROR(__xludf.DUMMYFUNCTION("""COMPUTED_VALUE"""),37874.645833333336)</f>
        <v>37874.64583</v>
      </c>
      <c r="B924" s="2">
        <f>IFERROR(__xludf.DUMMYFUNCTION("""COMPUTED_VALUE"""),27.3)</f>
        <v>27.3</v>
      </c>
      <c r="C924" s="2">
        <f>IFERROR(__xludf.DUMMYFUNCTION("""COMPUTED_VALUE"""),28.09)</f>
        <v>28.09</v>
      </c>
      <c r="D924" s="2">
        <f>IFERROR(__xludf.DUMMYFUNCTION("""COMPUTED_VALUE"""),27.3)</f>
        <v>27.3</v>
      </c>
      <c r="E924" s="2">
        <f>IFERROR(__xludf.DUMMYFUNCTION("""COMPUTED_VALUE"""),27.71)</f>
        <v>27.71</v>
      </c>
      <c r="F924" s="2">
        <f>IFERROR(__xludf.DUMMYFUNCTION("""COMPUTED_VALUE"""),188614.0)</f>
        <v>188614</v>
      </c>
    </row>
    <row r="925">
      <c r="A925" s="3">
        <f>IFERROR(__xludf.DUMMYFUNCTION("""COMPUTED_VALUE"""),37875.645833333336)</f>
        <v>37875.64583</v>
      </c>
      <c r="B925" s="2">
        <f>IFERROR(__xludf.DUMMYFUNCTION("""COMPUTED_VALUE"""),27.81)</f>
        <v>27.81</v>
      </c>
      <c r="C925" s="2">
        <f>IFERROR(__xludf.DUMMYFUNCTION("""COMPUTED_VALUE"""),28.1)</f>
        <v>28.1</v>
      </c>
      <c r="D925" s="2">
        <f>IFERROR(__xludf.DUMMYFUNCTION("""COMPUTED_VALUE"""),27.66)</f>
        <v>27.66</v>
      </c>
      <c r="E925" s="2">
        <f>IFERROR(__xludf.DUMMYFUNCTION("""COMPUTED_VALUE"""),27.85)</f>
        <v>27.85</v>
      </c>
      <c r="F925" s="2">
        <f>IFERROR(__xludf.DUMMYFUNCTION("""COMPUTED_VALUE"""),179166.0)</f>
        <v>179166</v>
      </c>
    </row>
    <row r="926">
      <c r="A926" s="3">
        <f>IFERROR(__xludf.DUMMYFUNCTION("""COMPUTED_VALUE"""),37876.645833333336)</f>
        <v>37876.64583</v>
      </c>
      <c r="B926" s="2">
        <f>IFERROR(__xludf.DUMMYFUNCTION("""COMPUTED_VALUE"""),27.9)</f>
        <v>27.9</v>
      </c>
      <c r="C926" s="2">
        <f>IFERROR(__xludf.DUMMYFUNCTION("""COMPUTED_VALUE"""),28.08)</f>
        <v>28.08</v>
      </c>
      <c r="D926" s="2">
        <f>IFERROR(__xludf.DUMMYFUNCTION("""COMPUTED_VALUE"""),27.64)</f>
        <v>27.64</v>
      </c>
      <c r="E926" s="2">
        <f>IFERROR(__xludf.DUMMYFUNCTION("""COMPUTED_VALUE"""),27.94)</f>
        <v>27.94</v>
      </c>
      <c r="F926" s="2">
        <f>IFERROR(__xludf.DUMMYFUNCTION("""COMPUTED_VALUE"""),239498.0)</f>
        <v>239498</v>
      </c>
    </row>
    <row r="927">
      <c r="A927" s="3">
        <f>IFERROR(__xludf.DUMMYFUNCTION("""COMPUTED_VALUE"""),37879.645833333336)</f>
        <v>37879.64583</v>
      </c>
      <c r="B927" s="2">
        <f>IFERROR(__xludf.DUMMYFUNCTION("""COMPUTED_VALUE"""),27.88)</f>
        <v>27.88</v>
      </c>
      <c r="C927" s="2">
        <f>IFERROR(__xludf.DUMMYFUNCTION("""COMPUTED_VALUE"""),28.0)</f>
        <v>28</v>
      </c>
      <c r="D927" s="2">
        <f>IFERROR(__xludf.DUMMYFUNCTION("""COMPUTED_VALUE"""),27.4)</f>
        <v>27.4</v>
      </c>
      <c r="E927" s="2">
        <f>IFERROR(__xludf.DUMMYFUNCTION("""COMPUTED_VALUE"""),27.57)</f>
        <v>27.57</v>
      </c>
      <c r="F927" s="2">
        <f>IFERROR(__xludf.DUMMYFUNCTION("""COMPUTED_VALUE"""),150973.0)</f>
        <v>150973</v>
      </c>
    </row>
    <row r="928">
      <c r="A928" s="3">
        <f>IFERROR(__xludf.DUMMYFUNCTION("""COMPUTED_VALUE"""),37880.645833333336)</f>
        <v>37880.64583</v>
      </c>
      <c r="B928" s="2">
        <f>IFERROR(__xludf.DUMMYFUNCTION("""COMPUTED_VALUE"""),27.2)</f>
        <v>27.2</v>
      </c>
      <c r="C928" s="2">
        <f>IFERROR(__xludf.DUMMYFUNCTION("""COMPUTED_VALUE"""),27.99)</f>
        <v>27.99</v>
      </c>
      <c r="D928" s="2">
        <f>IFERROR(__xludf.DUMMYFUNCTION("""COMPUTED_VALUE"""),27.2)</f>
        <v>27.2</v>
      </c>
      <c r="E928" s="2">
        <f>IFERROR(__xludf.DUMMYFUNCTION("""COMPUTED_VALUE"""),27.75)</f>
        <v>27.75</v>
      </c>
      <c r="F928" s="2">
        <f>IFERROR(__xludf.DUMMYFUNCTION("""COMPUTED_VALUE"""),281607.0)</f>
        <v>281607</v>
      </c>
    </row>
    <row r="929">
      <c r="A929" s="3">
        <f>IFERROR(__xludf.DUMMYFUNCTION("""COMPUTED_VALUE"""),37881.645833333336)</f>
        <v>37881.64583</v>
      </c>
      <c r="B929" s="2">
        <f>IFERROR(__xludf.DUMMYFUNCTION("""COMPUTED_VALUE"""),27.99)</f>
        <v>27.99</v>
      </c>
      <c r="C929" s="2">
        <f>IFERROR(__xludf.DUMMYFUNCTION("""COMPUTED_VALUE"""),27.99)</f>
        <v>27.99</v>
      </c>
      <c r="D929" s="2">
        <f>IFERROR(__xludf.DUMMYFUNCTION("""COMPUTED_VALUE"""),27.11)</f>
        <v>27.11</v>
      </c>
      <c r="E929" s="2">
        <f>IFERROR(__xludf.DUMMYFUNCTION("""COMPUTED_VALUE"""),27.35)</f>
        <v>27.35</v>
      </c>
      <c r="F929" s="2">
        <f>IFERROR(__xludf.DUMMYFUNCTION("""COMPUTED_VALUE"""),229526.0)</f>
        <v>229526</v>
      </c>
    </row>
    <row r="930">
      <c r="A930" s="3">
        <f>IFERROR(__xludf.DUMMYFUNCTION("""COMPUTED_VALUE"""),37882.645833333336)</f>
        <v>37882.64583</v>
      </c>
      <c r="B930" s="2">
        <f>IFERROR(__xludf.DUMMYFUNCTION("""COMPUTED_VALUE"""),27.2)</f>
        <v>27.2</v>
      </c>
      <c r="C930" s="2">
        <f>IFERROR(__xludf.DUMMYFUNCTION("""COMPUTED_VALUE"""),27.2)</f>
        <v>27.2</v>
      </c>
      <c r="D930" s="2">
        <f>IFERROR(__xludf.DUMMYFUNCTION("""COMPUTED_VALUE"""),26.32)</f>
        <v>26.32</v>
      </c>
      <c r="E930" s="2">
        <f>IFERROR(__xludf.DUMMYFUNCTION("""COMPUTED_VALUE"""),26.51)</f>
        <v>26.51</v>
      </c>
      <c r="F930" s="2">
        <f>IFERROR(__xludf.DUMMYFUNCTION("""COMPUTED_VALUE"""),190452.0)</f>
        <v>190452</v>
      </c>
    </row>
    <row r="931">
      <c r="A931" s="3">
        <f>IFERROR(__xludf.DUMMYFUNCTION("""COMPUTED_VALUE"""),37883.645833333336)</f>
        <v>37883.64583</v>
      </c>
      <c r="B931" s="2">
        <f>IFERROR(__xludf.DUMMYFUNCTION("""COMPUTED_VALUE"""),26.56)</f>
        <v>26.56</v>
      </c>
      <c r="C931" s="2">
        <f>IFERROR(__xludf.DUMMYFUNCTION("""COMPUTED_VALUE"""),27.2)</f>
        <v>27.2</v>
      </c>
      <c r="D931" s="2">
        <f>IFERROR(__xludf.DUMMYFUNCTION("""COMPUTED_VALUE"""),26.4)</f>
        <v>26.4</v>
      </c>
      <c r="E931" s="2">
        <f>IFERROR(__xludf.DUMMYFUNCTION("""COMPUTED_VALUE"""),27.18)</f>
        <v>27.18</v>
      </c>
      <c r="F931" s="2">
        <f>IFERROR(__xludf.DUMMYFUNCTION("""COMPUTED_VALUE"""),169243.0)</f>
        <v>169243</v>
      </c>
    </row>
    <row r="932">
      <c r="A932" s="3">
        <f>IFERROR(__xludf.DUMMYFUNCTION("""COMPUTED_VALUE"""),37886.645833333336)</f>
        <v>37886.64583</v>
      </c>
      <c r="B932" s="2">
        <f>IFERROR(__xludf.DUMMYFUNCTION("""COMPUTED_VALUE"""),27.5)</f>
        <v>27.5</v>
      </c>
      <c r="C932" s="2">
        <f>IFERROR(__xludf.DUMMYFUNCTION("""COMPUTED_VALUE"""),27.5)</f>
        <v>27.5</v>
      </c>
      <c r="D932" s="2">
        <f>IFERROR(__xludf.DUMMYFUNCTION("""COMPUTED_VALUE"""),26.4)</f>
        <v>26.4</v>
      </c>
      <c r="E932" s="2">
        <f>IFERROR(__xludf.DUMMYFUNCTION("""COMPUTED_VALUE"""),26.47)</f>
        <v>26.47</v>
      </c>
      <c r="F932" s="2">
        <f>IFERROR(__xludf.DUMMYFUNCTION("""COMPUTED_VALUE"""),199667.0)</f>
        <v>199667</v>
      </c>
    </row>
    <row r="933">
      <c r="A933" s="3">
        <f>IFERROR(__xludf.DUMMYFUNCTION("""COMPUTED_VALUE"""),37887.645833333336)</f>
        <v>37887.64583</v>
      </c>
      <c r="B933" s="2">
        <f>IFERROR(__xludf.DUMMYFUNCTION("""COMPUTED_VALUE"""),26.5)</f>
        <v>26.5</v>
      </c>
      <c r="C933" s="2">
        <f>IFERROR(__xludf.DUMMYFUNCTION("""COMPUTED_VALUE"""),27.0)</f>
        <v>27</v>
      </c>
      <c r="D933" s="2">
        <f>IFERROR(__xludf.DUMMYFUNCTION("""COMPUTED_VALUE"""),26.41)</f>
        <v>26.41</v>
      </c>
      <c r="E933" s="2">
        <f>IFERROR(__xludf.DUMMYFUNCTION("""COMPUTED_VALUE"""),26.69)</f>
        <v>26.69</v>
      </c>
      <c r="F933" s="2">
        <f>IFERROR(__xludf.DUMMYFUNCTION("""COMPUTED_VALUE"""),191787.0)</f>
        <v>191787</v>
      </c>
    </row>
    <row r="934">
      <c r="A934" s="3">
        <f>IFERROR(__xludf.DUMMYFUNCTION("""COMPUTED_VALUE"""),37888.645833333336)</f>
        <v>37888.64583</v>
      </c>
      <c r="B934" s="2">
        <f>IFERROR(__xludf.DUMMYFUNCTION("""COMPUTED_VALUE"""),27.0)</f>
        <v>27</v>
      </c>
      <c r="C934" s="2">
        <f>IFERROR(__xludf.DUMMYFUNCTION("""COMPUTED_VALUE"""),27.58)</f>
        <v>27.58</v>
      </c>
      <c r="D934" s="2">
        <f>IFERROR(__xludf.DUMMYFUNCTION("""COMPUTED_VALUE"""),26.61)</f>
        <v>26.61</v>
      </c>
      <c r="E934" s="2">
        <f>IFERROR(__xludf.DUMMYFUNCTION("""COMPUTED_VALUE"""),27.42)</f>
        <v>27.42</v>
      </c>
      <c r="F934" s="2">
        <f>IFERROR(__xludf.DUMMYFUNCTION("""COMPUTED_VALUE"""),257395.0)</f>
        <v>257395</v>
      </c>
    </row>
    <row r="935">
      <c r="A935" s="3">
        <f>IFERROR(__xludf.DUMMYFUNCTION("""COMPUTED_VALUE"""),37889.645833333336)</f>
        <v>37889.64583</v>
      </c>
      <c r="B935" s="2">
        <f>IFERROR(__xludf.DUMMYFUNCTION("""COMPUTED_VALUE"""),27.2)</f>
        <v>27.2</v>
      </c>
      <c r="C935" s="2">
        <f>IFERROR(__xludf.DUMMYFUNCTION("""COMPUTED_VALUE"""),27.5)</f>
        <v>27.5</v>
      </c>
      <c r="D935" s="2">
        <f>IFERROR(__xludf.DUMMYFUNCTION("""COMPUTED_VALUE"""),26.62)</f>
        <v>26.62</v>
      </c>
      <c r="E935" s="2">
        <f>IFERROR(__xludf.DUMMYFUNCTION("""COMPUTED_VALUE"""),26.79)</f>
        <v>26.79</v>
      </c>
      <c r="F935" s="2">
        <f>IFERROR(__xludf.DUMMYFUNCTION("""COMPUTED_VALUE"""),197906.0)</f>
        <v>197906</v>
      </c>
    </row>
    <row r="936">
      <c r="A936" s="3">
        <f>IFERROR(__xludf.DUMMYFUNCTION("""COMPUTED_VALUE"""),37890.645833333336)</f>
        <v>37890.64583</v>
      </c>
      <c r="B936" s="2">
        <f>IFERROR(__xludf.DUMMYFUNCTION("""COMPUTED_VALUE"""),26.81)</f>
        <v>26.81</v>
      </c>
      <c r="C936" s="2">
        <f>IFERROR(__xludf.DUMMYFUNCTION("""COMPUTED_VALUE"""),27.2)</f>
        <v>27.2</v>
      </c>
      <c r="D936" s="2">
        <f>IFERROR(__xludf.DUMMYFUNCTION("""COMPUTED_VALUE"""),26.53)</f>
        <v>26.53</v>
      </c>
      <c r="E936" s="2">
        <f>IFERROR(__xludf.DUMMYFUNCTION("""COMPUTED_VALUE"""),27.15)</f>
        <v>27.15</v>
      </c>
      <c r="F936" s="2">
        <f>IFERROR(__xludf.DUMMYFUNCTION("""COMPUTED_VALUE"""),148024.0)</f>
        <v>148024</v>
      </c>
    </row>
    <row r="937">
      <c r="A937" s="3">
        <f>IFERROR(__xludf.DUMMYFUNCTION("""COMPUTED_VALUE"""),37893.645833333336)</f>
        <v>37893.64583</v>
      </c>
      <c r="B937" s="2">
        <f>IFERROR(__xludf.DUMMYFUNCTION("""COMPUTED_VALUE"""),27.49)</f>
        <v>27.49</v>
      </c>
      <c r="C937" s="2">
        <f>IFERROR(__xludf.DUMMYFUNCTION("""COMPUTED_VALUE"""),27.85)</f>
        <v>27.85</v>
      </c>
      <c r="D937" s="2">
        <f>IFERROR(__xludf.DUMMYFUNCTION("""COMPUTED_VALUE"""),26.8)</f>
        <v>26.8</v>
      </c>
      <c r="E937" s="2">
        <f>IFERROR(__xludf.DUMMYFUNCTION("""COMPUTED_VALUE"""),26.98)</f>
        <v>26.98</v>
      </c>
      <c r="F937" s="2">
        <f>IFERROR(__xludf.DUMMYFUNCTION("""COMPUTED_VALUE"""),730059.0)</f>
        <v>730059</v>
      </c>
    </row>
    <row r="938">
      <c r="A938" s="3">
        <f>IFERROR(__xludf.DUMMYFUNCTION("""COMPUTED_VALUE"""),37894.645833333336)</f>
        <v>37894.64583</v>
      </c>
      <c r="B938" s="2">
        <f>IFERROR(__xludf.DUMMYFUNCTION("""COMPUTED_VALUE"""),27.0)</f>
        <v>27</v>
      </c>
      <c r="C938" s="2">
        <f>IFERROR(__xludf.DUMMYFUNCTION("""COMPUTED_VALUE"""),27.66)</f>
        <v>27.66</v>
      </c>
      <c r="D938" s="2">
        <f>IFERROR(__xludf.DUMMYFUNCTION("""COMPUTED_VALUE"""),27.0)</f>
        <v>27</v>
      </c>
      <c r="E938" s="2">
        <f>IFERROR(__xludf.DUMMYFUNCTION("""COMPUTED_VALUE"""),27.5)</f>
        <v>27.5</v>
      </c>
      <c r="F938" s="2">
        <f>IFERROR(__xludf.DUMMYFUNCTION("""COMPUTED_VALUE"""),639435.0)</f>
        <v>639435</v>
      </c>
    </row>
    <row r="939">
      <c r="A939" s="3">
        <f>IFERROR(__xludf.DUMMYFUNCTION("""COMPUTED_VALUE"""),37895.645833333336)</f>
        <v>37895.64583</v>
      </c>
      <c r="B939" s="2">
        <f>IFERROR(__xludf.DUMMYFUNCTION("""COMPUTED_VALUE"""),27.7)</f>
        <v>27.7</v>
      </c>
      <c r="C939" s="2">
        <f>IFERROR(__xludf.DUMMYFUNCTION("""COMPUTED_VALUE"""),28.6)</f>
        <v>28.6</v>
      </c>
      <c r="D939" s="2">
        <f>IFERROR(__xludf.DUMMYFUNCTION("""COMPUTED_VALUE"""),27.55)</f>
        <v>27.55</v>
      </c>
      <c r="E939" s="2">
        <f>IFERROR(__xludf.DUMMYFUNCTION("""COMPUTED_VALUE"""),28.33)</f>
        <v>28.33</v>
      </c>
      <c r="F939" s="2">
        <f>IFERROR(__xludf.DUMMYFUNCTION("""COMPUTED_VALUE"""),393687.0)</f>
        <v>393687</v>
      </c>
    </row>
    <row r="940">
      <c r="A940" s="3">
        <f>IFERROR(__xludf.DUMMYFUNCTION("""COMPUTED_VALUE"""),37897.645833333336)</f>
        <v>37897.64583</v>
      </c>
      <c r="B940" s="2">
        <f>IFERROR(__xludf.DUMMYFUNCTION("""COMPUTED_VALUE"""),29.05)</f>
        <v>29.05</v>
      </c>
      <c r="C940" s="2">
        <f>IFERROR(__xludf.DUMMYFUNCTION("""COMPUTED_VALUE"""),29.55)</f>
        <v>29.55</v>
      </c>
      <c r="D940" s="2">
        <f>IFERROR(__xludf.DUMMYFUNCTION("""COMPUTED_VALUE"""),28.7)</f>
        <v>28.7</v>
      </c>
      <c r="E940" s="2">
        <f>IFERROR(__xludf.DUMMYFUNCTION("""COMPUTED_VALUE"""),29.45)</f>
        <v>29.45</v>
      </c>
      <c r="F940" s="2">
        <f>IFERROR(__xludf.DUMMYFUNCTION("""COMPUTED_VALUE"""),663901.0)</f>
        <v>663901</v>
      </c>
    </row>
    <row r="941">
      <c r="A941" s="3">
        <f>IFERROR(__xludf.DUMMYFUNCTION("""COMPUTED_VALUE"""),37900.645833333336)</f>
        <v>37900.64583</v>
      </c>
      <c r="B941" s="2">
        <f>IFERROR(__xludf.DUMMYFUNCTION("""COMPUTED_VALUE"""),29.75)</f>
        <v>29.75</v>
      </c>
      <c r="C941" s="2">
        <f>IFERROR(__xludf.DUMMYFUNCTION("""COMPUTED_VALUE"""),32.0)</f>
        <v>32</v>
      </c>
      <c r="D941" s="2">
        <f>IFERROR(__xludf.DUMMYFUNCTION("""COMPUTED_VALUE"""),29.6)</f>
        <v>29.6</v>
      </c>
      <c r="E941" s="2">
        <f>IFERROR(__xludf.DUMMYFUNCTION("""COMPUTED_VALUE"""),31.38)</f>
        <v>31.38</v>
      </c>
      <c r="F941" s="2">
        <f>IFERROR(__xludf.DUMMYFUNCTION("""COMPUTED_VALUE"""),560291.0)</f>
        <v>560291</v>
      </c>
    </row>
    <row r="942">
      <c r="A942" s="3">
        <f>IFERROR(__xludf.DUMMYFUNCTION("""COMPUTED_VALUE"""),37901.645833333336)</f>
        <v>37901.64583</v>
      </c>
      <c r="B942" s="2">
        <f>IFERROR(__xludf.DUMMYFUNCTION("""COMPUTED_VALUE"""),32.0)</f>
        <v>32</v>
      </c>
      <c r="C942" s="2">
        <f>IFERROR(__xludf.DUMMYFUNCTION("""COMPUTED_VALUE"""),32.51)</f>
        <v>32.51</v>
      </c>
      <c r="D942" s="2">
        <f>IFERROR(__xludf.DUMMYFUNCTION("""COMPUTED_VALUE"""),30.7)</f>
        <v>30.7</v>
      </c>
      <c r="E942" s="2">
        <f>IFERROR(__xludf.DUMMYFUNCTION("""COMPUTED_VALUE"""),30.95)</f>
        <v>30.95</v>
      </c>
      <c r="F942" s="2">
        <f>IFERROR(__xludf.DUMMYFUNCTION("""COMPUTED_VALUE"""),1354746.0)</f>
        <v>1354746</v>
      </c>
    </row>
    <row r="943">
      <c r="A943" s="3">
        <f>IFERROR(__xludf.DUMMYFUNCTION("""COMPUTED_VALUE"""),37902.645833333336)</f>
        <v>37902.64583</v>
      </c>
      <c r="B943" s="2">
        <f>IFERROR(__xludf.DUMMYFUNCTION("""COMPUTED_VALUE"""),31.3)</f>
        <v>31.3</v>
      </c>
      <c r="C943" s="2">
        <f>IFERROR(__xludf.DUMMYFUNCTION("""COMPUTED_VALUE"""),31.5)</f>
        <v>31.5</v>
      </c>
      <c r="D943" s="2">
        <f>IFERROR(__xludf.DUMMYFUNCTION("""COMPUTED_VALUE"""),30.72)</f>
        <v>30.72</v>
      </c>
      <c r="E943" s="2">
        <f>IFERROR(__xludf.DUMMYFUNCTION("""COMPUTED_VALUE"""),31.03)</f>
        <v>31.03</v>
      </c>
      <c r="F943" s="2">
        <f>IFERROR(__xludf.DUMMYFUNCTION("""COMPUTED_VALUE"""),522187.0)</f>
        <v>522187</v>
      </c>
    </row>
    <row r="944">
      <c r="A944" s="3">
        <f>IFERROR(__xludf.DUMMYFUNCTION("""COMPUTED_VALUE"""),37903.645833333336)</f>
        <v>37903.64583</v>
      </c>
      <c r="B944" s="2">
        <f>IFERROR(__xludf.DUMMYFUNCTION("""COMPUTED_VALUE"""),31.44)</f>
        <v>31.44</v>
      </c>
      <c r="C944" s="2">
        <f>IFERROR(__xludf.DUMMYFUNCTION("""COMPUTED_VALUE"""),31.63)</f>
        <v>31.63</v>
      </c>
      <c r="D944" s="2">
        <f>IFERROR(__xludf.DUMMYFUNCTION("""COMPUTED_VALUE"""),31.11)</f>
        <v>31.11</v>
      </c>
      <c r="E944" s="2">
        <f>IFERROR(__xludf.DUMMYFUNCTION("""COMPUTED_VALUE"""),31.43)</f>
        <v>31.43</v>
      </c>
      <c r="F944" s="2">
        <f>IFERROR(__xludf.DUMMYFUNCTION("""COMPUTED_VALUE"""),263530.0)</f>
        <v>263530</v>
      </c>
    </row>
    <row r="945">
      <c r="A945" s="3">
        <f>IFERROR(__xludf.DUMMYFUNCTION("""COMPUTED_VALUE"""),37904.645833333336)</f>
        <v>37904.64583</v>
      </c>
      <c r="B945" s="2">
        <f>IFERROR(__xludf.DUMMYFUNCTION("""COMPUTED_VALUE"""),32.5)</f>
        <v>32.5</v>
      </c>
      <c r="C945" s="2">
        <f>IFERROR(__xludf.DUMMYFUNCTION("""COMPUTED_VALUE"""),32.5)</f>
        <v>32.5</v>
      </c>
      <c r="D945" s="2">
        <f>IFERROR(__xludf.DUMMYFUNCTION("""COMPUTED_VALUE"""),30.21)</f>
        <v>30.21</v>
      </c>
      <c r="E945" s="2">
        <f>IFERROR(__xludf.DUMMYFUNCTION("""COMPUTED_VALUE"""),30.54)</f>
        <v>30.54</v>
      </c>
      <c r="F945" s="2">
        <f>IFERROR(__xludf.DUMMYFUNCTION("""COMPUTED_VALUE"""),754506.0)</f>
        <v>754506</v>
      </c>
    </row>
    <row r="946">
      <c r="A946" s="3">
        <f>IFERROR(__xludf.DUMMYFUNCTION("""COMPUTED_VALUE"""),37907.645833333336)</f>
        <v>37907.64583</v>
      </c>
      <c r="B946" s="2">
        <f>IFERROR(__xludf.DUMMYFUNCTION("""COMPUTED_VALUE"""),30.84)</f>
        <v>30.84</v>
      </c>
      <c r="C946" s="2">
        <f>IFERROR(__xludf.DUMMYFUNCTION("""COMPUTED_VALUE"""),31.44)</f>
        <v>31.44</v>
      </c>
      <c r="D946" s="2">
        <f>IFERROR(__xludf.DUMMYFUNCTION("""COMPUTED_VALUE"""),30.69)</f>
        <v>30.69</v>
      </c>
      <c r="E946" s="2">
        <f>IFERROR(__xludf.DUMMYFUNCTION("""COMPUTED_VALUE"""),30.87)</f>
        <v>30.87</v>
      </c>
      <c r="F946" s="2">
        <f>IFERROR(__xludf.DUMMYFUNCTION("""COMPUTED_VALUE"""),501738.0)</f>
        <v>501738</v>
      </c>
    </row>
    <row r="947">
      <c r="A947" s="3">
        <f>IFERROR(__xludf.DUMMYFUNCTION("""COMPUTED_VALUE"""),37908.645833333336)</f>
        <v>37908.64583</v>
      </c>
      <c r="B947" s="2">
        <f>IFERROR(__xludf.DUMMYFUNCTION("""COMPUTED_VALUE"""),32.99)</f>
        <v>32.99</v>
      </c>
      <c r="C947" s="2">
        <f>IFERROR(__xludf.DUMMYFUNCTION("""COMPUTED_VALUE"""),32.99)</f>
        <v>32.99</v>
      </c>
      <c r="D947" s="2">
        <f>IFERROR(__xludf.DUMMYFUNCTION("""COMPUTED_VALUE"""),30.8)</f>
        <v>30.8</v>
      </c>
      <c r="E947" s="2">
        <f>IFERROR(__xludf.DUMMYFUNCTION("""COMPUTED_VALUE"""),30.98)</f>
        <v>30.98</v>
      </c>
      <c r="F947" s="2">
        <f>IFERROR(__xludf.DUMMYFUNCTION("""COMPUTED_VALUE"""),562173.0)</f>
        <v>562173</v>
      </c>
    </row>
    <row r="948">
      <c r="A948" s="3">
        <f>IFERROR(__xludf.DUMMYFUNCTION("""COMPUTED_VALUE"""),37909.645833333336)</f>
        <v>37909.64583</v>
      </c>
      <c r="B948" s="2">
        <f>IFERROR(__xludf.DUMMYFUNCTION("""COMPUTED_VALUE"""),31.2)</f>
        <v>31.2</v>
      </c>
      <c r="C948" s="2">
        <f>IFERROR(__xludf.DUMMYFUNCTION("""COMPUTED_VALUE"""),31.3)</f>
        <v>31.3</v>
      </c>
      <c r="D948" s="2">
        <f>IFERROR(__xludf.DUMMYFUNCTION("""COMPUTED_VALUE"""),30.4)</f>
        <v>30.4</v>
      </c>
      <c r="E948" s="2">
        <f>IFERROR(__xludf.DUMMYFUNCTION("""COMPUTED_VALUE"""),31.09)</f>
        <v>31.09</v>
      </c>
      <c r="F948" s="2">
        <f>IFERROR(__xludf.DUMMYFUNCTION("""COMPUTED_VALUE"""),283357.0)</f>
        <v>283357</v>
      </c>
    </row>
    <row r="949">
      <c r="A949" s="3">
        <f>IFERROR(__xludf.DUMMYFUNCTION("""COMPUTED_VALUE"""),37910.645833333336)</f>
        <v>37910.64583</v>
      </c>
      <c r="B949" s="2">
        <f>IFERROR(__xludf.DUMMYFUNCTION("""COMPUTED_VALUE"""),31.15)</f>
        <v>31.15</v>
      </c>
      <c r="C949" s="2">
        <f>IFERROR(__xludf.DUMMYFUNCTION("""COMPUTED_VALUE"""),31.5)</f>
        <v>31.5</v>
      </c>
      <c r="D949" s="2">
        <f>IFERROR(__xludf.DUMMYFUNCTION("""COMPUTED_VALUE"""),31.0)</f>
        <v>31</v>
      </c>
      <c r="E949" s="2">
        <f>IFERROR(__xludf.DUMMYFUNCTION("""COMPUTED_VALUE"""),31.38)</f>
        <v>31.38</v>
      </c>
      <c r="F949" s="2">
        <f>IFERROR(__xludf.DUMMYFUNCTION("""COMPUTED_VALUE"""),265957.0)</f>
        <v>265957</v>
      </c>
    </row>
    <row r="950">
      <c r="A950" s="3">
        <f>IFERROR(__xludf.DUMMYFUNCTION("""COMPUTED_VALUE"""),37911.645833333336)</f>
        <v>37911.64583</v>
      </c>
      <c r="B950" s="2">
        <f>IFERROR(__xludf.DUMMYFUNCTION("""COMPUTED_VALUE"""),31.35)</f>
        <v>31.35</v>
      </c>
      <c r="C950" s="2">
        <f>IFERROR(__xludf.DUMMYFUNCTION("""COMPUTED_VALUE"""),32.5)</f>
        <v>32.5</v>
      </c>
      <c r="D950" s="2">
        <f>IFERROR(__xludf.DUMMYFUNCTION("""COMPUTED_VALUE"""),31.35)</f>
        <v>31.35</v>
      </c>
      <c r="E950" s="2">
        <f>IFERROR(__xludf.DUMMYFUNCTION("""COMPUTED_VALUE"""),31.65)</f>
        <v>31.65</v>
      </c>
      <c r="F950" s="2">
        <f>IFERROR(__xludf.DUMMYFUNCTION("""COMPUTED_VALUE"""),740645.0)</f>
        <v>740645</v>
      </c>
    </row>
    <row r="951">
      <c r="A951" s="3">
        <f>IFERROR(__xludf.DUMMYFUNCTION("""COMPUTED_VALUE"""),37914.645833333336)</f>
        <v>37914.64583</v>
      </c>
      <c r="B951" s="2">
        <f>IFERROR(__xludf.DUMMYFUNCTION("""COMPUTED_VALUE"""),31.7)</f>
        <v>31.7</v>
      </c>
      <c r="C951" s="2">
        <f>IFERROR(__xludf.DUMMYFUNCTION("""COMPUTED_VALUE"""),32.2)</f>
        <v>32.2</v>
      </c>
      <c r="D951" s="2">
        <f>IFERROR(__xludf.DUMMYFUNCTION("""COMPUTED_VALUE"""),31.26)</f>
        <v>31.26</v>
      </c>
      <c r="E951" s="2">
        <f>IFERROR(__xludf.DUMMYFUNCTION("""COMPUTED_VALUE"""),31.49)</f>
        <v>31.49</v>
      </c>
      <c r="F951" s="2">
        <f>IFERROR(__xludf.DUMMYFUNCTION("""COMPUTED_VALUE"""),447860.0)</f>
        <v>447860</v>
      </c>
    </row>
    <row r="952">
      <c r="A952" s="3">
        <f>IFERROR(__xludf.DUMMYFUNCTION("""COMPUTED_VALUE"""),37915.645833333336)</f>
        <v>37915.64583</v>
      </c>
      <c r="B952" s="2">
        <f>IFERROR(__xludf.DUMMYFUNCTION("""COMPUTED_VALUE"""),31.2)</f>
        <v>31.2</v>
      </c>
      <c r="C952" s="2">
        <f>IFERROR(__xludf.DUMMYFUNCTION("""COMPUTED_VALUE"""),31.55)</f>
        <v>31.55</v>
      </c>
      <c r="D952" s="2">
        <f>IFERROR(__xludf.DUMMYFUNCTION("""COMPUTED_VALUE"""),30.81)</f>
        <v>30.81</v>
      </c>
      <c r="E952" s="2">
        <f>IFERROR(__xludf.DUMMYFUNCTION("""COMPUTED_VALUE"""),31.11)</f>
        <v>31.11</v>
      </c>
      <c r="F952" s="2">
        <f>IFERROR(__xludf.DUMMYFUNCTION("""COMPUTED_VALUE"""),281070.0)</f>
        <v>281070</v>
      </c>
    </row>
    <row r="953">
      <c r="A953" s="3">
        <f>IFERROR(__xludf.DUMMYFUNCTION("""COMPUTED_VALUE"""),37916.645833333336)</f>
        <v>37916.64583</v>
      </c>
      <c r="B953" s="2">
        <f>IFERROR(__xludf.DUMMYFUNCTION("""COMPUTED_VALUE"""),30.9)</f>
        <v>30.9</v>
      </c>
      <c r="C953" s="2">
        <f>IFERROR(__xludf.DUMMYFUNCTION("""COMPUTED_VALUE"""),31.29)</f>
        <v>31.29</v>
      </c>
      <c r="D953" s="2">
        <f>IFERROR(__xludf.DUMMYFUNCTION("""COMPUTED_VALUE"""),29.9)</f>
        <v>29.9</v>
      </c>
      <c r="E953" s="2">
        <f>IFERROR(__xludf.DUMMYFUNCTION("""COMPUTED_VALUE"""),30.09)</f>
        <v>30.09</v>
      </c>
      <c r="F953" s="2">
        <f>IFERROR(__xludf.DUMMYFUNCTION("""COMPUTED_VALUE"""),199404.0)</f>
        <v>199404</v>
      </c>
    </row>
    <row r="954">
      <c r="A954" s="3">
        <f>IFERROR(__xludf.DUMMYFUNCTION("""COMPUTED_VALUE"""),37917.645833333336)</f>
        <v>37917.64583</v>
      </c>
      <c r="B954" s="2">
        <f>IFERROR(__xludf.DUMMYFUNCTION("""COMPUTED_VALUE"""),30.29)</f>
        <v>30.29</v>
      </c>
      <c r="C954" s="2">
        <f>IFERROR(__xludf.DUMMYFUNCTION("""COMPUTED_VALUE"""),30.4)</f>
        <v>30.4</v>
      </c>
      <c r="D954" s="2">
        <f>IFERROR(__xludf.DUMMYFUNCTION("""COMPUTED_VALUE"""),29.74)</f>
        <v>29.74</v>
      </c>
      <c r="E954" s="2">
        <f>IFERROR(__xludf.DUMMYFUNCTION("""COMPUTED_VALUE"""),29.98)</f>
        <v>29.98</v>
      </c>
      <c r="F954" s="2">
        <f>IFERROR(__xludf.DUMMYFUNCTION("""COMPUTED_VALUE"""),228604.0)</f>
        <v>228604</v>
      </c>
    </row>
    <row r="955">
      <c r="A955" s="3">
        <f>IFERROR(__xludf.DUMMYFUNCTION("""COMPUTED_VALUE"""),37918.645833333336)</f>
        <v>37918.64583</v>
      </c>
      <c r="B955" s="2">
        <f>IFERROR(__xludf.DUMMYFUNCTION("""COMPUTED_VALUE"""),30.1)</f>
        <v>30.1</v>
      </c>
      <c r="C955" s="2">
        <f>IFERROR(__xludf.DUMMYFUNCTION("""COMPUTED_VALUE"""),30.94)</f>
        <v>30.94</v>
      </c>
      <c r="D955" s="2">
        <f>IFERROR(__xludf.DUMMYFUNCTION("""COMPUTED_VALUE"""),29.6)</f>
        <v>29.6</v>
      </c>
      <c r="E955" s="2">
        <f>IFERROR(__xludf.DUMMYFUNCTION("""COMPUTED_VALUE"""),30.79)</f>
        <v>30.79</v>
      </c>
      <c r="F955" s="2">
        <f>IFERROR(__xludf.DUMMYFUNCTION("""COMPUTED_VALUE"""),140043.0)</f>
        <v>140043</v>
      </c>
    </row>
    <row r="956">
      <c r="A956" s="3">
        <f>IFERROR(__xludf.DUMMYFUNCTION("""COMPUTED_VALUE"""),37921.645833333336)</f>
        <v>37921.64583</v>
      </c>
      <c r="B956" s="2">
        <f>IFERROR(__xludf.DUMMYFUNCTION("""COMPUTED_VALUE"""),30.65)</f>
        <v>30.65</v>
      </c>
      <c r="C956" s="2">
        <f>IFERROR(__xludf.DUMMYFUNCTION("""COMPUTED_VALUE"""),31.44)</f>
        <v>31.44</v>
      </c>
      <c r="D956" s="2">
        <f>IFERROR(__xludf.DUMMYFUNCTION("""COMPUTED_VALUE"""),30.0)</f>
        <v>30</v>
      </c>
      <c r="E956" s="2">
        <f>IFERROR(__xludf.DUMMYFUNCTION("""COMPUTED_VALUE"""),30.1)</f>
        <v>30.1</v>
      </c>
      <c r="F956" s="2">
        <f>IFERROR(__xludf.DUMMYFUNCTION("""COMPUTED_VALUE"""),266767.0)</f>
        <v>266767</v>
      </c>
    </row>
    <row r="957">
      <c r="A957" s="3">
        <f>IFERROR(__xludf.DUMMYFUNCTION("""COMPUTED_VALUE"""),37922.645833333336)</f>
        <v>37922.64583</v>
      </c>
      <c r="B957" s="2">
        <f>IFERROR(__xludf.DUMMYFUNCTION("""COMPUTED_VALUE"""),30.31)</f>
        <v>30.31</v>
      </c>
      <c r="C957" s="2">
        <f>IFERROR(__xludf.DUMMYFUNCTION("""COMPUTED_VALUE"""),31.44)</f>
        <v>31.44</v>
      </c>
      <c r="D957" s="2">
        <f>IFERROR(__xludf.DUMMYFUNCTION("""COMPUTED_VALUE"""),30.12)</f>
        <v>30.12</v>
      </c>
      <c r="E957" s="2">
        <f>IFERROR(__xludf.DUMMYFUNCTION("""COMPUTED_VALUE"""),31.19)</f>
        <v>31.19</v>
      </c>
      <c r="F957" s="2">
        <f>IFERROR(__xludf.DUMMYFUNCTION("""COMPUTED_VALUE"""),434545.0)</f>
        <v>434545</v>
      </c>
    </row>
    <row r="958">
      <c r="A958" s="3">
        <f>IFERROR(__xludf.DUMMYFUNCTION("""COMPUTED_VALUE"""),37923.645833333336)</f>
        <v>37923.64583</v>
      </c>
      <c r="B958" s="2">
        <f>IFERROR(__xludf.DUMMYFUNCTION("""COMPUTED_VALUE"""),31.34)</f>
        <v>31.34</v>
      </c>
      <c r="C958" s="2">
        <f>IFERROR(__xludf.DUMMYFUNCTION("""COMPUTED_VALUE"""),31.79)</f>
        <v>31.79</v>
      </c>
      <c r="D958" s="2">
        <f>IFERROR(__xludf.DUMMYFUNCTION("""COMPUTED_VALUE"""),31.3)</f>
        <v>31.3</v>
      </c>
      <c r="E958" s="2">
        <f>IFERROR(__xludf.DUMMYFUNCTION("""COMPUTED_VALUE"""),31.67)</f>
        <v>31.67</v>
      </c>
      <c r="F958" s="2">
        <f>IFERROR(__xludf.DUMMYFUNCTION("""COMPUTED_VALUE"""),372936.0)</f>
        <v>372936</v>
      </c>
    </row>
    <row r="959">
      <c r="A959" s="3">
        <f>IFERROR(__xludf.DUMMYFUNCTION("""COMPUTED_VALUE"""),37924.645833333336)</f>
        <v>37924.64583</v>
      </c>
      <c r="B959" s="2">
        <f>IFERROR(__xludf.DUMMYFUNCTION("""COMPUTED_VALUE"""),31.25)</f>
        <v>31.25</v>
      </c>
      <c r="C959" s="2">
        <f>IFERROR(__xludf.DUMMYFUNCTION("""COMPUTED_VALUE"""),32.0)</f>
        <v>32</v>
      </c>
      <c r="D959" s="2">
        <f>IFERROR(__xludf.DUMMYFUNCTION("""COMPUTED_VALUE"""),31.25)</f>
        <v>31.25</v>
      </c>
      <c r="E959" s="2">
        <f>IFERROR(__xludf.DUMMYFUNCTION("""COMPUTED_VALUE"""),31.76)</f>
        <v>31.76</v>
      </c>
      <c r="F959" s="2">
        <f>IFERROR(__xludf.DUMMYFUNCTION("""COMPUTED_VALUE"""),350662.0)</f>
        <v>350662</v>
      </c>
    </row>
    <row r="960">
      <c r="A960" s="3">
        <f>IFERROR(__xludf.DUMMYFUNCTION("""COMPUTED_VALUE"""),37925.645833333336)</f>
        <v>37925.64583</v>
      </c>
      <c r="B960" s="2">
        <f>IFERROR(__xludf.DUMMYFUNCTION("""COMPUTED_VALUE"""),32.1)</f>
        <v>32.1</v>
      </c>
      <c r="C960" s="2">
        <f>IFERROR(__xludf.DUMMYFUNCTION("""COMPUTED_VALUE"""),32.1)</f>
        <v>32.1</v>
      </c>
      <c r="D960" s="2">
        <f>IFERROR(__xludf.DUMMYFUNCTION("""COMPUTED_VALUE"""),31.03)</f>
        <v>31.03</v>
      </c>
      <c r="E960" s="2">
        <f>IFERROR(__xludf.DUMMYFUNCTION("""COMPUTED_VALUE"""),31.61)</f>
        <v>31.61</v>
      </c>
      <c r="F960" s="2">
        <f>IFERROR(__xludf.DUMMYFUNCTION("""COMPUTED_VALUE"""),318952.0)</f>
        <v>318952</v>
      </c>
    </row>
    <row r="961">
      <c r="A961" s="3">
        <f>IFERROR(__xludf.DUMMYFUNCTION("""COMPUTED_VALUE"""),37928.645833333336)</f>
        <v>37928.64583</v>
      </c>
      <c r="B961" s="2">
        <f>IFERROR(__xludf.DUMMYFUNCTION("""COMPUTED_VALUE"""),32.05)</f>
        <v>32.05</v>
      </c>
      <c r="C961" s="2">
        <f>IFERROR(__xludf.DUMMYFUNCTION("""COMPUTED_VALUE"""),32.3)</f>
        <v>32.3</v>
      </c>
      <c r="D961" s="2">
        <f>IFERROR(__xludf.DUMMYFUNCTION("""COMPUTED_VALUE"""),31.7)</f>
        <v>31.7</v>
      </c>
      <c r="E961" s="2">
        <f>IFERROR(__xludf.DUMMYFUNCTION("""COMPUTED_VALUE"""),31.95)</f>
        <v>31.95</v>
      </c>
      <c r="F961" s="2">
        <f>IFERROR(__xludf.DUMMYFUNCTION("""COMPUTED_VALUE"""),349660.0)</f>
        <v>349660</v>
      </c>
    </row>
    <row r="962">
      <c r="A962" s="3">
        <f>IFERROR(__xludf.DUMMYFUNCTION("""COMPUTED_VALUE"""),37929.645833333336)</f>
        <v>37929.64583</v>
      </c>
      <c r="B962" s="2">
        <f>IFERROR(__xludf.DUMMYFUNCTION("""COMPUTED_VALUE"""),32.2)</f>
        <v>32.2</v>
      </c>
      <c r="C962" s="2">
        <f>IFERROR(__xludf.DUMMYFUNCTION("""COMPUTED_VALUE"""),32.2)</f>
        <v>32.2</v>
      </c>
      <c r="D962" s="2">
        <f>IFERROR(__xludf.DUMMYFUNCTION("""COMPUTED_VALUE"""),30.72)</f>
        <v>30.72</v>
      </c>
      <c r="E962" s="2">
        <f>IFERROR(__xludf.DUMMYFUNCTION("""COMPUTED_VALUE"""),30.99)</f>
        <v>30.99</v>
      </c>
      <c r="F962" s="2">
        <f>IFERROR(__xludf.DUMMYFUNCTION("""COMPUTED_VALUE"""),320720.0)</f>
        <v>320720</v>
      </c>
    </row>
    <row r="963">
      <c r="A963" s="3">
        <f>IFERROR(__xludf.DUMMYFUNCTION("""COMPUTED_VALUE"""),37930.645833333336)</f>
        <v>37930.64583</v>
      </c>
      <c r="B963" s="2">
        <f>IFERROR(__xludf.DUMMYFUNCTION("""COMPUTED_VALUE"""),31.26)</f>
        <v>31.26</v>
      </c>
      <c r="C963" s="2">
        <f>IFERROR(__xludf.DUMMYFUNCTION("""COMPUTED_VALUE"""),31.29)</f>
        <v>31.29</v>
      </c>
      <c r="D963" s="2">
        <f>IFERROR(__xludf.DUMMYFUNCTION("""COMPUTED_VALUE"""),30.8)</f>
        <v>30.8</v>
      </c>
      <c r="E963" s="2">
        <f>IFERROR(__xludf.DUMMYFUNCTION("""COMPUTED_VALUE"""),30.94)</f>
        <v>30.94</v>
      </c>
      <c r="F963" s="2">
        <f>IFERROR(__xludf.DUMMYFUNCTION("""COMPUTED_VALUE"""),180072.0)</f>
        <v>180072</v>
      </c>
    </row>
    <row r="964">
      <c r="A964" s="3">
        <f>IFERROR(__xludf.DUMMYFUNCTION("""COMPUTED_VALUE"""),37931.645833333336)</f>
        <v>37931.64583</v>
      </c>
      <c r="B964" s="2">
        <f>IFERROR(__xludf.DUMMYFUNCTION("""COMPUTED_VALUE"""),30.7)</f>
        <v>30.7</v>
      </c>
      <c r="C964" s="2">
        <f>IFERROR(__xludf.DUMMYFUNCTION("""COMPUTED_VALUE"""),31.0)</f>
        <v>31</v>
      </c>
      <c r="D964" s="2">
        <f>IFERROR(__xludf.DUMMYFUNCTION("""COMPUTED_VALUE"""),30.31)</f>
        <v>30.31</v>
      </c>
      <c r="E964" s="2">
        <f>IFERROR(__xludf.DUMMYFUNCTION("""COMPUTED_VALUE"""),30.79)</f>
        <v>30.79</v>
      </c>
      <c r="F964" s="2">
        <f>IFERROR(__xludf.DUMMYFUNCTION("""COMPUTED_VALUE"""),262158.0)</f>
        <v>262158</v>
      </c>
    </row>
    <row r="965">
      <c r="A965" s="3">
        <f>IFERROR(__xludf.DUMMYFUNCTION("""COMPUTED_VALUE"""),37932.645833333336)</f>
        <v>37932.64583</v>
      </c>
      <c r="B965" s="2">
        <f>IFERROR(__xludf.DUMMYFUNCTION("""COMPUTED_VALUE"""),30.97)</f>
        <v>30.97</v>
      </c>
      <c r="C965" s="2">
        <f>IFERROR(__xludf.DUMMYFUNCTION("""COMPUTED_VALUE"""),31.0)</f>
        <v>31</v>
      </c>
      <c r="D965" s="2">
        <f>IFERROR(__xludf.DUMMYFUNCTION("""COMPUTED_VALUE"""),30.25)</f>
        <v>30.25</v>
      </c>
      <c r="E965" s="2">
        <f>IFERROR(__xludf.DUMMYFUNCTION("""COMPUTED_VALUE"""),30.53)</f>
        <v>30.53</v>
      </c>
      <c r="F965" s="2">
        <f>IFERROR(__xludf.DUMMYFUNCTION("""COMPUTED_VALUE"""),452609.0)</f>
        <v>452609</v>
      </c>
    </row>
    <row r="966">
      <c r="A966" s="3">
        <f>IFERROR(__xludf.DUMMYFUNCTION("""COMPUTED_VALUE"""),37935.645833333336)</f>
        <v>37935.64583</v>
      </c>
      <c r="B966" s="2">
        <f>IFERROR(__xludf.DUMMYFUNCTION("""COMPUTED_VALUE"""),31.47)</f>
        <v>31.47</v>
      </c>
      <c r="C966" s="2">
        <f>IFERROR(__xludf.DUMMYFUNCTION("""COMPUTED_VALUE"""),31.47)</f>
        <v>31.47</v>
      </c>
      <c r="D966" s="2">
        <f>IFERROR(__xludf.DUMMYFUNCTION("""COMPUTED_VALUE"""),30.41)</f>
        <v>30.41</v>
      </c>
      <c r="E966" s="2">
        <f>IFERROR(__xludf.DUMMYFUNCTION("""COMPUTED_VALUE"""),30.89)</f>
        <v>30.89</v>
      </c>
      <c r="F966" s="2">
        <f>IFERROR(__xludf.DUMMYFUNCTION("""COMPUTED_VALUE"""),142533.0)</f>
        <v>142533</v>
      </c>
    </row>
    <row r="967">
      <c r="A967" s="3">
        <f>IFERROR(__xludf.DUMMYFUNCTION("""COMPUTED_VALUE"""),37936.645833333336)</f>
        <v>37936.64583</v>
      </c>
      <c r="B967" s="2">
        <f>IFERROR(__xludf.DUMMYFUNCTION("""COMPUTED_VALUE"""),31.1)</f>
        <v>31.1</v>
      </c>
      <c r="C967" s="2">
        <f>IFERROR(__xludf.DUMMYFUNCTION("""COMPUTED_VALUE"""),31.31)</f>
        <v>31.31</v>
      </c>
      <c r="D967" s="2">
        <f>IFERROR(__xludf.DUMMYFUNCTION("""COMPUTED_VALUE"""),30.46)</f>
        <v>30.46</v>
      </c>
      <c r="E967" s="2">
        <f>IFERROR(__xludf.DUMMYFUNCTION("""COMPUTED_VALUE"""),30.66)</f>
        <v>30.66</v>
      </c>
      <c r="F967" s="2">
        <f>IFERROR(__xludf.DUMMYFUNCTION("""COMPUTED_VALUE"""),213568.0)</f>
        <v>213568</v>
      </c>
    </row>
    <row r="968">
      <c r="A968" s="3">
        <f>IFERROR(__xludf.DUMMYFUNCTION("""COMPUTED_VALUE"""),37937.645833333336)</f>
        <v>37937.64583</v>
      </c>
      <c r="B968" s="2">
        <f>IFERROR(__xludf.DUMMYFUNCTION("""COMPUTED_VALUE"""),30.8)</f>
        <v>30.8</v>
      </c>
      <c r="C968" s="2">
        <f>IFERROR(__xludf.DUMMYFUNCTION("""COMPUTED_VALUE"""),30.8)</f>
        <v>30.8</v>
      </c>
      <c r="D968" s="2">
        <f>IFERROR(__xludf.DUMMYFUNCTION("""COMPUTED_VALUE"""),29.75)</f>
        <v>29.75</v>
      </c>
      <c r="E968" s="2">
        <f>IFERROR(__xludf.DUMMYFUNCTION("""COMPUTED_VALUE"""),29.9)</f>
        <v>29.9</v>
      </c>
      <c r="F968" s="2">
        <f>IFERROR(__xludf.DUMMYFUNCTION("""COMPUTED_VALUE"""),354834.0)</f>
        <v>354834</v>
      </c>
    </row>
    <row r="969">
      <c r="A969" s="3">
        <f>IFERROR(__xludf.DUMMYFUNCTION("""COMPUTED_VALUE"""),37938.645833333336)</f>
        <v>37938.64583</v>
      </c>
      <c r="B969" s="2">
        <f>IFERROR(__xludf.DUMMYFUNCTION("""COMPUTED_VALUE"""),30.35)</f>
        <v>30.35</v>
      </c>
      <c r="C969" s="2">
        <f>IFERROR(__xludf.DUMMYFUNCTION("""COMPUTED_VALUE"""),30.45)</f>
        <v>30.45</v>
      </c>
      <c r="D969" s="2">
        <f>IFERROR(__xludf.DUMMYFUNCTION("""COMPUTED_VALUE"""),29.8)</f>
        <v>29.8</v>
      </c>
      <c r="E969" s="2">
        <f>IFERROR(__xludf.DUMMYFUNCTION("""COMPUTED_VALUE"""),29.94)</f>
        <v>29.94</v>
      </c>
      <c r="F969" s="2">
        <f>IFERROR(__xludf.DUMMYFUNCTION("""COMPUTED_VALUE"""),131581.0)</f>
        <v>131581</v>
      </c>
    </row>
    <row r="970">
      <c r="A970" s="3">
        <f>IFERROR(__xludf.DUMMYFUNCTION("""COMPUTED_VALUE"""),37939.645833333336)</f>
        <v>37939.64583</v>
      </c>
      <c r="B970" s="2">
        <f>IFERROR(__xludf.DUMMYFUNCTION("""COMPUTED_VALUE"""),26.55)</f>
        <v>26.55</v>
      </c>
      <c r="C970" s="2">
        <f>IFERROR(__xludf.DUMMYFUNCTION("""COMPUTED_VALUE"""),30.3)</f>
        <v>30.3</v>
      </c>
      <c r="D970" s="2">
        <f>IFERROR(__xludf.DUMMYFUNCTION("""COMPUTED_VALUE"""),26.55)</f>
        <v>26.55</v>
      </c>
      <c r="E970" s="2">
        <f>IFERROR(__xludf.DUMMYFUNCTION("""COMPUTED_VALUE"""),29.75)</f>
        <v>29.75</v>
      </c>
      <c r="F970" s="2">
        <f>IFERROR(__xludf.DUMMYFUNCTION("""COMPUTED_VALUE"""),136940.0)</f>
        <v>136940</v>
      </c>
    </row>
    <row r="971">
      <c r="A971" s="3">
        <f>IFERROR(__xludf.DUMMYFUNCTION("""COMPUTED_VALUE"""),37942.645833333336)</f>
        <v>37942.64583</v>
      </c>
      <c r="B971" s="2">
        <f>IFERROR(__xludf.DUMMYFUNCTION("""COMPUTED_VALUE"""),29.9)</f>
        <v>29.9</v>
      </c>
      <c r="C971" s="2">
        <f>IFERROR(__xludf.DUMMYFUNCTION("""COMPUTED_VALUE"""),30.5)</f>
        <v>30.5</v>
      </c>
      <c r="D971" s="2">
        <f>IFERROR(__xludf.DUMMYFUNCTION("""COMPUTED_VALUE"""),29.76)</f>
        <v>29.76</v>
      </c>
      <c r="E971" s="2">
        <f>IFERROR(__xludf.DUMMYFUNCTION("""COMPUTED_VALUE"""),30.41)</f>
        <v>30.41</v>
      </c>
      <c r="F971" s="2">
        <f>IFERROR(__xludf.DUMMYFUNCTION("""COMPUTED_VALUE"""),132660.0)</f>
        <v>132660</v>
      </c>
    </row>
    <row r="972">
      <c r="A972" s="3">
        <f>IFERROR(__xludf.DUMMYFUNCTION("""COMPUTED_VALUE"""),37943.645833333336)</f>
        <v>37943.64583</v>
      </c>
      <c r="B972" s="2">
        <f>IFERROR(__xludf.DUMMYFUNCTION("""COMPUTED_VALUE"""),30.78)</f>
        <v>30.78</v>
      </c>
      <c r="C972" s="2">
        <f>IFERROR(__xludf.DUMMYFUNCTION("""COMPUTED_VALUE"""),30.78)</f>
        <v>30.78</v>
      </c>
      <c r="D972" s="2">
        <f>IFERROR(__xludf.DUMMYFUNCTION("""COMPUTED_VALUE"""),30.11)</f>
        <v>30.11</v>
      </c>
      <c r="E972" s="2">
        <f>IFERROR(__xludf.DUMMYFUNCTION("""COMPUTED_VALUE"""),30.29)</f>
        <v>30.29</v>
      </c>
      <c r="F972" s="2">
        <f>IFERROR(__xludf.DUMMYFUNCTION("""COMPUTED_VALUE"""),289446.0)</f>
        <v>289446</v>
      </c>
    </row>
    <row r="973">
      <c r="A973" s="3">
        <f>IFERROR(__xludf.DUMMYFUNCTION("""COMPUTED_VALUE"""),37944.645833333336)</f>
        <v>37944.64583</v>
      </c>
      <c r="B973" s="2">
        <f>IFERROR(__xludf.DUMMYFUNCTION("""COMPUTED_VALUE"""),29.91)</f>
        <v>29.91</v>
      </c>
      <c r="C973" s="2">
        <f>IFERROR(__xludf.DUMMYFUNCTION("""COMPUTED_VALUE"""),30.2)</f>
        <v>30.2</v>
      </c>
      <c r="D973" s="2">
        <f>IFERROR(__xludf.DUMMYFUNCTION("""COMPUTED_VALUE"""),29.4)</f>
        <v>29.4</v>
      </c>
      <c r="E973" s="2">
        <f>IFERROR(__xludf.DUMMYFUNCTION("""COMPUTED_VALUE"""),29.97)</f>
        <v>29.97</v>
      </c>
      <c r="F973" s="2">
        <f>IFERROR(__xludf.DUMMYFUNCTION("""COMPUTED_VALUE"""),524270.0)</f>
        <v>524270</v>
      </c>
    </row>
    <row r="974">
      <c r="A974" s="3">
        <f>IFERROR(__xludf.DUMMYFUNCTION("""COMPUTED_VALUE"""),37945.645833333336)</f>
        <v>37945.64583</v>
      </c>
      <c r="B974" s="2">
        <f>IFERROR(__xludf.DUMMYFUNCTION("""COMPUTED_VALUE"""),29.9)</f>
        <v>29.9</v>
      </c>
      <c r="C974" s="2">
        <f>IFERROR(__xludf.DUMMYFUNCTION("""COMPUTED_VALUE"""),30.18)</f>
        <v>30.18</v>
      </c>
      <c r="D974" s="2">
        <f>IFERROR(__xludf.DUMMYFUNCTION("""COMPUTED_VALUE"""),29.45)</f>
        <v>29.45</v>
      </c>
      <c r="E974" s="2">
        <f>IFERROR(__xludf.DUMMYFUNCTION("""COMPUTED_VALUE"""),29.84)</f>
        <v>29.84</v>
      </c>
      <c r="F974" s="2">
        <f>IFERROR(__xludf.DUMMYFUNCTION("""COMPUTED_VALUE"""),154006.0)</f>
        <v>154006</v>
      </c>
    </row>
    <row r="975">
      <c r="A975" s="3">
        <f>IFERROR(__xludf.DUMMYFUNCTION("""COMPUTED_VALUE"""),37946.645833333336)</f>
        <v>37946.64583</v>
      </c>
      <c r="B975" s="2">
        <f>IFERROR(__xludf.DUMMYFUNCTION("""COMPUTED_VALUE"""),29.45)</f>
        <v>29.45</v>
      </c>
      <c r="C975" s="2">
        <f>IFERROR(__xludf.DUMMYFUNCTION("""COMPUTED_VALUE"""),30.5)</f>
        <v>30.5</v>
      </c>
      <c r="D975" s="2">
        <f>IFERROR(__xludf.DUMMYFUNCTION("""COMPUTED_VALUE"""),29.45)</f>
        <v>29.45</v>
      </c>
      <c r="E975" s="2">
        <f>IFERROR(__xludf.DUMMYFUNCTION("""COMPUTED_VALUE"""),30.3)</f>
        <v>30.3</v>
      </c>
      <c r="F975" s="2">
        <f>IFERROR(__xludf.DUMMYFUNCTION("""COMPUTED_VALUE"""),200717.0)</f>
        <v>200717</v>
      </c>
    </row>
    <row r="976">
      <c r="A976" s="3">
        <f>IFERROR(__xludf.DUMMYFUNCTION("""COMPUTED_VALUE"""),37949.645833333336)</f>
        <v>37949.64583</v>
      </c>
      <c r="B976" s="2">
        <f>IFERROR(__xludf.DUMMYFUNCTION("""COMPUTED_VALUE"""),30.9)</f>
        <v>30.9</v>
      </c>
      <c r="C976" s="2">
        <f>IFERROR(__xludf.DUMMYFUNCTION("""COMPUTED_VALUE"""),30.9)</f>
        <v>30.9</v>
      </c>
      <c r="D976" s="2">
        <f>IFERROR(__xludf.DUMMYFUNCTION("""COMPUTED_VALUE"""),30.15)</f>
        <v>30.15</v>
      </c>
      <c r="E976" s="2">
        <f>IFERROR(__xludf.DUMMYFUNCTION("""COMPUTED_VALUE"""),30.29)</f>
        <v>30.29</v>
      </c>
      <c r="F976" s="2">
        <f>IFERROR(__xludf.DUMMYFUNCTION("""COMPUTED_VALUE"""),435226.0)</f>
        <v>435226</v>
      </c>
    </row>
    <row r="977">
      <c r="A977" s="3">
        <f>IFERROR(__xludf.DUMMYFUNCTION("""COMPUTED_VALUE"""),37950.645833333336)</f>
        <v>37950.64583</v>
      </c>
      <c r="B977" s="2">
        <f>IFERROR(__xludf.DUMMYFUNCTION("""COMPUTED_VALUE"""),30.12)</f>
        <v>30.12</v>
      </c>
      <c r="C977" s="2">
        <f>IFERROR(__xludf.DUMMYFUNCTION("""COMPUTED_VALUE"""),30.6)</f>
        <v>30.6</v>
      </c>
      <c r="D977" s="2">
        <f>IFERROR(__xludf.DUMMYFUNCTION("""COMPUTED_VALUE"""),30.12)</f>
        <v>30.12</v>
      </c>
      <c r="E977" s="2">
        <f>IFERROR(__xludf.DUMMYFUNCTION("""COMPUTED_VALUE"""),30.26)</f>
        <v>30.26</v>
      </c>
      <c r="F977" s="2">
        <f>IFERROR(__xludf.DUMMYFUNCTION("""COMPUTED_VALUE"""),380785.0)</f>
        <v>380785</v>
      </c>
    </row>
    <row r="978">
      <c r="A978" s="3">
        <f>IFERROR(__xludf.DUMMYFUNCTION("""COMPUTED_VALUE"""),37952.645833333336)</f>
        <v>37952.64583</v>
      </c>
      <c r="B978" s="2">
        <f>IFERROR(__xludf.DUMMYFUNCTION("""COMPUTED_VALUE"""),30.65)</f>
        <v>30.65</v>
      </c>
      <c r="C978" s="2">
        <f>IFERROR(__xludf.DUMMYFUNCTION("""COMPUTED_VALUE"""),30.95)</f>
        <v>30.95</v>
      </c>
      <c r="D978" s="2">
        <f>IFERROR(__xludf.DUMMYFUNCTION("""COMPUTED_VALUE"""),30.0)</f>
        <v>30</v>
      </c>
      <c r="E978" s="2">
        <f>IFERROR(__xludf.DUMMYFUNCTION("""COMPUTED_VALUE"""),30.17)</f>
        <v>30.17</v>
      </c>
      <c r="F978" s="2">
        <f>IFERROR(__xludf.DUMMYFUNCTION("""COMPUTED_VALUE"""),404952.0)</f>
        <v>404952</v>
      </c>
    </row>
    <row r="979">
      <c r="A979" s="3">
        <f>IFERROR(__xludf.DUMMYFUNCTION("""COMPUTED_VALUE"""),37953.645833333336)</f>
        <v>37953.64583</v>
      </c>
      <c r="B979" s="2">
        <f>IFERROR(__xludf.DUMMYFUNCTION("""COMPUTED_VALUE"""),30.4)</f>
        <v>30.4</v>
      </c>
      <c r="C979" s="2">
        <f>IFERROR(__xludf.DUMMYFUNCTION("""COMPUTED_VALUE"""),30.8)</f>
        <v>30.8</v>
      </c>
      <c r="D979" s="2">
        <f>IFERROR(__xludf.DUMMYFUNCTION("""COMPUTED_VALUE"""),30.0)</f>
        <v>30</v>
      </c>
      <c r="E979" s="2">
        <f>IFERROR(__xludf.DUMMYFUNCTION("""COMPUTED_VALUE"""),30.26)</f>
        <v>30.26</v>
      </c>
      <c r="F979" s="2">
        <f>IFERROR(__xludf.DUMMYFUNCTION("""COMPUTED_VALUE"""),480564.0)</f>
        <v>480564</v>
      </c>
    </row>
    <row r="980">
      <c r="A980" s="3">
        <f>IFERROR(__xludf.DUMMYFUNCTION("""COMPUTED_VALUE"""),37956.645833333336)</f>
        <v>37956.64583</v>
      </c>
      <c r="B980" s="2">
        <f>IFERROR(__xludf.DUMMYFUNCTION("""COMPUTED_VALUE"""),30.7)</f>
        <v>30.7</v>
      </c>
      <c r="C980" s="2">
        <f>IFERROR(__xludf.DUMMYFUNCTION("""COMPUTED_VALUE"""),31.44)</f>
        <v>31.44</v>
      </c>
      <c r="D980" s="2">
        <f>IFERROR(__xludf.DUMMYFUNCTION("""COMPUTED_VALUE"""),30.4)</f>
        <v>30.4</v>
      </c>
      <c r="E980" s="2">
        <f>IFERROR(__xludf.DUMMYFUNCTION("""COMPUTED_VALUE"""),31.13)</f>
        <v>31.13</v>
      </c>
      <c r="F980" s="2">
        <f>IFERROR(__xludf.DUMMYFUNCTION("""COMPUTED_VALUE"""),1044179.0)</f>
        <v>1044179</v>
      </c>
    </row>
    <row r="981">
      <c r="A981" s="3">
        <f>IFERROR(__xludf.DUMMYFUNCTION("""COMPUTED_VALUE"""),37957.645833333336)</f>
        <v>37957.64583</v>
      </c>
      <c r="B981" s="2">
        <f>IFERROR(__xludf.DUMMYFUNCTION("""COMPUTED_VALUE"""),31.5)</f>
        <v>31.5</v>
      </c>
      <c r="C981" s="2">
        <f>IFERROR(__xludf.DUMMYFUNCTION("""COMPUTED_VALUE"""),31.99)</f>
        <v>31.99</v>
      </c>
      <c r="D981" s="2">
        <f>IFERROR(__xludf.DUMMYFUNCTION("""COMPUTED_VALUE"""),31.2)</f>
        <v>31.2</v>
      </c>
      <c r="E981" s="2">
        <f>IFERROR(__xludf.DUMMYFUNCTION("""COMPUTED_VALUE"""),31.81)</f>
        <v>31.81</v>
      </c>
      <c r="F981" s="2">
        <f>IFERROR(__xludf.DUMMYFUNCTION("""COMPUTED_VALUE"""),661712.0)</f>
        <v>661712</v>
      </c>
    </row>
    <row r="982">
      <c r="A982" s="3">
        <f>IFERROR(__xludf.DUMMYFUNCTION("""COMPUTED_VALUE"""),37958.645833333336)</f>
        <v>37958.64583</v>
      </c>
      <c r="B982" s="2">
        <f>IFERROR(__xludf.DUMMYFUNCTION("""COMPUTED_VALUE"""),31.99)</f>
        <v>31.99</v>
      </c>
      <c r="C982" s="2">
        <f>IFERROR(__xludf.DUMMYFUNCTION("""COMPUTED_VALUE"""),33.1)</f>
        <v>33.1</v>
      </c>
      <c r="D982" s="2">
        <f>IFERROR(__xludf.DUMMYFUNCTION("""COMPUTED_VALUE"""),31.99)</f>
        <v>31.99</v>
      </c>
      <c r="E982" s="2">
        <f>IFERROR(__xludf.DUMMYFUNCTION("""COMPUTED_VALUE"""),32.89)</f>
        <v>32.89</v>
      </c>
      <c r="F982" s="2">
        <f>IFERROR(__xludf.DUMMYFUNCTION("""COMPUTED_VALUE"""),921014.0)</f>
        <v>921014</v>
      </c>
    </row>
    <row r="983">
      <c r="A983" s="3">
        <f>IFERROR(__xludf.DUMMYFUNCTION("""COMPUTED_VALUE"""),37959.645833333336)</f>
        <v>37959.64583</v>
      </c>
      <c r="B983" s="2">
        <f>IFERROR(__xludf.DUMMYFUNCTION("""COMPUTED_VALUE"""),32.97)</f>
        <v>32.97</v>
      </c>
      <c r="C983" s="2">
        <f>IFERROR(__xludf.DUMMYFUNCTION("""COMPUTED_VALUE"""),33.59)</f>
        <v>33.59</v>
      </c>
      <c r="D983" s="2">
        <f>IFERROR(__xludf.DUMMYFUNCTION("""COMPUTED_VALUE"""),32.7)</f>
        <v>32.7</v>
      </c>
      <c r="E983" s="2">
        <f>IFERROR(__xludf.DUMMYFUNCTION("""COMPUTED_VALUE"""),33.45)</f>
        <v>33.45</v>
      </c>
      <c r="F983" s="2">
        <f>IFERROR(__xludf.DUMMYFUNCTION("""COMPUTED_VALUE"""),840123.0)</f>
        <v>840123</v>
      </c>
    </row>
    <row r="984">
      <c r="A984" s="3">
        <f>IFERROR(__xludf.DUMMYFUNCTION("""COMPUTED_VALUE"""),37960.645833333336)</f>
        <v>37960.64583</v>
      </c>
      <c r="B984" s="2">
        <f>IFERROR(__xludf.DUMMYFUNCTION("""COMPUTED_VALUE"""),33.6)</f>
        <v>33.6</v>
      </c>
      <c r="C984" s="2">
        <f>IFERROR(__xludf.DUMMYFUNCTION("""COMPUTED_VALUE"""),33.6)</f>
        <v>33.6</v>
      </c>
      <c r="D984" s="2">
        <f>IFERROR(__xludf.DUMMYFUNCTION("""COMPUTED_VALUE"""),32.5)</f>
        <v>32.5</v>
      </c>
      <c r="E984" s="2">
        <f>IFERROR(__xludf.DUMMYFUNCTION("""COMPUTED_VALUE"""),32.83)</f>
        <v>32.83</v>
      </c>
      <c r="F984" s="2">
        <f>IFERROR(__xludf.DUMMYFUNCTION("""COMPUTED_VALUE"""),411667.0)</f>
        <v>411667</v>
      </c>
    </row>
    <row r="985">
      <c r="A985" s="3">
        <f>IFERROR(__xludf.DUMMYFUNCTION("""COMPUTED_VALUE"""),37963.645833333336)</f>
        <v>37963.64583</v>
      </c>
      <c r="B985" s="2">
        <f>IFERROR(__xludf.DUMMYFUNCTION("""COMPUTED_VALUE"""),32.75)</f>
        <v>32.75</v>
      </c>
      <c r="C985" s="2">
        <f>IFERROR(__xludf.DUMMYFUNCTION("""COMPUTED_VALUE"""),33.29)</f>
        <v>33.29</v>
      </c>
      <c r="D985" s="2">
        <f>IFERROR(__xludf.DUMMYFUNCTION("""COMPUTED_VALUE"""),32.06)</f>
        <v>32.06</v>
      </c>
      <c r="E985" s="2">
        <f>IFERROR(__xludf.DUMMYFUNCTION("""COMPUTED_VALUE"""),32.67)</f>
        <v>32.67</v>
      </c>
      <c r="F985" s="2">
        <f>IFERROR(__xludf.DUMMYFUNCTION("""COMPUTED_VALUE"""),216037.0)</f>
        <v>216037</v>
      </c>
    </row>
    <row r="986">
      <c r="A986" s="3">
        <f>IFERROR(__xludf.DUMMYFUNCTION("""COMPUTED_VALUE"""),37964.645833333336)</f>
        <v>37964.64583</v>
      </c>
      <c r="B986" s="2">
        <f>IFERROR(__xludf.DUMMYFUNCTION("""COMPUTED_VALUE"""),33.49)</f>
        <v>33.49</v>
      </c>
      <c r="C986" s="2">
        <f>IFERROR(__xludf.DUMMYFUNCTION("""COMPUTED_VALUE"""),33.69)</f>
        <v>33.69</v>
      </c>
      <c r="D986" s="2">
        <f>IFERROR(__xludf.DUMMYFUNCTION("""COMPUTED_VALUE"""),33.06)</f>
        <v>33.06</v>
      </c>
      <c r="E986" s="2">
        <f>IFERROR(__xludf.DUMMYFUNCTION("""COMPUTED_VALUE"""),33.25)</f>
        <v>33.25</v>
      </c>
      <c r="F986" s="2">
        <f>IFERROR(__xludf.DUMMYFUNCTION("""COMPUTED_VALUE"""),359580.0)</f>
        <v>359580</v>
      </c>
    </row>
    <row r="987">
      <c r="A987" s="3">
        <f>IFERROR(__xludf.DUMMYFUNCTION("""COMPUTED_VALUE"""),37965.645833333336)</f>
        <v>37965.64583</v>
      </c>
      <c r="B987" s="2">
        <f>IFERROR(__xludf.DUMMYFUNCTION("""COMPUTED_VALUE"""),33.3)</f>
        <v>33.3</v>
      </c>
      <c r="C987" s="2">
        <f>IFERROR(__xludf.DUMMYFUNCTION("""COMPUTED_VALUE"""),34.38)</f>
        <v>34.38</v>
      </c>
      <c r="D987" s="2">
        <f>IFERROR(__xludf.DUMMYFUNCTION("""COMPUTED_VALUE"""),32.62)</f>
        <v>32.62</v>
      </c>
      <c r="E987" s="2">
        <f>IFERROR(__xludf.DUMMYFUNCTION("""COMPUTED_VALUE"""),34.04)</f>
        <v>34.04</v>
      </c>
      <c r="F987" s="2">
        <f>IFERROR(__xludf.DUMMYFUNCTION("""COMPUTED_VALUE"""),724407.0)</f>
        <v>724407</v>
      </c>
    </row>
    <row r="988">
      <c r="A988" s="3">
        <f>IFERROR(__xludf.DUMMYFUNCTION("""COMPUTED_VALUE"""),37966.645833333336)</f>
        <v>37966.64583</v>
      </c>
      <c r="B988" s="2">
        <f>IFERROR(__xludf.DUMMYFUNCTION("""COMPUTED_VALUE"""),34.0)</f>
        <v>34</v>
      </c>
      <c r="C988" s="2">
        <f>IFERROR(__xludf.DUMMYFUNCTION("""COMPUTED_VALUE"""),35.2)</f>
        <v>35.2</v>
      </c>
      <c r="D988" s="2">
        <f>IFERROR(__xludf.DUMMYFUNCTION("""COMPUTED_VALUE"""),33.8)</f>
        <v>33.8</v>
      </c>
      <c r="E988" s="2">
        <f>IFERROR(__xludf.DUMMYFUNCTION("""COMPUTED_VALUE"""),35.05)</f>
        <v>35.05</v>
      </c>
      <c r="F988" s="2">
        <f>IFERROR(__xludf.DUMMYFUNCTION("""COMPUTED_VALUE"""),709516.0)</f>
        <v>709516</v>
      </c>
    </row>
    <row r="989">
      <c r="A989" s="3">
        <f>IFERROR(__xludf.DUMMYFUNCTION("""COMPUTED_VALUE"""),37967.645833333336)</f>
        <v>37967.64583</v>
      </c>
      <c r="B989" s="2">
        <f>IFERROR(__xludf.DUMMYFUNCTION("""COMPUTED_VALUE"""),35.1)</f>
        <v>35.1</v>
      </c>
      <c r="C989" s="2">
        <f>IFERROR(__xludf.DUMMYFUNCTION("""COMPUTED_VALUE"""),36.74)</f>
        <v>36.74</v>
      </c>
      <c r="D989" s="2">
        <f>IFERROR(__xludf.DUMMYFUNCTION("""COMPUTED_VALUE"""),34.6)</f>
        <v>34.6</v>
      </c>
      <c r="E989" s="2">
        <f>IFERROR(__xludf.DUMMYFUNCTION("""COMPUTED_VALUE"""),36.27)</f>
        <v>36.27</v>
      </c>
      <c r="F989" s="2">
        <f>IFERROR(__xludf.DUMMYFUNCTION("""COMPUTED_VALUE"""),797532.0)</f>
        <v>797532</v>
      </c>
    </row>
    <row r="990">
      <c r="A990" s="3">
        <f>IFERROR(__xludf.DUMMYFUNCTION("""COMPUTED_VALUE"""),37970.645833333336)</f>
        <v>37970.64583</v>
      </c>
      <c r="B990" s="2">
        <f>IFERROR(__xludf.DUMMYFUNCTION("""COMPUTED_VALUE"""),36.59)</f>
        <v>36.59</v>
      </c>
      <c r="C990" s="2">
        <f>IFERROR(__xludf.DUMMYFUNCTION("""COMPUTED_VALUE"""),36.6)</f>
        <v>36.6</v>
      </c>
      <c r="D990" s="2">
        <f>IFERROR(__xludf.DUMMYFUNCTION("""COMPUTED_VALUE"""),35.14)</f>
        <v>35.14</v>
      </c>
      <c r="E990" s="2">
        <f>IFERROR(__xludf.DUMMYFUNCTION("""COMPUTED_VALUE"""),35.37)</f>
        <v>35.37</v>
      </c>
      <c r="F990" s="2">
        <f>IFERROR(__xludf.DUMMYFUNCTION("""COMPUTED_VALUE"""),145727.0)</f>
        <v>145727</v>
      </c>
    </row>
    <row r="991">
      <c r="A991" s="3">
        <f>IFERROR(__xludf.DUMMYFUNCTION("""COMPUTED_VALUE"""),37971.645833333336)</f>
        <v>37971.64583</v>
      </c>
      <c r="B991" s="2">
        <f>IFERROR(__xludf.DUMMYFUNCTION("""COMPUTED_VALUE"""),35.59)</f>
        <v>35.59</v>
      </c>
      <c r="C991" s="2">
        <f>IFERROR(__xludf.DUMMYFUNCTION("""COMPUTED_VALUE"""),36.48)</f>
        <v>36.48</v>
      </c>
      <c r="D991" s="2">
        <f>IFERROR(__xludf.DUMMYFUNCTION("""COMPUTED_VALUE"""),35.46)</f>
        <v>35.46</v>
      </c>
      <c r="E991" s="2">
        <f>IFERROR(__xludf.DUMMYFUNCTION("""COMPUTED_VALUE"""),35.98)</f>
        <v>35.98</v>
      </c>
      <c r="F991" s="2">
        <f>IFERROR(__xludf.DUMMYFUNCTION("""COMPUTED_VALUE"""),378592.0)</f>
        <v>378592</v>
      </c>
    </row>
    <row r="992">
      <c r="A992" s="3">
        <f>IFERROR(__xludf.DUMMYFUNCTION("""COMPUTED_VALUE"""),37972.645833333336)</f>
        <v>37972.64583</v>
      </c>
      <c r="B992" s="2">
        <f>IFERROR(__xludf.DUMMYFUNCTION("""COMPUTED_VALUE"""),35.9)</f>
        <v>35.9</v>
      </c>
      <c r="C992" s="2">
        <f>IFERROR(__xludf.DUMMYFUNCTION("""COMPUTED_VALUE"""),36.1)</f>
        <v>36.1</v>
      </c>
      <c r="D992" s="2">
        <f>IFERROR(__xludf.DUMMYFUNCTION("""COMPUTED_VALUE"""),35.52)</f>
        <v>35.52</v>
      </c>
      <c r="E992" s="2">
        <f>IFERROR(__xludf.DUMMYFUNCTION("""COMPUTED_VALUE"""),35.94)</f>
        <v>35.94</v>
      </c>
      <c r="F992" s="2">
        <f>IFERROR(__xludf.DUMMYFUNCTION("""COMPUTED_VALUE"""),422794.0)</f>
        <v>422794</v>
      </c>
    </row>
    <row r="993">
      <c r="A993" s="3">
        <f>IFERROR(__xludf.DUMMYFUNCTION("""COMPUTED_VALUE"""),37973.645833333336)</f>
        <v>37973.64583</v>
      </c>
      <c r="B993" s="2">
        <f>IFERROR(__xludf.DUMMYFUNCTION("""COMPUTED_VALUE"""),36.0)</f>
        <v>36</v>
      </c>
      <c r="C993" s="2">
        <f>IFERROR(__xludf.DUMMYFUNCTION("""COMPUTED_VALUE"""),36.08)</f>
        <v>36.08</v>
      </c>
      <c r="D993" s="2">
        <f>IFERROR(__xludf.DUMMYFUNCTION("""COMPUTED_VALUE"""),35.16)</f>
        <v>35.16</v>
      </c>
      <c r="E993" s="2">
        <f>IFERROR(__xludf.DUMMYFUNCTION("""COMPUTED_VALUE"""),35.52)</f>
        <v>35.52</v>
      </c>
      <c r="F993" s="2">
        <f>IFERROR(__xludf.DUMMYFUNCTION("""COMPUTED_VALUE"""),254468.0)</f>
        <v>254468</v>
      </c>
    </row>
    <row r="994">
      <c r="A994" s="3">
        <f>IFERROR(__xludf.DUMMYFUNCTION("""COMPUTED_VALUE"""),37974.645833333336)</f>
        <v>37974.64583</v>
      </c>
      <c r="B994" s="2">
        <f>IFERROR(__xludf.DUMMYFUNCTION("""COMPUTED_VALUE"""),35.34)</f>
        <v>35.34</v>
      </c>
      <c r="C994" s="2">
        <f>IFERROR(__xludf.DUMMYFUNCTION("""COMPUTED_VALUE"""),36.0)</f>
        <v>36</v>
      </c>
      <c r="D994" s="2">
        <f>IFERROR(__xludf.DUMMYFUNCTION("""COMPUTED_VALUE"""),35.34)</f>
        <v>35.34</v>
      </c>
      <c r="E994" s="2">
        <f>IFERROR(__xludf.DUMMYFUNCTION("""COMPUTED_VALUE"""),35.83)</f>
        <v>35.83</v>
      </c>
      <c r="F994" s="2">
        <f>IFERROR(__xludf.DUMMYFUNCTION("""COMPUTED_VALUE"""),279470.0)</f>
        <v>279470</v>
      </c>
    </row>
    <row r="995">
      <c r="A995" s="3">
        <f>IFERROR(__xludf.DUMMYFUNCTION("""COMPUTED_VALUE"""),37977.645833333336)</f>
        <v>37977.64583</v>
      </c>
      <c r="B995" s="2">
        <f>IFERROR(__xludf.DUMMYFUNCTION("""COMPUTED_VALUE"""),35.6)</f>
        <v>35.6</v>
      </c>
      <c r="C995" s="2">
        <f>IFERROR(__xludf.DUMMYFUNCTION("""COMPUTED_VALUE"""),36.09)</f>
        <v>36.09</v>
      </c>
      <c r="D995" s="2">
        <f>IFERROR(__xludf.DUMMYFUNCTION("""COMPUTED_VALUE"""),35.6)</f>
        <v>35.6</v>
      </c>
      <c r="E995" s="2">
        <f>IFERROR(__xludf.DUMMYFUNCTION("""COMPUTED_VALUE"""),35.95)</f>
        <v>35.95</v>
      </c>
      <c r="F995" s="2">
        <f>IFERROR(__xludf.DUMMYFUNCTION("""COMPUTED_VALUE"""),200101.0)</f>
        <v>200101</v>
      </c>
    </row>
    <row r="996">
      <c r="A996" s="3">
        <f>IFERROR(__xludf.DUMMYFUNCTION("""COMPUTED_VALUE"""),37978.645833333336)</f>
        <v>37978.64583</v>
      </c>
      <c r="B996" s="2">
        <f>IFERROR(__xludf.DUMMYFUNCTION("""COMPUTED_VALUE"""),35.9)</f>
        <v>35.9</v>
      </c>
      <c r="C996" s="2">
        <f>IFERROR(__xludf.DUMMYFUNCTION("""COMPUTED_VALUE"""),36.5)</f>
        <v>36.5</v>
      </c>
      <c r="D996" s="2">
        <f>IFERROR(__xludf.DUMMYFUNCTION("""COMPUTED_VALUE"""),35.1)</f>
        <v>35.1</v>
      </c>
      <c r="E996" s="2">
        <f>IFERROR(__xludf.DUMMYFUNCTION("""COMPUTED_VALUE"""),35.25)</f>
        <v>35.25</v>
      </c>
      <c r="F996" s="2">
        <f>IFERROR(__xludf.DUMMYFUNCTION("""COMPUTED_VALUE"""),174916.0)</f>
        <v>174916</v>
      </c>
    </row>
    <row r="997">
      <c r="A997" s="3">
        <f>IFERROR(__xludf.DUMMYFUNCTION("""COMPUTED_VALUE"""),37979.645833333336)</f>
        <v>37979.64583</v>
      </c>
      <c r="B997" s="2">
        <f>IFERROR(__xludf.DUMMYFUNCTION("""COMPUTED_VALUE"""),35.64)</f>
        <v>35.64</v>
      </c>
      <c r="C997" s="2">
        <f>IFERROR(__xludf.DUMMYFUNCTION("""COMPUTED_VALUE"""),36.07)</f>
        <v>36.07</v>
      </c>
      <c r="D997" s="2">
        <f>IFERROR(__xludf.DUMMYFUNCTION("""COMPUTED_VALUE"""),35.21)</f>
        <v>35.21</v>
      </c>
      <c r="E997" s="2">
        <f>IFERROR(__xludf.DUMMYFUNCTION("""COMPUTED_VALUE"""),36.01)</f>
        <v>36.01</v>
      </c>
      <c r="F997" s="2">
        <f>IFERROR(__xludf.DUMMYFUNCTION("""COMPUTED_VALUE"""),210119.0)</f>
        <v>210119</v>
      </c>
    </row>
    <row r="998">
      <c r="A998" s="3">
        <f>IFERROR(__xludf.DUMMYFUNCTION("""COMPUTED_VALUE"""),37981.645833333336)</f>
        <v>37981.64583</v>
      </c>
      <c r="B998" s="2">
        <f>IFERROR(__xludf.DUMMYFUNCTION("""COMPUTED_VALUE"""),36.0)</f>
        <v>36</v>
      </c>
      <c r="C998" s="2">
        <f>IFERROR(__xludf.DUMMYFUNCTION("""COMPUTED_VALUE"""),36.5)</f>
        <v>36.5</v>
      </c>
      <c r="D998" s="2">
        <f>IFERROR(__xludf.DUMMYFUNCTION("""COMPUTED_VALUE"""),35.5)</f>
        <v>35.5</v>
      </c>
      <c r="E998" s="2">
        <f>IFERROR(__xludf.DUMMYFUNCTION("""COMPUTED_VALUE"""),35.86)</f>
        <v>35.86</v>
      </c>
      <c r="F998" s="2">
        <f>IFERROR(__xludf.DUMMYFUNCTION("""COMPUTED_VALUE"""),138438.0)</f>
        <v>138438</v>
      </c>
    </row>
    <row r="999">
      <c r="A999" s="3">
        <f>IFERROR(__xludf.DUMMYFUNCTION("""COMPUTED_VALUE"""),37984.645833333336)</f>
        <v>37984.64583</v>
      </c>
      <c r="B999" s="2">
        <f>IFERROR(__xludf.DUMMYFUNCTION("""COMPUTED_VALUE"""),36.2)</f>
        <v>36.2</v>
      </c>
      <c r="C999" s="2">
        <f>IFERROR(__xludf.DUMMYFUNCTION("""COMPUTED_VALUE"""),38.51)</f>
        <v>38.51</v>
      </c>
      <c r="D999" s="2">
        <f>IFERROR(__xludf.DUMMYFUNCTION("""COMPUTED_VALUE"""),36.2)</f>
        <v>36.2</v>
      </c>
      <c r="E999" s="2">
        <f>IFERROR(__xludf.DUMMYFUNCTION("""COMPUTED_VALUE"""),37.98)</f>
        <v>37.98</v>
      </c>
      <c r="F999" s="2">
        <f>IFERROR(__xludf.DUMMYFUNCTION("""COMPUTED_VALUE"""),397287.0)</f>
        <v>397287</v>
      </c>
    </row>
    <row r="1000">
      <c r="A1000" s="3">
        <f>IFERROR(__xludf.DUMMYFUNCTION("""COMPUTED_VALUE"""),37985.645833333336)</f>
        <v>37985.64583</v>
      </c>
      <c r="B1000" s="2">
        <f>IFERROR(__xludf.DUMMYFUNCTION("""COMPUTED_VALUE"""),38.1)</f>
        <v>38.1</v>
      </c>
      <c r="C1000" s="2">
        <f>IFERROR(__xludf.DUMMYFUNCTION("""COMPUTED_VALUE"""),38.38)</f>
        <v>38.38</v>
      </c>
      <c r="D1000" s="2">
        <f>IFERROR(__xludf.DUMMYFUNCTION("""COMPUTED_VALUE"""),36.5)</f>
        <v>36.5</v>
      </c>
      <c r="E1000" s="2">
        <f>IFERROR(__xludf.DUMMYFUNCTION("""COMPUTED_VALUE"""),36.81)</f>
        <v>36.81</v>
      </c>
      <c r="F1000" s="2">
        <f>IFERROR(__xludf.DUMMYFUNCTION("""COMPUTED_VALUE"""),1049503.0)</f>
        <v>1049503</v>
      </c>
    </row>
    <row r="1001">
      <c r="A1001" s="3">
        <f>IFERROR(__xludf.DUMMYFUNCTION("""COMPUTED_VALUE"""),37986.645833333336)</f>
        <v>37986.64583</v>
      </c>
      <c r="B1001" s="2">
        <f>IFERROR(__xludf.DUMMYFUNCTION("""COMPUTED_VALUE"""),37.0)</f>
        <v>37</v>
      </c>
      <c r="C1001" s="2">
        <f>IFERROR(__xludf.DUMMYFUNCTION("""COMPUTED_VALUE"""),37.75)</f>
        <v>37.75</v>
      </c>
      <c r="D1001" s="2">
        <f>IFERROR(__xludf.DUMMYFUNCTION("""COMPUTED_VALUE"""),36.32)</f>
        <v>36.32</v>
      </c>
      <c r="E1001" s="2">
        <f>IFERROR(__xludf.DUMMYFUNCTION("""COMPUTED_VALUE"""),36.51)</f>
        <v>36.51</v>
      </c>
      <c r="F1001" s="2">
        <f>IFERROR(__xludf.DUMMYFUNCTION("""COMPUTED_VALUE"""),221920.0)</f>
        <v>221920</v>
      </c>
    </row>
    <row r="1002">
      <c r="A1002" s="3">
        <f>IFERROR(__xludf.DUMMYFUNCTION("""COMPUTED_VALUE"""),37987.645833333336)</f>
        <v>37987.64583</v>
      </c>
      <c r="B1002" s="2">
        <f>IFERROR(__xludf.DUMMYFUNCTION("""COMPUTED_VALUE"""),36.3)</f>
        <v>36.3</v>
      </c>
      <c r="C1002" s="2">
        <f>IFERROR(__xludf.DUMMYFUNCTION("""COMPUTED_VALUE"""),36.8)</f>
        <v>36.8</v>
      </c>
      <c r="D1002" s="2">
        <f>IFERROR(__xludf.DUMMYFUNCTION("""COMPUTED_VALUE"""),35.95)</f>
        <v>35.95</v>
      </c>
      <c r="E1002" s="2">
        <f>IFERROR(__xludf.DUMMYFUNCTION("""COMPUTED_VALUE"""),36.67)</f>
        <v>36.67</v>
      </c>
      <c r="F1002" s="2">
        <f>IFERROR(__xludf.DUMMYFUNCTION("""COMPUTED_VALUE"""),188854.0)</f>
        <v>188854</v>
      </c>
    </row>
    <row r="1003">
      <c r="A1003" s="3">
        <f>IFERROR(__xludf.DUMMYFUNCTION("""COMPUTED_VALUE"""),37988.645833333336)</f>
        <v>37988.64583</v>
      </c>
      <c r="B1003" s="2">
        <f>IFERROR(__xludf.DUMMYFUNCTION("""COMPUTED_VALUE"""),37.38)</f>
        <v>37.38</v>
      </c>
      <c r="C1003" s="2">
        <f>IFERROR(__xludf.DUMMYFUNCTION("""COMPUTED_VALUE"""),37.51)</f>
        <v>37.51</v>
      </c>
      <c r="D1003" s="2">
        <f>IFERROR(__xludf.DUMMYFUNCTION("""COMPUTED_VALUE"""),35.84)</f>
        <v>35.84</v>
      </c>
      <c r="E1003" s="2">
        <f>IFERROR(__xludf.DUMMYFUNCTION("""COMPUTED_VALUE"""),36.29)</f>
        <v>36.29</v>
      </c>
      <c r="F1003" s="2">
        <f>IFERROR(__xludf.DUMMYFUNCTION("""COMPUTED_VALUE"""),460975.0)</f>
        <v>460975</v>
      </c>
    </row>
    <row r="1004">
      <c r="A1004" s="3">
        <f>IFERROR(__xludf.DUMMYFUNCTION("""COMPUTED_VALUE"""),37991.645833333336)</f>
        <v>37991.64583</v>
      </c>
      <c r="B1004" s="2">
        <f>IFERROR(__xludf.DUMMYFUNCTION("""COMPUTED_VALUE"""),36.8)</f>
        <v>36.8</v>
      </c>
      <c r="C1004" s="2">
        <f>IFERROR(__xludf.DUMMYFUNCTION("""COMPUTED_VALUE"""),37.15)</f>
        <v>37.15</v>
      </c>
      <c r="D1004" s="2">
        <f>IFERROR(__xludf.DUMMYFUNCTION("""COMPUTED_VALUE"""),36.25)</f>
        <v>36.25</v>
      </c>
      <c r="E1004" s="2">
        <f>IFERROR(__xludf.DUMMYFUNCTION("""COMPUTED_VALUE"""),36.52)</f>
        <v>36.52</v>
      </c>
      <c r="F1004" s="2">
        <f>IFERROR(__xludf.DUMMYFUNCTION("""COMPUTED_VALUE"""),293251.0)</f>
        <v>293251</v>
      </c>
    </row>
    <row r="1005">
      <c r="A1005" s="3">
        <f>IFERROR(__xludf.DUMMYFUNCTION("""COMPUTED_VALUE"""),37992.645833333336)</f>
        <v>37992.64583</v>
      </c>
      <c r="B1005" s="2">
        <f>IFERROR(__xludf.DUMMYFUNCTION("""COMPUTED_VALUE"""),36.03)</f>
        <v>36.03</v>
      </c>
      <c r="C1005" s="2">
        <f>IFERROR(__xludf.DUMMYFUNCTION("""COMPUTED_VALUE"""),37.24)</f>
        <v>37.24</v>
      </c>
      <c r="D1005" s="2">
        <f>IFERROR(__xludf.DUMMYFUNCTION("""COMPUTED_VALUE"""),35.9)</f>
        <v>35.9</v>
      </c>
      <c r="E1005" s="2">
        <f>IFERROR(__xludf.DUMMYFUNCTION("""COMPUTED_VALUE"""),36.15)</f>
        <v>36.15</v>
      </c>
      <c r="F1005" s="2">
        <f>IFERROR(__xludf.DUMMYFUNCTION("""COMPUTED_VALUE"""),438381.0)</f>
        <v>438381</v>
      </c>
    </row>
    <row r="1006">
      <c r="A1006" s="3">
        <f>IFERROR(__xludf.DUMMYFUNCTION("""COMPUTED_VALUE"""),37993.645833333336)</f>
        <v>37993.64583</v>
      </c>
      <c r="B1006" s="2">
        <f>IFERROR(__xludf.DUMMYFUNCTION("""COMPUTED_VALUE"""),36.3)</f>
        <v>36.3</v>
      </c>
      <c r="C1006" s="2">
        <f>IFERROR(__xludf.DUMMYFUNCTION("""COMPUTED_VALUE"""),37.0)</f>
        <v>37</v>
      </c>
      <c r="D1006" s="2">
        <f>IFERROR(__xludf.DUMMYFUNCTION("""COMPUTED_VALUE"""),35.73)</f>
        <v>35.73</v>
      </c>
      <c r="E1006" s="2">
        <f>IFERROR(__xludf.DUMMYFUNCTION("""COMPUTED_VALUE"""),36.09)</f>
        <v>36.09</v>
      </c>
      <c r="F1006" s="2">
        <f>IFERROR(__xludf.DUMMYFUNCTION("""COMPUTED_VALUE"""),386085.0)</f>
        <v>386085</v>
      </c>
    </row>
    <row r="1007">
      <c r="A1007" s="3">
        <f>IFERROR(__xludf.DUMMYFUNCTION("""COMPUTED_VALUE"""),37994.645833333336)</f>
        <v>37994.64583</v>
      </c>
      <c r="B1007" s="2">
        <f>IFERROR(__xludf.DUMMYFUNCTION("""COMPUTED_VALUE"""),36.15)</f>
        <v>36.15</v>
      </c>
      <c r="C1007" s="2">
        <f>IFERROR(__xludf.DUMMYFUNCTION("""COMPUTED_VALUE"""),36.4)</f>
        <v>36.4</v>
      </c>
      <c r="D1007" s="2">
        <f>IFERROR(__xludf.DUMMYFUNCTION("""COMPUTED_VALUE"""),35.32)</f>
        <v>35.32</v>
      </c>
      <c r="E1007" s="2">
        <f>IFERROR(__xludf.DUMMYFUNCTION("""COMPUTED_VALUE"""),36.17)</f>
        <v>36.17</v>
      </c>
      <c r="F1007" s="2">
        <f>IFERROR(__xludf.DUMMYFUNCTION("""COMPUTED_VALUE"""),644874.0)</f>
        <v>644874</v>
      </c>
    </row>
    <row r="1008">
      <c r="A1008" s="3">
        <f>IFERROR(__xludf.DUMMYFUNCTION("""COMPUTED_VALUE"""),37995.645833333336)</f>
        <v>37995.64583</v>
      </c>
      <c r="B1008" s="2">
        <f>IFERROR(__xludf.DUMMYFUNCTION("""COMPUTED_VALUE"""),36.56)</f>
        <v>36.56</v>
      </c>
      <c r="C1008" s="2">
        <f>IFERROR(__xludf.DUMMYFUNCTION("""COMPUTED_VALUE"""),38.6)</f>
        <v>38.6</v>
      </c>
      <c r="D1008" s="2">
        <f>IFERROR(__xludf.DUMMYFUNCTION("""COMPUTED_VALUE"""),36.3)</f>
        <v>36.3</v>
      </c>
      <c r="E1008" s="2">
        <f>IFERROR(__xludf.DUMMYFUNCTION("""COMPUTED_VALUE"""),36.85)</f>
        <v>36.85</v>
      </c>
      <c r="F1008" s="2">
        <f>IFERROR(__xludf.DUMMYFUNCTION("""COMPUTED_VALUE"""),987734.0)</f>
        <v>987734</v>
      </c>
    </row>
    <row r="1009">
      <c r="A1009" s="3">
        <f>IFERROR(__xludf.DUMMYFUNCTION("""COMPUTED_VALUE"""),37998.645833333336)</f>
        <v>37998.64583</v>
      </c>
      <c r="B1009" s="2">
        <f>IFERROR(__xludf.DUMMYFUNCTION("""COMPUTED_VALUE"""),36.65)</f>
        <v>36.65</v>
      </c>
      <c r="C1009" s="2">
        <f>IFERROR(__xludf.DUMMYFUNCTION("""COMPUTED_VALUE"""),36.92)</f>
        <v>36.92</v>
      </c>
      <c r="D1009" s="2">
        <f>IFERROR(__xludf.DUMMYFUNCTION("""COMPUTED_VALUE"""),36.31)</f>
        <v>36.31</v>
      </c>
      <c r="E1009" s="2">
        <f>IFERROR(__xludf.DUMMYFUNCTION("""COMPUTED_VALUE"""),36.49)</f>
        <v>36.49</v>
      </c>
      <c r="F1009" s="2">
        <f>IFERROR(__xludf.DUMMYFUNCTION("""COMPUTED_VALUE"""),586876.0)</f>
        <v>586876</v>
      </c>
    </row>
    <row r="1010">
      <c r="A1010" s="3">
        <f>IFERROR(__xludf.DUMMYFUNCTION("""COMPUTED_VALUE"""),37999.645833333336)</f>
        <v>37999.64583</v>
      </c>
      <c r="B1010" s="2">
        <f>IFERROR(__xludf.DUMMYFUNCTION("""COMPUTED_VALUE"""),36.5)</f>
        <v>36.5</v>
      </c>
      <c r="C1010" s="2">
        <f>IFERROR(__xludf.DUMMYFUNCTION("""COMPUTED_VALUE"""),36.66)</f>
        <v>36.66</v>
      </c>
      <c r="D1010" s="2">
        <f>IFERROR(__xludf.DUMMYFUNCTION("""COMPUTED_VALUE"""),36.21)</f>
        <v>36.21</v>
      </c>
      <c r="E1010" s="2">
        <f>IFERROR(__xludf.DUMMYFUNCTION("""COMPUTED_VALUE"""),36.49)</f>
        <v>36.49</v>
      </c>
      <c r="F1010" s="2">
        <f>IFERROR(__xludf.DUMMYFUNCTION("""COMPUTED_VALUE"""),643660.0)</f>
        <v>643660</v>
      </c>
    </row>
    <row r="1011">
      <c r="A1011" s="3">
        <f>IFERROR(__xludf.DUMMYFUNCTION("""COMPUTED_VALUE"""),38000.645833333336)</f>
        <v>38000.64583</v>
      </c>
      <c r="B1011" s="2">
        <f>IFERROR(__xludf.DUMMYFUNCTION("""COMPUTED_VALUE"""),36.61)</f>
        <v>36.61</v>
      </c>
      <c r="C1011" s="2">
        <f>IFERROR(__xludf.DUMMYFUNCTION("""COMPUTED_VALUE"""),36.92)</f>
        <v>36.92</v>
      </c>
      <c r="D1011" s="2">
        <f>IFERROR(__xludf.DUMMYFUNCTION("""COMPUTED_VALUE"""),36.3)</f>
        <v>36.3</v>
      </c>
      <c r="E1011" s="2">
        <f>IFERROR(__xludf.DUMMYFUNCTION("""COMPUTED_VALUE"""),36.78)</f>
        <v>36.78</v>
      </c>
      <c r="F1011" s="2">
        <f>IFERROR(__xludf.DUMMYFUNCTION("""COMPUTED_VALUE"""),688836.0)</f>
        <v>688836</v>
      </c>
    </row>
    <row r="1012">
      <c r="A1012" s="3">
        <f>IFERROR(__xludf.DUMMYFUNCTION("""COMPUTED_VALUE"""),38001.645833333336)</f>
        <v>38001.64583</v>
      </c>
      <c r="B1012" s="2">
        <f>IFERROR(__xludf.DUMMYFUNCTION("""COMPUTED_VALUE"""),37.1)</f>
        <v>37.1</v>
      </c>
      <c r="C1012" s="2">
        <f>IFERROR(__xludf.DUMMYFUNCTION("""COMPUTED_VALUE"""),40.3)</f>
        <v>40.3</v>
      </c>
      <c r="D1012" s="2">
        <f>IFERROR(__xludf.DUMMYFUNCTION("""COMPUTED_VALUE"""),37.1)</f>
        <v>37.1</v>
      </c>
      <c r="E1012" s="2">
        <f>IFERROR(__xludf.DUMMYFUNCTION("""COMPUTED_VALUE"""),38.51)</f>
        <v>38.51</v>
      </c>
      <c r="F1012" s="2">
        <f>IFERROR(__xludf.DUMMYFUNCTION("""COMPUTED_VALUE"""),1504691.0)</f>
        <v>1504691</v>
      </c>
    </row>
    <row r="1013">
      <c r="A1013" s="3">
        <f>IFERROR(__xludf.DUMMYFUNCTION("""COMPUTED_VALUE"""),38002.645833333336)</f>
        <v>38002.64583</v>
      </c>
      <c r="B1013" s="2">
        <f>IFERROR(__xludf.DUMMYFUNCTION("""COMPUTED_VALUE"""),38.71)</f>
        <v>38.71</v>
      </c>
      <c r="C1013" s="2">
        <f>IFERROR(__xludf.DUMMYFUNCTION("""COMPUTED_VALUE"""),40.05)</f>
        <v>40.05</v>
      </c>
      <c r="D1013" s="2">
        <f>IFERROR(__xludf.DUMMYFUNCTION("""COMPUTED_VALUE"""),37.21)</f>
        <v>37.21</v>
      </c>
      <c r="E1013" s="2">
        <f>IFERROR(__xludf.DUMMYFUNCTION("""COMPUTED_VALUE"""),38.17)</f>
        <v>38.17</v>
      </c>
      <c r="F1013" s="2">
        <f>IFERROR(__xludf.DUMMYFUNCTION("""COMPUTED_VALUE"""),887834.0)</f>
        <v>887834</v>
      </c>
    </row>
    <row r="1014">
      <c r="A1014" s="3">
        <f>IFERROR(__xludf.DUMMYFUNCTION("""COMPUTED_VALUE"""),38005.645833333336)</f>
        <v>38005.64583</v>
      </c>
      <c r="B1014" s="2">
        <f>IFERROR(__xludf.DUMMYFUNCTION("""COMPUTED_VALUE"""),38.49)</f>
        <v>38.49</v>
      </c>
      <c r="C1014" s="2">
        <f>IFERROR(__xludf.DUMMYFUNCTION("""COMPUTED_VALUE"""),38.49)</f>
        <v>38.49</v>
      </c>
      <c r="D1014" s="2">
        <f>IFERROR(__xludf.DUMMYFUNCTION("""COMPUTED_VALUE"""),36.8)</f>
        <v>36.8</v>
      </c>
      <c r="E1014" s="2">
        <f>IFERROR(__xludf.DUMMYFUNCTION("""COMPUTED_VALUE"""),36.99)</f>
        <v>36.99</v>
      </c>
      <c r="F1014" s="2">
        <f>IFERROR(__xludf.DUMMYFUNCTION("""COMPUTED_VALUE"""),620088.0)</f>
        <v>620088</v>
      </c>
    </row>
    <row r="1015">
      <c r="A1015" s="3">
        <f>IFERROR(__xludf.DUMMYFUNCTION("""COMPUTED_VALUE"""),38006.645833333336)</f>
        <v>38006.64583</v>
      </c>
      <c r="B1015" s="2">
        <f>IFERROR(__xludf.DUMMYFUNCTION("""COMPUTED_VALUE"""),37.1)</f>
        <v>37.1</v>
      </c>
      <c r="C1015" s="2">
        <f>IFERROR(__xludf.DUMMYFUNCTION("""COMPUTED_VALUE"""),38.09)</f>
        <v>38.09</v>
      </c>
      <c r="D1015" s="2">
        <f>IFERROR(__xludf.DUMMYFUNCTION("""COMPUTED_VALUE"""),36.8)</f>
        <v>36.8</v>
      </c>
      <c r="E1015" s="2">
        <f>IFERROR(__xludf.DUMMYFUNCTION("""COMPUTED_VALUE"""),36.99)</f>
        <v>36.99</v>
      </c>
      <c r="F1015" s="2">
        <f>IFERROR(__xludf.DUMMYFUNCTION("""COMPUTED_VALUE"""),709717.0)</f>
        <v>709717</v>
      </c>
    </row>
    <row r="1016">
      <c r="A1016" s="3">
        <f>IFERROR(__xludf.DUMMYFUNCTION("""COMPUTED_VALUE"""),38007.645833333336)</f>
        <v>38007.64583</v>
      </c>
      <c r="B1016" s="2">
        <f>IFERROR(__xludf.DUMMYFUNCTION("""COMPUTED_VALUE"""),37.0)</f>
        <v>37</v>
      </c>
      <c r="C1016" s="2">
        <f>IFERROR(__xludf.DUMMYFUNCTION("""COMPUTED_VALUE"""),37.1)</f>
        <v>37.1</v>
      </c>
      <c r="D1016" s="2">
        <f>IFERROR(__xludf.DUMMYFUNCTION("""COMPUTED_VALUE"""),36.05)</f>
        <v>36.05</v>
      </c>
      <c r="E1016" s="2">
        <f>IFERROR(__xludf.DUMMYFUNCTION("""COMPUTED_VALUE"""),36.92)</f>
        <v>36.92</v>
      </c>
      <c r="F1016" s="2">
        <f>IFERROR(__xludf.DUMMYFUNCTION("""COMPUTED_VALUE"""),663593.0)</f>
        <v>663593</v>
      </c>
    </row>
    <row r="1017">
      <c r="A1017" s="3">
        <f>IFERROR(__xludf.DUMMYFUNCTION("""COMPUTED_VALUE"""),38008.645833333336)</f>
        <v>38008.64583</v>
      </c>
      <c r="B1017" s="2">
        <f>IFERROR(__xludf.DUMMYFUNCTION("""COMPUTED_VALUE"""),37.75)</f>
        <v>37.75</v>
      </c>
      <c r="C1017" s="2">
        <f>IFERROR(__xludf.DUMMYFUNCTION("""COMPUTED_VALUE"""),37.78)</f>
        <v>37.78</v>
      </c>
      <c r="D1017" s="2">
        <f>IFERROR(__xludf.DUMMYFUNCTION("""COMPUTED_VALUE"""),36.42)</f>
        <v>36.42</v>
      </c>
      <c r="E1017" s="2">
        <f>IFERROR(__xludf.DUMMYFUNCTION("""COMPUTED_VALUE"""),36.68)</f>
        <v>36.68</v>
      </c>
      <c r="F1017" s="2">
        <f>IFERROR(__xludf.DUMMYFUNCTION("""COMPUTED_VALUE"""),510394.0)</f>
        <v>510394</v>
      </c>
    </row>
    <row r="1018">
      <c r="A1018" s="3">
        <f>IFERROR(__xludf.DUMMYFUNCTION("""COMPUTED_VALUE"""),38009.645833333336)</f>
        <v>38009.64583</v>
      </c>
      <c r="B1018" s="2">
        <f>IFERROR(__xludf.DUMMYFUNCTION("""COMPUTED_VALUE"""),35.2)</f>
        <v>35.2</v>
      </c>
      <c r="C1018" s="2">
        <f>IFERROR(__xludf.DUMMYFUNCTION("""COMPUTED_VALUE"""),37.34)</f>
        <v>37.34</v>
      </c>
      <c r="D1018" s="2">
        <f>IFERROR(__xludf.DUMMYFUNCTION("""COMPUTED_VALUE"""),30.06)</f>
        <v>30.06</v>
      </c>
      <c r="E1018" s="2">
        <f>IFERROR(__xludf.DUMMYFUNCTION("""COMPUTED_VALUE"""),36.49)</f>
        <v>36.49</v>
      </c>
      <c r="F1018" s="2">
        <f>IFERROR(__xludf.DUMMYFUNCTION("""COMPUTED_VALUE"""),272725.0)</f>
        <v>272725</v>
      </c>
    </row>
    <row r="1019">
      <c r="A1019" s="3">
        <f>IFERROR(__xludf.DUMMYFUNCTION("""COMPUTED_VALUE"""),38013.645833333336)</f>
        <v>38013.64583</v>
      </c>
      <c r="B1019" s="2">
        <f>IFERROR(__xludf.DUMMYFUNCTION("""COMPUTED_VALUE"""),36.48)</f>
        <v>36.48</v>
      </c>
      <c r="C1019" s="2">
        <f>IFERROR(__xludf.DUMMYFUNCTION("""COMPUTED_VALUE"""),37.2)</f>
        <v>37.2</v>
      </c>
      <c r="D1019" s="2">
        <f>IFERROR(__xludf.DUMMYFUNCTION("""COMPUTED_VALUE"""),36.01)</f>
        <v>36.01</v>
      </c>
      <c r="E1019" s="2">
        <f>IFERROR(__xludf.DUMMYFUNCTION("""COMPUTED_VALUE"""),36.56)</f>
        <v>36.56</v>
      </c>
      <c r="F1019" s="2">
        <f>IFERROR(__xludf.DUMMYFUNCTION("""COMPUTED_VALUE"""),354858.0)</f>
        <v>354858</v>
      </c>
    </row>
    <row r="1020">
      <c r="A1020" s="3">
        <f>IFERROR(__xludf.DUMMYFUNCTION("""COMPUTED_VALUE"""),38014.645833333336)</f>
        <v>38014.64583</v>
      </c>
      <c r="B1020" s="2">
        <f>IFERROR(__xludf.DUMMYFUNCTION("""COMPUTED_VALUE"""),40.67)</f>
        <v>40.67</v>
      </c>
      <c r="C1020" s="2">
        <f>IFERROR(__xludf.DUMMYFUNCTION("""COMPUTED_VALUE"""),40.67)</f>
        <v>40.67</v>
      </c>
      <c r="D1020" s="2">
        <f>IFERROR(__xludf.DUMMYFUNCTION("""COMPUTED_VALUE"""),35.7)</f>
        <v>35.7</v>
      </c>
      <c r="E1020" s="2">
        <f>IFERROR(__xludf.DUMMYFUNCTION("""COMPUTED_VALUE"""),36.02)</f>
        <v>36.02</v>
      </c>
      <c r="F1020" s="2">
        <f>IFERROR(__xludf.DUMMYFUNCTION("""COMPUTED_VALUE"""),337460.0)</f>
        <v>337460</v>
      </c>
    </row>
    <row r="1021">
      <c r="A1021" s="3">
        <f>IFERROR(__xludf.DUMMYFUNCTION("""COMPUTED_VALUE"""),38015.645833333336)</f>
        <v>38015.64583</v>
      </c>
      <c r="B1021" s="2">
        <f>IFERROR(__xludf.DUMMYFUNCTION("""COMPUTED_VALUE"""),36.0)</f>
        <v>36</v>
      </c>
      <c r="C1021" s="2">
        <f>IFERROR(__xludf.DUMMYFUNCTION("""COMPUTED_VALUE"""),37.48)</f>
        <v>37.48</v>
      </c>
      <c r="D1021" s="2">
        <f>IFERROR(__xludf.DUMMYFUNCTION("""COMPUTED_VALUE"""),34.53)</f>
        <v>34.53</v>
      </c>
      <c r="E1021" s="2">
        <f>IFERROR(__xludf.DUMMYFUNCTION("""COMPUTED_VALUE"""),35.6)</f>
        <v>35.6</v>
      </c>
      <c r="F1021" s="2">
        <f>IFERROR(__xludf.DUMMYFUNCTION("""COMPUTED_VALUE"""),407486.0)</f>
        <v>407486</v>
      </c>
    </row>
    <row r="1022">
      <c r="A1022" s="3">
        <f>IFERROR(__xludf.DUMMYFUNCTION("""COMPUTED_VALUE"""),38016.645833333336)</f>
        <v>38016.64583</v>
      </c>
      <c r="B1022" s="2">
        <f>IFERROR(__xludf.DUMMYFUNCTION("""COMPUTED_VALUE"""),35.3)</f>
        <v>35.3</v>
      </c>
      <c r="C1022" s="2">
        <f>IFERROR(__xludf.DUMMYFUNCTION("""COMPUTED_VALUE"""),35.3)</f>
        <v>35.3</v>
      </c>
      <c r="D1022" s="2">
        <f>IFERROR(__xludf.DUMMYFUNCTION("""COMPUTED_VALUE"""),33.55)</f>
        <v>33.55</v>
      </c>
      <c r="E1022" s="2">
        <f>IFERROR(__xludf.DUMMYFUNCTION("""COMPUTED_VALUE"""),34.5)</f>
        <v>34.5</v>
      </c>
      <c r="F1022" s="2">
        <f>IFERROR(__xludf.DUMMYFUNCTION("""COMPUTED_VALUE"""),238679.0)</f>
        <v>238679</v>
      </c>
    </row>
    <row r="1023">
      <c r="A1023" s="3">
        <f>IFERROR(__xludf.DUMMYFUNCTION("""COMPUTED_VALUE"""),38020.645833333336)</f>
        <v>38020.64583</v>
      </c>
      <c r="B1023" s="2">
        <f>IFERROR(__xludf.DUMMYFUNCTION("""COMPUTED_VALUE"""),34.0)</f>
        <v>34</v>
      </c>
      <c r="C1023" s="2">
        <f>IFERROR(__xludf.DUMMYFUNCTION("""COMPUTED_VALUE"""),35.2)</f>
        <v>35.2</v>
      </c>
      <c r="D1023" s="2">
        <f>IFERROR(__xludf.DUMMYFUNCTION("""COMPUTED_VALUE"""),33.0)</f>
        <v>33</v>
      </c>
      <c r="E1023" s="2">
        <f>IFERROR(__xludf.DUMMYFUNCTION("""COMPUTED_VALUE"""),33.67)</f>
        <v>33.67</v>
      </c>
      <c r="F1023" s="2">
        <f>IFERROR(__xludf.DUMMYFUNCTION("""COMPUTED_VALUE"""),627827.0)</f>
        <v>627827</v>
      </c>
    </row>
    <row r="1024">
      <c r="A1024" s="3">
        <f>IFERROR(__xludf.DUMMYFUNCTION("""COMPUTED_VALUE"""),38021.645833333336)</f>
        <v>38021.64583</v>
      </c>
      <c r="B1024" s="2">
        <f>IFERROR(__xludf.DUMMYFUNCTION("""COMPUTED_VALUE"""),33.18)</f>
        <v>33.18</v>
      </c>
      <c r="C1024" s="2">
        <f>IFERROR(__xludf.DUMMYFUNCTION("""COMPUTED_VALUE"""),35.39)</f>
        <v>35.39</v>
      </c>
      <c r="D1024" s="2">
        <f>IFERROR(__xludf.DUMMYFUNCTION("""COMPUTED_VALUE"""),32.55)</f>
        <v>32.55</v>
      </c>
      <c r="E1024" s="2">
        <f>IFERROR(__xludf.DUMMYFUNCTION("""COMPUTED_VALUE"""),35.0)</f>
        <v>35</v>
      </c>
      <c r="F1024" s="2">
        <f>IFERROR(__xludf.DUMMYFUNCTION("""COMPUTED_VALUE"""),292302.0)</f>
        <v>292302</v>
      </c>
    </row>
    <row r="1025">
      <c r="A1025" s="3">
        <f>IFERROR(__xludf.DUMMYFUNCTION("""COMPUTED_VALUE"""),38022.645833333336)</f>
        <v>38022.64583</v>
      </c>
      <c r="B1025" s="2">
        <f>IFERROR(__xludf.DUMMYFUNCTION("""COMPUTED_VALUE"""),34.83)</f>
        <v>34.83</v>
      </c>
      <c r="C1025" s="2">
        <f>IFERROR(__xludf.DUMMYFUNCTION("""COMPUTED_VALUE"""),36.0)</f>
        <v>36</v>
      </c>
      <c r="D1025" s="2">
        <f>IFERROR(__xludf.DUMMYFUNCTION("""COMPUTED_VALUE"""),34.51)</f>
        <v>34.51</v>
      </c>
      <c r="E1025" s="2">
        <f>IFERROR(__xludf.DUMMYFUNCTION("""COMPUTED_VALUE"""),35.67)</f>
        <v>35.67</v>
      </c>
      <c r="F1025" s="2">
        <f>IFERROR(__xludf.DUMMYFUNCTION("""COMPUTED_VALUE"""),296028.0)</f>
        <v>296028</v>
      </c>
    </row>
    <row r="1026">
      <c r="A1026" s="3">
        <f>IFERROR(__xludf.DUMMYFUNCTION("""COMPUTED_VALUE"""),38023.645833333336)</f>
        <v>38023.64583</v>
      </c>
      <c r="B1026" s="2">
        <f>IFERROR(__xludf.DUMMYFUNCTION("""COMPUTED_VALUE"""),35.85)</f>
        <v>35.85</v>
      </c>
      <c r="C1026" s="2">
        <f>IFERROR(__xludf.DUMMYFUNCTION("""COMPUTED_VALUE"""),36.0)</f>
        <v>36</v>
      </c>
      <c r="D1026" s="2">
        <f>IFERROR(__xludf.DUMMYFUNCTION("""COMPUTED_VALUE"""),34.53)</f>
        <v>34.53</v>
      </c>
      <c r="E1026" s="2">
        <f>IFERROR(__xludf.DUMMYFUNCTION("""COMPUTED_VALUE"""),35.48)</f>
        <v>35.48</v>
      </c>
      <c r="F1026" s="2">
        <f>IFERROR(__xludf.DUMMYFUNCTION("""COMPUTED_VALUE"""),379995.0)</f>
        <v>379995</v>
      </c>
    </row>
    <row r="1027">
      <c r="A1027" s="3">
        <f>IFERROR(__xludf.DUMMYFUNCTION("""COMPUTED_VALUE"""),38026.645833333336)</f>
        <v>38026.64583</v>
      </c>
      <c r="B1027" s="2">
        <f>IFERROR(__xludf.DUMMYFUNCTION("""COMPUTED_VALUE"""),35.95)</f>
        <v>35.95</v>
      </c>
      <c r="C1027" s="2">
        <f>IFERROR(__xludf.DUMMYFUNCTION("""COMPUTED_VALUE"""),36.75)</f>
        <v>36.75</v>
      </c>
      <c r="D1027" s="2">
        <f>IFERROR(__xludf.DUMMYFUNCTION("""COMPUTED_VALUE"""),35.82)</f>
        <v>35.82</v>
      </c>
      <c r="E1027" s="2">
        <f>IFERROR(__xludf.DUMMYFUNCTION("""COMPUTED_VALUE"""),36.42)</f>
        <v>36.42</v>
      </c>
      <c r="F1027" s="2">
        <f>IFERROR(__xludf.DUMMYFUNCTION("""COMPUTED_VALUE"""),413923.0)</f>
        <v>413923</v>
      </c>
    </row>
    <row r="1028">
      <c r="A1028" s="3">
        <f>IFERROR(__xludf.DUMMYFUNCTION("""COMPUTED_VALUE"""),38027.645833333336)</f>
        <v>38027.64583</v>
      </c>
      <c r="B1028" s="2">
        <f>IFERROR(__xludf.DUMMYFUNCTION("""COMPUTED_VALUE"""),36.8)</f>
        <v>36.8</v>
      </c>
      <c r="C1028" s="2">
        <f>IFERROR(__xludf.DUMMYFUNCTION("""COMPUTED_VALUE"""),37.59)</f>
        <v>37.59</v>
      </c>
      <c r="D1028" s="2">
        <f>IFERROR(__xludf.DUMMYFUNCTION("""COMPUTED_VALUE"""),36.7)</f>
        <v>36.7</v>
      </c>
      <c r="E1028" s="2">
        <f>IFERROR(__xludf.DUMMYFUNCTION("""COMPUTED_VALUE"""),37.29)</f>
        <v>37.29</v>
      </c>
      <c r="F1028" s="2">
        <f>IFERROR(__xludf.DUMMYFUNCTION("""COMPUTED_VALUE"""),340528.0)</f>
        <v>340528</v>
      </c>
    </row>
    <row r="1029">
      <c r="A1029" s="3">
        <f>IFERROR(__xludf.DUMMYFUNCTION("""COMPUTED_VALUE"""),38028.645833333336)</f>
        <v>38028.64583</v>
      </c>
      <c r="B1029" s="2">
        <f>IFERROR(__xludf.DUMMYFUNCTION("""COMPUTED_VALUE"""),37.55)</f>
        <v>37.55</v>
      </c>
      <c r="C1029" s="2">
        <f>IFERROR(__xludf.DUMMYFUNCTION("""COMPUTED_VALUE"""),37.75)</f>
        <v>37.75</v>
      </c>
      <c r="D1029" s="2">
        <f>IFERROR(__xludf.DUMMYFUNCTION("""COMPUTED_VALUE"""),37.15)</f>
        <v>37.15</v>
      </c>
      <c r="E1029" s="2">
        <f>IFERROR(__xludf.DUMMYFUNCTION("""COMPUTED_VALUE"""),37.46)</f>
        <v>37.46</v>
      </c>
      <c r="F1029" s="2">
        <f>IFERROR(__xludf.DUMMYFUNCTION("""COMPUTED_VALUE"""),274915.0)</f>
        <v>274915</v>
      </c>
    </row>
    <row r="1030">
      <c r="A1030" s="3">
        <f>IFERROR(__xludf.DUMMYFUNCTION("""COMPUTED_VALUE"""),38029.645833333336)</f>
        <v>38029.64583</v>
      </c>
      <c r="B1030" s="2">
        <f>IFERROR(__xludf.DUMMYFUNCTION("""COMPUTED_VALUE"""),37.75)</f>
        <v>37.75</v>
      </c>
      <c r="C1030" s="2">
        <f>IFERROR(__xludf.DUMMYFUNCTION("""COMPUTED_VALUE"""),38.2)</f>
        <v>38.2</v>
      </c>
      <c r="D1030" s="2">
        <f>IFERROR(__xludf.DUMMYFUNCTION("""COMPUTED_VALUE"""),37.1)</f>
        <v>37.1</v>
      </c>
      <c r="E1030" s="2">
        <f>IFERROR(__xludf.DUMMYFUNCTION("""COMPUTED_VALUE"""),37.46)</f>
        <v>37.46</v>
      </c>
      <c r="F1030" s="2">
        <f>IFERROR(__xludf.DUMMYFUNCTION("""COMPUTED_VALUE"""),247048.0)</f>
        <v>247048</v>
      </c>
    </row>
    <row r="1031">
      <c r="A1031" s="3">
        <f>IFERROR(__xludf.DUMMYFUNCTION("""COMPUTED_VALUE"""),38030.645833333336)</f>
        <v>38030.64583</v>
      </c>
      <c r="B1031" s="2">
        <f>IFERROR(__xludf.DUMMYFUNCTION("""COMPUTED_VALUE"""),37.4)</f>
        <v>37.4</v>
      </c>
      <c r="C1031" s="2">
        <f>IFERROR(__xludf.DUMMYFUNCTION("""COMPUTED_VALUE"""),37.57)</f>
        <v>37.57</v>
      </c>
      <c r="D1031" s="2">
        <f>IFERROR(__xludf.DUMMYFUNCTION("""COMPUTED_VALUE"""),36.83)</f>
        <v>36.83</v>
      </c>
      <c r="E1031" s="2">
        <f>IFERROR(__xludf.DUMMYFUNCTION("""COMPUTED_VALUE"""),37.48)</f>
        <v>37.48</v>
      </c>
      <c r="F1031" s="2">
        <f>IFERROR(__xludf.DUMMYFUNCTION("""COMPUTED_VALUE"""),180176.0)</f>
        <v>180176</v>
      </c>
    </row>
    <row r="1032">
      <c r="A1032" s="3">
        <f>IFERROR(__xludf.DUMMYFUNCTION("""COMPUTED_VALUE"""),38033.645833333336)</f>
        <v>38033.64583</v>
      </c>
      <c r="B1032" s="2">
        <f>IFERROR(__xludf.DUMMYFUNCTION("""COMPUTED_VALUE"""),37.99)</f>
        <v>37.99</v>
      </c>
      <c r="C1032" s="2">
        <f>IFERROR(__xludf.DUMMYFUNCTION("""COMPUTED_VALUE"""),38.01)</f>
        <v>38.01</v>
      </c>
      <c r="D1032" s="2">
        <f>IFERROR(__xludf.DUMMYFUNCTION("""COMPUTED_VALUE"""),37.4)</f>
        <v>37.4</v>
      </c>
      <c r="E1032" s="2">
        <f>IFERROR(__xludf.DUMMYFUNCTION("""COMPUTED_VALUE"""),37.82)</f>
        <v>37.82</v>
      </c>
      <c r="F1032" s="2">
        <f>IFERROR(__xludf.DUMMYFUNCTION("""COMPUTED_VALUE"""),237702.0)</f>
        <v>237702</v>
      </c>
    </row>
    <row r="1033">
      <c r="A1033" s="3">
        <f>IFERROR(__xludf.DUMMYFUNCTION("""COMPUTED_VALUE"""),38034.645833333336)</f>
        <v>38034.64583</v>
      </c>
      <c r="B1033" s="2">
        <f>IFERROR(__xludf.DUMMYFUNCTION("""COMPUTED_VALUE"""),37.52)</f>
        <v>37.52</v>
      </c>
      <c r="C1033" s="2">
        <f>IFERROR(__xludf.DUMMYFUNCTION("""COMPUTED_VALUE"""),38.34)</f>
        <v>38.34</v>
      </c>
      <c r="D1033" s="2">
        <f>IFERROR(__xludf.DUMMYFUNCTION("""COMPUTED_VALUE"""),37.36)</f>
        <v>37.36</v>
      </c>
      <c r="E1033" s="2">
        <f>IFERROR(__xludf.DUMMYFUNCTION("""COMPUTED_VALUE"""),38.07)</f>
        <v>38.07</v>
      </c>
      <c r="F1033" s="2">
        <f>IFERROR(__xludf.DUMMYFUNCTION("""COMPUTED_VALUE"""),296749.0)</f>
        <v>296749</v>
      </c>
    </row>
    <row r="1034">
      <c r="A1034" s="3">
        <f>IFERROR(__xludf.DUMMYFUNCTION("""COMPUTED_VALUE"""),38035.645833333336)</f>
        <v>38035.64583</v>
      </c>
      <c r="B1034" s="2">
        <f>IFERROR(__xludf.DUMMYFUNCTION("""COMPUTED_VALUE"""),37.62)</f>
        <v>37.62</v>
      </c>
      <c r="C1034" s="2">
        <f>IFERROR(__xludf.DUMMYFUNCTION("""COMPUTED_VALUE"""),38.34)</f>
        <v>38.34</v>
      </c>
      <c r="D1034" s="2">
        <f>IFERROR(__xludf.DUMMYFUNCTION("""COMPUTED_VALUE"""),37.51)</f>
        <v>37.51</v>
      </c>
      <c r="E1034" s="2">
        <f>IFERROR(__xludf.DUMMYFUNCTION("""COMPUTED_VALUE"""),37.94)</f>
        <v>37.94</v>
      </c>
      <c r="F1034" s="2">
        <f>IFERROR(__xludf.DUMMYFUNCTION("""COMPUTED_VALUE"""),144477.0)</f>
        <v>144477</v>
      </c>
    </row>
    <row r="1035">
      <c r="A1035" s="3">
        <f>IFERROR(__xludf.DUMMYFUNCTION("""COMPUTED_VALUE"""),38036.645833333336)</f>
        <v>38036.64583</v>
      </c>
      <c r="B1035" s="2">
        <f>IFERROR(__xludf.DUMMYFUNCTION("""COMPUTED_VALUE"""),38.05)</f>
        <v>38.05</v>
      </c>
      <c r="C1035" s="2">
        <f>IFERROR(__xludf.DUMMYFUNCTION("""COMPUTED_VALUE"""),38.05)</f>
        <v>38.05</v>
      </c>
      <c r="D1035" s="2">
        <f>IFERROR(__xludf.DUMMYFUNCTION("""COMPUTED_VALUE"""),37.32)</f>
        <v>37.32</v>
      </c>
      <c r="E1035" s="2">
        <f>IFERROR(__xludf.DUMMYFUNCTION("""COMPUTED_VALUE"""),37.48)</f>
        <v>37.48</v>
      </c>
      <c r="F1035" s="2">
        <f>IFERROR(__xludf.DUMMYFUNCTION("""COMPUTED_VALUE"""),166963.0)</f>
        <v>166963</v>
      </c>
    </row>
    <row r="1036">
      <c r="A1036" s="3">
        <f>IFERROR(__xludf.DUMMYFUNCTION("""COMPUTED_VALUE"""),38037.645833333336)</f>
        <v>38037.64583</v>
      </c>
      <c r="B1036" s="2">
        <f>IFERROR(__xludf.DUMMYFUNCTION("""COMPUTED_VALUE"""),37.4)</f>
        <v>37.4</v>
      </c>
      <c r="C1036" s="2">
        <f>IFERROR(__xludf.DUMMYFUNCTION("""COMPUTED_VALUE"""),37.49)</f>
        <v>37.49</v>
      </c>
      <c r="D1036" s="2">
        <f>IFERROR(__xludf.DUMMYFUNCTION("""COMPUTED_VALUE"""),35.64)</f>
        <v>35.64</v>
      </c>
      <c r="E1036" s="2">
        <f>IFERROR(__xludf.DUMMYFUNCTION("""COMPUTED_VALUE"""),36.49)</f>
        <v>36.49</v>
      </c>
      <c r="F1036" s="2">
        <f>IFERROR(__xludf.DUMMYFUNCTION("""COMPUTED_VALUE"""),482967.0)</f>
        <v>482967</v>
      </c>
    </row>
    <row r="1037">
      <c r="A1037" s="3">
        <f>IFERROR(__xludf.DUMMYFUNCTION("""COMPUTED_VALUE"""),38040.645833333336)</f>
        <v>38040.64583</v>
      </c>
      <c r="B1037" s="2">
        <f>IFERROR(__xludf.DUMMYFUNCTION("""COMPUTED_VALUE"""),35.61)</f>
        <v>35.61</v>
      </c>
      <c r="C1037" s="2">
        <f>IFERROR(__xludf.DUMMYFUNCTION("""COMPUTED_VALUE"""),36.95)</f>
        <v>36.95</v>
      </c>
      <c r="D1037" s="2">
        <f>IFERROR(__xludf.DUMMYFUNCTION("""COMPUTED_VALUE"""),35.4)</f>
        <v>35.4</v>
      </c>
      <c r="E1037" s="2">
        <f>IFERROR(__xludf.DUMMYFUNCTION("""COMPUTED_VALUE"""),36.72)</f>
        <v>36.72</v>
      </c>
      <c r="F1037" s="2">
        <f>IFERROR(__xludf.DUMMYFUNCTION("""COMPUTED_VALUE"""),136203.0)</f>
        <v>136203</v>
      </c>
    </row>
    <row r="1038">
      <c r="A1038" s="3">
        <f>IFERROR(__xludf.DUMMYFUNCTION("""COMPUTED_VALUE"""),38041.645833333336)</f>
        <v>38041.64583</v>
      </c>
      <c r="B1038" s="2">
        <f>IFERROR(__xludf.DUMMYFUNCTION("""COMPUTED_VALUE"""),36.6)</f>
        <v>36.6</v>
      </c>
      <c r="C1038" s="2">
        <f>IFERROR(__xludf.DUMMYFUNCTION("""COMPUTED_VALUE"""),37.4)</f>
        <v>37.4</v>
      </c>
      <c r="D1038" s="2">
        <f>IFERROR(__xludf.DUMMYFUNCTION("""COMPUTED_VALUE"""),36.25)</f>
        <v>36.25</v>
      </c>
      <c r="E1038" s="2">
        <f>IFERROR(__xludf.DUMMYFUNCTION("""COMPUTED_VALUE"""),37.16)</f>
        <v>37.16</v>
      </c>
      <c r="F1038" s="2">
        <f>IFERROR(__xludf.DUMMYFUNCTION("""COMPUTED_VALUE"""),249059.0)</f>
        <v>249059</v>
      </c>
    </row>
    <row r="1039">
      <c r="A1039" s="3">
        <f>IFERROR(__xludf.DUMMYFUNCTION("""COMPUTED_VALUE"""),38042.645833333336)</f>
        <v>38042.64583</v>
      </c>
      <c r="B1039" s="2">
        <f>IFERROR(__xludf.DUMMYFUNCTION("""COMPUTED_VALUE"""),37.44)</f>
        <v>37.44</v>
      </c>
      <c r="C1039" s="2">
        <f>IFERROR(__xludf.DUMMYFUNCTION("""COMPUTED_VALUE"""),37.44)</f>
        <v>37.44</v>
      </c>
      <c r="D1039" s="2">
        <f>IFERROR(__xludf.DUMMYFUNCTION("""COMPUTED_VALUE"""),36.06)</f>
        <v>36.06</v>
      </c>
      <c r="E1039" s="2">
        <f>IFERROR(__xludf.DUMMYFUNCTION("""COMPUTED_VALUE"""),36.52)</f>
        <v>36.52</v>
      </c>
      <c r="F1039" s="2">
        <f>IFERROR(__xludf.DUMMYFUNCTION("""COMPUTED_VALUE"""),162646.0)</f>
        <v>162646</v>
      </c>
    </row>
    <row r="1040">
      <c r="A1040" s="3">
        <f>IFERROR(__xludf.DUMMYFUNCTION("""COMPUTED_VALUE"""),38043.645833333336)</f>
        <v>38043.64583</v>
      </c>
      <c r="B1040" s="2">
        <f>IFERROR(__xludf.DUMMYFUNCTION("""COMPUTED_VALUE"""),36.3)</f>
        <v>36.3</v>
      </c>
      <c r="C1040" s="2">
        <f>IFERROR(__xludf.DUMMYFUNCTION("""COMPUTED_VALUE"""),37.2)</f>
        <v>37.2</v>
      </c>
      <c r="D1040" s="2">
        <f>IFERROR(__xludf.DUMMYFUNCTION("""COMPUTED_VALUE"""),36.3)</f>
        <v>36.3</v>
      </c>
      <c r="E1040" s="2">
        <f>IFERROR(__xludf.DUMMYFUNCTION("""COMPUTED_VALUE"""),36.91)</f>
        <v>36.91</v>
      </c>
      <c r="F1040" s="2">
        <f>IFERROR(__xludf.DUMMYFUNCTION("""COMPUTED_VALUE"""),404542.0)</f>
        <v>404542</v>
      </c>
    </row>
    <row r="1041">
      <c r="A1041" s="3">
        <f>IFERROR(__xludf.DUMMYFUNCTION("""COMPUTED_VALUE"""),38044.645833333336)</f>
        <v>38044.64583</v>
      </c>
      <c r="B1041" s="2">
        <f>IFERROR(__xludf.DUMMYFUNCTION("""COMPUTED_VALUE"""),37.0)</f>
        <v>37</v>
      </c>
      <c r="C1041" s="2">
        <f>IFERROR(__xludf.DUMMYFUNCTION("""COMPUTED_VALUE"""),37.75)</f>
        <v>37.75</v>
      </c>
      <c r="D1041" s="2">
        <f>IFERROR(__xludf.DUMMYFUNCTION("""COMPUTED_VALUE"""),36.42)</f>
        <v>36.42</v>
      </c>
      <c r="E1041" s="2">
        <f>IFERROR(__xludf.DUMMYFUNCTION("""COMPUTED_VALUE"""),37.47)</f>
        <v>37.47</v>
      </c>
      <c r="F1041" s="2">
        <f>IFERROR(__xludf.DUMMYFUNCTION("""COMPUTED_VALUE"""),295340.0)</f>
        <v>295340</v>
      </c>
    </row>
    <row r="1042">
      <c r="A1042" s="3">
        <f>IFERROR(__xludf.DUMMYFUNCTION("""COMPUTED_VALUE"""),38047.645833333336)</f>
        <v>38047.64583</v>
      </c>
      <c r="B1042" s="2">
        <f>IFERROR(__xludf.DUMMYFUNCTION("""COMPUTED_VALUE"""),37.69)</f>
        <v>37.69</v>
      </c>
      <c r="C1042" s="2">
        <f>IFERROR(__xludf.DUMMYFUNCTION("""COMPUTED_VALUE"""),38.4)</f>
        <v>38.4</v>
      </c>
      <c r="D1042" s="2">
        <f>IFERROR(__xludf.DUMMYFUNCTION("""COMPUTED_VALUE"""),37.25)</f>
        <v>37.25</v>
      </c>
      <c r="E1042" s="2">
        <f>IFERROR(__xludf.DUMMYFUNCTION("""COMPUTED_VALUE"""),37.85)</f>
        <v>37.85</v>
      </c>
      <c r="F1042" s="2">
        <f>IFERROR(__xludf.DUMMYFUNCTION("""COMPUTED_VALUE"""),223641.0)</f>
        <v>223641</v>
      </c>
    </row>
    <row r="1043">
      <c r="A1043" s="3">
        <f>IFERROR(__xludf.DUMMYFUNCTION("""COMPUTED_VALUE"""),38049.645833333336)</f>
        <v>38049.64583</v>
      </c>
      <c r="B1043" s="2">
        <f>IFERROR(__xludf.DUMMYFUNCTION("""COMPUTED_VALUE"""),38.05)</f>
        <v>38.05</v>
      </c>
      <c r="C1043" s="2">
        <f>IFERROR(__xludf.DUMMYFUNCTION("""COMPUTED_VALUE"""),40.0)</f>
        <v>40</v>
      </c>
      <c r="D1043" s="2">
        <f>IFERROR(__xludf.DUMMYFUNCTION("""COMPUTED_VALUE"""),37.71)</f>
        <v>37.71</v>
      </c>
      <c r="E1043" s="2">
        <f>IFERROR(__xludf.DUMMYFUNCTION("""COMPUTED_VALUE"""),39.2)</f>
        <v>39.2</v>
      </c>
      <c r="F1043" s="2">
        <f>IFERROR(__xludf.DUMMYFUNCTION("""COMPUTED_VALUE"""),583356.0)</f>
        <v>583356</v>
      </c>
    </row>
    <row r="1044">
      <c r="A1044" s="3">
        <f>IFERROR(__xludf.DUMMYFUNCTION("""COMPUTED_VALUE"""),38050.645833333336)</f>
        <v>38050.64583</v>
      </c>
      <c r="B1044" s="2">
        <f>IFERROR(__xludf.DUMMYFUNCTION("""COMPUTED_VALUE"""),39.17)</f>
        <v>39.17</v>
      </c>
      <c r="C1044" s="2">
        <f>IFERROR(__xludf.DUMMYFUNCTION("""COMPUTED_VALUE"""),39.17)</f>
        <v>39.17</v>
      </c>
      <c r="D1044" s="2">
        <f>IFERROR(__xludf.DUMMYFUNCTION("""COMPUTED_VALUE"""),37.73)</f>
        <v>37.73</v>
      </c>
      <c r="E1044" s="2">
        <f>IFERROR(__xludf.DUMMYFUNCTION("""COMPUTED_VALUE"""),38.32)</f>
        <v>38.32</v>
      </c>
      <c r="F1044" s="2">
        <f>IFERROR(__xludf.DUMMYFUNCTION("""COMPUTED_VALUE"""),262076.0)</f>
        <v>262076</v>
      </c>
    </row>
    <row r="1045">
      <c r="A1045" s="3">
        <f>IFERROR(__xludf.DUMMYFUNCTION("""COMPUTED_VALUE"""),38051.645833333336)</f>
        <v>38051.64583</v>
      </c>
      <c r="B1045" s="2">
        <f>IFERROR(__xludf.DUMMYFUNCTION("""COMPUTED_VALUE"""),38.49)</f>
        <v>38.49</v>
      </c>
      <c r="C1045" s="2">
        <f>IFERROR(__xludf.DUMMYFUNCTION("""COMPUTED_VALUE"""),38.79)</f>
        <v>38.79</v>
      </c>
      <c r="D1045" s="2">
        <f>IFERROR(__xludf.DUMMYFUNCTION("""COMPUTED_VALUE"""),37.95)</f>
        <v>37.95</v>
      </c>
      <c r="E1045" s="2">
        <f>IFERROR(__xludf.DUMMYFUNCTION("""COMPUTED_VALUE"""),38.25)</f>
        <v>38.25</v>
      </c>
      <c r="F1045" s="2">
        <f>IFERROR(__xludf.DUMMYFUNCTION("""COMPUTED_VALUE"""),214875.0)</f>
        <v>214875</v>
      </c>
    </row>
    <row r="1046">
      <c r="A1046" s="3">
        <f>IFERROR(__xludf.DUMMYFUNCTION("""COMPUTED_VALUE"""),38054.645833333336)</f>
        <v>38054.64583</v>
      </c>
      <c r="B1046" s="2">
        <f>IFERROR(__xludf.DUMMYFUNCTION("""COMPUTED_VALUE"""),38.55)</f>
        <v>38.55</v>
      </c>
      <c r="C1046" s="2">
        <f>IFERROR(__xludf.DUMMYFUNCTION("""COMPUTED_VALUE"""),39.25)</f>
        <v>39.25</v>
      </c>
      <c r="D1046" s="2">
        <f>IFERROR(__xludf.DUMMYFUNCTION("""COMPUTED_VALUE"""),37.81)</f>
        <v>37.81</v>
      </c>
      <c r="E1046" s="2">
        <f>IFERROR(__xludf.DUMMYFUNCTION("""COMPUTED_VALUE"""),37.99)</f>
        <v>37.99</v>
      </c>
      <c r="F1046" s="2">
        <f>IFERROR(__xludf.DUMMYFUNCTION("""COMPUTED_VALUE"""),291667.0)</f>
        <v>291667</v>
      </c>
    </row>
    <row r="1047">
      <c r="A1047" s="3">
        <f>IFERROR(__xludf.DUMMYFUNCTION("""COMPUTED_VALUE"""),38055.645833333336)</f>
        <v>38055.64583</v>
      </c>
      <c r="B1047" s="2">
        <f>IFERROR(__xludf.DUMMYFUNCTION("""COMPUTED_VALUE"""),38.77)</f>
        <v>38.77</v>
      </c>
      <c r="C1047" s="2">
        <f>IFERROR(__xludf.DUMMYFUNCTION("""COMPUTED_VALUE"""),38.77)</f>
        <v>38.77</v>
      </c>
      <c r="D1047" s="2">
        <f>IFERROR(__xludf.DUMMYFUNCTION("""COMPUTED_VALUE"""),37.24)</f>
        <v>37.24</v>
      </c>
      <c r="E1047" s="2">
        <f>IFERROR(__xludf.DUMMYFUNCTION("""COMPUTED_VALUE"""),37.51)</f>
        <v>37.51</v>
      </c>
      <c r="F1047" s="2">
        <f>IFERROR(__xludf.DUMMYFUNCTION("""COMPUTED_VALUE"""),107602.0)</f>
        <v>107602</v>
      </c>
    </row>
    <row r="1048">
      <c r="A1048" s="3">
        <f>IFERROR(__xludf.DUMMYFUNCTION("""COMPUTED_VALUE"""),38056.645833333336)</f>
        <v>38056.64583</v>
      </c>
      <c r="B1048" s="2">
        <f>IFERROR(__xludf.DUMMYFUNCTION("""COMPUTED_VALUE"""),37.5)</f>
        <v>37.5</v>
      </c>
      <c r="C1048" s="2">
        <f>IFERROR(__xludf.DUMMYFUNCTION("""COMPUTED_VALUE"""),38.0)</f>
        <v>38</v>
      </c>
      <c r="D1048" s="2">
        <f>IFERROR(__xludf.DUMMYFUNCTION("""COMPUTED_VALUE"""),37.0)</f>
        <v>37</v>
      </c>
      <c r="E1048" s="2">
        <f>IFERROR(__xludf.DUMMYFUNCTION("""COMPUTED_VALUE"""),37.83)</f>
        <v>37.83</v>
      </c>
      <c r="F1048" s="2">
        <f>IFERROR(__xludf.DUMMYFUNCTION("""COMPUTED_VALUE"""),236552.0)</f>
        <v>236552</v>
      </c>
    </row>
    <row r="1049">
      <c r="A1049" s="3">
        <f>IFERROR(__xludf.DUMMYFUNCTION("""COMPUTED_VALUE"""),38057.645833333336)</f>
        <v>38057.64583</v>
      </c>
      <c r="B1049" s="2">
        <f>IFERROR(__xludf.DUMMYFUNCTION("""COMPUTED_VALUE"""),37.75)</f>
        <v>37.75</v>
      </c>
      <c r="C1049" s="2">
        <f>IFERROR(__xludf.DUMMYFUNCTION("""COMPUTED_VALUE"""),38.0)</f>
        <v>38</v>
      </c>
      <c r="D1049" s="2">
        <f>IFERROR(__xludf.DUMMYFUNCTION("""COMPUTED_VALUE"""),37.23)</f>
        <v>37.23</v>
      </c>
      <c r="E1049" s="2">
        <f>IFERROR(__xludf.DUMMYFUNCTION("""COMPUTED_VALUE"""),37.6)</f>
        <v>37.6</v>
      </c>
      <c r="F1049" s="2">
        <f>IFERROR(__xludf.DUMMYFUNCTION("""COMPUTED_VALUE"""),219820.0)</f>
        <v>219820</v>
      </c>
    </row>
    <row r="1050">
      <c r="A1050" s="3">
        <f>IFERROR(__xludf.DUMMYFUNCTION("""COMPUTED_VALUE"""),38058.645833333336)</f>
        <v>38058.64583</v>
      </c>
      <c r="B1050" s="2">
        <f>IFERROR(__xludf.DUMMYFUNCTION("""COMPUTED_VALUE"""),37.41)</f>
        <v>37.41</v>
      </c>
      <c r="C1050" s="2">
        <f>IFERROR(__xludf.DUMMYFUNCTION("""COMPUTED_VALUE"""),37.55)</f>
        <v>37.55</v>
      </c>
      <c r="D1050" s="2">
        <f>IFERROR(__xludf.DUMMYFUNCTION("""COMPUTED_VALUE"""),35.99)</f>
        <v>35.99</v>
      </c>
      <c r="E1050" s="2">
        <f>IFERROR(__xludf.DUMMYFUNCTION("""COMPUTED_VALUE"""),36.69)</f>
        <v>36.69</v>
      </c>
      <c r="F1050" s="2">
        <f>IFERROR(__xludf.DUMMYFUNCTION("""COMPUTED_VALUE"""),310585.0)</f>
        <v>310585</v>
      </c>
    </row>
    <row r="1051">
      <c r="A1051" s="3">
        <f>IFERROR(__xludf.DUMMYFUNCTION("""COMPUTED_VALUE"""),38061.645833333336)</f>
        <v>38061.64583</v>
      </c>
      <c r="B1051" s="2">
        <f>IFERROR(__xludf.DUMMYFUNCTION("""COMPUTED_VALUE"""),37.35)</f>
        <v>37.35</v>
      </c>
      <c r="C1051" s="2">
        <f>IFERROR(__xludf.DUMMYFUNCTION("""COMPUTED_VALUE"""),37.35)</f>
        <v>37.35</v>
      </c>
      <c r="D1051" s="2">
        <f>IFERROR(__xludf.DUMMYFUNCTION("""COMPUTED_VALUE"""),36.03)</f>
        <v>36.03</v>
      </c>
      <c r="E1051" s="2">
        <f>IFERROR(__xludf.DUMMYFUNCTION("""COMPUTED_VALUE"""),36.17)</f>
        <v>36.17</v>
      </c>
      <c r="F1051" s="2">
        <f>IFERROR(__xludf.DUMMYFUNCTION("""COMPUTED_VALUE"""),214875.0)</f>
        <v>214875</v>
      </c>
    </row>
    <row r="1052">
      <c r="A1052" s="3">
        <f>IFERROR(__xludf.DUMMYFUNCTION("""COMPUTED_VALUE"""),38062.645833333336)</f>
        <v>38062.64583</v>
      </c>
      <c r="B1052" s="2">
        <f>IFERROR(__xludf.DUMMYFUNCTION("""COMPUTED_VALUE"""),35.37)</f>
        <v>35.37</v>
      </c>
      <c r="C1052" s="2">
        <f>IFERROR(__xludf.DUMMYFUNCTION("""COMPUTED_VALUE"""),36.44)</f>
        <v>36.44</v>
      </c>
      <c r="D1052" s="2">
        <f>IFERROR(__xludf.DUMMYFUNCTION("""COMPUTED_VALUE"""),34.65)</f>
        <v>34.65</v>
      </c>
      <c r="E1052" s="2">
        <f>IFERROR(__xludf.DUMMYFUNCTION("""COMPUTED_VALUE"""),35.94)</f>
        <v>35.94</v>
      </c>
      <c r="F1052" s="2">
        <f>IFERROR(__xludf.DUMMYFUNCTION("""COMPUTED_VALUE"""),313984.0)</f>
        <v>313984</v>
      </c>
    </row>
    <row r="1053">
      <c r="A1053" s="3">
        <f>IFERROR(__xludf.DUMMYFUNCTION("""COMPUTED_VALUE"""),38063.645833333336)</f>
        <v>38063.64583</v>
      </c>
      <c r="B1053" s="2">
        <f>IFERROR(__xludf.DUMMYFUNCTION("""COMPUTED_VALUE"""),35.8)</f>
        <v>35.8</v>
      </c>
      <c r="C1053" s="2">
        <f>IFERROR(__xludf.DUMMYFUNCTION("""COMPUTED_VALUE"""),36.5)</f>
        <v>36.5</v>
      </c>
      <c r="D1053" s="2">
        <f>IFERROR(__xludf.DUMMYFUNCTION("""COMPUTED_VALUE"""),35.14)</f>
        <v>35.14</v>
      </c>
      <c r="E1053" s="2">
        <f>IFERROR(__xludf.DUMMYFUNCTION("""COMPUTED_VALUE"""),35.93)</f>
        <v>35.93</v>
      </c>
      <c r="F1053" s="2">
        <f>IFERROR(__xludf.DUMMYFUNCTION("""COMPUTED_VALUE"""),223159.0)</f>
        <v>223159</v>
      </c>
    </row>
    <row r="1054">
      <c r="A1054" s="3">
        <f>IFERROR(__xludf.DUMMYFUNCTION("""COMPUTED_VALUE"""),38064.645833333336)</f>
        <v>38064.64583</v>
      </c>
      <c r="B1054" s="2">
        <f>IFERROR(__xludf.DUMMYFUNCTION("""COMPUTED_VALUE"""),35.9)</f>
        <v>35.9</v>
      </c>
      <c r="C1054" s="2">
        <f>IFERROR(__xludf.DUMMYFUNCTION("""COMPUTED_VALUE"""),36.1)</f>
        <v>36.1</v>
      </c>
      <c r="D1054" s="2">
        <f>IFERROR(__xludf.DUMMYFUNCTION("""COMPUTED_VALUE"""),34.8)</f>
        <v>34.8</v>
      </c>
      <c r="E1054" s="2">
        <f>IFERROR(__xludf.DUMMYFUNCTION("""COMPUTED_VALUE"""),35.54)</f>
        <v>35.54</v>
      </c>
      <c r="F1054" s="2">
        <f>IFERROR(__xludf.DUMMYFUNCTION("""COMPUTED_VALUE"""),150868.0)</f>
        <v>150868</v>
      </c>
    </row>
    <row r="1055">
      <c r="A1055" s="3">
        <f>IFERROR(__xludf.DUMMYFUNCTION("""COMPUTED_VALUE"""),38065.645833333336)</f>
        <v>38065.64583</v>
      </c>
      <c r="B1055" s="2">
        <f>IFERROR(__xludf.DUMMYFUNCTION("""COMPUTED_VALUE"""),35.1)</f>
        <v>35.1</v>
      </c>
      <c r="C1055" s="2">
        <f>IFERROR(__xludf.DUMMYFUNCTION("""COMPUTED_VALUE"""),35.8)</f>
        <v>35.8</v>
      </c>
      <c r="D1055" s="2">
        <f>IFERROR(__xludf.DUMMYFUNCTION("""COMPUTED_VALUE"""),35.03)</f>
        <v>35.03</v>
      </c>
      <c r="E1055" s="2">
        <f>IFERROR(__xludf.DUMMYFUNCTION("""COMPUTED_VALUE"""),35.38)</f>
        <v>35.38</v>
      </c>
      <c r="F1055" s="2">
        <f>IFERROR(__xludf.DUMMYFUNCTION("""COMPUTED_VALUE"""),187337.0)</f>
        <v>187337</v>
      </c>
    </row>
    <row r="1056">
      <c r="A1056" s="3">
        <f>IFERROR(__xludf.DUMMYFUNCTION("""COMPUTED_VALUE"""),38068.645833333336)</f>
        <v>38068.64583</v>
      </c>
      <c r="B1056" s="2">
        <f>IFERROR(__xludf.DUMMYFUNCTION("""COMPUTED_VALUE"""),35.78)</f>
        <v>35.78</v>
      </c>
      <c r="C1056" s="2">
        <f>IFERROR(__xludf.DUMMYFUNCTION("""COMPUTED_VALUE"""),35.78)</f>
        <v>35.78</v>
      </c>
      <c r="D1056" s="2">
        <f>IFERROR(__xludf.DUMMYFUNCTION("""COMPUTED_VALUE"""),33.52)</f>
        <v>33.52</v>
      </c>
      <c r="E1056" s="2">
        <f>IFERROR(__xludf.DUMMYFUNCTION("""COMPUTED_VALUE"""),33.89)</f>
        <v>33.89</v>
      </c>
      <c r="F1056" s="2">
        <f>IFERROR(__xludf.DUMMYFUNCTION("""COMPUTED_VALUE"""),196848.0)</f>
        <v>196848</v>
      </c>
    </row>
    <row r="1057">
      <c r="A1057" s="3">
        <f>IFERROR(__xludf.DUMMYFUNCTION("""COMPUTED_VALUE"""),38069.645833333336)</f>
        <v>38069.64583</v>
      </c>
      <c r="B1057" s="2">
        <f>IFERROR(__xludf.DUMMYFUNCTION("""COMPUTED_VALUE"""),33.88)</f>
        <v>33.88</v>
      </c>
      <c r="C1057" s="2">
        <f>IFERROR(__xludf.DUMMYFUNCTION("""COMPUTED_VALUE"""),34.75)</f>
        <v>34.75</v>
      </c>
      <c r="D1057" s="2">
        <f>IFERROR(__xludf.DUMMYFUNCTION("""COMPUTED_VALUE"""),33.6)</f>
        <v>33.6</v>
      </c>
      <c r="E1057" s="2">
        <f>IFERROR(__xludf.DUMMYFUNCTION("""COMPUTED_VALUE"""),34.5)</f>
        <v>34.5</v>
      </c>
      <c r="F1057" s="2">
        <f>IFERROR(__xludf.DUMMYFUNCTION("""COMPUTED_VALUE"""),183344.0)</f>
        <v>183344</v>
      </c>
    </row>
    <row r="1058">
      <c r="A1058" s="3">
        <f>IFERROR(__xludf.DUMMYFUNCTION("""COMPUTED_VALUE"""),38070.645833333336)</f>
        <v>38070.64583</v>
      </c>
      <c r="B1058" s="2">
        <f>IFERROR(__xludf.DUMMYFUNCTION("""COMPUTED_VALUE"""),35.0)</f>
        <v>35</v>
      </c>
      <c r="C1058" s="2">
        <f>IFERROR(__xludf.DUMMYFUNCTION("""COMPUTED_VALUE"""),36.98)</f>
        <v>36.98</v>
      </c>
      <c r="D1058" s="2">
        <f>IFERROR(__xludf.DUMMYFUNCTION("""COMPUTED_VALUE"""),34.21)</f>
        <v>34.21</v>
      </c>
      <c r="E1058" s="2">
        <f>IFERROR(__xludf.DUMMYFUNCTION("""COMPUTED_VALUE"""),35.77)</f>
        <v>35.77</v>
      </c>
      <c r="F1058" s="2">
        <f>IFERROR(__xludf.DUMMYFUNCTION("""COMPUTED_VALUE"""),161380.0)</f>
        <v>161380</v>
      </c>
    </row>
    <row r="1059">
      <c r="A1059" s="3">
        <f>IFERROR(__xludf.DUMMYFUNCTION("""COMPUTED_VALUE"""),38071.645833333336)</f>
        <v>38071.64583</v>
      </c>
      <c r="B1059" s="2">
        <f>IFERROR(__xludf.DUMMYFUNCTION("""COMPUTED_VALUE"""),36.0)</f>
        <v>36</v>
      </c>
      <c r="C1059" s="2">
        <f>IFERROR(__xludf.DUMMYFUNCTION("""COMPUTED_VALUE"""),36.49)</f>
        <v>36.49</v>
      </c>
      <c r="D1059" s="2">
        <f>IFERROR(__xludf.DUMMYFUNCTION("""COMPUTED_VALUE"""),35.75)</f>
        <v>35.75</v>
      </c>
      <c r="E1059" s="2">
        <f>IFERROR(__xludf.DUMMYFUNCTION("""COMPUTED_VALUE"""),36.29)</f>
        <v>36.29</v>
      </c>
      <c r="F1059" s="2">
        <f>IFERROR(__xludf.DUMMYFUNCTION("""COMPUTED_VALUE"""),235129.0)</f>
        <v>235129</v>
      </c>
    </row>
    <row r="1060">
      <c r="A1060" s="3">
        <f>IFERROR(__xludf.DUMMYFUNCTION("""COMPUTED_VALUE"""),38072.645833333336)</f>
        <v>38072.64583</v>
      </c>
      <c r="B1060" s="2">
        <f>IFERROR(__xludf.DUMMYFUNCTION("""COMPUTED_VALUE"""),36.4)</f>
        <v>36.4</v>
      </c>
      <c r="C1060" s="2">
        <f>IFERROR(__xludf.DUMMYFUNCTION("""COMPUTED_VALUE"""),37.81)</f>
        <v>37.81</v>
      </c>
      <c r="D1060" s="2">
        <f>IFERROR(__xludf.DUMMYFUNCTION("""COMPUTED_VALUE"""),36.21)</f>
        <v>36.21</v>
      </c>
      <c r="E1060" s="2">
        <f>IFERROR(__xludf.DUMMYFUNCTION("""COMPUTED_VALUE"""),37.41)</f>
        <v>37.41</v>
      </c>
      <c r="F1060" s="2">
        <f>IFERROR(__xludf.DUMMYFUNCTION("""COMPUTED_VALUE"""),211330.0)</f>
        <v>211330</v>
      </c>
    </row>
    <row r="1061">
      <c r="A1061" s="3">
        <f>IFERROR(__xludf.DUMMYFUNCTION("""COMPUTED_VALUE"""),38075.645833333336)</f>
        <v>38075.64583</v>
      </c>
      <c r="B1061" s="2">
        <f>IFERROR(__xludf.DUMMYFUNCTION("""COMPUTED_VALUE"""),37.7)</f>
        <v>37.7</v>
      </c>
      <c r="C1061" s="2">
        <f>IFERROR(__xludf.DUMMYFUNCTION("""COMPUTED_VALUE"""),37.98)</f>
        <v>37.98</v>
      </c>
      <c r="D1061" s="2">
        <f>IFERROR(__xludf.DUMMYFUNCTION("""COMPUTED_VALUE"""),37.01)</f>
        <v>37.01</v>
      </c>
      <c r="E1061" s="2">
        <f>IFERROR(__xludf.DUMMYFUNCTION("""COMPUTED_VALUE"""),37.81)</f>
        <v>37.81</v>
      </c>
      <c r="F1061" s="2">
        <f>IFERROR(__xludf.DUMMYFUNCTION("""COMPUTED_VALUE"""),163471.0)</f>
        <v>163471</v>
      </c>
    </row>
    <row r="1062">
      <c r="A1062" s="3">
        <f>IFERROR(__xludf.DUMMYFUNCTION("""COMPUTED_VALUE"""),38076.645833333336)</f>
        <v>38076.64583</v>
      </c>
      <c r="B1062" s="2">
        <f>IFERROR(__xludf.DUMMYFUNCTION("""COMPUTED_VALUE"""),37.6)</f>
        <v>37.6</v>
      </c>
      <c r="C1062" s="2">
        <f>IFERROR(__xludf.DUMMYFUNCTION("""COMPUTED_VALUE"""),37.7)</f>
        <v>37.7</v>
      </c>
      <c r="D1062" s="2">
        <f>IFERROR(__xludf.DUMMYFUNCTION("""COMPUTED_VALUE"""),36.28)</f>
        <v>36.28</v>
      </c>
      <c r="E1062" s="2">
        <f>IFERROR(__xludf.DUMMYFUNCTION("""COMPUTED_VALUE"""),36.92)</f>
        <v>36.92</v>
      </c>
      <c r="F1062" s="2">
        <f>IFERROR(__xludf.DUMMYFUNCTION("""COMPUTED_VALUE"""),211173.0)</f>
        <v>211173</v>
      </c>
    </row>
    <row r="1063">
      <c r="A1063" s="3">
        <f>IFERROR(__xludf.DUMMYFUNCTION("""COMPUTED_VALUE"""),38077.645833333336)</f>
        <v>38077.64583</v>
      </c>
      <c r="B1063" s="2">
        <f>IFERROR(__xludf.DUMMYFUNCTION("""COMPUTED_VALUE"""),37.35)</f>
        <v>37.35</v>
      </c>
      <c r="C1063" s="2">
        <f>IFERROR(__xludf.DUMMYFUNCTION("""COMPUTED_VALUE"""),38.19)</f>
        <v>38.19</v>
      </c>
      <c r="D1063" s="2">
        <f>IFERROR(__xludf.DUMMYFUNCTION("""COMPUTED_VALUE"""),36.55)</f>
        <v>36.55</v>
      </c>
      <c r="E1063" s="2">
        <f>IFERROR(__xludf.DUMMYFUNCTION("""COMPUTED_VALUE"""),37.88)</f>
        <v>37.88</v>
      </c>
      <c r="F1063" s="2">
        <f>IFERROR(__xludf.DUMMYFUNCTION("""COMPUTED_VALUE"""),287790.0)</f>
        <v>287790</v>
      </c>
    </row>
    <row r="1064">
      <c r="A1064" s="3">
        <f>IFERROR(__xludf.DUMMYFUNCTION("""COMPUTED_VALUE"""),38078.645833333336)</f>
        <v>38078.64583</v>
      </c>
      <c r="B1064" s="2">
        <f>IFERROR(__xludf.DUMMYFUNCTION("""COMPUTED_VALUE"""),38.24)</f>
        <v>38.24</v>
      </c>
      <c r="C1064" s="2">
        <f>IFERROR(__xludf.DUMMYFUNCTION("""COMPUTED_VALUE"""),38.6)</f>
        <v>38.6</v>
      </c>
      <c r="D1064" s="2">
        <f>IFERROR(__xludf.DUMMYFUNCTION("""COMPUTED_VALUE"""),36.8)</f>
        <v>36.8</v>
      </c>
      <c r="E1064" s="2">
        <f>IFERROR(__xludf.DUMMYFUNCTION("""COMPUTED_VALUE"""),38.44)</f>
        <v>38.44</v>
      </c>
      <c r="F1064" s="2">
        <f>IFERROR(__xludf.DUMMYFUNCTION("""COMPUTED_VALUE"""),373580.0)</f>
        <v>373580</v>
      </c>
    </row>
    <row r="1065">
      <c r="A1065" s="3">
        <f>IFERROR(__xludf.DUMMYFUNCTION("""COMPUTED_VALUE"""),38079.645833333336)</f>
        <v>38079.64583</v>
      </c>
      <c r="B1065" s="2">
        <f>IFERROR(__xludf.DUMMYFUNCTION("""COMPUTED_VALUE"""),38.7)</f>
        <v>38.7</v>
      </c>
      <c r="C1065" s="2">
        <f>IFERROR(__xludf.DUMMYFUNCTION("""COMPUTED_VALUE"""),39.2)</f>
        <v>39.2</v>
      </c>
      <c r="D1065" s="2">
        <f>IFERROR(__xludf.DUMMYFUNCTION("""COMPUTED_VALUE"""),38.32)</f>
        <v>38.32</v>
      </c>
      <c r="E1065" s="2">
        <f>IFERROR(__xludf.DUMMYFUNCTION("""COMPUTED_VALUE"""),38.89)</f>
        <v>38.89</v>
      </c>
      <c r="F1065" s="2">
        <f>IFERROR(__xludf.DUMMYFUNCTION("""COMPUTED_VALUE"""),228941.0)</f>
        <v>228941</v>
      </c>
    </row>
    <row r="1066">
      <c r="A1066" s="3">
        <f>IFERROR(__xludf.DUMMYFUNCTION("""COMPUTED_VALUE"""),38082.645833333336)</f>
        <v>38082.64583</v>
      </c>
      <c r="B1066" s="2">
        <f>IFERROR(__xludf.DUMMYFUNCTION("""COMPUTED_VALUE"""),39.11)</f>
        <v>39.11</v>
      </c>
      <c r="C1066" s="2">
        <f>IFERROR(__xludf.DUMMYFUNCTION("""COMPUTED_VALUE"""),40.0)</f>
        <v>40</v>
      </c>
      <c r="D1066" s="2">
        <f>IFERROR(__xludf.DUMMYFUNCTION("""COMPUTED_VALUE"""),38.15)</f>
        <v>38.15</v>
      </c>
      <c r="E1066" s="2">
        <f>IFERROR(__xludf.DUMMYFUNCTION("""COMPUTED_VALUE"""),38.67)</f>
        <v>38.67</v>
      </c>
      <c r="F1066" s="2">
        <f>IFERROR(__xludf.DUMMYFUNCTION("""COMPUTED_VALUE"""),348500.0)</f>
        <v>348500</v>
      </c>
    </row>
    <row r="1067">
      <c r="A1067" s="3">
        <f>IFERROR(__xludf.DUMMYFUNCTION("""COMPUTED_VALUE"""),38083.645833333336)</f>
        <v>38083.64583</v>
      </c>
      <c r="B1067" s="2">
        <f>IFERROR(__xludf.DUMMYFUNCTION("""COMPUTED_VALUE"""),39.24)</f>
        <v>39.24</v>
      </c>
      <c r="C1067" s="2">
        <f>IFERROR(__xludf.DUMMYFUNCTION("""COMPUTED_VALUE"""),39.32)</f>
        <v>39.32</v>
      </c>
      <c r="D1067" s="2">
        <f>IFERROR(__xludf.DUMMYFUNCTION("""COMPUTED_VALUE"""),38.01)</f>
        <v>38.01</v>
      </c>
      <c r="E1067" s="2">
        <f>IFERROR(__xludf.DUMMYFUNCTION("""COMPUTED_VALUE"""),38.21)</f>
        <v>38.21</v>
      </c>
      <c r="F1067" s="2">
        <f>IFERROR(__xludf.DUMMYFUNCTION("""COMPUTED_VALUE"""),156070.0)</f>
        <v>156070</v>
      </c>
    </row>
    <row r="1068">
      <c r="A1068" s="3">
        <f>IFERROR(__xludf.DUMMYFUNCTION("""COMPUTED_VALUE"""),38084.645833333336)</f>
        <v>38084.64583</v>
      </c>
      <c r="B1068" s="2">
        <f>IFERROR(__xludf.DUMMYFUNCTION("""COMPUTED_VALUE"""),38.5)</f>
        <v>38.5</v>
      </c>
      <c r="C1068" s="2">
        <f>IFERROR(__xludf.DUMMYFUNCTION("""COMPUTED_VALUE"""),38.67)</f>
        <v>38.67</v>
      </c>
      <c r="D1068" s="2">
        <f>IFERROR(__xludf.DUMMYFUNCTION("""COMPUTED_VALUE"""),38.0)</f>
        <v>38</v>
      </c>
      <c r="E1068" s="2">
        <f>IFERROR(__xludf.DUMMYFUNCTION("""COMPUTED_VALUE"""),38.08)</f>
        <v>38.08</v>
      </c>
      <c r="F1068" s="2">
        <f>IFERROR(__xludf.DUMMYFUNCTION("""COMPUTED_VALUE"""),80087.0)</f>
        <v>80087</v>
      </c>
    </row>
    <row r="1069">
      <c r="A1069" s="3">
        <f>IFERROR(__xludf.DUMMYFUNCTION("""COMPUTED_VALUE"""),38085.645833333336)</f>
        <v>38085.64583</v>
      </c>
      <c r="B1069" s="2">
        <f>IFERROR(__xludf.DUMMYFUNCTION("""COMPUTED_VALUE"""),37.8)</f>
        <v>37.8</v>
      </c>
      <c r="C1069" s="2">
        <f>IFERROR(__xludf.DUMMYFUNCTION("""COMPUTED_VALUE"""),39.14)</f>
        <v>39.14</v>
      </c>
      <c r="D1069" s="2">
        <f>IFERROR(__xludf.DUMMYFUNCTION("""COMPUTED_VALUE"""),37.6)</f>
        <v>37.6</v>
      </c>
      <c r="E1069" s="2">
        <f>IFERROR(__xludf.DUMMYFUNCTION("""COMPUTED_VALUE"""),38.05)</f>
        <v>38.05</v>
      </c>
      <c r="F1069" s="2">
        <f>IFERROR(__xludf.DUMMYFUNCTION("""COMPUTED_VALUE"""),288827.0)</f>
        <v>288827</v>
      </c>
    </row>
    <row r="1070">
      <c r="A1070" s="3">
        <f>IFERROR(__xludf.DUMMYFUNCTION("""COMPUTED_VALUE"""),38089.645833333336)</f>
        <v>38089.64583</v>
      </c>
      <c r="B1070" s="2">
        <f>IFERROR(__xludf.DUMMYFUNCTION("""COMPUTED_VALUE"""),38.37)</f>
        <v>38.37</v>
      </c>
      <c r="C1070" s="2">
        <f>IFERROR(__xludf.DUMMYFUNCTION("""COMPUTED_VALUE"""),38.37)</f>
        <v>38.37</v>
      </c>
      <c r="D1070" s="2">
        <f>IFERROR(__xludf.DUMMYFUNCTION("""COMPUTED_VALUE"""),37.21)</f>
        <v>37.21</v>
      </c>
      <c r="E1070" s="2">
        <f>IFERROR(__xludf.DUMMYFUNCTION("""COMPUTED_VALUE"""),37.54)</f>
        <v>37.54</v>
      </c>
      <c r="F1070" s="2">
        <f>IFERROR(__xludf.DUMMYFUNCTION("""COMPUTED_VALUE"""),123806.0)</f>
        <v>123806</v>
      </c>
    </row>
    <row r="1071">
      <c r="A1071" s="3">
        <f>IFERROR(__xludf.DUMMYFUNCTION("""COMPUTED_VALUE"""),38090.645833333336)</f>
        <v>38090.64583</v>
      </c>
      <c r="B1071" s="2">
        <f>IFERROR(__xludf.DUMMYFUNCTION("""COMPUTED_VALUE"""),37.67)</f>
        <v>37.67</v>
      </c>
      <c r="C1071" s="2">
        <f>IFERROR(__xludf.DUMMYFUNCTION("""COMPUTED_VALUE"""),38.4)</f>
        <v>38.4</v>
      </c>
      <c r="D1071" s="2">
        <f>IFERROR(__xludf.DUMMYFUNCTION("""COMPUTED_VALUE"""),37.52)</f>
        <v>37.52</v>
      </c>
      <c r="E1071" s="2">
        <f>IFERROR(__xludf.DUMMYFUNCTION("""COMPUTED_VALUE"""),38.26)</f>
        <v>38.26</v>
      </c>
      <c r="F1071" s="2">
        <f>IFERROR(__xludf.DUMMYFUNCTION("""COMPUTED_VALUE"""),153948.0)</f>
        <v>153948</v>
      </c>
    </row>
    <row r="1072">
      <c r="A1072" s="3">
        <f>IFERROR(__xludf.DUMMYFUNCTION("""COMPUTED_VALUE"""),38092.645833333336)</f>
        <v>38092.64583</v>
      </c>
      <c r="B1072" s="2">
        <f>IFERROR(__xludf.DUMMYFUNCTION("""COMPUTED_VALUE"""),38.5)</f>
        <v>38.5</v>
      </c>
      <c r="C1072" s="2">
        <f>IFERROR(__xludf.DUMMYFUNCTION("""COMPUTED_VALUE"""),38.6)</f>
        <v>38.6</v>
      </c>
      <c r="D1072" s="2">
        <f>IFERROR(__xludf.DUMMYFUNCTION("""COMPUTED_VALUE"""),37.8)</f>
        <v>37.8</v>
      </c>
      <c r="E1072" s="2">
        <f>IFERROR(__xludf.DUMMYFUNCTION("""COMPUTED_VALUE"""),38.1)</f>
        <v>38.1</v>
      </c>
      <c r="F1072" s="2">
        <f>IFERROR(__xludf.DUMMYFUNCTION("""COMPUTED_VALUE"""),223224.0)</f>
        <v>223224</v>
      </c>
    </row>
    <row r="1073">
      <c r="A1073" s="3">
        <f>IFERROR(__xludf.DUMMYFUNCTION("""COMPUTED_VALUE"""),38093.645833333336)</f>
        <v>38093.64583</v>
      </c>
      <c r="B1073" s="2">
        <f>IFERROR(__xludf.DUMMYFUNCTION("""COMPUTED_VALUE"""),38.39)</f>
        <v>38.39</v>
      </c>
      <c r="C1073" s="2">
        <f>IFERROR(__xludf.DUMMYFUNCTION("""COMPUTED_VALUE"""),38.99)</f>
        <v>38.99</v>
      </c>
      <c r="D1073" s="2">
        <f>IFERROR(__xludf.DUMMYFUNCTION("""COMPUTED_VALUE"""),37.71)</f>
        <v>37.71</v>
      </c>
      <c r="E1073" s="2">
        <f>IFERROR(__xludf.DUMMYFUNCTION("""COMPUTED_VALUE"""),37.85)</f>
        <v>37.85</v>
      </c>
      <c r="F1073" s="2">
        <f>IFERROR(__xludf.DUMMYFUNCTION("""COMPUTED_VALUE"""),168564.0)</f>
        <v>168564</v>
      </c>
    </row>
    <row r="1074">
      <c r="A1074" s="3">
        <f>IFERROR(__xludf.DUMMYFUNCTION("""COMPUTED_VALUE"""),38096.645833333336)</f>
        <v>38096.64583</v>
      </c>
      <c r="B1074" s="2">
        <f>IFERROR(__xludf.DUMMYFUNCTION("""COMPUTED_VALUE"""),38.0)</f>
        <v>38</v>
      </c>
      <c r="C1074" s="2">
        <f>IFERROR(__xludf.DUMMYFUNCTION("""COMPUTED_VALUE"""),38.08)</f>
        <v>38.08</v>
      </c>
      <c r="D1074" s="2">
        <f>IFERROR(__xludf.DUMMYFUNCTION("""COMPUTED_VALUE"""),37.44)</f>
        <v>37.44</v>
      </c>
      <c r="E1074" s="2">
        <f>IFERROR(__xludf.DUMMYFUNCTION("""COMPUTED_VALUE"""),37.84)</f>
        <v>37.84</v>
      </c>
      <c r="F1074" s="2">
        <f>IFERROR(__xludf.DUMMYFUNCTION("""COMPUTED_VALUE"""),261918.0)</f>
        <v>261918</v>
      </c>
    </row>
    <row r="1075">
      <c r="A1075" s="3">
        <f>IFERROR(__xludf.DUMMYFUNCTION("""COMPUTED_VALUE"""),38097.645833333336)</f>
        <v>38097.64583</v>
      </c>
      <c r="B1075" s="2">
        <f>IFERROR(__xludf.DUMMYFUNCTION("""COMPUTED_VALUE"""),37.8)</f>
        <v>37.8</v>
      </c>
      <c r="C1075" s="2">
        <f>IFERROR(__xludf.DUMMYFUNCTION("""COMPUTED_VALUE"""),38.08)</f>
        <v>38.08</v>
      </c>
      <c r="D1075" s="2">
        <f>IFERROR(__xludf.DUMMYFUNCTION("""COMPUTED_VALUE"""),37.38)</f>
        <v>37.38</v>
      </c>
      <c r="E1075" s="2">
        <f>IFERROR(__xludf.DUMMYFUNCTION("""COMPUTED_VALUE"""),37.48)</f>
        <v>37.48</v>
      </c>
      <c r="F1075" s="2">
        <f>IFERROR(__xludf.DUMMYFUNCTION("""COMPUTED_VALUE"""),185804.0)</f>
        <v>185804</v>
      </c>
    </row>
    <row r="1076">
      <c r="A1076" s="3">
        <f>IFERROR(__xludf.DUMMYFUNCTION("""COMPUTED_VALUE"""),38098.645833333336)</f>
        <v>38098.64583</v>
      </c>
      <c r="B1076" s="2">
        <f>IFERROR(__xludf.DUMMYFUNCTION("""COMPUTED_VALUE"""),37.7)</f>
        <v>37.7</v>
      </c>
      <c r="C1076" s="2">
        <f>IFERROR(__xludf.DUMMYFUNCTION("""COMPUTED_VALUE"""),37.7)</f>
        <v>37.7</v>
      </c>
      <c r="D1076" s="2">
        <f>IFERROR(__xludf.DUMMYFUNCTION("""COMPUTED_VALUE"""),37.12)</f>
        <v>37.12</v>
      </c>
      <c r="E1076" s="2">
        <f>IFERROR(__xludf.DUMMYFUNCTION("""COMPUTED_VALUE"""),37.3)</f>
        <v>37.3</v>
      </c>
      <c r="F1076" s="2">
        <f>IFERROR(__xludf.DUMMYFUNCTION("""COMPUTED_VALUE"""),441406.0)</f>
        <v>441406</v>
      </c>
    </row>
    <row r="1077">
      <c r="A1077" s="3">
        <f>IFERROR(__xludf.DUMMYFUNCTION("""COMPUTED_VALUE"""),38099.645833333336)</f>
        <v>38099.64583</v>
      </c>
      <c r="B1077" s="2">
        <f>IFERROR(__xludf.DUMMYFUNCTION("""COMPUTED_VALUE"""),37.5)</f>
        <v>37.5</v>
      </c>
      <c r="C1077" s="2">
        <f>IFERROR(__xludf.DUMMYFUNCTION("""COMPUTED_VALUE"""),37.9)</f>
        <v>37.9</v>
      </c>
      <c r="D1077" s="2">
        <f>IFERROR(__xludf.DUMMYFUNCTION("""COMPUTED_VALUE"""),37.03)</f>
        <v>37.03</v>
      </c>
      <c r="E1077" s="2">
        <f>IFERROR(__xludf.DUMMYFUNCTION("""COMPUTED_VALUE"""),37.52)</f>
        <v>37.52</v>
      </c>
      <c r="F1077" s="2">
        <f>IFERROR(__xludf.DUMMYFUNCTION("""COMPUTED_VALUE"""),339204.0)</f>
        <v>339204</v>
      </c>
    </row>
    <row r="1078">
      <c r="A1078" s="3">
        <f>IFERROR(__xludf.DUMMYFUNCTION("""COMPUTED_VALUE"""),38100.645833333336)</f>
        <v>38100.64583</v>
      </c>
      <c r="B1078" s="2">
        <f>IFERROR(__xludf.DUMMYFUNCTION("""COMPUTED_VALUE"""),37.89)</f>
        <v>37.89</v>
      </c>
      <c r="C1078" s="2">
        <f>IFERROR(__xludf.DUMMYFUNCTION("""COMPUTED_VALUE"""),38.48)</f>
        <v>38.48</v>
      </c>
      <c r="D1078" s="2">
        <f>IFERROR(__xludf.DUMMYFUNCTION("""COMPUTED_VALUE"""),37.35)</f>
        <v>37.35</v>
      </c>
      <c r="E1078" s="2">
        <f>IFERROR(__xludf.DUMMYFUNCTION("""COMPUTED_VALUE"""),37.99)</f>
        <v>37.99</v>
      </c>
      <c r="F1078" s="2">
        <f>IFERROR(__xludf.DUMMYFUNCTION("""COMPUTED_VALUE"""),304964.0)</f>
        <v>304964</v>
      </c>
    </row>
    <row r="1079">
      <c r="A1079" s="3">
        <f>IFERROR(__xludf.DUMMYFUNCTION("""COMPUTED_VALUE"""),38104.645833333336)</f>
        <v>38104.64583</v>
      </c>
      <c r="B1079" s="2">
        <f>IFERROR(__xludf.DUMMYFUNCTION("""COMPUTED_VALUE"""),37.52)</f>
        <v>37.52</v>
      </c>
      <c r="C1079" s="2">
        <f>IFERROR(__xludf.DUMMYFUNCTION("""COMPUTED_VALUE"""),38.49)</f>
        <v>38.49</v>
      </c>
      <c r="D1079" s="2">
        <f>IFERROR(__xludf.DUMMYFUNCTION("""COMPUTED_VALUE"""),37.01)</f>
        <v>37.01</v>
      </c>
      <c r="E1079" s="2">
        <f>IFERROR(__xludf.DUMMYFUNCTION("""COMPUTED_VALUE"""),38.08)</f>
        <v>38.08</v>
      </c>
      <c r="F1079" s="2">
        <f>IFERROR(__xludf.DUMMYFUNCTION("""COMPUTED_VALUE"""),309271.0)</f>
        <v>309271</v>
      </c>
    </row>
    <row r="1080">
      <c r="A1080" s="3">
        <f>IFERROR(__xludf.DUMMYFUNCTION("""COMPUTED_VALUE"""),38105.645833333336)</f>
        <v>38105.64583</v>
      </c>
      <c r="B1080" s="2">
        <f>IFERROR(__xludf.DUMMYFUNCTION("""COMPUTED_VALUE"""),38.2)</f>
        <v>38.2</v>
      </c>
      <c r="C1080" s="2">
        <f>IFERROR(__xludf.DUMMYFUNCTION("""COMPUTED_VALUE"""),38.5)</f>
        <v>38.5</v>
      </c>
      <c r="D1080" s="2">
        <f>IFERROR(__xludf.DUMMYFUNCTION("""COMPUTED_VALUE"""),37.6)</f>
        <v>37.6</v>
      </c>
      <c r="E1080" s="2">
        <f>IFERROR(__xludf.DUMMYFUNCTION("""COMPUTED_VALUE"""),37.99)</f>
        <v>37.99</v>
      </c>
      <c r="F1080" s="2">
        <f>IFERROR(__xludf.DUMMYFUNCTION("""COMPUTED_VALUE"""),192559.0)</f>
        <v>192559</v>
      </c>
    </row>
    <row r="1081">
      <c r="A1081" s="3">
        <f>IFERROR(__xludf.DUMMYFUNCTION("""COMPUTED_VALUE"""),38106.645833333336)</f>
        <v>38106.64583</v>
      </c>
      <c r="B1081" s="2">
        <f>IFERROR(__xludf.DUMMYFUNCTION("""COMPUTED_VALUE"""),38.0)</f>
        <v>38</v>
      </c>
      <c r="C1081" s="2">
        <f>IFERROR(__xludf.DUMMYFUNCTION("""COMPUTED_VALUE"""),38.5)</f>
        <v>38.5</v>
      </c>
      <c r="D1081" s="2">
        <f>IFERROR(__xludf.DUMMYFUNCTION("""COMPUTED_VALUE"""),37.1)</f>
        <v>37.1</v>
      </c>
      <c r="E1081" s="2">
        <f>IFERROR(__xludf.DUMMYFUNCTION("""COMPUTED_VALUE"""),38.16)</f>
        <v>38.16</v>
      </c>
      <c r="F1081" s="2">
        <f>IFERROR(__xludf.DUMMYFUNCTION("""COMPUTED_VALUE"""),206598.0)</f>
        <v>206598</v>
      </c>
    </row>
    <row r="1082">
      <c r="A1082" s="3">
        <f>IFERROR(__xludf.DUMMYFUNCTION("""COMPUTED_VALUE"""),38107.645833333336)</f>
        <v>38107.64583</v>
      </c>
      <c r="B1082" s="2">
        <f>IFERROR(__xludf.DUMMYFUNCTION("""COMPUTED_VALUE"""),38.2)</f>
        <v>38.2</v>
      </c>
      <c r="C1082" s="2">
        <f>IFERROR(__xludf.DUMMYFUNCTION("""COMPUTED_VALUE"""),38.29)</f>
        <v>38.29</v>
      </c>
      <c r="D1082" s="2">
        <f>IFERROR(__xludf.DUMMYFUNCTION("""COMPUTED_VALUE"""),37.55)</f>
        <v>37.55</v>
      </c>
      <c r="E1082" s="2">
        <f>IFERROR(__xludf.DUMMYFUNCTION("""COMPUTED_VALUE"""),37.81)</f>
        <v>37.81</v>
      </c>
      <c r="F1082" s="2">
        <f>IFERROR(__xludf.DUMMYFUNCTION("""COMPUTED_VALUE"""),117795.0)</f>
        <v>117795</v>
      </c>
    </row>
    <row r="1083">
      <c r="A1083" s="3">
        <f>IFERROR(__xludf.DUMMYFUNCTION("""COMPUTED_VALUE"""),38110.645833333336)</f>
        <v>38110.64583</v>
      </c>
      <c r="B1083" s="2">
        <f>IFERROR(__xludf.DUMMYFUNCTION("""COMPUTED_VALUE"""),37.5)</f>
        <v>37.5</v>
      </c>
      <c r="C1083" s="2">
        <f>IFERROR(__xludf.DUMMYFUNCTION("""COMPUTED_VALUE"""),37.95)</f>
        <v>37.95</v>
      </c>
      <c r="D1083" s="2">
        <f>IFERROR(__xludf.DUMMYFUNCTION("""COMPUTED_VALUE"""),37.31)</f>
        <v>37.31</v>
      </c>
      <c r="E1083" s="2">
        <f>IFERROR(__xludf.DUMMYFUNCTION("""COMPUTED_VALUE"""),37.78)</f>
        <v>37.78</v>
      </c>
      <c r="F1083" s="2">
        <f>IFERROR(__xludf.DUMMYFUNCTION("""COMPUTED_VALUE"""),96645.0)</f>
        <v>96645</v>
      </c>
    </row>
    <row r="1084">
      <c r="A1084" s="3">
        <f>IFERROR(__xludf.DUMMYFUNCTION("""COMPUTED_VALUE"""),38111.645833333336)</f>
        <v>38111.64583</v>
      </c>
      <c r="B1084" s="2">
        <f>IFERROR(__xludf.DUMMYFUNCTION("""COMPUTED_VALUE"""),37.99)</f>
        <v>37.99</v>
      </c>
      <c r="C1084" s="2">
        <f>IFERROR(__xludf.DUMMYFUNCTION("""COMPUTED_VALUE"""),38.5)</f>
        <v>38.5</v>
      </c>
      <c r="D1084" s="2">
        <f>IFERROR(__xludf.DUMMYFUNCTION("""COMPUTED_VALUE"""),37.52)</f>
        <v>37.52</v>
      </c>
      <c r="E1084" s="2">
        <f>IFERROR(__xludf.DUMMYFUNCTION("""COMPUTED_VALUE"""),37.64)</f>
        <v>37.64</v>
      </c>
      <c r="F1084" s="2">
        <f>IFERROR(__xludf.DUMMYFUNCTION("""COMPUTED_VALUE"""),109367.0)</f>
        <v>109367</v>
      </c>
    </row>
    <row r="1085">
      <c r="A1085" s="3">
        <f>IFERROR(__xludf.DUMMYFUNCTION("""COMPUTED_VALUE"""),38112.645833333336)</f>
        <v>38112.64583</v>
      </c>
      <c r="B1085" s="2">
        <f>IFERROR(__xludf.DUMMYFUNCTION("""COMPUTED_VALUE"""),37.85)</f>
        <v>37.85</v>
      </c>
      <c r="C1085" s="2">
        <f>IFERROR(__xludf.DUMMYFUNCTION("""COMPUTED_VALUE"""),39.5)</f>
        <v>39.5</v>
      </c>
      <c r="D1085" s="2">
        <f>IFERROR(__xludf.DUMMYFUNCTION("""COMPUTED_VALUE"""),37.7)</f>
        <v>37.7</v>
      </c>
      <c r="E1085" s="2">
        <f>IFERROR(__xludf.DUMMYFUNCTION("""COMPUTED_VALUE"""),38.25)</f>
        <v>38.25</v>
      </c>
      <c r="F1085" s="2">
        <f>IFERROR(__xludf.DUMMYFUNCTION("""COMPUTED_VALUE"""),322568.0)</f>
        <v>322568</v>
      </c>
    </row>
    <row r="1086">
      <c r="A1086" s="3">
        <f>IFERROR(__xludf.DUMMYFUNCTION("""COMPUTED_VALUE"""),38113.645833333336)</f>
        <v>38113.64583</v>
      </c>
      <c r="B1086" s="2">
        <f>IFERROR(__xludf.DUMMYFUNCTION("""COMPUTED_VALUE"""),38.4)</f>
        <v>38.4</v>
      </c>
      <c r="C1086" s="2">
        <f>IFERROR(__xludf.DUMMYFUNCTION("""COMPUTED_VALUE"""),39.3)</f>
        <v>39.3</v>
      </c>
      <c r="D1086" s="2">
        <f>IFERROR(__xludf.DUMMYFUNCTION("""COMPUTED_VALUE"""),38.11)</f>
        <v>38.11</v>
      </c>
      <c r="E1086" s="2">
        <f>IFERROR(__xludf.DUMMYFUNCTION("""COMPUTED_VALUE"""),38.29)</f>
        <v>38.29</v>
      </c>
      <c r="F1086" s="2">
        <f>IFERROR(__xludf.DUMMYFUNCTION("""COMPUTED_VALUE"""),271564.0)</f>
        <v>271564</v>
      </c>
    </row>
    <row r="1087">
      <c r="A1087" s="3">
        <f>IFERROR(__xludf.DUMMYFUNCTION("""COMPUTED_VALUE"""),38114.645833333336)</f>
        <v>38114.64583</v>
      </c>
      <c r="B1087" s="2">
        <f>IFERROR(__xludf.DUMMYFUNCTION("""COMPUTED_VALUE"""),38.3)</f>
        <v>38.3</v>
      </c>
      <c r="C1087" s="2">
        <f>IFERROR(__xludf.DUMMYFUNCTION("""COMPUTED_VALUE"""),38.5)</f>
        <v>38.5</v>
      </c>
      <c r="D1087" s="2">
        <f>IFERROR(__xludf.DUMMYFUNCTION("""COMPUTED_VALUE"""),37.0)</f>
        <v>37</v>
      </c>
      <c r="E1087" s="2">
        <f>IFERROR(__xludf.DUMMYFUNCTION("""COMPUTED_VALUE"""),37.54)</f>
        <v>37.54</v>
      </c>
      <c r="F1087" s="2">
        <f>IFERROR(__xludf.DUMMYFUNCTION("""COMPUTED_VALUE"""),158176.0)</f>
        <v>158176</v>
      </c>
    </row>
    <row r="1088">
      <c r="A1088" s="3">
        <f>IFERROR(__xludf.DUMMYFUNCTION("""COMPUTED_VALUE"""),38117.645833333336)</f>
        <v>38117.64583</v>
      </c>
      <c r="B1088" s="2">
        <f>IFERROR(__xludf.DUMMYFUNCTION("""COMPUTED_VALUE"""),36.82)</f>
        <v>36.82</v>
      </c>
      <c r="C1088" s="2">
        <f>IFERROR(__xludf.DUMMYFUNCTION("""COMPUTED_VALUE"""),38.8)</f>
        <v>38.8</v>
      </c>
      <c r="D1088" s="2">
        <f>IFERROR(__xludf.DUMMYFUNCTION("""COMPUTED_VALUE"""),36.81)</f>
        <v>36.81</v>
      </c>
      <c r="E1088" s="2">
        <f>IFERROR(__xludf.DUMMYFUNCTION("""COMPUTED_VALUE"""),38.18)</f>
        <v>38.18</v>
      </c>
      <c r="F1088" s="2">
        <f>IFERROR(__xludf.DUMMYFUNCTION("""COMPUTED_VALUE"""),127083.0)</f>
        <v>127083</v>
      </c>
    </row>
    <row r="1089">
      <c r="A1089" s="3">
        <f>IFERROR(__xludf.DUMMYFUNCTION("""COMPUTED_VALUE"""),38118.645833333336)</f>
        <v>38118.64583</v>
      </c>
      <c r="B1089" s="2">
        <f>IFERROR(__xludf.DUMMYFUNCTION("""COMPUTED_VALUE"""),37.41)</f>
        <v>37.41</v>
      </c>
      <c r="C1089" s="2">
        <f>IFERROR(__xludf.DUMMYFUNCTION("""COMPUTED_VALUE"""),37.58)</f>
        <v>37.58</v>
      </c>
      <c r="D1089" s="2">
        <f>IFERROR(__xludf.DUMMYFUNCTION("""COMPUTED_VALUE"""),37.0)</f>
        <v>37</v>
      </c>
      <c r="E1089" s="2">
        <f>IFERROR(__xludf.DUMMYFUNCTION("""COMPUTED_VALUE"""),37.2)</f>
        <v>37.2</v>
      </c>
      <c r="F1089" s="2">
        <f>IFERROR(__xludf.DUMMYFUNCTION("""COMPUTED_VALUE"""),203481.0)</f>
        <v>203481</v>
      </c>
    </row>
    <row r="1090">
      <c r="A1090" s="3">
        <f>IFERROR(__xludf.DUMMYFUNCTION("""COMPUTED_VALUE"""),38119.645833333336)</f>
        <v>38119.64583</v>
      </c>
      <c r="B1090" s="2">
        <f>IFERROR(__xludf.DUMMYFUNCTION("""COMPUTED_VALUE"""),37.1)</f>
        <v>37.1</v>
      </c>
      <c r="C1090" s="2">
        <f>IFERROR(__xludf.DUMMYFUNCTION("""COMPUTED_VALUE"""),37.48)</f>
        <v>37.48</v>
      </c>
      <c r="D1090" s="2">
        <f>IFERROR(__xludf.DUMMYFUNCTION("""COMPUTED_VALUE"""),35.31)</f>
        <v>35.31</v>
      </c>
      <c r="E1090" s="2">
        <f>IFERROR(__xludf.DUMMYFUNCTION("""COMPUTED_VALUE"""),36.75)</f>
        <v>36.75</v>
      </c>
      <c r="F1090" s="2">
        <f>IFERROR(__xludf.DUMMYFUNCTION("""COMPUTED_VALUE"""),281442.0)</f>
        <v>281442</v>
      </c>
    </row>
    <row r="1091">
      <c r="A1091" s="3">
        <f>IFERROR(__xludf.DUMMYFUNCTION("""COMPUTED_VALUE"""),38120.645833333336)</f>
        <v>38120.64583</v>
      </c>
      <c r="B1091" s="2">
        <f>IFERROR(__xludf.DUMMYFUNCTION("""COMPUTED_VALUE"""),36.5)</f>
        <v>36.5</v>
      </c>
      <c r="C1091" s="2">
        <f>IFERROR(__xludf.DUMMYFUNCTION("""COMPUTED_VALUE"""),37.99)</f>
        <v>37.99</v>
      </c>
      <c r="D1091" s="2">
        <f>IFERROR(__xludf.DUMMYFUNCTION("""COMPUTED_VALUE"""),35.11)</f>
        <v>35.11</v>
      </c>
      <c r="E1091" s="2">
        <f>IFERROR(__xludf.DUMMYFUNCTION("""COMPUTED_VALUE"""),36.89)</f>
        <v>36.89</v>
      </c>
      <c r="F1091" s="2">
        <f>IFERROR(__xludf.DUMMYFUNCTION("""COMPUTED_VALUE"""),254628.0)</f>
        <v>254628</v>
      </c>
    </row>
    <row r="1092">
      <c r="A1092" s="3">
        <f>IFERROR(__xludf.DUMMYFUNCTION("""COMPUTED_VALUE"""),38121.645833333336)</f>
        <v>38121.64583</v>
      </c>
      <c r="B1092" s="2">
        <f>IFERROR(__xludf.DUMMYFUNCTION("""COMPUTED_VALUE"""),36.45)</f>
        <v>36.45</v>
      </c>
      <c r="C1092" s="2">
        <f>IFERROR(__xludf.DUMMYFUNCTION("""COMPUTED_VALUE"""),37.2)</f>
        <v>37.2</v>
      </c>
      <c r="D1092" s="2">
        <f>IFERROR(__xludf.DUMMYFUNCTION("""COMPUTED_VALUE"""),33.5)</f>
        <v>33.5</v>
      </c>
      <c r="E1092" s="2">
        <f>IFERROR(__xludf.DUMMYFUNCTION("""COMPUTED_VALUE"""),35.27)</f>
        <v>35.27</v>
      </c>
      <c r="F1092" s="2">
        <f>IFERROR(__xludf.DUMMYFUNCTION("""COMPUTED_VALUE"""),387223.0)</f>
        <v>387223</v>
      </c>
    </row>
    <row r="1093">
      <c r="A1093" s="3">
        <f>IFERROR(__xludf.DUMMYFUNCTION("""COMPUTED_VALUE"""),38124.645833333336)</f>
        <v>38124.64583</v>
      </c>
      <c r="B1093" s="2">
        <f>IFERROR(__xludf.DUMMYFUNCTION("""COMPUTED_VALUE"""),35.0)</f>
        <v>35</v>
      </c>
      <c r="C1093" s="2">
        <f>IFERROR(__xludf.DUMMYFUNCTION("""COMPUTED_VALUE"""),35.0)</f>
        <v>35</v>
      </c>
      <c r="D1093" s="2">
        <f>IFERROR(__xludf.DUMMYFUNCTION("""COMPUTED_VALUE"""),25.62)</f>
        <v>25.62</v>
      </c>
      <c r="E1093" s="2">
        <f>IFERROR(__xludf.DUMMYFUNCTION("""COMPUTED_VALUE"""),27.99)</f>
        <v>27.99</v>
      </c>
      <c r="F1093" s="2">
        <f>IFERROR(__xludf.DUMMYFUNCTION("""COMPUTED_VALUE"""),261073.0)</f>
        <v>261073</v>
      </c>
    </row>
    <row r="1094">
      <c r="A1094" s="3">
        <f>IFERROR(__xludf.DUMMYFUNCTION("""COMPUTED_VALUE"""),38125.645833333336)</f>
        <v>38125.64583</v>
      </c>
      <c r="B1094" s="2">
        <f>IFERROR(__xludf.DUMMYFUNCTION("""COMPUTED_VALUE"""),28.0)</f>
        <v>28</v>
      </c>
      <c r="C1094" s="2">
        <f>IFERROR(__xludf.DUMMYFUNCTION("""COMPUTED_VALUE"""),36.0)</f>
        <v>36</v>
      </c>
      <c r="D1094" s="2">
        <f>IFERROR(__xludf.DUMMYFUNCTION("""COMPUTED_VALUE"""),27.51)</f>
        <v>27.51</v>
      </c>
      <c r="E1094" s="2">
        <f>IFERROR(__xludf.DUMMYFUNCTION("""COMPUTED_VALUE"""),35.21)</f>
        <v>35.21</v>
      </c>
      <c r="F1094" s="2">
        <f>IFERROR(__xludf.DUMMYFUNCTION("""COMPUTED_VALUE"""),561324.0)</f>
        <v>561324</v>
      </c>
    </row>
    <row r="1095">
      <c r="A1095" s="3">
        <f>IFERROR(__xludf.DUMMYFUNCTION("""COMPUTED_VALUE"""),38126.645833333336)</f>
        <v>38126.64583</v>
      </c>
      <c r="B1095" s="2">
        <f>IFERROR(__xludf.DUMMYFUNCTION("""COMPUTED_VALUE"""),35.5)</f>
        <v>35.5</v>
      </c>
      <c r="C1095" s="2">
        <f>IFERROR(__xludf.DUMMYFUNCTION("""COMPUTED_VALUE"""),36.99)</f>
        <v>36.99</v>
      </c>
      <c r="D1095" s="2">
        <f>IFERROR(__xludf.DUMMYFUNCTION("""COMPUTED_VALUE"""),34.12)</f>
        <v>34.12</v>
      </c>
      <c r="E1095" s="2">
        <f>IFERROR(__xludf.DUMMYFUNCTION("""COMPUTED_VALUE"""),35.32)</f>
        <v>35.32</v>
      </c>
      <c r="F1095" s="2">
        <f>IFERROR(__xludf.DUMMYFUNCTION("""COMPUTED_VALUE"""),247602.0)</f>
        <v>247602</v>
      </c>
    </row>
    <row r="1096">
      <c r="A1096" s="3">
        <f>IFERROR(__xludf.DUMMYFUNCTION("""COMPUTED_VALUE"""),38127.645833333336)</f>
        <v>38127.64583</v>
      </c>
      <c r="B1096" s="2">
        <f>IFERROR(__xludf.DUMMYFUNCTION("""COMPUTED_VALUE"""),35.5)</f>
        <v>35.5</v>
      </c>
      <c r="C1096" s="2">
        <f>IFERROR(__xludf.DUMMYFUNCTION("""COMPUTED_VALUE"""),36.0)</f>
        <v>36</v>
      </c>
      <c r="D1096" s="2">
        <f>IFERROR(__xludf.DUMMYFUNCTION("""COMPUTED_VALUE"""),34.5)</f>
        <v>34.5</v>
      </c>
      <c r="E1096" s="2">
        <f>IFERROR(__xludf.DUMMYFUNCTION("""COMPUTED_VALUE"""),35.44)</f>
        <v>35.44</v>
      </c>
      <c r="F1096" s="2">
        <f>IFERROR(__xludf.DUMMYFUNCTION("""COMPUTED_VALUE"""),228136.0)</f>
        <v>228136</v>
      </c>
    </row>
    <row r="1097">
      <c r="A1097" s="3">
        <f>IFERROR(__xludf.DUMMYFUNCTION("""COMPUTED_VALUE"""),38128.645833333336)</f>
        <v>38128.64583</v>
      </c>
      <c r="B1097" s="2">
        <f>IFERROR(__xludf.DUMMYFUNCTION("""COMPUTED_VALUE"""),34.53)</f>
        <v>34.53</v>
      </c>
      <c r="C1097" s="2">
        <f>IFERROR(__xludf.DUMMYFUNCTION("""COMPUTED_VALUE"""),36.4)</f>
        <v>36.4</v>
      </c>
      <c r="D1097" s="2">
        <f>IFERROR(__xludf.DUMMYFUNCTION("""COMPUTED_VALUE"""),33.9)</f>
        <v>33.9</v>
      </c>
      <c r="E1097" s="2">
        <f>IFERROR(__xludf.DUMMYFUNCTION("""COMPUTED_VALUE"""),36.23)</f>
        <v>36.23</v>
      </c>
      <c r="F1097" s="2">
        <f>IFERROR(__xludf.DUMMYFUNCTION("""COMPUTED_VALUE"""),173486.0)</f>
        <v>173486</v>
      </c>
    </row>
    <row r="1098">
      <c r="A1098" s="3">
        <f>IFERROR(__xludf.DUMMYFUNCTION("""COMPUTED_VALUE"""),38131.645833333336)</f>
        <v>38131.64583</v>
      </c>
      <c r="B1098" s="2">
        <f>IFERROR(__xludf.DUMMYFUNCTION("""COMPUTED_VALUE"""),36.1)</f>
        <v>36.1</v>
      </c>
      <c r="C1098" s="2">
        <f>IFERROR(__xludf.DUMMYFUNCTION("""COMPUTED_VALUE"""),37.18)</f>
        <v>37.18</v>
      </c>
      <c r="D1098" s="2">
        <f>IFERROR(__xludf.DUMMYFUNCTION("""COMPUTED_VALUE"""),36.1)</f>
        <v>36.1</v>
      </c>
      <c r="E1098" s="2">
        <f>IFERROR(__xludf.DUMMYFUNCTION("""COMPUTED_VALUE"""),36.89)</f>
        <v>36.89</v>
      </c>
      <c r="F1098" s="2">
        <f>IFERROR(__xludf.DUMMYFUNCTION("""COMPUTED_VALUE"""),119554.0)</f>
        <v>119554</v>
      </c>
    </row>
    <row r="1099">
      <c r="A1099" s="3">
        <f>IFERROR(__xludf.DUMMYFUNCTION("""COMPUTED_VALUE"""),38132.645833333336)</f>
        <v>38132.64583</v>
      </c>
      <c r="B1099" s="2">
        <f>IFERROR(__xludf.DUMMYFUNCTION("""COMPUTED_VALUE"""),36.31)</f>
        <v>36.31</v>
      </c>
      <c r="C1099" s="2">
        <f>IFERROR(__xludf.DUMMYFUNCTION("""COMPUTED_VALUE"""),37.04)</f>
        <v>37.04</v>
      </c>
      <c r="D1099" s="2">
        <f>IFERROR(__xludf.DUMMYFUNCTION("""COMPUTED_VALUE"""),36.2)</f>
        <v>36.2</v>
      </c>
      <c r="E1099" s="2">
        <f>IFERROR(__xludf.DUMMYFUNCTION("""COMPUTED_VALUE"""),36.93)</f>
        <v>36.93</v>
      </c>
      <c r="F1099" s="2">
        <f>IFERROR(__xludf.DUMMYFUNCTION("""COMPUTED_VALUE"""),155495.0)</f>
        <v>155495</v>
      </c>
    </row>
    <row r="1100">
      <c r="A1100" s="3">
        <f>IFERROR(__xludf.DUMMYFUNCTION("""COMPUTED_VALUE"""),38133.645833333336)</f>
        <v>38133.64583</v>
      </c>
      <c r="B1100" s="2">
        <f>IFERROR(__xludf.DUMMYFUNCTION("""COMPUTED_VALUE"""),37.45)</f>
        <v>37.45</v>
      </c>
      <c r="C1100" s="2">
        <f>IFERROR(__xludf.DUMMYFUNCTION("""COMPUTED_VALUE"""),37.98)</f>
        <v>37.98</v>
      </c>
      <c r="D1100" s="2">
        <f>IFERROR(__xludf.DUMMYFUNCTION("""COMPUTED_VALUE"""),36.7)</f>
        <v>36.7</v>
      </c>
      <c r="E1100" s="2">
        <f>IFERROR(__xludf.DUMMYFUNCTION("""COMPUTED_VALUE"""),36.92)</f>
        <v>36.92</v>
      </c>
      <c r="F1100" s="2">
        <f>IFERROR(__xludf.DUMMYFUNCTION("""COMPUTED_VALUE"""),187740.0)</f>
        <v>187740</v>
      </c>
    </row>
    <row r="1101">
      <c r="A1101" s="3">
        <f>IFERROR(__xludf.DUMMYFUNCTION("""COMPUTED_VALUE"""),38134.645833333336)</f>
        <v>38134.64583</v>
      </c>
      <c r="B1101" s="2">
        <f>IFERROR(__xludf.DUMMYFUNCTION("""COMPUTED_VALUE"""),36.22)</f>
        <v>36.22</v>
      </c>
      <c r="C1101" s="2">
        <f>IFERROR(__xludf.DUMMYFUNCTION("""COMPUTED_VALUE"""),37.9)</f>
        <v>37.9</v>
      </c>
      <c r="D1101" s="2">
        <f>IFERROR(__xludf.DUMMYFUNCTION("""COMPUTED_VALUE"""),36.1)</f>
        <v>36.1</v>
      </c>
      <c r="E1101" s="2">
        <f>IFERROR(__xludf.DUMMYFUNCTION("""COMPUTED_VALUE"""),37.4)</f>
        <v>37.4</v>
      </c>
      <c r="F1101" s="2">
        <f>IFERROR(__xludf.DUMMYFUNCTION("""COMPUTED_VALUE"""),314135.0)</f>
        <v>314135</v>
      </c>
    </row>
    <row r="1102">
      <c r="A1102" s="3">
        <f>IFERROR(__xludf.DUMMYFUNCTION("""COMPUTED_VALUE"""),38135.645833333336)</f>
        <v>38135.64583</v>
      </c>
      <c r="B1102" s="2">
        <f>IFERROR(__xludf.DUMMYFUNCTION("""COMPUTED_VALUE"""),37.1)</f>
        <v>37.1</v>
      </c>
      <c r="C1102" s="2">
        <f>IFERROR(__xludf.DUMMYFUNCTION("""COMPUTED_VALUE"""),37.8)</f>
        <v>37.8</v>
      </c>
      <c r="D1102" s="2">
        <f>IFERROR(__xludf.DUMMYFUNCTION("""COMPUTED_VALUE"""),36.52)</f>
        <v>36.52</v>
      </c>
      <c r="E1102" s="2">
        <f>IFERROR(__xludf.DUMMYFUNCTION("""COMPUTED_VALUE"""),36.89)</f>
        <v>36.89</v>
      </c>
      <c r="F1102" s="2">
        <f>IFERROR(__xludf.DUMMYFUNCTION("""COMPUTED_VALUE"""),275997.0)</f>
        <v>275997</v>
      </c>
    </row>
    <row r="1103">
      <c r="A1103" s="3">
        <f>IFERROR(__xludf.DUMMYFUNCTION("""COMPUTED_VALUE"""),38138.645833333336)</f>
        <v>38138.64583</v>
      </c>
      <c r="B1103" s="2">
        <f>IFERROR(__xludf.DUMMYFUNCTION("""COMPUTED_VALUE"""),36.33)</f>
        <v>36.33</v>
      </c>
      <c r="C1103" s="2">
        <f>IFERROR(__xludf.DUMMYFUNCTION("""COMPUTED_VALUE"""),36.6)</f>
        <v>36.6</v>
      </c>
      <c r="D1103" s="2">
        <f>IFERROR(__xludf.DUMMYFUNCTION("""COMPUTED_VALUE"""),34.81)</f>
        <v>34.81</v>
      </c>
      <c r="E1103" s="2">
        <f>IFERROR(__xludf.DUMMYFUNCTION("""COMPUTED_VALUE"""),35.13)</f>
        <v>35.13</v>
      </c>
      <c r="F1103" s="2">
        <f>IFERROR(__xludf.DUMMYFUNCTION("""COMPUTED_VALUE"""),332414.0)</f>
        <v>332414</v>
      </c>
    </row>
    <row r="1104">
      <c r="A1104" s="3">
        <f>IFERROR(__xludf.DUMMYFUNCTION("""COMPUTED_VALUE"""),38139.645833333336)</f>
        <v>38139.64583</v>
      </c>
      <c r="B1104" s="2">
        <f>IFERROR(__xludf.DUMMYFUNCTION("""COMPUTED_VALUE"""),35.6)</f>
        <v>35.6</v>
      </c>
      <c r="C1104" s="2">
        <f>IFERROR(__xludf.DUMMYFUNCTION("""COMPUTED_VALUE"""),35.9)</f>
        <v>35.9</v>
      </c>
      <c r="D1104" s="2">
        <f>IFERROR(__xludf.DUMMYFUNCTION("""COMPUTED_VALUE"""),34.8)</f>
        <v>34.8</v>
      </c>
      <c r="E1104" s="2">
        <f>IFERROR(__xludf.DUMMYFUNCTION("""COMPUTED_VALUE"""),35.15)</f>
        <v>35.15</v>
      </c>
      <c r="F1104" s="2">
        <f>IFERROR(__xludf.DUMMYFUNCTION("""COMPUTED_VALUE"""),264570.0)</f>
        <v>264570</v>
      </c>
    </row>
    <row r="1105">
      <c r="A1105" s="3">
        <f>IFERROR(__xludf.DUMMYFUNCTION("""COMPUTED_VALUE"""),38140.645833333336)</f>
        <v>38140.64583</v>
      </c>
      <c r="B1105" s="2">
        <f>IFERROR(__xludf.DUMMYFUNCTION("""COMPUTED_VALUE"""),35.4)</f>
        <v>35.4</v>
      </c>
      <c r="C1105" s="2">
        <f>IFERROR(__xludf.DUMMYFUNCTION("""COMPUTED_VALUE"""),36.0)</f>
        <v>36</v>
      </c>
      <c r="D1105" s="2">
        <f>IFERROR(__xludf.DUMMYFUNCTION("""COMPUTED_VALUE"""),35.0)</f>
        <v>35</v>
      </c>
      <c r="E1105" s="2">
        <f>IFERROR(__xludf.DUMMYFUNCTION("""COMPUTED_VALUE"""),35.69)</f>
        <v>35.69</v>
      </c>
      <c r="F1105" s="2">
        <f>IFERROR(__xludf.DUMMYFUNCTION("""COMPUTED_VALUE"""),186101.0)</f>
        <v>186101</v>
      </c>
    </row>
    <row r="1106">
      <c r="A1106" s="3">
        <f>IFERROR(__xludf.DUMMYFUNCTION("""COMPUTED_VALUE"""),38141.645833333336)</f>
        <v>38141.64583</v>
      </c>
      <c r="B1106" s="2">
        <f>IFERROR(__xludf.DUMMYFUNCTION("""COMPUTED_VALUE"""),36.0)</f>
        <v>36</v>
      </c>
      <c r="C1106" s="2">
        <f>IFERROR(__xludf.DUMMYFUNCTION("""COMPUTED_VALUE"""),36.16)</f>
        <v>36.16</v>
      </c>
      <c r="D1106" s="2">
        <f>IFERROR(__xludf.DUMMYFUNCTION("""COMPUTED_VALUE"""),34.92)</f>
        <v>34.92</v>
      </c>
      <c r="E1106" s="2">
        <f>IFERROR(__xludf.DUMMYFUNCTION("""COMPUTED_VALUE"""),35.09)</f>
        <v>35.09</v>
      </c>
      <c r="F1106" s="2">
        <f>IFERROR(__xludf.DUMMYFUNCTION("""COMPUTED_VALUE"""),190314.0)</f>
        <v>190314</v>
      </c>
    </row>
    <row r="1107">
      <c r="A1107" s="3">
        <f>IFERROR(__xludf.DUMMYFUNCTION("""COMPUTED_VALUE"""),38142.645833333336)</f>
        <v>38142.64583</v>
      </c>
      <c r="B1107" s="2">
        <f>IFERROR(__xludf.DUMMYFUNCTION("""COMPUTED_VALUE"""),35.0)</f>
        <v>35</v>
      </c>
      <c r="C1107" s="2">
        <f>IFERROR(__xludf.DUMMYFUNCTION("""COMPUTED_VALUE"""),35.8)</f>
        <v>35.8</v>
      </c>
      <c r="D1107" s="2">
        <f>IFERROR(__xludf.DUMMYFUNCTION("""COMPUTED_VALUE"""),34.6)</f>
        <v>34.6</v>
      </c>
      <c r="E1107" s="2">
        <f>IFERROR(__xludf.DUMMYFUNCTION("""COMPUTED_VALUE"""),35.6)</f>
        <v>35.6</v>
      </c>
      <c r="F1107" s="2">
        <f>IFERROR(__xludf.DUMMYFUNCTION("""COMPUTED_VALUE"""),135118.0)</f>
        <v>135118</v>
      </c>
    </row>
    <row r="1108">
      <c r="A1108" s="3">
        <f>IFERROR(__xludf.DUMMYFUNCTION("""COMPUTED_VALUE"""),38145.645833333336)</f>
        <v>38145.64583</v>
      </c>
      <c r="B1108" s="2">
        <f>IFERROR(__xludf.DUMMYFUNCTION("""COMPUTED_VALUE"""),36.0)</f>
        <v>36</v>
      </c>
      <c r="C1108" s="2">
        <f>IFERROR(__xludf.DUMMYFUNCTION("""COMPUTED_VALUE"""),36.89)</f>
        <v>36.89</v>
      </c>
      <c r="D1108" s="2">
        <f>IFERROR(__xludf.DUMMYFUNCTION("""COMPUTED_VALUE"""),35.6)</f>
        <v>35.6</v>
      </c>
      <c r="E1108" s="2">
        <f>IFERROR(__xludf.DUMMYFUNCTION("""COMPUTED_VALUE"""),35.92)</f>
        <v>35.92</v>
      </c>
      <c r="F1108" s="2">
        <f>IFERROR(__xludf.DUMMYFUNCTION("""COMPUTED_VALUE"""),500172.0)</f>
        <v>500172</v>
      </c>
    </row>
    <row r="1109">
      <c r="A1109" s="3">
        <f>IFERROR(__xludf.DUMMYFUNCTION("""COMPUTED_VALUE"""),38146.645833333336)</f>
        <v>38146.64583</v>
      </c>
      <c r="B1109" s="2">
        <f>IFERROR(__xludf.DUMMYFUNCTION("""COMPUTED_VALUE"""),36.2)</f>
        <v>36.2</v>
      </c>
      <c r="C1109" s="2">
        <f>IFERROR(__xludf.DUMMYFUNCTION("""COMPUTED_VALUE"""),36.8)</f>
        <v>36.8</v>
      </c>
      <c r="D1109" s="2">
        <f>IFERROR(__xludf.DUMMYFUNCTION("""COMPUTED_VALUE"""),36.02)</f>
        <v>36.02</v>
      </c>
      <c r="E1109" s="2">
        <f>IFERROR(__xludf.DUMMYFUNCTION("""COMPUTED_VALUE"""),36.45)</f>
        <v>36.45</v>
      </c>
      <c r="F1109" s="2">
        <f>IFERROR(__xludf.DUMMYFUNCTION("""COMPUTED_VALUE"""),162061.0)</f>
        <v>162061</v>
      </c>
    </row>
    <row r="1110">
      <c r="A1110" s="3">
        <f>IFERROR(__xludf.DUMMYFUNCTION("""COMPUTED_VALUE"""),38147.645833333336)</f>
        <v>38147.64583</v>
      </c>
      <c r="B1110" s="2">
        <f>IFERROR(__xludf.DUMMYFUNCTION("""COMPUTED_VALUE"""),36.4)</f>
        <v>36.4</v>
      </c>
      <c r="C1110" s="2">
        <f>IFERROR(__xludf.DUMMYFUNCTION("""COMPUTED_VALUE"""),37.2)</f>
        <v>37.2</v>
      </c>
      <c r="D1110" s="2">
        <f>IFERROR(__xludf.DUMMYFUNCTION("""COMPUTED_VALUE"""),36.21)</f>
        <v>36.21</v>
      </c>
      <c r="E1110" s="2">
        <f>IFERROR(__xludf.DUMMYFUNCTION("""COMPUTED_VALUE"""),37.03)</f>
        <v>37.03</v>
      </c>
      <c r="F1110" s="2">
        <f>IFERROR(__xludf.DUMMYFUNCTION("""COMPUTED_VALUE"""),122134.0)</f>
        <v>122134</v>
      </c>
    </row>
    <row r="1111">
      <c r="A1111" s="3">
        <f>IFERROR(__xludf.DUMMYFUNCTION("""COMPUTED_VALUE"""),38148.645833333336)</f>
        <v>38148.64583</v>
      </c>
      <c r="B1111" s="2">
        <f>IFERROR(__xludf.DUMMYFUNCTION("""COMPUTED_VALUE"""),37.0)</f>
        <v>37</v>
      </c>
      <c r="C1111" s="2">
        <f>IFERROR(__xludf.DUMMYFUNCTION("""COMPUTED_VALUE"""),39.2)</f>
        <v>39.2</v>
      </c>
      <c r="D1111" s="2">
        <f>IFERROR(__xludf.DUMMYFUNCTION("""COMPUTED_VALUE"""),37.0)</f>
        <v>37</v>
      </c>
      <c r="E1111" s="2">
        <f>IFERROR(__xludf.DUMMYFUNCTION("""COMPUTED_VALUE"""),37.9)</f>
        <v>37.9</v>
      </c>
      <c r="F1111" s="2">
        <f>IFERROR(__xludf.DUMMYFUNCTION("""COMPUTED_VALUE"""),689945.0)</f>
        <v>689945</v>
      </c>
    </row>
    <row r="1112">
      <c r="A1112" s="3">
        <f>IFERROR(__xludf.DUMMYFUNCTION("""COMPUTED_VALUE"""),38149.645833333336)</f>
        <v>38149.64583</v>
      </c>
      <c r="B1112" s="2">
        <f>IFERROR(__xludf.DUMMYFUNCTION("""COMPUTED_VALUE"""),37.95)</f>
        <v>37.95</v>
      </c>
      <c r="C1112" s="2">
        <f>IFERROR(__xludf.DUMMYFUNCTION("""COMPUTED_VALUE"""),38.49)</f>
        <v>38.49</v>
      </c>
      <c r="D1112" s="2">
        <f>IFERROR(__xludf.DUMMYFUNCTION("""COMPUTED_VALUE"""),35.72)</f>
        <v>35.72</v>
      </c>
      <c r="E1112" s="2">
        <f>IFERROR(__xludf.DUMMYFUNCTION("""COMPUTED_VALUE"""),36.0)</f>
        <v>36</v>
      </c>
      <c r="F1112" s="2">
        <f>IFERROR(__xludf.DUMMYFUNCTION("""COMPUTED_VALUE"""),291806.0)</f>
        <v>291806</v>
      </c>
    </row>
    <row r="1113">
      <c r="A1113" s="3">
        <f>IFERROR(__xludf.DUMMYFUNCTION("""COMPUTED_VALUE"""),38152.645833333336)</f>
        <v>38152.64583</v>
      </c>
      <c r="B1113" s="2">
        <f>IFERROR(__xludf.DUMMYFUNCTION("""COMPUTED_VALUE"""),36.2)</f>
        <v>36.2</v>
      </c>
      <c r="C1113" s="2">
        <f>IFERROR(__xludf.DUMMYFUNCTION("""COMPUTED_VALUE"""),36.7)</f>
        <v>36.7</v>
      </c>
      <c r="D1113" s="2">
        <f>IFERROR(__xludf.DUMMYFUNCTION("""COMPUTED_VALUE"""),35.53)</f>
        <v>35.53</v>
      </c>
      <c r="E1113" s="2">
        <f>IFERROR(__xludf.DUMMYFUNCTION("""COMPUTED_VALUE"""),36.08)</f>
        <v>36.08</v>
      </c>
      <c r="F1113" s="2">
        <f>IFERROR(__xludf.DUMMYFUNCTION("""COMPUTED_VALUE"""),432137.0)</f>
        <v>432137</v>
      </c>
    </row>
    <row r="1114">
      <c r="A1114" s="3">
        <f>IFERROR(__xludf.DUMMYFUNCTION("""COMPUTED_VALUE"""),38153.645833333336)</f>
        <v>38153.64583</v>
      </c>
      <c r="B1114" s="2">
        <f>IFERROR(__xludf.DUMMYFUNCTION("""COMPUTED_VALUE"""),36.3)</f>
        <v>36.3</v>
      </c>
      <c r="C1114" s="2">
        <f>IFERROR(__xludf.DUMMYFUNCTION("""COMPUTED_VALUE"""),36.8)</f>
        <v>36.8</v>
      </c>
      <c r="D1114" s="2">
        <f>IFERROR(__xludf.DUMMYFUNCTION("""COMPUTED_VALUE"""),35.83)</f>
        <v>35.83</v>
      </c>
      <c r="E1114" s="2">
        <f>IFERROR(__xludf.DUMMYFUNCTION("""COMPUTED_VALUE"""),36.52)</f>
        <v>36.52</v>
      </c>
      <c r="F1114" s="2">
        <f>IFERROR(__xludf.DUMMYFUNCTION("""COMPUTED_VALUE"""),298305.0)</f>
        <v>298305</v>
      </c>
    </row>
    <row r="1115">
      <c r="A1115" s="3">
        <f>IFERROR(__xludf.DUMMYFUNCTION("""COMPUTED_VALUE"""),38154.645833333336)</f>
        <v>38154.64583</v>
      </c>
      <c r="B1115" s="2">
        <f>IFERROR(__xludf.DUMMYFUNCTION("""COMPUTED_VALUE"""),36.88)</f>
        <v>36.88</v>
      </c>
      <c r="C1115" s="2">
        <f>IFERROR(__xludf.DUMMYFUNCTION("""COMPUTED_VALUE"""),37.1)</f>
        <v>37.1</v>
      </c>
      <c r="D1115" s="2">
        <f>IFERROR(__xludf.DUMMYFUNCTION("""COMPUTED_VALUE"""),36.6)</f>
        <v>36.6</v>
      </c>
      <c r="E1115" s="2">
        <f>IFERROR(__xludf.DUMMYFUNCTION("""COMPUTED_VALUE"""),36.87)</f>
        <v>36.87</v>
      </c>
      <c r="F1115" s="2">
        <f>IFERROR(__xludf.DUMMYFUNCTION("""COMPUTED_VALUE"""),225915.0)</f>
        <v>225915</v>
      </c>
    </row>
    <row r="1116">
      <c r="A1116" s="3">
        <f>IFERROR(__xludf.DUMMYFUNCTION("""COMPUTED_VALUE"""),38155.645833333336)</f>
        <v>38155.64583</v>
      </c>
      <c r="B1116" s="2">
        <f>IFERROR(__xludf.DUMMYFUNCTION("""COMPUTED_VALUE"""),36.81)</f>
        <v>36.81</v>
      </c>
      <c r="C1116" s="2">
        <f>IFERROR(__xludf.DUMMYFUNCTION("""COMPUTED_VALUE"""),37.59)</f>
        <v>37.59</v>
      </c>
      <c r="D1116" s="2">
        <f>IFERROR(__xludf.DUMMYFUNCTION("""COMPUTED_VALUE"""),36.72)</f>
        <v>36.72</v>
      </c>
      <c r="E1116" s="2">
        <f>IFERROR(__xludf.DUMMYFUNCTION("""COMPUTED_VALUE"""),37.51)</f>
        <v>37.51</v>
      </c>
      <c r="F1116" s="2">
        <f>IFERROR(__xludf.DUMMYFUNCTION("""COMPUTED_VALUE"""),242877.0)</f>
        <v>242877</v>
      </c>
    </row>
    <row r="1117">
      <c r="A1117" s="3">
        <f>IFERROR(__xludf.DUMMYFUNCTION("""COMPUTED_VALUE"""),38156.645833333336)</f>
        <v>38156.64583</v>
      </c>
      <c r="B1117" s="2">
        <f>IFERROR(__xludf.DUMMYFUNCTION("""COMPUTED_VALUE"""),37.7)</f>
        <v>37.7</v>
      </c>
      <c r="C1117" s="2">
        <f>IFERROR(__xludf.DUMMYFUNCTION("""COMPUTED_VALUE"""),37.8)</f>
        <v>37.8</v>
      </c>
      <c r="D1117" s="2">
        <f>IFERROR(__xludf.DUMMYFUNCTION("""COMPUTED_VALUE"""),37.13)</f>
        <v>37.13</v>
      </c>
      <c r="E1117" s="2">
        <f>IFERROR(__xludf.DUMMYFUNCTION("""COMPUTED_VALUE"""),37.49)</f>
        <v>37.49</v>
      </c>
      <c r="F1117" s="2">
        <f>IFERROR(__xludf.DUMMYFUNCTION("""COMPUTED_VALUE"""),160664.0)</f>
        <v>160664</v>
      </c>
    </row>
    <row r="1118">
      <c r="A1118" s="3">
        <f>IFERROR(__xludf.DUMMYFUNCTION("""COMPUTED_VALUE"""),38159.645833333336)</f>
        <v>38159.64583</v>
      </c>
      <c r="B1118" s="2">
        <f>IFERROR(__xludf.DUMMYFUNCTION("""COMPUTED_VALUE"""),37.5)</f>
        <v>37.5</v>
      </c>
      <c r="C1118" s="2">
        <f>IFERROR(__xludf.DUMMYFUNCTION("""COMPUTED_VALUE"""),38.0)</f>
        <v>38</v>
      </c>
      <c r="D1118" s="2">
        <f>IFERROR(__xludf.DUMMYFUNCTION("""COMPUTED_VALUE"""),37.3)</f>
        <v>37.3</v>
      </c>
      <c r="E1118" s="2">
        <f>IFERROR(__xludf.DUMMYFUNCTION("""COMPUTED_VALUE"""),37.77)</f>
        <v>37.77</v>
      </c>
      <c r="F1118" s="2">
        <f>IFERROR(__xludf.DUMMYFUNCTION("""COMPUTED_VALUE"""),123832.0)</f>
        <v>123832</v>
      </c>
    </row>
    <row r="1119">
      <c r="A1119" s="3">
        <f>IFERROR(__xludf.DUMMYFUNCTION("""COMPUTED_VALUE"""),38160.645833333336)</f>
        <v>38160.64583</v>
      </c>
      <c r="B1119" s="2">
        <f>IFERROR(__xludf.DUMMYFUNCTION("""COMPUTED_VALUE"""),37.53)</f>
        <v>37.53</v>
      </c>
      <c r="C1119" s="2">
        <f>IFERROR(__xludf.DUMMYFUNCTION("""COMPUTED_VALUE"""),37.98)</f>
        <v>37.98</v>
      </c>
      <c r="D1119" s="2">
        <f>IFERROR(__xludf.DUMMYFUNCTION("""COMPUTED_VALUE"""),37.21)</f>
        <v>37.21</v>
      </c>
      <c r="E1119" s="2">
        <f>IFERROR(__xludf.DUMMYFUNCTION("""COMPUTED_VALUE"""),37.58)</f>
        <v>37.58</v>
      </c>
      <c r="F1119" s="2">
        <f>IFERROR(__xludf.DUMMYFUNCTION("""COMPUTED_VALUE"""),206616.0)</f>
        <v>206616</v>
      </c>
    </row>
    <row r="1120">
      <c r="A1120" s="3">
        <f>IFERROR(__xludf.DUMMYFUNCTION("""COMPUTED_VALUE"""),38161.645833333336)</f>
        <v>38161.64583</v>
      </c>
      <c r="B1120" s="2">
        <f>IFERROR(__xludf.DUMMYFUNCTION("""COMPUTED_VALUE"""),37.87)</f>
        <v>37.87</v>
      </c>
      <c r="C1120" s="2">
        <f>IFERROR(__xludf.DUMMYFUNCTION("""COMPUTED_VALUE"""),38.0)</f>
        <v>38</v>
      </c>
      <c r="D1120" s="2">
        <f>IFERROR(__xludf.DUMMYFUNCTION("""COMPUTED_VALUE"""),36.2)</f>
        <v>36.2</v>
      </c>
      <c r="E1120" s="2">
        <f>IFERROR(__xludf.DUMMYFUNCTION("""COMPUTED_VALUE"""),36.5)</f>
        <v>36.5</v>
      </c>
      <c r="F1120" s="2">
        <f>IFERROR(__xludf.DUMMYFUNCTION("""COMPUTED_VALUE"""),280851.0)</f>
        <v>280851</v>
      </c>
    </row>
    <row r="1121">
      <c r="A1121" s="3">
        <f>IFERROR(__xludf.DUMMYFUNCTION("""COMPUTED_VALUE"""),38162.645833333336)</f>
        <v>38162.64583</v>
      </c>
      <c r="B1121" s="2">
        <f>IFERROR(__xludf.DUMMYFUNCTION("""COMPUTED_VALUE"""),36.93)</f>
        <v>36.93</v>
      </c>
      <c r="C1121" s="2">
        <f>IFERROR(__xludf.DUMMYFUNCTION("""COMPUTED_VALUE"""),39.09)</f>
        <v>39.09</v>
      </c>
      <c r="D1121" s="2">
        <f>IFERROR(__xludf.DUMMYFUNCTION("""COMPUTED_VALUE"""),36.0)</f>
        <v>36</v>
      </c>
      <c r="E1121" s="2">
        <f>IFERROR(__xludf.DUMMYFUNCTION("""COMPUTED_VALUE"""),38.14)</f>
        <v>38.14</v>
      </c>
      <c r="F1121" s="2">
        <f>IFERROR(__xludf.DUMMYFUNCTION("""COMPUTED_VALUE"""),358100.0)</f>
        <v>358100</v>
      </c>
    </row>
    <row r="1122">
      <c r="A1122" s="3">
        <f>IFERROR(__xludf.DUMMYFUNCTION("""COMPUTED_VALUE"""),38163.645833333336)</f>
        <v>38163.64583</v>
      </c>
      <c r="B1122" s="2">
        <f>IFERROR(__xludf.DUMMYFUNCTION("""COMPUTED_VALUE"""),37.51)</f>
        <v>37.51</v>
      </c>
      <c r="C1122" s="2">
        <f>IFERROR(__xludf.DUMMYFUNCTION("""COMPUTED_VALUE"""),37.88)</f>
        <v>37.88</v>
      </c>
      <c r="D1122" s="2">
        <f>IFERROR(__xludf.DUMMYFUNCTION("""COMPUTED_VALUE"""),35.75)</f>
        <v>35.75</v>
      </c>
      <c r="E1122" s="2">
        <f>IFERROR(__xludf.DUMMYFUNCTION("""COMPUTED_VALUE"""),36.74)</f>
        <v>36.74</v>
      </c>
      <c r="F1122" s="2">
        <f>IFERROR(__xludf.DUMMYFUNCTION("""COMPUTED_VALUE"""),584669.0)</f>
        <v>584669</v>
      </c>
    </row>
    <row r="1123">
      <c r="A1123" s="3">
        <f>IFERROR(__xludf.DUMMYFUNCTION("""COMPUTED_VALUE"""),38166.645833333336)</f>
        <v>38166.64583</v>
      </c>
      <c r="B1123" s="2">
        <f>IFERROR(__xludf.DUMMYFUNCTION("""COMPUTED_VALUE"""),36.7)</f>
        <v>36.7</v>
      </c>
      <c r="C1123" s="2">
        <f>IFERROR(__xludf.DUMMYFUNCTION("""COMPUTED_VALUE"""),37.1)</f>
        <v>37.1</v>
      </c>
      <c r="D1123" s="2">
        <f>IFERROR(__xludf.DUMMYFUNCTION("""COMPUTED_VALUE"""),35.95)</f>
        <v>35.95</v>
      </c>
      <c r="E1123" s="2">
        <f>IFERROR(__xludf.DUMMYFUNCTION("""COMPUTED_VALUE"""),36.85)</f>
        <v>36.85</v>
      </c>
      <c r="F1123" s="2">
        <f>IFERROR(__xludf.DUMMYFUNCTION("""COMPUTED_VALUE"""),282565.0)</f>
        <v>282565</v>
      </c>
    </row>
    <row r="1124">
      <c r="A1124" s="3">
        <f>IFERROR(__xludf.DUMMYFUNCTION("""COMPUTED_VALUE"""),38167.645833333336)</f>
        <v>38167.64583</v>
      </c>
      <c r="B1124" s="2">
        <f>IFERROR(__xludf.DUMMYFUNCTION("""COMPUTED_VALUE"""),36.9)</f>
        <v>36.9</v>
      </c>
      <c r="C1124" s="2">
        <f>IFERROR(__xludf.DUMMYFUNCTION("""COMPUTED_VALUE"""),37.17)</f>
        <v>37.17</v>
      </c>
      <c r="D1124" s="2">
        <f>IFERROR(__xludf.DUMMYFUNCTION("""COMPUTED_VALUE"""),36.6)</f>
        <v>36.6</v>
      </c>
      <c r="E1124" s="2">
        <f>IFERROR(__xludf.DUMMYFUNCTION("""COMPUTED_VALUE"""),36.96)</f>
        <v>36.96</v>
      </c>
      <c r="F1124" s="2">
        <f>IFERROR(__xludf.DUMMYFUNCTION("""COMPUTED_VALUE"""),220054.0)</f>
        <v>220054</v>
      </c>
    </row>
    <row r="1125">
      <c r="A1125" s="3">
        <f>IFERROR(__xludf.DUMMYFUNCTION("""COMPUTED_VALUE"""),38168.645833333336)</f>
        <v>38168.64583</v>
      </c>
      <c r="B1125" s="2">
        <f>IFERROR(__xludf.DUMMYFUNCTION("""COMPUTED_VALUE"""),37.0)</f>
        <v>37</v>
      </c>
      <c r="C1125" s="2">
        <f>IFERROR(__xludf.DUMMYFUNCTION("""COMPUTED_VALUE"""),37.05)</f>
        <v>37.05</v>
      </c>
      <c r="D1125" s="2">
        <f>IFERROR(__xludf.DUMMYFUNCTION("""COMPUTED_VALUE"""),36.5)</f>
        <v>36.5</v>
      </c>
      <c r="E1125" s="2">
        <f>IFERROR(__xludf.DUMMYFUNCTION("""COMPUTED_VALUE"""),36.97)</f>
        <v>36.97</v>
      </c>
      <c r="F1125" s="2">
        <f>IFERROR(__xludf.DUMMYFUNCTION("""COMPUTED_VALUE"""),147758.0)</f>
        <v>147758</v>
      </c>
    </row>
    <row r="1126">
      <c r="A1126" s="3">
        <f>IFERROR(__xludf.DUMMYFUNCTION("""COMPUTED_VALUE"""),38169.645833333336)</f>
        <v>38169.64583</v>
      </c>
      <c r="B1126" s="2">
        <f>IFERROR(__xludf.DUMMYFUNCTION("""COMPUTED_VALUE"""),37.0)</f>
        <v>37</v>
      </c>
      <c r="C1126" s="2">
        <f>IFERROR(__xludf.DUMMYFUNCTION("""COMPUTED_VALUE"""),37.41)</f>
        <v>37.41</v>
      </c>
      <c r="D1126" s="2">
        <f>IFERROR(__xludf.DUMMYFUNCTION("""COMPUTED_VALUE"""),36.72)</f>
        <v>36.72</v>
      </c>
      <c r="E1126" s="2">
        <f>IFERROR(__xludf.DUMMYFUNCTION("""COMPUTED_VALUE"""),37.16)</f>
        <v>37.16</v>
      </c>
      <c r="F1126" s="2">
        <f>IFERROR(__xludf.DUMMYFUNCTION("""COMPUTED_VALUE"""),161508.0)</f>
        <v>161508</v>
      </c>
    </row>
    <row r="1127">
      <c r="A1127" s="3">
        <f>IFERROR(__xludf.DUMMYFUNCTION("""COMPUTED_VALUE"""),38170.645833333336)</f>
        <v>38170.64583</v>
      </c>
      <c r="B1127" s="2">
        <f>IFERROR(__xludf.DUMMYFUNCTION("""COMPUTED_VALUE"""),37.0)</f>
        <v>37</v>
      </c>
      <c r="C1127" s="2">
        <f>IFERROR(__xludf.DUMMYFUNCTION("""COMPUTED_VALUE"""),37.0)</f>
        <v>37</v>
      </c>
      <c r="D1127" s="2">
        <f>IFERROR(__xludf.DUMMYFUNCTION("""COMPUTED_VALUE"""),36.23)</f>
        <v>36.23</v>
      </c>
      <c r="E1127" s="2">
        <f>IFERROR(__xludf.DUMMYFUNCTION("""COMPUTED_VALUE"""),36.45)</f>
        <v>36.45</v>
      </c>
      <c r="F1127" s="2">
        <f>IFERROR(__xludf.DUMMYFUNCTION("""COMPUTED_VALUE"""),207718.0)</f>
        <v>207718</v>
      </c>
    </row>
    <row r="1128">
      <c r="A1128" s="3">
        <f>IFERROR(__xludf.DUMMYFUNCTION("""COMPUTED_VALUE"""),38173.645833333336)</f>
        <v>38173.64583</v>
      </c>
      <c r="B1128" s="2">
        <f>IFERROR(__xludf.DUMMYFUNCTION("""COMPUTED_VALUE"""),35.0)</f>
        <v>35</v>
      </c>
      <c r="C1128" s="2">
        <f>IFERROR(__xludf.DUMMYFUNCTION("""COMPUTED_VALUE"""),36.2)</f>
        <v>36.2</v>
      </c>
      <c r="D1128" s="2">
        <f>IFERROR(__xludf.DUMMYFUNCTION("""COMPUTED_VALUE"""),34.11)</f>
        <v>34.11</v>
      </c>
      <c r="E1128" s="2">
        <f>IFERROR(__xludf.DUMMYFUNCTION("""COMPUTED_VALUE"""),36.16)</f>
        <v>36.16</v>
      </c>
      <c r="F1128" s="2">
        <f>IFERROR(__xludf.DUMMYFUNCTION("""COMPUTED_VALUE"""),553859.0)</f>
        <v>553859</v>
      </c>
    </row>
    <row r="1129">
      <c r="A1129" s="3">
        <f>IFERROR(__xludf.DUMMYFUNCTION("""COMPUTED_VALUE"""),38174.645833333336)</f>
        <v>38174.64583</v>
      </c>
      <c r="B1129" s="2">
        <f>IFERROR(__xludf.DUMMYFUNCTION("""COMPUTED_VALUE"""),36.0)</f>
        <v>36</v>
      </c>
      <c r="C1129" s="2">
        <f>IFERROR(__xludf.DUMMYFUNCTION("""COMPUTED_VALUE"""),36.8)</f>
        <v>36.8</v>
      </c>
      <c r="D1129" s="2">
        <f>IFERROR(__xludf.DUMMYFUNCTION("""COMPUTED_VALUE"""),35.6)</f>
        <v>35.6</v>
      </c>
      <c r="E1129" s="2">
        <f>IFERROR(__xludf.DUMMYFUNCTION("""COMPUTED_VALUE"""),36.69)</f>
        <v>36.69</v>
      </c>
      <c r="F1129" s="2">
        <f>IFERROR(__xludf.DUMMYFUNCTION("""COMPUTED_VALUE"""),290068.0)</f>
        <v>290068</v>
      </c>
    </row>
    <row r="1130">
      <c r="A1130" s="3">
        <f>IFERROR(__xludf.DUMMYFUNCTION("""COMPUTED_VALUE"""),38175.645833333336)</f>
        <v>38175.64583</v>
      </c>
      <c r="B1130" s="2">
        <f>IFERROR(__xludf.DUMMYFUNCTION("""COMPUTED_VALUE"""),36.4)</f>
        <v>36.4</v>
      </c>
      <c r="C1130" s="2">
        <f>IFERROR(__xludf.DUMMYFUNCTION("""COMPUTED_VALUE"""),37.2)</f>
        <v>37.2</v>
      </c>
      <c r="D1130" s="2">
        <f>IFERROR(__xludf.DUMMYFUNCTION("""COMPUTED_VALUE"""),36.4)</f>
        <v>36.4</v>
      </c>
      <c r="E1130" s="2">
        <f>IFERROR(__xludf.DUMMYFUNCTION("""COMPUTED_VALUE"""),37.03)</f>
        <v>37.03</v>
      </c>
      <c r="F1130" s="2">
        <f>IFERROR(__xludf.DUMMYFUNCTION("""COMPUTED_VALUE"""),248391.0)</f>
        <v>248391</v>
      </c>
    </row>
    <row r="1131">
      <c r="A1131" s="3">
        <f>IFERROR(__xludf.DUMMYFUNCTION("""COMPUTED_VALUE"""),38176.645833333336)</f>
        <v>38176.64583</v>
      </c>
      <c r="B1131" s="2">
        <f>IFERROR(__xludf.DUMMYFUNCTION("""COMPUTED_VALUE"""),36.62)</f>
        <v>36.62</v>
      </c>
      <c r="C1131" s="2">
        <f>IFERROR(__xludf.DUMMYFUNCTION("""COMPUTED_VALUE"""),37.45)</f>
        <v>37.45</v>
      </c>
      <c r="D1131" s="2">
        <f>IFERROR(__xludf.DUMMYFUNCTION("""COMPUTED_VALUE"""),36.0)</f>
        <v>36</v>
      </c>
      <c r="E1131" s="2">
        <f>IFERROR(__xludf.DUMMYFUNCTION("""COMPUTED_VALUE"""),36.42)</f>
        <v>36.42</v>
      </c>
      <c r="F1131" s="2">
        <f>IFERROR(__xludf.DUMMYFUNCTION("""COMPUTED_VALUE"""),305673.0)</f>
        <v>305673</v>
      </c>
    </row>
    <row r="1132">
      <c r="A1132" s="3">
        <f>IFERROR(__xludf.DUMMYFUNCTION("""COMPUTED_VALUE"""),38177.645833333336)</f>
        <v>38177.64583</v>
      </c>
      <c r="B1132" s="2">
        <f>IFERROR(__xludf.DUMMYFUNCTION("""COMPUTED_VALUE"""),35.9)</f>
        <v>35.9</v>
      </c>
      <c r="C1132" s="2">
        <f>IFERROR(__xludf.DUMMYFUNCTION("""COMPUTED_VALUE"""),37.2)</f>
        <v>37.2</v>
      </c>
      <c r="D1132" s="2">
        <f>IFERROR(__xludf.DUMMYFUNCTION("""COMPUTED_VALUE"""),35.67)</f>
        <v>35.67</v>
      </c>
      <c r="E1132" s="2">
        <f>IFERROR(__xludf.DUMMYFUNCTION("""COMPUTED_VALUE"""),36.88)</f>
        <v>36.88</v>
      </c>
      <c r="F1132" s="2">
        <f>IFERROR(__xludf.DUMMYFUNCTION("""COMPUTED_VALUE"""),279259.0)</f>
        <v>279259</v>
      </c>
    </row>
    <row r="1133">
      <c r="A1133" s="3">
        <f>IFERROR(__xludf.DUMMYFUNCTION("""COMPUTED_VALUE"""),38180.645833333336)</f>
        <v>38180.64583</v>
      </c>
      <c r="B1133" s="2">
        <f>IFERROR(__xludf.DUMMYFUNCTION("""COMPUTED_VALUE"""),37.0)</f>
        <v>37</v>
      </c>
      <c r="C1133" s="2">
        <f>IFERROR(__xludf.DUMMYFUNCTION("""COMPUTED_VALUE"""),37.29)</f>
        <v>37.29</v>
      </c>
      <c r="D1133" s="2">
        <f>IFERROR(__xludf.DUMMYFUNCTION("""COMPUTED_VALUE"""),36.5)</f>
        <v>36.5</v>
      </c>
      <c r="E1133" s="2">
        <f>IFERROR(__xludf.DUMMYFUNCTION("""COMPUTED_VALUE"""),36.83)</f>
        <v>36.83</v>
      </c>
      <c r="F1133" s="2">
        <f>IFERROR(__xludf.DUMMYFUNCTION("""COMPUTED_VALUE"""),198444.0)</f>
        <v>198444</v>
      </c>
    </row>
    <row r="1134">
      <c r="A1134" s="3">
        <f>IFERROR(__xludf.DUMMYFUNCTION("""COMPUTED_VALUE"""),38181.645833333336)</f>
        <v>38181.64583</v>
      </c>
      <c r="B1134" s="2">
        <f>IFERROR(__xludf.DUMMYFUNCTION("""COMPUTED_VALUE"""),37.0)</f>
        <v>37</v>
      </c>
      <c r="C1134" s="2">
        <f>IFERROR(__xludf.DUMMYFUNCTION("""COMPUTED_VALUE"""),37.0)</f>
        <v>37</v>
      </c>
      <c r="D1134" s="2">
        <f>IFERROR(__xludf.DUMMYFUNCTION("""COMPUTED_VALUE"""),36.0)</f>
        <v>36</v>
      </c>
      <c r="E1134" s="2">
        <f>IFERROR(__xludf.DUMMYFUNCTION("""COMPUTED_VALUE"""),36.53)</f>
        <v>36.53</v>
      </c>
      <c r="F1134" s="2">
        <f>IFERROR(__xludf.DUMMYFUNCTION("""COMPUTED_VALUE"""),142267.0)</f>
        <v>142267</v>
      </c>
    </row>
    <row r="1135">
      <c r="A1135" s="3">
        <f>IFERROR(__xludf.DUMMYFUNCTION("""COMPUTED_VALUE"""),38182.645833333336)</f>
        <v>38182.64583</v>
      </c>
      <c r="B1135" s="2">
        <f>IFERROR(__xludf.DUMMYFUNCTION("""COMPUTED_VALUE"""),36.9)</f>
        <v>36.9</v>
      </c>
      <c r="C1135" s="2">
        <f>IFERROR(__xludf.DUMMYFUNCTION("""COMPUTED_VALUE"""),37.29)</f>
        <v>37.29</v>
      </c>
      <c r="D1135" s="2">
        <f>IFERROR(__xludf.DUMMYFUNCTION("""COMPUTED_VALUE"""),36.35)</f>
        <v>36.35</v>
      </c>
      <c r="E1135" s="2">
        <f>IFERROR(__xludf.DUMMYFUNCTION("""COMPUTED_VALUE"""),36.5)</f>
        <v>36.5</v>
      </c>
      <c r="F1135" s="2">
        <f>IFERROR(__xludf.DUMMYFUNCTION("""COMPUTED_VALUE"""),257953.0)</f>
        <v>257953</v>
      </c>
    </row>
    <row r="1136">
      <c r="A1136" s="3">
        <f>IFERROR(__xludf.DUMMYFUNCTION("""COMPUTED_VALUE"""),38183.645833333336)</f>
        <v>38183.64583</v>
      </c>
      <c r="B1136" s="2">
        <f>IFERROR(__xludf.DUMMYFUNCTION("""COMPUTED_VALUE"""),36.8)</f>
        <v>36.8</v>
      </c>
      <c r="C1136" s="2">
        <f>IFERROR(__xludf.DUMMYFUNCTION("""COMPUTED_VALUE"""),37.0)</f>
        <v>37</v>
      </c>
      <c r="D1136" s="2">
        <f>IFERROR(__xludf.DUMMYFUNCTION("""COMPUTED_VALUE"""),36.42)</f>
        <v>36.42</v>
      </c>
      <c r="E1136" s="2">
        <f>IFERROR(__xludf.DUMMYFUNCTION("""COMPUTED_VALUE"""),36.5)</f>
        <v>36.5</v>
      </c>
      <c r="F1136" s="2">
        <f>IFERROR(__xludf.DUMMYFUNCTION("""COMPUTED_VALUE"""),116517.0)</f>
        <v>116517</v>
      </c>
    </row>
    <row r="1137">
      <c r="A1137" s="3">
        <f>IFERROR(__xludf.DUMMYFUNCTION("""COMPUTED_VALUE"""),38184.645833333336)</f>
        <v>38184.64583</v>
      </c>
      <c r="B1137" s="2">
        <f>IFERROR(__xludf.DUMMYFUNCTION("""COMPUTED_VALUE"""),36.6)</f>
        <v>36.6</v>
      </c>
      <c r="C1137" s="2">
        <f>IFERROR(__xludf.DUMMYFUNCTION("""COMPUTED_VALUE"""),36.79)</f>
        <v>36.79</v>
      </c>
      <c r="D1137" s="2">
        <f>IFERROR(__xludf.DUMMYFUNCTION("""COMPUTED_VALUE"""),35.99)</f>
        <v>35.99</v>
      </c>
      <c r="E1137" s="2">
        <f>IFERROR(__xludf.DUMMYFUNCTION("""COMPUTED_VALUE"""),36.61)</f>
        <v>36.61</v>
      </c>
      <c r="F1137" s="2">
        <f>IFERROR(__xludf.DUMMYFUNCTION("""COMPUTED_VALUE"""),131491.0)</f>
        <v>131491</v>
      </c>
    </row>
    <row r="1138">
      <c r="A1138" s="3">
        <f>IFERROR(__xludf.DUMMYFUNCTION("""COMPUTED_VALUE"""),38187.645833333336)</f>
        <v>38187.64583</v>
      </c>
      <c r="B1138" s="2">
        <f>IFERROR(__xludf.DUMMYFUNCTION("""COMPUTED_VALUE"""),36.89)</f>
        <v>36.89</v>
      </c>
      <c r="C1138" s="2">
        <f>IFERROR(__xludf.DUMMYFUNCTION("""COMPUTED_VALUE"""),36.99)</f>
        <v>36.99</v>
      </c>
      <c r="D1138" s="2">
        <f>IFERROR(__xludf.DUMMYFUNCTION("""COMPUTED_VALUE"""),36.5)</f>
        <v>36.5</v>
      </c>
      <c r="E1138" s="2">
        <f>IFERROR(__xludf.DUMMYFUNCTION("""COMPUTED_VALUE"""),36.63)</f>
        <v>36.63</v>
      </c>
      <c r="F1138" s="2">
        <f>IFERROR(__xludf.DUMMYFUNCTION("""COMPUTED_VALUE"""),109108.0)</f>
        <v>109108</v>
      </c>
    </row>
    <row r="1139">
      <c r="A1139" s="3">
        <f>IFERROR(__xludf.DUMMYFUNCTION("""COMPUTED_VALUE"""),38188.645833333336)</f>
        <v>38188.64583</v>
      </c>
      <c r="B1139" s="2">
        <f>IFERROR(__xludf.DUMMYFUNCTION("""COMPUTED_VALUE"""),36.6)</f>
        <v>36.6</v>
      </c>
      <c r="C1139" s="2">
        <f>IFERROR(__xludf.DUMMYFUNCTION("""COMPUTED_VALUE"""),37.1)</f>
        <v>37.1</v>
      </c>
      <c r="D1139" s="2">
        <f>IFERROR(__xludf.DUMMYFUNCTION("""COMPUTED_VALUE"""),36.26)</f>
        <v>36.26</v>
      </c>
      <c r="E1139" s="2">
        <f>IFERROR(__xludf.DUMMYFUNCTION("""COMPUTED_VALUE"""),37.01)</f>
        <v>37.01</v>
      </c>
      <c r="F1139" s="2">
        <f>IFERROR(__xludf.DUMMYFUNCTION("""COMPUTED_VALUE"""),149960.0)</f>
        <v>149960</v>
      </c>
    </row>
    <row r="1140">
      <c r="A1140" s="3">
        <f>IFERROR(__xludf.DUMMYFUNCTION("""COMPUTED_VALUE"""),38189.645833333336)</f>
        <v>38189.64583</v>
      </c>
      <c r="B1140" s="2">
        <f>IFERROR(__xludf.DUMMYFUNCTION("""COMPUTED_VALUE"""),37.15)</f>
        <v>37.15</v>
      </c>
      <c r="C1140" s="2">
        <f>IFERROR(__xludf.DUMMYFUNCTION("""COMPUTED_VALUE"""),37.5)</f>
        <v>37.5</v>
      </c>
      <c r="D1140" s="2">
        <f>IFERROR(__xludf.DUMMYFUNCTION("""COMPUTED_VALUE"""),36.7)</f>
        <v>36.7</v>
      </c>
      <c r="E1140" s="2">
        <f>IFERROR(__xludf.DUMMYFUNCTION("""COMPUTED_VALUE"""),37.02)</f>
        <v>37.02</v>
      </c>
      <c r="F1140" s="2">
        <f>IFERROR(__xludf.DUMMYFUNCTION("""COMPUTED_VALUE"""),387084.0)</f>
        <v>387084</v>
      </c>
    </row>
    <row r="1141">
      <c r="A1141" s="3">
        <f>IFERROR(__xludf.DUMMYFUNCTION("""COMPUTED_VALUE"""),38190.645833333336)</f>
        <v>38190.64583</v>
      </c>
      <c r="B1141" s="2">
        <f>IFERROR(__xludf.DUMMYFUNCTION("""COMPUTED_VALUE"""),37.46)</f>
        <v>37.46</v>
      </c>
      <c r="C1141" s="2">
        <f>IFERROR(__xludf.DUMMYFUNCTION("""COMPUTED_VALUE"""),37.49)</f>
        <v>37.49</v>
      </c>
      <c r="D1141" s="2">
        <f>IFERROR(__xludf.DUMMYFUNCTION("""COMPUTED_VALUE"""),36.8)</f>
        <v>36.8</v>
      </c>
      <c r="E1141" s="2">
        <f>IFERROR(__xludf.DUMMYFUNCTION("""COMPUTED_VALUE"""),36.95)</f>
        <v>36.95</v>
      </c>
      <c r="F1141" s="2">
        <f>IFERROR(__xludf.DUMMYFUNCTION("""COMPUTED_VALUE"""),279070.0)</f>
        <v>279070</v>
      </c>
    </row>
    <row r="1142">
      <c r="A1142" s="3">
        <f>IFERROR(__xludf.DUMMYFUNCTION("""COMPUTED_VALUE"""),38191.645833333336)</f>
        <v>38191.64583</v>
      </c>
      <c r="B1142" s="2">
        <f>IFERROR(__xludf.DUMMYFUNCTION("""COMPUTED_VALUE"""),36.85)</f>
        <v>36.85</v>
      </c>
      <c r="C1142" s="2">
        <f>IFERROR(__xludf.DUMMYFUNCTION("""COMPUTED_VALUE"""),37.1)</f>
        <v>37.1</v>
      </c>
      <c r="D1142" s="2">
        <f>IFERROR(__xludf.DUMMYFUNCTION("""COMPUTED_VALUE"""),36.45)</f>
        <v>36.45</v>
      </c>
      <c r="E1142" s="2">
        <f>IFERROR(__xludf.DUMMYFUNCTION("""COMPUTED_VALUE"""),36.96)</f>
        <v>36.96</v>
      </c>
      <c r="F1142" s="2">
        <f>IFERROR(__xludf.DUMMYFUNCTION("""COMPUTED_VALUE"""),161937.0)</f>
        <v>161937</v>
      </c>
    </row>
    <row r="1143">
      <c r="A1143" s="3">
        <f>IFERROR(__xludf.DUMMYFUNCTION("""COMPUTED_VALUE"""),38194.645833333336)</f>
        <v>38194.64583</v>
      </c>
      <c r="B1143" s="2">
        <f>IFERROR(__xludf.DUMMYFUNCTION("""COMPUTED_VALUE"""),36.9)</f>
        <v>36.9</v>
      </c>
      <c r="C1143" s="2">
        <f>IFERROR(__xludf.DUMMYFUNCTION("""COMPUTED_VALUE"""),37.6)</f>
        <v>37.6</v>
      </c>
      <c r="D1143" s="2">
        <f>IFERROR(__xludf.DUMMYFUNCTION("""COMPUTED_VALUE"""),36.5)</f>
        <v>36.5</v>
      </c>
      <c r="E1143" s="2">
        <f>IFERROR(__xludf.DUMMYFUNCTION("""COMPUTED_VALUE"""),37.46)</f>
        <v>37.46</v>
      </c>
      <c r="F1143" s="2">
        <f>IFERROR(__xludf.DUMMYFUNCTION("""COMPUTED_VALUE"""),268138.0)</f>
        <v>268138</v>
      </c>
    </row>
    <row r="1144">
      <c r="A1144" s="3">
        <f>IFERROR(__xludf.DUMMYFUNCTION("""COMPUTED_VALUE"""),38195.645833333336)</f>
        <v>38195.64583</v>
      </c>
      <c r="B1144" s="2">
        <f>IFERROR(__xludf.DUMMYFUNCTION("""COMPUTED_VALUE"""),37.2)</f>
        <v>37.2</v>
      </c>
      <c r="C1144" s="2">
        <f>IFERROR(__xludf.DUMMYFUNCTION("""COMPUTED_VALUE"""),37.6)</f>
        <v>37.6</v>
      </c>
      <c r="D1144" s="2">
        <f>IFERROR(__xludf.DUMMYFUNCTION("""COMPUTED_VALUE"""),36.7)</f>
        <v>36.7</v>
      </c>
      <c r="E1144" s="2">
        <f>IFERROR(__xludf.DUMMYFUNCTION("""COMPUTED_VALUE"""),37.38)</f>
        <v>37.38</v>
      </c>
      <c r="F1144" s="2">
        <f>IFERROR(__xludf.DUMMYFUNCTION("""COMPUTED_VALUE"""),557968.0)</f>
        <v>557968</v>
      </c>
    </row>
    <row r="1145">
      <c r="A1145" s="3">
        <f>IFERROR(__xludf.DUMMYFUNCTION("""COMPUTED_VALUE"""),38196.645833333336)</f>
        <v>38196.64583</v>
      </c>
      <c r="B1145" s="2">
        <f>IFERROR(__xludf.DUMMYFUNCTION("""COMPUTED_VALUE"""),37.4)</f>
        <v>37.4</v>
      </c>
      <c r="C1145" s="2">
        <f>IFERROR(__xludf.DUMMYFUNCTION("""COMPUTED_VALUE"""),37.4)</f>
        <v>37.4</v>
      </c>
      <c r="D1145" s="2">
        <f>IFERROR(__xludf.DUMMYFUNCTION("""COMPUTED_VALUE"""),36.81)</f>
        <v>36.81</v>
      </c>
      <c r="E1145" s="2">
        <f>IFERROR(__xludf.DUMMYFUNCTION("""COMPUTED_VALUE"""),37.21)</f>
        <v>37.21</v>
      </c>
      <c r="F1145" s="2">
        <f>IFERROR(__xludf.DUMMYFUNCTION("""COMPUTED_VALUE"""),270920.0)</f>
        <v>270920</v>
      </c>
    </row>
    <row r="1146">
      <c r="A1146" s="3">
        <f>IFERROR(__xludf.DUMMYFUNCTION("""COMPUTED_VALUE"""),38197.645833333336)</f>
        <v>38197.64583</v>
      </c>
      <c r="B1146" s="2">
        <f>IFERROR(__xludf.DUMMYFUNCTION("""COMPUTED_VALUE"""),37.1)</f>
        <v>37.1</v>
      </c>
      <c r="C1146" s="2">
        <f>IFERROR(__xludf.DUMMYFUNCTION("""COMPUTED_VALUE"""),37.95)</f>
        <v>37.95</v>
      </c>
      <c r="D1146" s="2">
        <f>IFERROR(__xludf.DUMMYFUNCTION("""COMPUTED_VALUE"""),36.91)</f>
        <v>36.91</v>
      </c>
      <c r="E1146" s="2">
        <f>IFERROR(__xludf.DUMMYFUNCTION("""COMPUTED_VALUE"""),37.58)</f>
        <v>37.58</v>
      </c>
      <c r="F1146" s="2">
        <f>IFERROR(__xludf.DUMMYFUNCTION("""COMPUTED_VALUE"""),330085.0)</f>
        <v>330085</v>
      </c>
    </row>
    <row r="1147">
      <c r="A1147" s="3">
        <f>IFERROR(__xludf.DUMMYFUNCTION("""COMPUTED_VALUE"""),38198.645833333336)</f>
        <v>38198.64583</v>
      </c>
      <c r="B1147" s="2">
        <f>IFERROR(__xludf.DUMMYFUNCTION("""COMPUTED_VALUE"""),37.6)</f>
        <v>37.6</v>
      </c>
      <c r="C1147" s="2">
        <f>IFERROR(__xludf.DUMMYFUNCTION("""COMPUTED_VALUE"""),37.7)</f>
        <v>37.7</v>
      </c>
      <c r="D1147" s="2">
        <f>IFERROR(__xludf.DUMMYFUNCTION("""COMPUTED_VALUE"""),37.05)</f>
        <v>37.05</v>
      </c>
      <c r="E1147" s="2">
        <f>IFERROR(__xludf.DUMMYFUNCTION("""COMPUTED_VALUE"""),37.52)</f>
        <v>37.52</v>
      </c>
      <c r="F1147" s="2">
        <f>IFERROR(__xludf.DUMMYFUNCTION("""COMPUTED_VALUE"""),261144.0)</f>
        <v>261144</v>
      </c>
    </row>
    <row r="1148">
      <c r="A1148" s="3">
        <f>IFERROR(__xludf.DUMMYFUNCTION("""COMPUTED_VALUE"""),38201.645833333336)</f>
        <v>38201.64583</v>
      </c>
      <c r="B1148" s="2">
        <f>IFERROR(__xludf.DUMMYFUNCTION("""COMPUTED_VALUE"""),37.5)</f>
        <v>37.5</v>
      </c>
      <c r="C1148" s="2">
        <f>IFERROR(__xludf.DUMMYFUNCTION("""COMPUTED_VALUE"""),37.5)</f>
        <v>37.5</v>
      </c>
      <c r="D1148" s="2">
        <f>IFERROR(__xludf.DUMMYFUNCTION("""COMPUTED_VALUE"""),37.01)</f>
        <v>37.01</v>
      </c>
      <c r="E1148" s="2">
        <f>IFERROR(__xludf.DUMMYFUNCTION("""COMPUTED_VALUE"""),37.19)</f>
        <v>37.19</v>
      </c>
      <c r="F1148" s="2">
        <f>IFERROR(__xludf.DUMMYFUNCTION("""COMPUTED_VALUE"""),112299.0)</f>
        <v>112299</v>
      </c>
    </row>
    <row r="1149">
      <c r="A1149" s="3">
        <f>IFERROR(__xludf.DUMMYFUNCTION("""COMPUTED_VALUE"""),38202.645833333336)</f>
        <v>38202.64583</v>
      </c>
      <c r="B1149" s="2">
        <f>IFERROR(__xludf.DUMMYFUNCTION("""COMPUTED_VALUE"""),37.19)</f>
        <v>37.19</v>
      </c>
      <c r="C1149" s="2">
        <f>IFERROR(__xludf.DUMMYFUNCTION("""COMPUTED_VALUE"""),37.2)</f>
        <v>37.2</v>
      </c>
      <c r="D1149" s="2">
        <f>IFERROR(__xludf.DUMMYFUNCTION("""COMPUTED_VALUE"""),36.35)</f>
        <v>36.35</v>
      </c>
      <c r="E1149" s="2">
        <f>IFERROR(__xludf.DUMMYFUNCTION("""COMPUTED_VALUE"""),36.5)</f>
        <v>36.5</v>
      </c>
      <c r="F1149" s="2">
        <f>IFERROR(__xludf.DUMMYFUNCTION("""COMPUTED_VALUE"""),357937.0)</f>
        <v>357937</v>
      </c>
    </row>
    <row r="1150">
      <c r="A1150" s="3">
        <f>IFERROR(__xludf.DUMMYFUNCTION("""COMPUTED_VALUE"""),38203.645833333336)</f>
        <v>38203.64583</v>
      </c>
      <c r="B1150" s="2">
        <f>IFERROR(__xludf.DUMMYFUNCTION("""COMPUTED_VALUE"""),36.5)</f>
        <v>36.5</v>
      </c>
      <c r="C1150" s="2">
        <f>IFERROR(__xludf.DUMMYFUNCTION("""COMPUTED_VALUE"""),36.88)</f>
        <v>36.88</v>
      </c>
      <c r="D1150" s="2">
        <f>IFERROR(__xludf.DUMMYFUNCTION("""COMPUTED_VALUE"""),36.01)</f>
        <v>36.01</v>
      </c>
      <c r="E1150" s="2">
        <f>IFERROR(__xludf.DUMMYFUNCTION("""COMPUTED_VALUE"""),36.52)</f>
        <v>36.52</v>
      </c>
      <c r="F1150" s="2">
        <f>IFERROR(__xludf.DUMMYFUNCTION("""COMPUTED_VALUE"""),122340.0)</f>
        <v>122340</v>
      </c>
    </row>
    <row r="1151">
      <c r="A1151" s="3">
        <f>IFERROR(__xludf.DUMMYFUNCTION("""COMPUTED_VALUE"""),38204.645833333336)</f>
        <v>38204.64583</v>
      </c>
      <c r="B1151" s="2">
        <f>IFERROR(__xludf.DUMMYFUNCTION("""COMPUTED_VALUE"""),36.6)</f>
        <v>36.6</v>
      </c>
      <c r="C1151" s="2">
        <f>IFERROR(__xludf.DUMMYFUNCTION("""COMPUTED_VALUE"""),37.5)</f>
        <v>37.5</v>
      </c>
      <c r="D1151" s="2">
        <f>IFERROR(__xludf.DUMMYFUNCTION("""COMPUTED_VALUE"""),36.53)</f>
        <v>36.53</v>
      </c>
      <c r="E1151" s="2">
        <f>IFERROR(__xludf.DUMMYFUNCTION("""COMPUTED_VALUE"""),37.2)</f>
        <v>37.2</v>
      </c>
      <c r="F1151" s="2">
        <f>IFERROR(__xludf.DUMMYFUNCTION("""COMPUTED_VALUE"""),131523.0)</f>
        <v>131523</v>
      </c>
    </row>
    <row r="1152">
      <c r="A1152" s="3">
        <f>IFERROR(__xludf.DUMMYFUNCTION("""COMPUTED_VALUE"""),38205.645833333336)</f>
        <v>38205.64583</v>
      </c>
      <c r="B1152" s="2">
        <f>IFERROR(__xludf.DUMMYFUNCTION("""COMPUTED_VALUE"""),36.81)</f>
        <v>36.81</v>
      </c>
      <c r="C1152" s="2">
        <f>IFERROR(__xludf.DUMMYFUNCTION("""COMPUTED_VALUE"""),37.0)</f>
        <v>37</v>
      </c>
      <c r="D1152" s="2">
        <f>IFERROR(__xludf.DUMMYFUNCTION("""COMPUTED_VALUE"""),36.1)</f>
        <v>36.1</v>
      </c>
      <c r="E1152" s="2">
        <f>IFERROR(__xludf.DUMMYFUNCTION("""COMPUTED_VALUE"""),36.76)</f>
        <v>36.76</v>
      </c>
      <c r="F1152" s="2">
        <f>IFERROR(__xludf.DUMMYFUNCTION("""COMPUTED_VALUE"""),133738.0)</f>
        <v>133738</v>
      </c>
    </row>
    <row r="1153">
      <c r="A1153" s="3">
        <f>IFERROR(__xludf.DUMMYFUNCTION("""COMPUTED_VALUE"""),38208.645833333336)</f>
        <v>38208.64583</v>
      </c>
      <c r="B1153" s="2">
        <f>IFERROR(__xludf.DUMMYFUNCTION("""COMPUTED_VALUE"""),36.8)</f>
        <v>36.8</v>
      </c>
      <c r="C1153" s="2">
        <f>IFERROR(__xludf.DUMMYFUNCTION("""COMPUTED_VALUE"""),37.17)</f>
        <v>37.17</v>
      </c>
      <c r="D1153" s="2">
        <f>IFERROR(__xludf.DUMMYFUNCTION("""COMPUTED_VALUE"""),36.5)</f>
        <v>36.5</v>
      </c>
      <c r="E1153" s="2">
        <f>IFERROR(__xludf.DUMMYFUNCTION("""COMPUTED_VALUE"""),36.97)</f>
        <v>36.97</v>
      </c>
      <c r="F1153" s="2">
        <f>IFERROR(__xludf.DUMMYFUNCTION("""COMPUTED_VALUE"""),89898.0)</f>
        <v>89898</v>
      </c>
    </row>
    <row r="1154">
      <c r="A1154" s="3">
        <f>IFERROR(__xludf.DUMMYFUNCTION("""COMPUTED_VALUE"""),38209.645833333336)</f>
        <v>38209.64583</v>
      </c>
      <c r="B1154" s="2">
        <f>IFERROR(__xludf.DUMMYFUNCTION("""COMPUTED_VALUE"""),37.05)</f>
        <v>37.05</v>
      </c>
      <c r="C1154" s="2">
        <f>IFERROR(__xludf.DUMMYFUNCTION("""COMPUTED_VALUE"""),37.55)</f>
        <v>37.55</v>
      </c>
      <c r="D1154" s="2">
        <f>IFERROR(__xludf.DUMMYFUNCTION("""COMPUTED_VALUE"""),36.99)</f>
        <v>36.99</v>
      </c>
      <c r="E1154" s="2">
        <f>IFERROR(__xludf.DUMMYFUNCTION("""COMPUTED_VALUE"""),37.41)</f>
        <v>37.41</v>
      </c>
      <c r="F1154" s="2">
        <f>IFERROR(__xludf.DUMMYFUNCTION("""COMPUTED_VALUE"""),194897.0)</f>
        <v>194897</v>
      </c>
    </row>
    <row r="1155">
      <c r="A1155" s="3">
        <f>IFERROR(__xludf.DUMMYFUNCTION("""COMPUTED_VALUE"""),38210.645833333336)</f>
        <v>38210.64583</v>
      </c>
      <c r="B1155" s="2">
        <f>IFERROR(__xludf.DUMMYFUNCTION("""COMPUTED_VALUE"""),37.1)</f>
        <v>37.1</v>
      </c>
      <c r="C1155" s="2">
        <f>IFERROR(__xludf.DUMMYFUNCTION("""COMPUTED_VALUE"""),37.65)</f>
        <v>37.65</v>
      </c>
      <c r="D1155" s="2">
        <f>IFERROR(__xludf.DUMMYFUNCTION("""COMPUTED_VALUE"""),36.81)</f>
        <v>36.81</v>
      </c>
      <c r="E1155" s="2">
        <f>IFERROR(__xludf.DUMMYFUNCTION("""COMPUTED_VALUE"""),37.44)</f>
        <v>37.44</v>
      </c>
      <c r="F1155" s="2">
        <f>IFERROR(__xludf.DUMMYFUNCTION("""COMPUTED_VALUE"""),225207.0)</f>
        <v>225207</v>
      </c>
    </row>
    <row r="1156">
      <c r="A1156" s="3">
        <f>IFERROR(__xludf.DUMMYFUNCTION("""COMPUTED_VALUE"""),38211.645833333336)</f>
        <v>38211.64583</v>
      </c>
      <c r="B1156" s="2">
        <f>IFERROR(__xludf.DUMMYFUNCTION("""COMPUTED_VALUE"""),37.13)</f>
        <v>37.13</v>
      </c>
      <c r="C1156" s="2">
        <f>IFERROR(__xludf.DUMMYFUNCTION("""COMPUTED_VALUE"""),37.39)</f>
        <v>37.39</v>
      </c>
      <c r="D1156" s="2">
        <f>IFERROR(__xludf.DUMMYFUNCTION("""COMPUTED_VALUE"""),36.83)</f>
        <v>36.83</v>
      </c>
      <c r="E1156" s="2">
        <f>IFERROR(__xludf.DUMMYFUNCTION("""COMPUTED_VALUE"""),37.08)</f>
        <v>37.08</v>
      </c>
      <c r="F1156" s="2">
        <f>IFERROR(__xludf.DUMMYFUNCTION("""COMPUTED_VALUE"""),84376.0)</f>
        <v>84376</v>
      </c>
    </row>
    <row r="1157">
      <c r="A1157" s="3">
        <f>IFERROR(__xludf.DUMMYFUNCTION("""COMPUTED_VALUE"""),38212.645833333336)</f>
        <v>38212.64583</v>
      </c>
      <c r="B1157" s="2">
        <f>IFERROR(__xludf.DUMMYFUNCTION("""COMPUTED_VALUE"""),37.1)</f>
        <v>37.1</v>
      </c>
      <c r="C1157" s="2">
        <f>IFERROR(__xludf.DUMMYFUNCTION("""COMPUTED_VALUE"""),37.19)</f>
        <v>37.19</v>
      </c>
      <c r="D1157" s="2">
        <f>IFERROR(__xludf.DUMMYFUNCTION("""COMPUTED_VALUE"""),36.31)</f>
        <v>36.31</v>
      </c>
      <c r="E1157" s="2">
        <f>IFERROR(__xludf.DUMMYFUNCTION("""COMPUTED_VALUE"""),36.5)</f>
        <v>36.5</v>
      </c>
      <c r="F1157" s="2">
        <f>IFERROR(__xludf.DUMMYFUNCTION("""COMPUTED_VALUE"""),73231.0)</f>
        <v>73231</v>
      </c>
    </row>
    <row r="1158">
      <c r="A1158" s="3">
        <f>IFERROR(__xludf.DUMMYFUNCTION("""COMPUTED_VALUE"""),38215.645833333336)</f>
        <v>38215.64583</v>
      </c>
      <c r="B1158" s="2">
        <f>IFERROR(__xludf.DUMMYFUNCTION("""COMPUTED_VALUE"""),36.35)</f>
        <v>36.35</v>
      </c>
      <c r="C1158" s="2">
        <f>IFERROR(__xludf.DUMMYFUNCTION("""COMPUTED_VALUE"""),36.54)</f>
        <v>36.54</v>
      </c>
      <c r="D1158" s="2">
        <f>IFERROR(__xludf.DUMMYFUNCTION("""COMPUTED_VALUE"""),36.06)</f>
        <v>36.06</v>
      </c>
      <c r="E1158" s="2">
        <f>IFERROR(__xludf.DUMMYFUNCTION("""COMPUTED_VALUE"""),36.2)</f>
        <v>36.2</v>
      </c>
      <c r="F1158" s="2">
        <f>IFERROR(__xludf.DUMMYFUNCTION("""COMPUTED_VALUE"""),85715.0)</f>
        <v>85715</v>
      </c>
    </row>
    <row r="1159">
      <c r="A1159" s="3">
        <f>IFERROR(__xludf.DUMMYFUNCTION("""COMPUTED_VALUE"""),38216.645833333336)</f>
        <v>38216.64583</v>
      </c>
      <c r="B1159" s="2">
        <f>IFERROR(__xludf.DUMMYFUNCTION("""COMPUTED_VALUE"""),36.68)</f>
        <v>36.68</v>
      </c>
      <c r="C1159" s="2">
        <f>IFERROR(__xludf.DUMMYFUNCTION("""COMPUTED_VALUE"""),36.98)</f>
        <v>36.98</v>
      </c>
      <c r="D1159" s="2">
        <f>IFERROR(__xludf.DUMMYFUNCTION("""COMPUTED_VALUE"""),36.1)</f>
        <v>36.1</v>
      </c>
      <c r="E1159" s="2">
        <f>IFERROR(__xludf.DUMMYFUNCTION("""COMPUTED_VALUE"""),36.37)</f>
        <v>36.37</v>
      </c>
      <c r="F1159" s="2">
        <f>IFERROR(__xludf.DUMMYFUNCTION("""COMPUTED_VALUE"""),731896.0)</f>
        <v>731896</v>
      </c>
    </row>
    <row r="1160">
      <c r="A1160" s="3">
        <f>IFERROR(__xludf.DUMMYFUNCTION("""COMPUTED_VALUE"""),38217.645833333336)</f>
        <v>38217.64583</v>
      </c>
      <c r="B1160" s="2">
        <f>IFERROR(__xludf.DUMMYFUNCTION("""COMPUTED_VALUE"""),36.4)</f>
        <v>36.4</v>
      </c>
      <c r="C1160" s="2">
        <f>IFERROR(__xludf.DUMMYFUNCTION("""COMPUTED_VALUE"""),36.5)</f>
        <v>36.5</v>
      </c>
      <c r="D1160" s="2">
        <f>IFERROR(__xludf.DUMMYFUNCTION("""COMPUTED_VALUE"""),36.0)</f>
        <v>36</v>
      </c>
      <c r="E1160" s="2">
        <f>IFERROR(__xludf.DUMMYFUNCTION("""COMPUTED_VALUE"""),36.15)</f>
        <v>36.15</v>
      </c>
      <c r="F1160" s="2">
        <f>IFERROR(__xludf.DUMMYFUNCTION("""COMPUTED_VALUE"""),208225.0)</f>
        <v>208225</v>
      </c>
    </row>
    <row r="1161">
      <c r="A1161" s="3">
        <f>IFERROR(__xludf.DUMMYFUNCTION("""COMPUTED_VALUE"""),38218.645833333336)</f>
        <v>38218.64583</v>
      </c>
      <c r="B1161" s="2">
        <f>IFERROR(__xludf.DUMMYFUNCTION("""COMPUTED_VALUE"""),36.9)</f>
        <v>36.9</v>
      </c>
      <c r="C1161" s="2">
        <f>IFERROR(__xludf.DUMMYFUNCTION("""COMPUTED_VALUE"""),36.9)</f>
        <v>36.9</v>
      </c>
      <c r="D1161" s="2">
        <f>IFERROR(__xludf.DUMMYFUNCTION("""COMPUTED_VALUE"""),36.0)</f>
        <v>36</v>
      </c>
      <c r="E1161" s="2">
        <f>IFERROR(__xludf.DUMMYFUNCTION("""COMPUTED_VALUE"""),36.13)</f>
        <v>36.13</v>
      </c>
      <c r="F1161" s="2">
        <f>IFERROR(__xludf.DUMMYFUNCTION("""COMPUTED_VALUE"""),426217.0)</f>
        <v>426217</v>
      </c>
    </row>
    <row r="1162">
      <c r="A1162" s="3">
        <f>IFERROR(__xludf.DUMMYFUNCTION("""COMPUTED_VALUE"""),38219.645833333336)</f>
        <v>38219.64583</v>
      </c>
      <c r="B1162" s="2">
        <f>IFERROR(__xludf.DUMMYFUNCTION("""COMPUTED_VALUE"""),36.13)</f>
        <v>36.13</v>
      </c>
      <c r="C1162" s="2">
        <f>IFERROR(__xludf.DUMMYFUNCTION("""COMPUTED_VALUE"""),36.35)</f>
        <v>36.35</v>
      </c>
      <c r="D1162" s="2">
        <f>IFERROR(__xludf.DUMMYFUNCTION("""COMPUTED_VALUE"""),35.62)</f>
        <v>35.62</v>
      </c>
      <c r="E1162" s="2">
        <f>IFERROR(__xludf.DUMMYFUNCTION("""COMPUTED_VALUE"""),35.69)</f>
        <v>35.69</v>
      </c>
      <c r="F1162" s="2">
        <f>IFERROR(__xludf.DUMMYFUNCTION("""COMPUTED_VALUE"""),57909.0)</f>
        <v>57909</v>
      </c>
    </row>
    <row r="1163">
      <c r="A1163" s="3">
        <f>IFERROR(__xludf.DUMMYFUNCTION("""COMPUTED_VALUE"""),38222.645833333336)</f>
        <v>38222.64583</v>
      </c>
      <c r="B1163" s="2">
        <f>IFERROR(__xludf.DUMMYFUNCTION("""COMPUTED_VALUE"""),36.1)</f>
        <v>36.1</v>
      </c>
      <c r="C1163" s="2">
        <f>IFERROR(__xludf.DUMMYFUNCTION("""COMPUTED_VALUE"""),36.6)</f>
        <v>36.6</v>
      </c>
      <c r="D1163" s="2">
        <f>IFERROR(__xludf.DUMMYFUNCTION("""COMPUTED_VALUE"""),35.31)</f>
        <v>35.31</v>
      </c>
      <c r="E1163" s="2">
        <f>IFERROR(__xludf.DUMMYFUNCTION("""COMPUTED_VALUE"""),36.42)</f>
        <v>36.42</v>
      </c>
      <c r="F1163" s="2">
        <f>IFERROR(__xludf.DUMMYFUNCTION("""COMPUTED_VALUE"""),87380.0)</f>
        <v>87380</v>
      </c>
    </row>
    <row r="1164">
      <c r="A1164" s="3">
        <f>IFERROR(__xludf.DUMMYFUNCTION("""COMPUTED_VALUE"""),38223.645833333336)</f>
        <v>38223.64583</v>
      </c>
      <c r="B1164" s="2">
        <f>IFERROR(__xludf.DUMMYFUNCTION("""COMPUTED_VALUE"""),36.5)</f>
        <v>36.5</v>
      </c>
      <c r="C1164" s="2">
        <f>IFERROR(__xludf.DUMMYFUNCTION("""COMPUTED_VALUE"""),37.65)</f>
        <v>37.65</v>
      </c>
      <c r="D1164" s="2">
        <f>IFERROR(__xludf.DUMMYFUNCTION("""COMPUTED_VALUE"""),36.22)</f>
        <v>36.22</v>
      </c>
      <c r="E1164" s="2">
        <f>IFERROR(__xludf.DUMMYFUNCTION("""COMPUTED_VALUE"""),37.48)</f>
        <v>37.48</v>
      </c>
      <c r="F1164" s="2">
        <f>IFERROR(__xludf.DUMMYFUNCTION("""COMPUTED_VALUE"""),128460.0)</f>
        <v>128460</v>
      </c>
    </row>
    <row r="1165">
      <c r="A1165" s="3">
        <f>IFERROR(__xludf.DUMMYFUNCTION("""COMPUTED_VALUE"""),38224.645833333336)</f>
        <v>38224.64583</v>
      </c>
      <c r="B1165" s="2">
        <f>IFERROR(__xludf.DUMMYFUNCTION("""COMPUTED_VALUE"""),37.49)</f>
        <v>37.49</v>
      </c>
      <c r="C1165" s="2">
        <f>IFERROR(__xludf.DUMMYFUNCTION("""COMPUTED_VALUE"""),37.7)</f>
        <v>37.7</v>
      </c>
      <c r="D1165" s="2">
        <f>IFERROR(__xludf.DUMMYFUNCTION("""COMPUTED_VALUE"""),37.1)</f>
        <v>37.1</v>
      </c>
      <c r="E1165" s="2">
        <f>IFERROR(__xludf.DUMMYFUNCTION("""COMPUTED_VALUE"""),37.48)</f>
        <v>37.48</v>
      </c>
      <c r="F1165" s="2">
        <f>IFERROR(__xludf.DUMMYFUNCTION("""COMPUTED_VALUE"""),121203.0)</f>
        <v>121203</v>
      </c>
    </row>
    <row r="1166">
      <c r="A1166" s="3">
        <f>IFERROR(__xludf.DUMMYFUNCTION("""COMPUTED_VALUE"""),38225.645833333336)</f>
        <v>38225.64583</v>
      </c>
      <c r="B1166" s="2">
        <f>IFERROR(__xludf.DUMMYFUNCTION("""COMPUTED_VALUE"""),37.49)</f>
        <v>37.49</v>
      </c>
      <c r="C1166" s="2">
        <f>IFERROR(__xludf.DUMMYFUNCTION("""COMPUTED_VALUE"""),38.19)</f>
        <v>38.19</v>
      </c>
      <c r="D1166" s="2">
        <f>IFERROR(__xludf.DUMMYFUNCTION("""COMPUTED_VALUE"""),37.21)</f>
        <v>37.21</v>
      </c>
      <c r="E1166" s="2">
        <f>IFERROR(__xludf.DUMMYFUNCTION("""COMPUTED_VALUE"""),37.95)</f>
        <v>37.95</v>
      </c>
      <c r="F1166" s="2">
        <f>IFERROR(__xludf.DUMMYFUNCTION("""COMPUTED_VALUE"""),264992.0)</f>
        <v>264992</v>
      </c>
    </row>
    <row r="1167">
      <c r="A1167" s="3">
        <f>IFERROR(__xludf.DUMMYFUNCTION("""COMPUTED_VALUE"""),38226.645833333336)</f>
        <v>38226.64583</v>
      </c>
      <c r="B1167" s="2">
        <f>IFERROR(__xludf.DUMMYFUNCTION("""COMPUTED_VALUE"""),37.89)</f>
        <v>37.89</v>
      </c>
      <c r="C1167" s="2">
        <f>IFERROR(__xludf.DUMMYFUNCTION("""COMPUTED_VALUE"""),37.95)</f>
        <v>37.95</v>
      </c>
      <c r="D1167" s="2">
        <f>IFERROR(__xludf.DUMMYFUNCTION("""COMPUTED_VALUE"""),36.9)</f>
        <v>36.9</v>
      </c>
      <c r="E1167" s="2">
        <f>IFERROR(__xludf.DUMMYFUNCTION("""COMPUTED_VALUE"""),36.95)</f>
        <v>36.95</v>
      </c>
      <c r="F1167" s="2">
        <f>IFERROR(__xludf.DUMMYFUNCTION("""COMPUTED_VALUE"""),73503.0)</f>
        <v>73503</v>
      </c>
    </row>
    <row r="1168">
      <c r="A1168" s="3">
        <f>IFERROR(__xludf.DUMMYFUNCTION("""COMPUTED_VALUE"""),38229.645833333336)</f>
        <v>38229.64583</v>
      </c>
      <c r="B1168" s="2">
        <f>IFERROR(__xludf.DUMMYFUNCTION("""COMPUTED_VALUE"""),37.0)</f>
        <v>37</v>
      </c>
      <c r="C1168" s="2">
        <f>IFERROR(__xludf.DUMMYFUNCTION("""COMPUTED_VALUE"""),37.39)</f>
        <v>37.39</v>
      </c>
      <c r="D1168" s="2">
        <f>IFERROR(__xludf.DUMMYFUNCTION("""COMPUTED_VALUE"""),36.8)</f>
        <v>36.8</v>
      </c>
      <c r="E1168" s="2">
        <f>IFERROR(__xludf.DUMMYFUNCTION("""COMPUTED_VALUE"""),37.13)</f>
        <v>37.13</v>
      </c>
      <c r="F1168" s="2">
        <f>IFERROR(__xludf.DUMMYFUNCTION("""COMPUTED_VALUE"""),58261.0)</f>
        <v>58261</v>
      </c>
    </row>
    <row r="1169">
      <c r="A1169" s="3">
        <f>IFERROR(__xludf.DUMMYFUNCTION("""COMPUTED_VALUE"""),38230.645833333336)</f>
        <v>38230.64583</v>
      </c>
      <c r="B1169" s="2">
        <f>IFERROR(__xludf.DUMMYFUNCTION("""COMPUTED_VALUE"""),36.8)</f>
        <v>36.8</v>
      </c>
      <c r="C1169" s="2">
        <f>IFERROR(__xludf.DUMMYFUNCTION("""COMPUTED_VALUE"""),37.0)</f>
        <v>37</v>
      </c>
      <c r="D1169" s="2">
        <f>IFERROR(__xludf.DUMMYFUNCTION("""COMPUTED_VALUE"""),36.56)</f>
        <v>36.56</v>
      </c>
      <c r="E1169" s="2">
        <f>IFERROR(__xludf.DUMMYFUNCTION("""COMPUTED_VALUE"""),36.77)</f>
        <v>36.77</v>
      </c>
      <c r="F1169" s="2">
        <f>IFERROR(__xludf.DUMMYFUNCTION("""COMPUTED_VALUE"""),131559.0)</f>
        <v>131559</v>
      </c>
    </row>
    <row r="1170">
      <c r="A1170" s="3">
        <f>IFERROR(__xludf.DUMMYFUNCTION("""COMPUTED_VALUE"""),38231.645833333336)</f>
        <v>38231.64583</v>
      </c>
      <c r="B1170" s="2">
        <f>IFERROR(__xludf.DUMMYFUNCTION("""COMPUTED_VALUE"""),36.8)</f>
        <v>36.8</v>
      </c>
      <c r="C1170" s="2">
        <f>IFERROR(__xludf.DUMMYFUNCTION("""COMPUTED_VALUE"""),37.03)</f>
        <v>37.03</v>
      </c>
      <c r="D1170" s="2">
        <f>IFERROR(__xludf.DUMMYFUNCTION("""COMPUTED_VALUE"""),36.62)</f>
        <v>36.62</v>
      </c>
      <c r="E1170" s="2">
        <f>IFERROR(__xludf.DUMMYFUNCTION("""COMPUTED_VALUE"""),36.85)</f>
        <v>36.85</v>
      </c>
      <c r="F1170" s="2">
        <f>IFERROR(__xludf.DUMMYFUNCTION("""COMPUTED_VALUE"""),106183.0)</f>
        <v>106183</v>
      </c>
    </row>
    <row r="1171">
      <c r="A1171" s="3">
        <f>IFERROR(__xludf.DUMMYFUNCTION("""COMPUTED_VALUE"""),38232.645833333336)</f>
        <v>38232.64583</v>
      </c>
      <c r="B1171" s="2">
        <f>IFERROR(__xludf.DUMMYFUNCTION("""COMPUTED_VALUE"""),36.73)</f>
        <v>36.73</v>
      </c>
      <c r="C1171" s="2">
        <f>IFERROR(__xludf.DUMMYFUNCTION("""COMPUTED_VALUE"""),37.38)</f>
        <v>37.38</v>
      </c>
      <c r="D1171" s="2">
        <f>IFERROR(__xludf.DUMMYFUNCTION("""COMPUTED_VALUE"""),36.72)</f>
        <v>36.72</v>
      </c>
      <c r="E1171" s="2">
        <f>IFERROR(__xludf.DUMMYFUNCTION("""COMPUTED_VALUE"""),37.09)</f>
        <v>37.09</v>
      </c>
      <c r="F1171" s="2">
        <f>IFERROR(__xludf.DUMMYFUNCTION("""COMPUTED_VALUE"""),70570.0)</f>
        <v>70570</v>
      </c>
    </row>
    <row r="1172">
      <c r="A1172" s="3">
        <f>IFERROR(__xludf.DUMMYFUNCTION("""COMPUTED_VALUE"""),38233.645833333336)</f>
        <v>38233.64583</v>
      </c>
      <c r="B1172" s="2">
        <f>IFERROR(__xludf.DUMMYFUNCTION("""COMPUTED_VALUE"""),37.15)</f>
        <v>37.15</v>
      </c>
      <c r="C1172" s="2">
        <f>IFERROR(__xludf.DUMMYFUNCTION("""COMPUTED_VALUE"""),37.27)</f>
        <v>37.27</v>
      </c>
      <c r="D1172" s="2">
        <f>IFERROR(__xludf.DUMMYFUNCTION("""COMPUTED_VALUE"""),36.81)</f>
        <v>36.81</v>
      </c>
      <c r="E1172" s="2">
        <f>IFERROR(__xludf.DUMMYFUNCTION("""COMPUTED_VALUE"""),37.02)</f>
        <v>37.02</v>
      </c>
      <c r="F1172" s="2">
        <f>IFERROR(__xludf.DUMMYFUNCTION("""COMPUTED_VALUE"""),108694.0)</f>
        <v>108694</v>
      </c>
    </row>
    <row r="1173">
      <c r="A1173" s="3">
        <f>IFERROR(__xludf.DUMMYFUNCTION("""COMPUTED_VALUE"""),38236.645833333336)</f>
        <v>38236.64583</v>
      </c>
      <c r="B1173" s="2">
        <f>IFERROR(__xludf.DUMMYFUNCTION("""COMPUTED_VALUE"""),37.1)</f>
        <v>37.1</v>
      </c>
      <c r="C1173" s="2">
        <f>IFERROR(__xludf.DUMMYFUNCTION("""COMPUTED_VALUE"""),37.8)</f>
        <v>37.8</v>
      </c>
      <c r="D1173" s="2">
        <f>IFERROR(__xludf.DUMMYFUNCTION("""COMPUTED_VALUE"""),36.92)</f>
        <v>36.92</v>
      </c>
      <c r="E1173" s="2">
        <f>IFERROR(__xludf.DUMMYFUNCTION("""COMPUTED_VALUE"""),37.72)</f>
        <v>37.72</v>
      </c>
      <c r="F1173" s="2">
        <f>IFERROR(__xludf.DUMMYFUNCTION("""COMPUTED_VALUE"""),143894.0)</f>
        <v>143894</v>
      </c>
    </row>
    <row r="1174">
      <c r="A1174" s="3">
        <f>IFERROR(__xludf.DUMMYFUNCTION("""COMPUTED_VALUE"""),38237.645833333336)</f>
        <v>38237.64583</v>
      </c>
      <c r="B1174" s="2">
        <f>IFERROR(__xludf.DUMMYFUNCTION("""COMPUTED_VALUE"""),37.98)</f>
        <v>37.98</v>
      </c>
      <c r="C1174" s="2">
        <f>IFERROR(__xludf.DUMMYFUNCTION("""COMPUTED_VALUE"""),38.5)</f>
        <v>38.5</v>
      </c>
      <c r="D1174" s="2">
        <f>IFERROR(__xludf.DUMMYFUNCTION("""COMPUTED_VALUE"""),37.56)</f>
        <v>37.56</v>
      </c>
      <c r="E1174" s="2">
        <f>IFERROR(__xludf.DUMMYFUNCTION("""COMPUTED_VALUE"""),38.18)</f>
        <v>38.18</v>
      </c>
      <c r="F1174" s="2">
        <f>IFERROR(__xludf.DUMMYFUNCTION("""COMPUTED_VALUE"""),350501.0)</f>
        <v>350501</v>
      </c>
    </row>
    <row r="1175">
      <c r="A1175" s="3">
        <f>IFERROR(__xludf.DUMMYFUNCTION("""COMPUTED_VALUE"""),38238.645833333336)</f>
        <v>38238.64583</v>
      </c>
      <c r="B1175" s="2">
        <f>IFERROR(__xludf.DUMMYFUNCTION("""COMPUTED_VALUE"""),38.21)</f>
        <v>38.21</v>
      </c>
      <c r="C1175" s="2">
        <f>IFERROR(__xludf.DUMMYFUNCTION("""COMPUTED_VALUE"""),40.04)</f>
        <v>40.04</v>
      </c>
      <c r="D1175" s="2">
        <f>IFERROR(__xludf.DUMMYFUNCTION("""COMPUTED_VALUE"""),37.2)</f>
        <v>37.2</v>
      </c>
      <c r="E1175" s="2">
        <f>IFERROR(__xludf.DUMMYFUNCTION("""COMPUTED_VALUE"""),39.41)</f>
        <v>39.41</v>
      </c>
      <c r="F1175" s="2">
        <f>IFERROR(__xludf.DUMMYFUNCTION("""COMPUTED_VALUE"""),1507364.0)</f>
        <v>1507364</v>
      </c>
    </row>
    <row r="1176">
      <c r="A1176" s="3">
        <f>IFERROR(__xludf.DUMMYFUNCTION("""COMPUTED_VALUE"""),38239.645833333336)</f>
        <v>38239.64583</v>
      </c>
      <c r="B1176" s="2">
        <f>IFERROR(__xludf.DUMMYFUNCTION("""COMPUTED_VALUE"""),39.9)</f>
        <v>39.9</v>
      </c>
      <c r="C1176" s="2">
        <f>IFERROR(__xludf.DUMMYFUNCTION("""COMPUTED_VALUE"""),40.34)</f>
        <v>40.34</v>
      </c>
      <c r="D1176" s="2">
        <f>IFERROR(__xludf.DUMMYFUNCTION("""COMPUTED_VALUE"""),37.85)</f>
        <v>37.85</v>
      </c>
      <c r="E1176" s="2">
        <f>IFERROR(__xludf.DUMMYFUNCTION("""COMPUTED_VALUE"""),38.19)</f>
        <v>38.19</v>
      </c>
      <c r="F1176" s="2">
        <f>IFERROR(__xludf.DUMMYFUNCTION("""COMPUTED_VALUE"""),1642372.0)</f>
        <v>1642372</v>
      </c>
    </row>
    <row r="1177">
      <c r="A1177" s="3">
        <f>IFERROR(__xludf.DUMMYFUNCTION("""COMPUTED_VALUE"""),38240.645833333336)</f>
        <v>38240.64583</v>
      </c>
      <c r="B1177" s="2">
        <f>IFERROR(__xludf.DUMMYFUNCTION("""COMPUTED_VALUE"""),38.3)</f>
        <v>38.3</v>
      </c>
      <c r="C1177" s="2">
        <f>IFERROR(__xludf.DUMMYFUNCTION("""COMPUTED_VALUE"""),39.47)</f>
        <v>39.47</v>
      </c>
      <c r="D1177" s="2">
        <f>IFERROR(__xludf.DUMMYFUNCTION("""COMPUTED_VALUE"""),38.23)</f>
        <v>38.23</v>
      </c>
      <c r="E1177" s="2">
        <f>IFERROR(__xludf.DUMMYFUNCTION("""COMPUTED_VALUE"""),38.96)</f>
        <v>38.96</v>
      </c>
      <c r="F1177" s="2">
        <f>IFERROR(__xludf.DUMMYFUNCTION("""COMPUTED_VALUE"""),813822.0)</f>
        <v>813822</v>
      </c>
    </row>
    <row r="1178">
      <c r="A1178" s="3">
        <f>IFERROR(__xludf.DUMMYFUNCTION("""COMPUTED_VALUE"""),38243.645833333336)</f>
        <v>38243.64583</v>
      </c>
      <c r="B1178" s="2">
        <f>IFERROR(__xludf.DUMMYFUNCTION("""COMPUTED_VALUE"""),38.5)</f>
        <v>38.5</v>
      </c>
      <c r="C1178" s="2">
        <f>IFERROR(__xludf.DUMMYFUNCTION("""COMPUTED_VALUE"""),39.5)</f>
        <v>39.5</v>
      </c>
      <c r="D1178" s="2">
        <f>IFERROR(__xludf.DUMMYFUNCTION("""COMPUTED_VALUE"""),38.4)</f>
        <v>38.4</v>
      </c>
      <c r="E1178" s="2">
        <f>IFERROR(__xludf.DUMMYFUNCTION("""COMPUTED_VALUE"""),38.84)</f>
        <v>38.84</v>
      </c>
      <c r="F1178" s="2">
        <f>IFERROR(__xludf.DUMMYFUNCTION("""COMPUTED_VALUE"""),398479.0)</f>
        <v>398479</v>
      </c>
    </row>
    <row r="1179">
      <c r="A1179" s="3">
        <f>IFERROR(__xludf.DUMMYFUNCTION("""COMPUTED_VALUE"""),38244.645833333336)</f>
        <v>38244.64583</v>
      </c>
      <c r="B1179" s="2">
        <f>IFERROR(__xludf.DUMMYFUNCTION("""COMPUTED_VALUE"""),38.99)</f>
        <v>38.99</v>
      </c>
      <c r="C1179" s="2">
        <f>IFERROR(__xludf.DUMMYFUNCTION("""COMPUTED_VALUE"""),39.5)</f>
        <v>39.5</v>
      </c>
      <c r="D1179" s="2">
        <f>IFERROR(__xludf.DUMMYFUNCTION("""COMPUTED_VALUE"""),38.5)</f>
        <v>38.5</v>
      </c>
      <c r="E1179" s="2">
        <f>IFERROR(__xludf.DUMMYFUNCTION("""COMPUTED_VALUE"""),39.13)</f>
        <v>39.13</v>
      </c>
      <c r="F1179" s="2">
        <f>IFERROR(__xludf.DUMMYFUNCTION("""COMPUTED_VALUE"""),333071.0)</f>
        <v>333071</v>
      </c>
    </row>
    <row r="1180">
      <c r="A1180" s="3">
        <f>IFERROR(__xludf.DUMMYFUNCTION("""COMPUTED_VALUE"""),38245.645833333336)</f>
        <v>38245.64583</v>
      </c>
      <c r="B1180" s="2">
        <f>IFERROR(__xludf.DUMMYFUNCTION("""COMPUTED_VALUE"""),39.34)</f>
        <v>39.34</v>
      </c>
      <c r="C1180" s="2">
        <f>IFERROR(__xludf.DUMMYFUNCTION("""COMPUTED_VALUE"""),40.07)</f>
        <v>40.07</v>
      </c>
      <c r="D1180" s="2">
        <f>IFERROR(__xludf.DUMMYFUNCTION("""COMPUTED_VALUE"""),39.21)</f>
        <v>39.21</v>
      </c>
      <c r="E1180" s="2">
        <f>IFERROR(__xludf.DUMMYFUNCTION("""COMPUTED_VALUE"""),39.52)</f>
        <v>39.52</v>
      </c>
      <c r="F1180" s="2">
        <f>IFERROR(__xludf.DUMMYFUNCTION("""COMPUTED_VALUE"""),791956.0)</f>
        <v>791956</v>
      </c>
    </row>
    <row r="1181">
      <c r="A1181" s="3">
        <f>IFERROR(__xludf.DUMMYFUNCTION("""COMPUTED_VALUE"""),38246.645833333336)</f>
        <v>38246.64583</v>
      </c>
      <c r="B1181" s="2">
        <f>IFERROR(__xludf.DUMMYFUNCTION("""COMPUTED_VALUE"""),39.79)</f>
        <v>39.79</v>
      </c>
      <c r="C1181" s="2">
        <f>IFERROR(__xludf.DUMMYFUNCTION("""COMPUTED_VALUE"""),39.95)</f>
        <v>39.95</v>
      </c>
      <c r="D1181" s="2">
        <f>IFERROR(__xludf.DUMMYFUNCTION("""COMPUTED_VALUE"""),39.47)</f>
        <v>39.47</v>
      </c>
      <c r="E1181" s="2">
        <f>IFERROR(__xludf.DUMMYFUNCTION("""COMPUTED_VALUE"""),39.55)</f>
        <v>39.55</v>
      </c>
      <c r="F1181" s="2">
        <f>IFERROR(__xludf.DUMMYFUNCTION("""COMPUTED_VALUE"""),305714.0)</f>
        <v>305714</v>
      </c>
    </row>
    <row r="1182">
      <c r="A1182" s="3">
        <f>IFERROR(__xludf.DUMMYFUNCTION("""COMPUTED_VALUE"""),38247.645833333336)</f>
        <v>38247.64583</v>
      </c>
      <c r="B1182" s="2">
        <f>IFERROR(__xludf.DUMMYFUNCTION("""COMPUTED_VALUE"""),39.3)</f>
        <v>39.3</v>
      </c>
      <c r="C1182" s="2">
        <f>IFERROR(__xludf.DUMMYFUNCTION("""COMPUTED_VALUE"""),40.68)</f>
        <v>40.68</v>
      </c>
      <c r="D1182" s="2">
        <f>IFERROR(__xludf.DUMMYFUNCTION("""COMPUTED_VALUE"""),39.3)</f>
        <v>39.3</v>
      </c>
      <c r="E1182" s="2">
        <f>IFERROR(__xludf.DUMMYFUNCTION("""COMPUTED_VALUE"""),40.29)</f>
        <v>40.29</v>
      </c>
      <c r="F1182" s="2">
        <f>IFERROR(__xludf.DUMMYFUNCTION("""COMPUTED_VALUE"""),621392.0)</f>
        <v>621392</v>
      </c>
    </row>
    <row r="1183">
      <c r="A1183" s="3">
        <f>IFERROR(__xludf.DUMMYFUNCTION("""COMPUTED_VALUE"""),38250.645833333336)</f>
        <v>38250.64583</v>
      </c>
      <c r="B1183" s="2">
        <f>IFERROR(__xludf.DUMMYFUNCTION("""COMPUTED_VALUE"""),40.3)</f>
        <v>40.3</v>
      </c>
      <c r="C1183" s="2">
        <f>IFERROR(__xludf.DUMMYFUNCTION("""COMPUTED_VALUE"""),41.0)</f>
        <v>41</v>
      </c>
      <c r="D1183" s="2">
        <f>IFERROR(__xludf.DUMMYFUNCTION("""COMPUTED_VALUE"""),39.54)</f>
        <v>39.54</v>
      </c>
      <c r="E1183" s="2">
        <f>IFERROR(__xludf.DUMMYFUNCTION("""COMPUTED_VALUE"""),40.51)</f>
        <v>40.51</v>
      </c>
      <c r="F1183" s="2">
        <f>IFERROR(__xludf.DUMMYFUNCTION("""COMPUTED_VALUE"""),642275.0)</f>
        <v>642275</v>
      </c>
    </row>
    <row r="1184">
      <c r="A1184" s="3">
        <f>IFERROR(__xludf.DUMMYFUNCTION("""COMPUTED_VALUE"""),38251.645833333336)</f>
        <v>38251.64583</v>
      </c>
      <c r="B1184" s="2">
        <f>IFERROR(__xludf.DUMMYFUNCTION("""COMPUTED_VALUE"""),41.48)</f>
        <v>41.48</v>
      </c>
      <c r="C1184" s="2">
        <f>IFERROR(__xludf.DUMMYFUNCTION("""COMPUTED_VALUE"""),41.48)</f>
        <v>41.48</v>
      </c>
      <c r="D1184" s="2">
        <f>IFERROR(__xludf.DUMMYFUNCTION("""COMPUTED_VALUE"""),40.15)</f>
        <v>40.15</v>
      </c>
      <c r="E1184" s="2">
        <f>IFERROR(__xludf.DUMMYFUNCTION("""COMPUTED_VALUE"""),40.62)</f>
        <v>40.62</v>
      </c>
      <c r="F1184" s="2">
        <f>IFERROR(__xludf.DUMMYFUNCTION("""COMPUTED_VALUE"""),486474.0)</f>
        <v>486474</v>
      </c>
    </row>
    <row r="1185">
      <c r="A1185" s="3">
        <f>IFERROR(__xludf.DUMMYFUNCTION("""COMPUTED_VALUE"""),38252.645833333336)</f>
        <v>38252.64583</v>
      </c>
      <c r="B1185" s="2">
        <f>IFERROR(__xludf.DUMMYFUNCTION("""COMPUTED_VALUE"""),40.89)</f>
        <v>40.89</v>
      </c>
      <c r="C1185" s="2">
        <f>IFERROR(__xludf.DUMMYFUNCTION("""COMPUTED_VALUE"""),41.39)</f>
        <v>41.39</v>
      </c>
      <c r="D1185" s="2">
        <f>IFERROR(__xludf.DUMMYFUNCTION("""COMPUTED_VALUE"""),40.4)</f>
        <v>40.4</v>
      </c>
      <c r="E1185" s="2">
        <f>IFERROR(__xludf.DUMMYFUNCTION("""COMPUTED_VALUE"""),41.22)</f>
        <v>41.22</v>
      </c>
      <c r="F1185" s="2">
        <f>IFERROR(__xludf.DUMMYFUNCTION("""COMPUTED_VALUE"""),890248.0)</f>
        <v>890248</v>
      </c>
    </row>
    <row r="1186">
      <c r="A1186" s="3">
        <f>IFERROR(__xludf.DUMMYFUNCTION("""COMPUTED_VALUE"""),38253.645833333336)</f>
        <v>38253.64583</v>
      </c>
      <c r="B1186" s="2">
        <f>IFERROR(__xludf.DUMMYFUNCTION("""COMPUTED_VALUE"""),41.2)</f>
        <v>41.2</v>
      </c>
      <c r="C1186" s="2">
        <f>IFERROR(__xludf.DUMMYFUNCTION("""COMPUTED_VALUE"""),41.67)</f>
        <v>41.67</v>
      </c>
      <c r="D1186" s="2">
        <f>IFERROR(__xludf.DUMMYFUNCTION("""COMPUTED_VALUE"""),40.82)</f>
        <v>40.82</v>
      </c>
      <c r="E1186" s="2">
        <f>IFERROR(__xludf.DUMMYFUNCTION("""COMPUTED_VALUE"""),41.04)</f>
        <v>41.04</v>
      </c>
      <c r="F1186" s="2">
        <f>IFERROR(__xludf.DUMMYFUNCTION("""COMPUTED_VALUE"""),540321.0)</f>
        <v>540321</v>
      </c>
    </row>
    <row r="1187">
      <c r="A1187" s="3">
        <f>IFERROR(__xludf.DUMMYFUNCTION("""COMPUTED_VALUE"""),38254.645833333336)</f>
        <v>38254.64583</v>
      </c>
      <c r="B1187" s="2">
        <f>IFERROR(__xludf.DUMMYFUNCTION("""COMPUTED_VALUE"""),40.8)</f>
        <v>40.8</v>
      </c>
      <c r="C1187" s="2">
        <f>IFERROR(__xludf.DUMMYFUNCTION("""COMPUTED_VALUE"""),41.25)</f>
        <v>41.25</v>
      </c>
      <c r="D1187" s="2">
        <f>IFERROR(__xludf.DUMMYFUNCTION("""COMPUTED_VALUE"""),40.16)</f>
        <v>40.16</v>
      </c>
      <c r="E1187" s="2">
        <f>IFERROR(__xludf.DUMMYFUNCTION("""COMPUTED_VALUE"""),40.47)</f>
        <v>40.47</v>
      </c>
      <c r="F1187" s="2">
        <f>IFERROR(__xludf.DUMMYFUNCTION("""COMPUTED_VALUE"""),675734.0)</f>
        <v>675734</v>
      </c>
    </row>
    <row r="1188">
      <c r="A1188" s="3">
        <f>IFERROR(__xludf.DUMMYFUNCTION("""COMPUTED_VALUE"""),38257.645833333336)</f>
        <v>38257.64583</v>
      </c>
      <c r="B1188" s="2">
        <f>IFERROR(__xludf.DUMMYFUNCTION("""COMPUTED_VALUE"""),40.5)</f>
        <v>40.5</v>
      </c>
      <c r="C1188" s="2">
        <f>IFERROR(__xludf.DUMMYFUNCTION("""COMPUTED_VALUE"""),40.6)</f>
        <v>40.6</v>
      </c>
      <c r="D1188" s="2">
        <f>IFERROR(__xludf.DUMMYFUNCTION("""COMPUTED_VALUE"""),39.47)</f>
        <v>39.47</v>
      </c>
      <c r="E1188" s="2">
        <f>IFERROR(__xludf.DUMMYFUNCTION("""COMPUTED_VALUE"""),39.85)</f>
        <v>39.85</v>
      </c>
      <c r="F1188" s="2">
        <f>IFERROR(__xludf.DUMMYFUNCTION("""COMPUTED_VALUE"""),734574.0)</f>
        <v>734574</v>
      </c>
    </row>
    <row r="1189">
      <c r="A1189" s="3">
        <f>IFERROR(__xludf.DUMMYFUNCTION("""COMPUTED_VALUE"""),38258.645833333336)</f>
        <v>38258.64583</v>
      </c>
      <c r="B1189" s="2">
        <f>IFERROR(__xludf.DUMMYFUNCTION("""COMPUTED_VALUE"""),40.01)</f>
        <v>40.01</v>
      </c>
      <c r="C1189" s="2">
        <f>IFERROR(__xludf.DUMMYFUNCTION("""COMPUTED_VALUE"""),40.89)</f>
        <v>40.89</v>
      </c>
      <c r="D1189" s="2">
        <f>IFERROR(__xludf.DUMMYFUNCTION("""COMPUTED_VALUE"""),40.01)</f>
        <v>40.01</v>
      </c>
      <c r="E1189" s="2">
        <f>IFERROR(__xludf.DUMMYFUNCTION("""COMPUTED_VALUE"""),40.51)</f>
        <v>40.51</v>
      </c>
      <c r="F1189" s="2">
        <f>IFERROR(__xludf.DUMMYFUNCTION("""COMPUTED_VALUE"""),724611.0)</f>
        <v>724611</v>
      </c>
    </row>
    <row r="1190">
      <c r="A1190" s="3">
        <f>IFERROR(__xludf.DUMMYFUNCTION("""COMPUTED_VALUE"""),38259.645833333336)</f>
        <v>38259.64583</v>
      </c>
      <c r="B1190" s="2">
        <f>IFERROR(__xludf.DUMMYFUNCTION("""COMPUTED_VALUE"""),39.63)</f>
        <v>39.63</v>
      </c>
      <c r="C1190" s="2">
        <f>IFERROR(__xludf.DUMMYFUNCTION("""COMPUTED_VALUE"""),41.0)</f>
        <v>41</v>
      </c>
      <c r="D1190" s="2">
        <f>IFERROR(__xludf.DUMMYFUNCTION("""COMPUTED_VALUE"""),39.63)</f>
        <v>39.63</v>
      </c>
      <c r="E1190" s="2">
        <f>IFERROR(__xludf.DUMMYFUNCTION("""COMPUTED_VALUE"""),40.41)</f>
        <v>40.41</v>
      </c>
      <c r="F1190" s="2">
        <f>IFERROR(__xludf.DUMMYFUNCTION("""COMPUTED_VALUE"""),475617.0)</f>
        <v>475617</v>
      </c>
    </row>
    <row r="1191">
      <c r="A1191" s="3">
        <f>IFERROR(__xludf.DUMMYFUNCTION("""COMPUTED_VALUE"""),38260.645833333336)</f>
        <v>38260.64583</v>
      </c>
      <c r="B1191" s="2">
        <f>IFERROR(__xludf.DUMMYFUNCTION("""COMPUTED_VALUE"""),40.8)</f>
        <v>40.8</v>
      </c>
      <c r="C1191" s="2">
        <f>IFERROR(__xludf.DUMMYFUNCTION("""COMPUTED_VALUE"""),40.84)</f>
        <v>40.84</v>
      </c>
      <c r="D1191" s="2">
        <f>IFERROR(__xludf.DUMMYFUNCTION("""COMPUTED_VALUE"""),40.0)</f>
        <v>40</v>
      </c>
      <c r="E1191" s="2">
        <f>IFERROR(__xludf.DUMMYFUNCTION("""COMPUTED_VALUE"""),40.2)</f>
        <v>40.2</v>
      </c>
      <c r="F1191" s="2">
        <f>IFERROR(__xludf.DUMMYFUNCTION("""COMPUTED_VALUE"""),381244.0)</f>
        <v>381244</v>
      </c>
    </row>
    <row r="1192">
      <c r="A1192" s="3">
        <f>IFERROR(__xludf.DUMMYFUNCTION("""COMPUTED_VALUE"""),38261.645833333336)</f>
        <v>38261.64583</v>
      </c>
      <c r="B1192" s="2">
        <f>IFERROR(__xludf.DUMMYFUNCTION("""COMPUTED_VALUE"""),40.98)</f>
        <v>40.98</v>
      </c>
      <c r="C1192" s="2">
        <f>IFERROR(__xludf.DUMMYFUNCTION("""COMPUTED_VALUE"""),41.42)</f>
        <v>41.42</v>
      </c>
      <c r="D1192" s="2">
        <f>IFERROR(__xludf.DUMMYFUNCTION("""COMPUTED_VALUE"""),40.53)</f>
        <v>40.53</v>
      </c>
      <c r="E1192" s="2">
        <f>IFERROR(__xludf.DUMMYFUNCTION("""COMPUTED_VALUE"""),41.08)</f>
        <v>41.08</v>
      </c>
      <c r="F1192" s="2">
        <f>IFERROR(__xludf.DUMMYFUNCTION("""COMPUTED_VALUE"""),675180.0)</f>
        <v>675180</v>
      </c>
    </row>
    <row r="1193">
      <c r="A1193" s="3">
        <f>IFERROR(__xludf.DUMMYFUNCTION("""COMPUTED_VALUE"""),38264.645833333336)</f>
        <v>38264.64583</v>
      </c>
      <c r="B1193" s="2">
        <f>IFERROR(__xludf.DUMMYFUNCTION("""COMPUTED_VALUE"""),41.59)</f>
        <v>41.59</v>
      </c>
      <c r="C1193" s="2">
        <f>IFERROR(__xludf.DUMMYFUNCTION("""COMPUTED_VALUE"""),41.88)</f>
        <v>41.88</v>
      </c>
      <c r="D1193" s="2">
        <f>IFERROR(__xludf.DUMMYFUNCTION("""COMPUTED_VALUE"""),41.13)</f>
        <v>41.13</v>
      </c>
      <c r="E1193" s="2">
        <f>IFERROR(__xludf.DUMMYFUNCTION("""COMPUTED_VALUE"""),41.61)</f>
        <v>41.61</v>
      </c>
      <c r="F1193" s="2">
        <f>IFERROR(__xludf.DUMMYFUNCTION("""COMPUTED_VALUE"""),517465.0)</f>
        <v>517465</v>
      </c>
    </row>
    <row r="1194">
      <c r="A1194" s="3">
        <f>IFERROR(__xludf.DUMMYFUNCTION("""COMPUTED_VALUE"""),38265.645833333336)</f>
        <v>38265.64583</v>
      </c>
      <c r="B1194" s="2">
        <f>IFERROR(__xludf.DUMMYFUNCTION("""COMPUTED_VALUE"""),41.7)</f>
        <v>41.7</v>
      </c>
      <c r="C1194" s="2">
        <f>IFERROR(__xludf.DUMMYFUNCTION("""COMPUTED_VALUE"""),41.87)</f>
        <v>41.87</v>
      </c>
      <c r="D1194" s="2">
        <f>IFERROR(__xludf.DUMMYFUNCTION("""COMPUTED_VALUE"""),41.38)</f>
        <v>41.38</v>
      </c>
      <c r="E1194" s="2">
        <f>IFERROR(__xludf.DUMMYFUNCTION("""COMPUTED_VALUE"""),41.63)</f>
        <v>41.63</v>
      </c>
      <c r="F1194" s="2">
        <f>IFERROR(__xludf.DUMMYFUNCTION("""COMPUTED_VALUE"""),350771.0)</f>
        <v>350771</v>
      </c>
    </row>
    <row r="1195">
      <c r="A1195" s="3">
        <f>IFERROR(__xludf.DUMMYFUNCTION("""COMPUTED_VALUE"""),38266.645833333336)</f>
        <v>38266.64583</v>
      </c>
      <c r="B1195" s="2">
        <f>IFERROR(__xludf.DUMMYFUNCTION("""COMPUTED_VALUE"""),41.79)</f>
        <v>41.79</v>
      </c>
      <c r="C1195" s="2">
        <f>IFERROR(__xludf.DUMMYFUNCTION("""COMPUTED_VALUE"""),41.81)</f>
        <v>41.81</v>
      </c>
      <c r="D1195" s="2">
        <f>IFERROR(__xludf.DUMMYFUNCTION("""COMPUTED_VALUE"""),41.1)</f>
        <v>41.1</v>
      </c>
      <c r="E1195" s="2">
        <f>IFERROR(__xludf.DUMMYFUNCTION("""COMPUTED_VALUE"""),41.21)</f>
        <v>41.21</v>
      </c>
      <c r="F1195" s="2">
        <f>IFERROR(__xludf.DUMMYFUNCTION("""COMPUTED_VALUE"""),221115.0)</f>
        <v>221115</v>
      </c>
    </row>
    <row r="1196">
      <c r="A1196" s="3">
        <f>IFERROR(__xludf.DUMMYFUNCTION("""COMPUTED_VALUE"""),38267.645833333336)</f>
        <v>38267.64583</v>
      </c>
      <c r="B1196" s="2">
        <f>IFERROR(__xludf.DUMMYFUNCTION("""COMPUTED_VALUE"""),41.7)</f>
        <v>41.7</v>
      </c>
      <c r="C1196" s="2">
        <f>IFERROR(__xludf.DUMMYFUNCTION("""COMPUTED_VALUE"""),41.7)</f>
        <v>41.7</v>
      </c>
      <c r="D1196" s="2">
        <f>IFERROR(__xludf.DUMMYFUNCTION("""COMPUTED_VALUE"""),40.55)</f>
        <v>40.55</v>
      </c>
      <c r="E1196" s="2">
        <f>IFERROR(__xludf.DUMMYFUNCTION("""COMPUTED_VALUE"""),41.02)</f>
        <v>41.02</v>
      </c>
      <c r="F1196" s="2">
        <f>IFERROR(__xludf.DUMMYFUNCTION("""COMPUTED_VALUE"""),143741.0)</f>
        <v>143741</v>
      </c>
    </row>
    <row r="1197">
      <c r="A1197" s="3">
        <f>IFERROR(__xludf.DUMMYFUNCTION("""COMPUTED_VALUE"""),38268.645833333336)</f>
        <v>38268.64583</v>
      </c>
      <c r="B1197" s="2">
        <f>IFERROR(__xludf.DUMMYFUNCTION("""COMPUTED_VALUE"""),41.2)</f>
        <v>41.2</v>
      </c>
      <c r="C1197" s="2">
        <f>IFERROR(__xludf.DUMMYFUNCTION("""COMPUTED_VALUE"""),41.2)</f>
        <v>41.2</v>
      </c>
      <c r="D1197" s="2">
        <f>IFERROR(__xludf.DUMMYFUNCTION("""COMPUTED_VALUE"""),40.75)</f>
        <v>40.75</v>
      </c>
      <c r="E1197" s="2">
        <f>IFERROR(__xludf.DUMMYFUNCTION("""COMPUTED_VALUE"""),40.98)</f>
        <v>40.98</v>
      </c>
      <c r="F1197" s="2">
        <f>IFERROR(__xludf.DUMMYFUNCTION("""COMPUTED_VALUE"""),212553.0)</f>
        <v>212553</v>
      </c>
    </row>
    <row r="1198">
      <c r="A1198" s="3">
        <f>IFERROR(__xludf.DUMMYFUNCTION("""COMPUTED_VALUE"""),38271.645833333336)</f>
        <v>38271.64583</v>
      </c>
      <c r="B1198" s="2">
        <f>IFERROR(__xludf.DUMMYFUNCTION("""COMPUTED_VALUE"""),40.8)</f>
        <v>40.8</v>
      </c>
      <c r="C1198" s="2">
        <f>IFERROR(__xludf.DUMMYFUNCTION("""COMPUTED_VALUE"""),41.19)</f>
        <v>41.19</v>
      </c>
      <c r="D1198" s="2">
        <f>IFERROR(__xludf.DUMMYFUNCTION("""COMPUTED_VALUE"""),40.7)</f>
        <v>40.7</v>
      </c>
      <c r="E1198" s="2">
        <f>IFERROR(__xludf.DUMMYFUNCTION("""COMPUTED_VALUE"""),40.89)</f>
        <v>40.89</v>
      </c>
      <c r="F1198" s="2">
        <f>IFERROR(__xludf.DUMMYFUNCTION("""COMPUTED_VALUE"""),114477.0)</f>
        <v>114477</v>
      </c>
    </row>
    <row r="1199">
      <c r="A1199" s="3">
        <f>IFERROR(__xludf.DUMMYFUNCTION("""COMPUTED_VALUE"""),38272.645833333336)</f>
        <v>38272.64583</v>
      </c>
      <c r="B1199" s="2">
        <f>IFERROR(__xludf.DUMMYFUNCTION("""COMPUTED_VALUE"""),40.85)</f>
        <v>40.85</v>
      </c>
      <c r="C1199" s="2">
        <f>IFERROR(__xludf.DUMMYFUNCTION("""COMPUTED_VALUE"""),40.89)</f>
        <v>40.89</v>
      </c>
      <c r="D1199" s="2">
        <f>IFERROR(__xludf.DUMMYFUNCTION("""COMPUTED_VALUE"""),40.12)</f>
        <v>40.12</v>
      </c>
      <c r="E1199" s="2">
        <f>IFERROR(__xludf.DUMMYFUNCTION("""COMPUTED_VALUE"""),40.33)</f>
        <v>40.33</v>
      </c>
      <c r="F1199" s="2">
        <f>IFERROR(__xludf.DUMMYFUNCTION("""COMPUTED_VALUE"""),91045.0)</f>
        <v>91045</v>
      </c>
    </row>
    <row r="1200">
      <c r="A1200" s="3">
        <f>IFERROR(__xludf.DUMMYFUNCTION("""COMPUTED_VALUE"""),38274.645833333336)</f>
        <v>38274.64583</v>
      </c>
      <c r="B1200" s="2">
        <f>IFERROR(__xludf.DUMMYFUNCTION("""COMPUTED_VALUE"""),40.45)</f>
        <v>40.45</v>
      </c>
      <c r="C1200" s="2">
        <f>IFERROR(__xludf.DUMMYFUNCTION("""COMPUTED_VALUE"""),40.48)</f>
        <v>40.48</v>
      </c>
      <c r="D1200" s="2">
        <f>IFERROR(__xludf.DUMMYFUNCTION("""COMPUTED_VALUE"""),39.62)</f>
        <v>39.62</v>
      </c>
      <c r="E1200" s="2">
        <f>IFERROR(__xludf.DUMMYFUNCTION("""COMPUTED_VALUE"""),40.03)</f>
        <v>40.03</v>
      </c>
      <c r="F1200" s="2">
        <f>IFERROR(__xludf.DUMMYFUNCTION("""COMPUTED_VALUE"""),157384.0)</f>
        <v>157384</v>
      </c>
    </row>
    <row r="1201">
      <c r="A1201" s="3">
        <f>IFERROR(__xludf.DUMMYFUNCTION("""COMPUTED_VALUE"""),38275.645833333336)</f>
        <v>38275.64583</v>
      </c>
      <c r="B1201" s="2">
        <f>IFERROR(__xludf.DUMMYFUNCTION("""COMPUTED_VALUE"""),40.7)</f>
        <v>40.7</v>
      </c>
      <c r="C1201" s="2">
        <f>IFERROR(__xludf.DUMMYFUNCTION("""COMPUTED_VALUE"""),40.79)</f>
        <v>40.79</v>
      </c>
      <c r="D1201" s="2">
        <f>IFERROR(__xludf.DUMMYFUNCTION("""COMPUTED_VALUE"""),40.14)</f>
        <v>40.14</v>
      </c>
      <c r="E1201" s="2">
        <f>IFERROR(__xludf.DUMMYFUNCTION("""COMPUTED_VALUE"""),40.62)</f>
        <v>40.62</v>
      </c>
      <c r="F1201" s="2">
        <f>IFERROR(__xludf.DUMMYFUNCTION("""COMPUTED_VALUE"""),239912.0)</f>
        <v>239912</v>
      </c>
    </row>
    <row r="1202">
      <c r="A1202" s="3">
        <f>IFERROR(__xludf.DUMMYFUNCTION("""COMPUTED_VALUE"""),38278.645833333336)</f>
        <v>38278.64583</v>
      </c>
      <c r="B1202" s="2">
        <f>IFERROR(__xludf.DUMMYFUNCTION("""COMPUTED_VALUE"""),40.98)</f>
        <v>40.98</v>
      </c>
      <c r="C1202" s="2">
        <f>IFERROR(__xludf.DUMMYFUNCTION("""COMPUTED_VALUE"""),41.09)</f>
        <v>41.09</v>
      </c>
      <c r="D1202" s="2">
        <f>IFERROR(__xludf.DUMMYFUNCTION("""COMPUTED_VALUE"""),40.61)</f>
        <v>40.61</v>
      </c>
      <c r="E1202" s="2">
        <f>IFERROR(__xludf.DUMMYFUNCTION("""COMPUTED_VALUE"""),40.9)</f>
        <v>40.9</v>
      </c>
      <c r="F1202" s="2">
        <f>IFERROR(__xludf.DUMMYFUNCTION("""COMPUTED_VALUE"""),197057.0)</f>
        <v>197057</v>
      </c>
    </row>
    <row r="1203">
      <c r="A1203" s="3">
        <f>IFERROR(__xludf.DUMMYFUNCTION("""COMPUTED_VALUE"""),38279.645833333336)</f>
        <v>38279.64583</v>
      </c>
      <c r="B1203" s="2">
        <f>IFERROR(__xludf.DUMMYFUNCTION("""COMPUTED_VALUE"""),40.9)</f>
        <v>40.9</v>
      </c>
      <c r="C1203" s="2">
        <f>IFERROR(__xludf.DUMMYFUNCTION("""COMPUTED_VALUE"""),41.69)</f>
        <v>41.69</v>
      </c>
      <c r="D1203" s="2">
        <f>IFERROR(__xludf.DUMMYFUNCTION("""COMPUTED_VALUE"""),40.86)</f>
        <v>40.86</v>
      </c>
      <c r="E1203" s="2">
        <f>IFERROR(__xludf.DUMMYFUNCTION("""COMPUTED_VALUE"""),41.47)</f>
        <v>41.47</v>
      </c>
      <c r="F1203" s="2">
        <f>IFERROR(__xludf.DUMMYFUNCTION("""COMPUTED_VALUE"""),402236.0)</f>
        <v>402236</v>
      </c>
    </row>
    <row r="1204">
      <c r="A1204" s="3">
        <f>IFERROR(__xludf.DUMMYFUNCTION("""COMPUTED_VALUE"""),38280.645833333336)</f>
        <v>38280.64583</v>
      </c>
      <c r="B1204" s="2">
        <f>IFERROR(__xludf.DUMMYFUNCTION("""COMPUTED_VALUE"""),41.49)</f>
        <v>41.49</v>
      </c>
      <c r="C1204" s="2">
        <f>IFERROR(__xludf.DUMMYFUNCTION("""COMPUTED_VALUE"""),41.64)</f>
        <v>41.64</v>
      </c>
      <c r="D1204" s="2">
        <f>IFERROR(__xludf.DUMMYFUNCTION("""COMPUTED_VALUE"""),40.9)</f>
        <v>40.9</v>
      </c>
      <c r="E1204" s="2">
        <f>IFERROR(__xludf.DUMMYFUNCTION("""COMPUTED_VALUE"""),41.09)</f>
        <v>41.09</v>
      </c>
      <c r="F1204" s="2">
        <f>IFERROR(__xludf.DUMMYFUNCTION("""COMPUTED_VALUE"""),194931.0)</f>
        <v>194931</v>
      </c>
    </row>
    <row r="1205">
      <c r="A1205" s="3">
        <f>IFERROR(__xludf.DUMMYFUNCTION("""COMPUTED_VALUE"""),38281.645833333336)</f>
        <v>38281.64583</v>
      </c>
      <c r="B1205" s="2">
        <f>IFERROR(__xludf.DUMMYFUNCTION("""COMPUTED_VALUE"""),41.19)</f>
        <v>41.19</v>
      </c>
      <c r="C1205" s="2">
        <f>IFERROR(__xludf.DUMMYFUNCTION("""COMPUTED_VALUE"""),41.19)</f>
        <v>41.19</v>
      </c>
      <c r="D1205" s="2">
        <f>IFERROR(__xludf.DUMMYFUNCTION("""COMPUTED_VALUE"""),40.03)</f>
        <v>40.03</v>
      </c>
      <c r="E1205" s="2">
        <f>IFERROR(__xludf.DUMMYFUNCTION("""COMPUTED_VALUE"""),40.37)</f>
        <v>40.37</v>
      </c>
      <c r="F1205" s="2">
        <f>IFERROR(__xludf.DUMMYFUNCTION("""COMPUTED_VALUE"""),282028.0)</f>
        <v>282028</v>
      </c>
    </row>
    <row r="1206">
      <c r="A1206" s="3">
        <f>IFERROR(__xludf.DUMMYFUNCTION("""COMPUTED_VALUE"""),38285.645833333336)</f>
        <v>38285.64583</v>
      </c>
      <c r="B1206" s="2">
        <f>IFERROR(__xludf.DUMMYFUNCTION("""COMPUTED_VALUE"""),40.75)</f>
        <v>40.75</v>
      </c>
      <c r="C1206" s="2">
        <f>IFERROR(__xludf.DUMMYFUNCTION("""COMPUTED_VALUE"""),41.2)</f>
        <v>41.2</v>
      </c>
      <c r="D1206" s="2">
        <f>IFERROR(__xludf.DUMMYFUNCTION("""COMPUTED_VALUE"""),40.52)</f>
        <v>40.52</v>
      </c>
      <c r="E1206" s="2">
        <f>IFERROR(__xludf.DUMMYFUNCTION("""COMPUTED_VALUE"""),40.98)</f>
        <v>40.98</v>
      </c>
      <c r="F1206" s="2">
        <f>IFERROR(__xludf.DUMMYFUNCTION("""COMPUTED_VALUE"""),323804.0)</f>
        <v>323804</v>
      </c>
    </row>
    <row r="1207">
      <c r="A1207" s="3">
        <f>IFERROR(__xludf.DUMMYFUNCTION("""COMPUTED_VALUE"""),38286.645833333336)</f>
        <v>38286.64583</v>
      </c>
      <c r="B1207" s="2">
        <f>IFERROR(__xludf.DUMMYFUNCTION("""COMPUTED_VALUE"""),40.7)</f>
        <v>40.7</v>
      </c>
      <c r="C1207" s="2">
        <f>IFERROR(__xludf.DUMMYFUNCTION("""COMPUTED_VALUE"""),41.23)</f>
        <v>41.23</v>
      </c>
      <c r="D1207" s="2">
        <f>IFERROR(__xludf.DUMMYFUNCTION("""COMPUTED_VALUE"""),40.37)</f>
        <v>40.37</v>
      </c>
      <c r="E1207" s="2">
        <f>IFERROR(__xludf.DUMMYFUNCTION("""COMPUTED_VALUE"""),40.9)</f>
        <v>40.9</v>
      </c>
      <c r="F1207" s="2">
        <f>IFERROR(__xludf.DUMMYFUNCTION("""COMPUTED_VALUE"""),145897.0)</f>
        <v>145897</v>
      </c>
    </row>
    <row r="1208">
      <c r="A1208" s="3">
        <f>IFERROR(__xludf.DUMMYFUNCTION("""COMPUTED_VALUE"""),38287.645833333336)</f>
        <v>38287.64583</v>
      </c>
      <c r="B1208" s="2">
        <f>IFERROR(__xludf.DUMMYFUNCTION("""COMPUTED_VALUE"""),41.29)</f>
        <v>41.29</v>
      </c>
      <c r="C1208" s="2">
        <f>IFERROR(__xludf.DUMMYFUNCTION("""COMPUTED_VALUE"""),42.3)</f>
        <v>42.3</v>
      </c>
      <c r="D1208" s="2">
        <f>IFERROR(__xludf.DUMMYFUNCTION("""COMPUTED_VALUE"""),41.0)</f>
        <v>41</v>
      </c>
      <c r="E1208" s="2">
        <f>IFERROR(__xludf.DUMMYFUNCTION("""COMPUTED_VALUE"""),41.73)</f>
        <v>41.73</v>
      </c>
      <c r="F1208" s="2">
        <f>IFERROR(__xludf.DUMMYFUNCTION("""COMPUTED_VALUE"""),414834.0)</f>
        <v>414834</v>
      </c>
    </row>
    <row r="1209">
      <c r="A1209" s="3">
        <f>IFERROR(__xludf.DUMMYFUNCTION("""COMPUTED_VALUE"""),38288.645833333336)</f>
        <v>38288.64583</v>
      </c>
      <c r="B1209" s="2">
        <f>IFERROR(__xludf.DUMMYFUNCTION("""COMPUTED_VALUE"""),42.23)</f>
        <v>42.23</v>
      </c>
      <c r="C1209" s="2">
        <f>IFERROR(__xludf.DUMMYFUNCTION("""COMPUTED_VALUE"""),42.5)</f>
        <v>42.5</v>
      </c>
      <c r="D1209" s="2">
        <f>IFERROR(__xludf.DUMMYFUNCTION("""COMPUTED_VALUE"""),41.37)</f>
        <v>41.37</v>
      </c>
      <c r="E1209" s="2">
        <f>IFERROR(__xludf.DUMMYFUNCTION("""COMPUTED_VALUE"""),41.6)</f>
        <v>41.6</v>
      </c>
      <c r="F1209" s="2">
        <f>IFERROR(__xludf.DUMMYFUNCTION("""COMPUTED_VALUE"""),438046.0)</f>
        <v>438046</v>
      </c>
    </row>
    <row r="1210">
      <c r="A1210" s="3">
        <f>IFERROR(__xludf.DUMMYFUNCTION("""COMPUTED_VALUE"""),38289.645833333336)</f>
        <v>38289.64583</v>
      </c>
      <c r="B1210" s="2">
        <f>IFERROR(__xludf.DUMMYFUNCTION("""COMPUTED_VALUE"""),41.11)</f>
        <v>41.11</v>
      </c>
      <c r="C1210" s="2">
        <f>IFERROR(__xludf.DUMMYFUNCTION("""COMPUTED_VALUE"""),41.77)</f>
        <v>41.77</v>
      </c>
      <c r="D1210" s="2">
        <f>IFERROR(__xludf.DUMMYFUNCTION("""COMPUTED_VALUE"""),41.11)</f>
        <v>41.11</v>
      </c>
      <c r="E1210" s="2">
        <f>IFERROR(__xludf.DUMMYFUNCTION("""COMPUTED_VALUE"""),41.51)</f>
        <v>41.51</v>
      </c>
      <c r="F1210" s="2">
        <f>IFERROR(__xludf.DUMMYFUNCTION("""COMPUTED_VALUE"""),252122.0)</f>
        <v>252122</v>
      </c>
    </row>
    <row r="1211">
      <c r="A1211" s="3">
        <f>IFERROR(__xludf.DUMMYFUNCTION("""COMPUTED_VALUE"""),38292.645833333336)</f>
        <v>38292.64583</v>
      </c>
      <c r="B1211" s="2">
        <f>IFERROR(__xludf.DUMMYFUNCTION("""COMPUTED_VALUE"""),42.3)</f>
        <v>42.3</v>
      </c>
      <c r="C1211" s="2">
        <f>IFERROR(__xludf.DUMMYFUNCTION("""COMPUTED_VALUE"""),42.3)</f>
        <v>42.3</v>
      </c>
      <c r="D1211" s="2">
        <f>IFERROR(__xludf.DUMMYFUNCTION("""COMPUTED_VALUE"""),41.62)</f>
        <v>41.62</v>
      </c>
      <c r="E1211" s="2">
        <f>IFERROR(__xludf.DUMMYFUNCTION("""COMPUTED_VALUE"""),42.15)</f>
        <v>42.15</v>
      </c>
      <c r="F1211" s="2">
        <f>IFERROR(__xludf.DUMMYFUNCTION("""COMPUTED_VALUE"""),551578.0)</f>
        <v>551578</v>
      </c>
    </row>
    <row r="1212">
      <c r="A1212" s="3">
        <f>IFERROR(__xludf.DUMMYFUNCTION("""COMPUTED_VALUE"""),38293.645833333336)</f>
        <v>38293.64583</v>
      </c>
      <c r="B1212" s="2">
        <f>IFERROR(__xludf.DUMMYFUNCTION("""COMPUTED_VALUE"""),41.9)</f>
        <v>41.9</v>
      </c>
      <c r="C1212" s="2">
        <f>IFERROR(__xludf.DUMMYFUNCTION("""COMPUTED_VALUE"""),42.29)</f>
        <v>42.29</v>
      </c>
      <c r="D1212" s="2">
        <f>IFERROR(__xludf.DUMMYFUNCTION("""COMPUTED_VALUE"""),41.55)</f>
        <v>41.55</v>
      </c>
      <c r="E1212" s="2">
        <f>IFERROR(__xludf.DUMMYFUNCTION("""COMPUTED_VALUE"""),42.08)</f>
        <v>42.08</v>
      </c>
      <c r="F1212" s="2">
        <f>IFERROR(__xludf.DUMMYFUNCTION("""COMPUTED_VALUE"""),275550.0)</f>
        <v>275550</v>
      </c>
    </row>
    <row r="1213">
      <c r="A1213" s="3">
        <f>IFERROR(__xludf.DUMMYFUNCTION("""COMPUTED_VALUE"""),38294.645833333336)</f>
        <v>38294.64583</v>
      </c>
      <c r="B1213" s="2">
        <f>IFERROR(__xludf.DUMMYFUNCTION("""COMPUTED_VALUE"""),42.13)</f>
        <v>42.13</v>
      </c>
      <c r="C1213" s="2">
        <f>IFERROR(__xludf.DUMMYFUNCTION("""COMPUTED_VALUE"""),42.95)</f>
        <v>42.95</v>
      </c>
      <c r="D1213" s="2">
        <f>IFERROR(__xludf.DUMMYFUNCTION("""COMPUTED_VALUE"""),42.13)</f>
        <v>42.13</v>
      </c>
      <c r="E1213" s="2">
        <f>IFERROR(__xludf.DUMMYFUNCTION("""COMPUTED_VALUE"""),42.8)</f>
        <v>42.8</v>
      </c>
      <c r="F1213" s="2">
        <f>IFERROR(__xludf.DUMMYFUNCTION("""COMPUTED_VALUE"""),418615.0)</f>
        <v>418615</v>
      </c>
    </row>
    <row r="1214">
      <c r="A1214" s="3">
        <f>IFERROR(__xludf.DUMMYFUNCTION("""COMPUTED_VALUE"""),38295.645833333336)</f>
        <v>38295.64583</v>
      </c>
      <c r="B1214" s="2">
        <f>IFERROR(__xludf.DUMMYFUNCTION("""COMPUTED_VALUE"""),43.4)</f>
        <v>43.4</v>
      </c>
      <c r="C1214" s="2">
        <f>IFERROR(__xludf.DUMMYFUNCTION("""COMPUTED_VALUE"""),43.4)</f>
        <v>43.4</v>
      </c>
      <c r="D1214" s="2">
        <f>IFERROR(__xludf.DUMMYFUNCTION("""COMPUTED_VALUE"""),42.43)</f>
        <v>42.43</v>
      </c>
      <c r="E1214" s="2">
        <f>IFERROR(__xludf.DUMMYFUNCTION("""COMPUTED_VALUE"""),42.51)</f>
        <v>42.51</v>
      </c>
      <c r="F1214" s="2">
        <f>IFERROR(__xludf.DUMMYFUNCTION("""COMPUTED_VALUE"""),183492.0)</f>
        <v>183492</v>
      </c>
    </row>
    <row r="1215">
      <c r="A1215" s="3">
        <f>IFERROR(__xludf.DUMMYFUNCTION("""COMPUTED_VALUE"""),38296.645833333336)</f>
        <v>38296.64583</v>
      </c>
      <c r="B1215" s="2">
        <f>IFERROR(__xludf.DUMMYFUNCTION("""COMPUTED_VALUE"""),42.95)</f>
        <v>42.95</v>
      </c>
      <c r="C1215" s="2">
        <f>IFERROR(__xludf.DUMMYFUNCTION("""COMPUTED_VALUE"""),43.58)</f>
        <v>43.58</v>
      </c>
      <c r="D1215" s="2">
        <f>IFERROR(__xludf.DUMMYFUNCTION("""COMPUTED_VALUE"""),42.69)</f>
        <v>42.69</v>
      </c>
      <c r="E1215" s="2">
        <f>IFERROR(__xludf.DUMMYFUNCTION("""COMPUTED_VALUE"""),43.26)</f>
        <v>43.26</v>
      </c>
      <c r="F1215" s="2">
        <f>IFERROR(__xludf.DUMMYFUNCTION("""COMPUTED_VALUE"""),247172.0)</f>
        <v>247172</v>
      </c>
    </row>
    <row r="1216">
      <c r="A1216" s="3">
        <f>IFERROR(__xludf.DUMMYFUNCTION("""COMPUTED_VALUE"""),38299.645833333336)</f>
        <v>38299.64583</v>
      </c>
      <c r="B1216" s="2">
        <f>IFERROR(__xludf.DUMMYFUNCTION("""COMPUTED_VALUE"""),43.7)</f>
        <v>43.7</v>
      </c>
      <c r="C1216" s="2">
        <f>IFERROR(__xludf.DUMMYFUNCTION("""COMPUTED_VALUE"""),45.4)</f>
        <v>45.4</v>
      </c>
      <c r="D1216" s="2">
        <f>IFERROR(__xludf.DUMMYFUNCTION("""COMPUTED_VALUE"""),43.41)</f>
        <v>43.41</v>
      </c>
      <c r="E1216" s="2">
        <f>IFERROR(__xludf.DUMMYFUNCTION("""COMPUTED_VALUE"""),45.22)</f>
        <v>45.22</v>
      </c>
      <c r="F1216" s="2">
        <f>IFERROR(__xludf.DUMMYFUNCTION("""COMPUTED_VALUE"""),667538.0)</f>
        <v>667538</v>
      </c>
    </row>
    <row r="1217">
      <c r="A1217" s="3">
        <f>IFERROR(__xludf.DUMMYFUNCTION("""COMPUTED_VALUE"""),38300.645833333336)</f>
        <v>38300.64583</v>
      </c>
      <c r="B1217" s="2">
        <f>IFERROR(__xludf.DUMMYFUNCTION("""COMPUTED_VALUE"""),45.51)</f>
        <v>45.51</v>
      </c>
      <c r="C1217" s="2">
        <f>IFERROR(__xludf.DUMMYFUNCTION("""COMPUTED_VALUE"""),46.1)</f>
        <v>46.1</v>
      </c>
      <c r="D1217" s="2">
        <f>IFERROR(__xludf.DUMMYFUNCTION("""COMPUTED_VALUE"""),44.8)</f>
        <v>44.8</v>
      </c>
      <c r="E1217" s="2">
        <f>IFERROR(__xludf.DUMMYFUNCTION("""COMPUTED_VALUE"""),45.72)</f>
        <v>45.72</v>
      </c>
      <c r="F1217" s="2">
        <f>IFERROR(__xludf.DUMMYFUNCTION("""COMPUTED_VALUE"""),382821.0)</f>
        <v>382821</v>
      </c>
    </row>
    <row r="1218">
      <c r="A1218" s="3">
        <f>IFERROR(__xludf.DUMMYFUNCTION("""COMPUTED_VALUE"""),38301.645833333336)</f>
        <v>38301.64583</v>
      </c>
      <c r="B1218" s="2">
        <f>IFERROR(__xludf.DUMMYFUNCTION("""COMPUTED_VALUE"""),45.93)</f>
        <v>45.93</v>
      </c>
      <c r="C1218" s="2">
        <f>IFERROR(__xludf.DUMMYFUNCTION("""COMPUTED_VALUE"""),47.7)</f>
        <v>47.7</v>
      </c>
      <c r="D1218" s="2">
        <f>IFERROR(__xludf.DUMMYFUNCTION("""COMPUTED_VALUE"""),45.93)</f>
        <v>45.93</v>
      </c>
      <c r="E1218" s="2">
        <f>IFERROR(__xludf.DUMMYFUNCTION("""COMPUTED_VALUE"""),47.34)</f>
        <v>47.34</v>
      </c>
      <c r="F1218" s="2">
        <f>IFERROR(__xludf.DUMMYFUNCTION("""COMPUTED_VALUE"""),579934.0)</f>
        <v>579934</v>
      </c>
    </row>
    <row r="1219">
      <c r="A1219" s="3">
        <f>IFERROR(__xludf.DUMMYFUNCTION("""COMPUTED_VALUE"""),38302.645833333336)</f>
        <v>38302.64583</v>
      </c>
      <c r="B1219" s="2">
        <f>IFERROR(__xludf.DUMMYFUNCTION("""COMPUTED_VALUE"""),47.13)</f>
        <v>47.13</v>
      </c>
      <c r="C1219" s="2">
        <f>IFERROR(__xludf.DUMMYFUNCTION("""COMPUTED_VALUE"""),47.5)</f>
        <v>47.5</v>
      </c>
      <c r="D1219" s="2">
        <f>IFERROR(__xludf.DUMMYFUNCTION("""COMPUTED_VALUE"""),46.53)</f>
        <v>46.53</v>
      </c>
      <c r="E1219" s="2">
        <f>IFERROR(__xludf.DUMMYFUNCTION("""COMPUTED_VALUE"""),46.78)</f>
        <v>46.78</v>
      </c>
      <c r="F1219" s="2">
        <f>IFERROR(__xludf.DUMMYFUNCTION("""COMPUTED_VALUE"""),254973.0)</f>
        <v>254973</v>
      </c>
    </row>
    <row r="1220">
      <c r="A1220" s="3">
        <f>IFERROR(__xludf.DUMMYFUNCTION("""COMPUTED_VALUE"""),38303.645833333336)</f>
        <v>38303.64583</v>
      </c>
      <c r="B1220" s="2">
        <f>IFERROR(__xludf.DUMMYFUNCTION("""COMPUTED_VALUE"""),47.2)</f>
        <v>47.2</v>
      </c>
      <c r="C1220" s="2">
        <f>IFERROR(__xludf.DUMMYFUNCTION("""COMPUTED_VALUE"""),47.38)</f>
        <v>47.38</v>
      </c>
      <c r="D1220" s="2">
        <f>IFERROR(__xludf.DUMMYFUNCTION("""COMPUTED_VALUE"""),46.62)</f>
        <v>46.62</v>
      </c>
      <c r="E1220" s="2">
        <f>IFERROR(__xludf.DUMMYFUNCTION("""COMPUTED_VALUE"""),46.8)</f>
        <v>46.8</v>
      </c>
      <c r="F1220" s="2">
        <f>IFERROR(__xludf.DUMMYFUNCTION("""COMPUTED_VALUE"""),33593.0)</f>
        <v>33593</v>
      </c>
    </row>
    <row r="1221">
      <c r="A1221" s="3">
        <f>IFERROR(__xludf.DUMMYFUNCTION("""COMPUTED_VALUE"""),38307.645833333336)</f>
        <v>38307.64583</v>
      </c>
      <c r="B1221" s="2">
        <f>IFERROR(__xludf.DUMMYFUNCTION("""COMPUTED_VALUE"""),47.0)</f>
        <v>47</v>
      </c>
      <c r="C1221" s="2">
        <f>IFERROR(__xludf.DUMMYFUNCTION("""COMPUTED_VALUE"""),48.89)</f>
        <v>48.89</v>
      </c>
      <c r="D1221" s="2">
        <f>IFERROR(__xludf.DUMMYFUNCTION("""COMPUTED_VALUE"""),46.85)</f>
        <v>46.85</v>
      </c>
      <c r="E1221" s="2">
        <f>IFERROR(__xludf.DUMMYFUNCTION("""COMPUTED_VALUE"""),48.41)</f>
        <v>48.41</v>
      </c>
      <c r="F1221" s="2">
        <f>IFERROR(__xludf.DUMMYFUNCTION("""COMPUTED_VALUE"""),548287.0)</f>
        <v>548287</v>
      </c>
    </row>
    <row r="1222">
      <c r="A1222" s="3">
        <f>IFERROR(__xludf.DUMMYFUNCTION("""COMPUTED_VALUE"""),38308.645833333336)</f>
        <v>38308.64583</v>
      </c>
      <c r="B1222" s="2">
        <f>IFERROR(__xludf.DUMMYFUNCTION("""COMPUTED_VALUE"""),48.5)</f>
        <v>48.5</v>
      </c>
      <c r="C1222" s="2">
        <f>IFERROR(__xludf.DUMMYFUNCTION("""COMPUTED_VALUE"""),48.7)</f>
        <v>48.7</v>
      </c>
      <c r="D1222" s="2">
        <f>IFERROR(__xludf.DUMMYFUNCTION("""COMPUTED_VALUE"""),48.13)</f>
        <v>48.13</v>
      </c>
      <c r="E1222" s="2">
        <f>IFERROR(__xludf.DUMMYFUNCTION("""COMPUTED_VALUE"""),48.27)</f>
        <v>48.27</v>
      </c>
      <c r="F1222" s="2">
        <f>IFERROR(__xludf.DUMMYFUNCTION("""COMPUTED_VALUE"""),445483.0)</f>
        <v>445483</v>
      </c>
    </row>
    <row r="1223">
      <c r="A1223" s="3">
        <f>IFERROR(__xludf.DUMMYFUNCTION("""COMPUTED_VALUE"""),38309.645833333336)</f>
        <v>38309.64583</v>
      </c>
      <c r="B1223" s="2">
        <f>IFERROR(__xludf.DUMMYFUNCTION("""COMPUTED_VALUE"""),48.5)</f>
        <v>48.5</v>
      </c>
      <c r="C1223" s="2">
        <f>IFERROR(__xludf.DUMMYFUNCTION("""COMPUTED_VALUE"""),48.6)</f>
        <v>48.6</v>
      </c>
      <c r="D1223" s="2">
        <f>IFERROR(__xludf.DUMMYFUNCTION("""COMPUTED_VALUE"""),47.4)</f>
        <v>47.4</v>
      </c>
      <c r="E1223" s="2">
        <f>IFERROR(__xludf.DUMMYFUNCTION("""COMPUTED_VALUE"""),47.82)</f>
        <v>47.82</v>
      </c>
      <c r="F1223" s="2">
        <f>IFERROR(__xludf.DUMMYFUNCTION("""COMPUTED_VALUE"""),506175.0)</f>
        <v>506175</v>
      </c>
    </row>
    <row r="1224">
      <c r="A1224" s="3">
        <f>IFERROR(__xludf.DUMMYFUNCTION("""COMPUTED_VALUE"""),38310.645833333336)</f>
        <v>38310.64583</v>
      </c>
      <c r="B1224" s="2">
        <f>IFERROR(__xludf.DUMMYFUNCTION("""COMPUTED_VALUE"""),48.15)</f>
        <v>48.15</v>
      </c>
      <c r="C1224" s="2">
        <f>IFERROR(__xludf.DUMMYFUNCTION("""COMPUTED_VALUE"""),49.2)</f>
        <v>49.2</v>
      </c>
      <c r="D1224" s="2">
        <f>IFERROR(__xludf.DUMMYFUNCTION("""COMPUTED_VALUE"""),47.92)</f>
        <v>47.92</v>
      </c>
      <c r="E1224" s="2">
        <f>IFERROR(__xludf.DUMMYFUNCTION("""COMPUTED_VALUE"""),48.29)</f>
        <v>48.29</v>
      </c>
      <c r="F1224" s="2">
        <f>IFERROR(__xludf.DUMMYFUNCTION("""COMPUTED_VALUE"""),583978.0)</f>
        <v>583978</v>
      </c>
    </row>
    <row r="1225">
      <c r="A1225" s="3">
        <f>IFERROR(__xludf.DUMMYFUNCTION("""COMPUTED_VALUE"""),38313.645833333336)</f>
        <v>38313.64583</v>
      </c>
      <c r="B1225" s="2">
        <f>IFERROR(__xludf.DUMMYFUNCTION("""COMPUTED_VALUE"""),48.49)</f>
        <v>48.49</v>
      </c>
      <c r="C1225" s="2">
        <f>IFERROR(__xludf.DUMMYFUNCTION("""COMPUTED_VALUE"""),48.6)</f>
        <v>48.6</v>
      </c>
      <c r="D1225" s="2">
        <f>IFERROR(__xludf.DUMMYFUNCTION("""COMPUTED_VALUE"""),47.04)</f>
        <v>47.04</v>
      </c>
      <c r="E1225" s="2">
        <f>IFERROR(__xludf.DUMMYFUNCTION("""COMPUTED_VALUE"""),48.32)</f>
        <v>48.32</v>
      </c>
      <c r="F1225" s="2">
        <f>IFERROR(__xludf.DUMMYFUNCTION("""COMPUTED_VALUE"""),522200.0)</f>
        <v>522200</v>
      </c>
    </row>
    <row r="1226">
      <c r="A1226" s="3">
        <f>IFERROR(__xludf.DUMMYFUNCTION("""COMPUTED_VALUE"""),38314.645833333336)</f>
        <v>38314.64583</v>
      </c>
      <c r="B1226" s="2">
        <f>IFERROR(__xludf.DUMMYFUNCTION("""COMPUTED_VALUE"""),48.6)</f>
        <v>48.6</v>
      </c>
      <c r="C1226" s="2">
        <f>IFERROR(__xludf.DUMMYFUNCTION("""COMPUTED_VALUE"""),48.8)</f>
        <v>48.8</v>
      </c>
      <c r="D1226" s="2">
        <f>IFERROR(__xludf.DUMMYFUNCTION("""COMPUTED_VALUE"""),48.1)</f>
        <v>48.1</v>
      </c>
      <c r="E1226" s="2">
        <f>IFERROR(__xludf.DUMMYFUNCTION("""COMPUTED_VALUE"""),48.73)</f>
        <v>48.73</v>
      </c>
      <c r="F1226" s="2">
        <f>IFERROR(__xludf.DUMMYFUNCTION("""COMPUTED_VALUE"""),180651.0)</f>
        <v>180651</v>
      </c>
    </row>
    <row r="1227">
      <c r="A1227" s="3">
        <f>IFERROR(__xludf.DUMMYFUNCTION("""COMPUTED_VALUE"""),38315.645833333336)</f>
        <v>38315.64583</v>
      </c>
      <c r="B1227" s="2">
        <f>IFERROR(__xludf.DUMMYFUNCTION("""COMPUTED_VALUE"""),48.7)</f>
        <v>48.7</v>
      </c>
      <c r="C1227" s="2">
        <f>IFERROR(__xludf.DUMMYFUNCTION("""COMPUTED_VALUE"""),48.7)</f>
        <v>48.7</v>
      </c>
      <c r="D1227" s="2">
        <f>IFERROR(__xludf.DUMMYFUNCTION("""COMPUTED_VALUE"""),48.13)</f>
        <v>48.13</v>
      </c>
      <c r="E1227" s="2">
        <f>IFERROR(__xludf.DUMMYFUNCTION("""COMPUTED_VALUE"""),48.36)</f>
        <v>48.36</v>
      </c>
      <c r="F1227" s="2">
        <f>IFERROR(__xludf.DUMMYFUNCTION("""COMPUTED_VALUE"""),183491.0)</f>
        <v>183491</v>
      </c>
    </row>
    <row r="1228">
      <c r="A1228" s="3">
        <f>IFERROR(__xludf.DUMMYFUNCTION("""COMPUTED_VALUE"""),38316.645833333336)</f>
        <v>38316.64583</v>
      </c>
      <c r="B1228" s="2">
        <f>IFERROR(__xludf.DUMMYFUNCTION("""COMPUTED_VALUE"""),48.8)</f>
        <v>48.8</v>
      </c>
      <c r="C1228" s="2">
        <f>IFERROR(__xludf.DUMMYFUNCTION("""COMPUTED_VALUE"""),50.2)</f>
        <v>50.2</v>
      </c>
      <c r="D1228" s="2">
        <f>IFERROR(__xludf.DUMMYFUNCTION("""COMPUTED_VALUE"""),48.41)</f>
        <v>48.41</v>
      </c>
      <c r="E1228" s="2">
        <f>IFERROR(__xludf.DUMMYFUNCTION("""COMPUTED_VALUE"""),49.91)</f>
        <v>49.91</v>
      </c>
      <c r="F1228" s="2">
        <f>IFERROR(__xludf.DUMMYFUNCTION("""COMPUTED_VALUE"""),431967.0)</f>
        <v>431967</v>
      </c>
    </row>
    <row r="1229">
      <c r="A1229" s="3">
        <f>IFERROR(__xludf.DUMMYFUNCTION("""COMPUTED_VALUE"""),38320.645833333336)</f>
        <v>38320.64583</v>
      </c>
      <c r="B1229" s="2">
        <f>IFERROR(__xludf.DUMMYFUNCTION("""COMPUTED_VALUE"""),48.63)</f>
        <v>48.63</v>
      </c>
      <c r="C1229" s="2">
        <f>IFERROR(__xludf.DUMMYFUNCTION("""COMPUTED_VALUE"""),50.44)</f>
        <v>50.44</v>
      </c>
      <c r="D1229" s="2">
        <f>IFERROR(__xludf.DUMMYFUNCTION("""COMPUTED_VALUE"""),42.92)</f>
        <v>42.92</v>
      </c>
      <c r="E1229" s="2">
        <f>IFERROR(__xludf.DUMMYFUNCTION("""COMPUTED_VALUE"""),49.89)</f>
        <v>49.89</v>
      </c>
      <c r="F1229" s="2">
        <f>IFERROR(__xludf.DUMMYFUNCTION("""COMPUTED_VALUE"""),269587.0)</f>
        <v>269587</v>
      </c>
    </row>
    <row r="1230">
      <c r="A1230" s="3">
        <f>IFERROR(__xludf.DUMMYFUNCTION("""COMPUTED_VALUE"""),38321.645833333336)</f>
        <v>38321.64583</v>
      </c>
      <c r="B1230" s="2">
        <f>IFERROR(__xludf.DUMMYFUNCTION("""COMPUTED_VALUE"""),50.2)</f>
        <v>50.2</v>
      </c>
      <c r="C1230" s="2">
        <f>IFERROR(__xludf.DUMMYFUNCTION("""COMPUTED_VALUE"""),50.3)</f>
        <v>50.3</v>
      </c>
      <c r="D1230" s="2">
        <f>IFERROR(__xludf.DUMMYFUNCTION("""COMPUTED_VALUE"""),49.5)</f>
        <v>49.5</v>
      </c>
      <c r="E1230" s="2">
        <f>IFERROR(__xludf.DUMMYFUNCTION("""COMPUTED_VALUE"""),49.67)</f>
        <v>49.67</v>
      </c>
      <c r="F1230" s="2">
        <f>IFERROR(__xludf.DUMMYFUNCTION("""COMPUTED_VALUE"""),307919.0)</f>
        <v>307919</v>
      </c>
    </row>
    <row r="1231">
      <c r="A1231" s="3">
        <f>IFERROR(__xludf.DUMMYFUNCTION("""COMPUTED_VALUE"""),38322.645833333336)</f>
        <v>38322.64583</v>
      </c>
      <c r="B1231" s="2">
        <f>IFERROR(__xludf.DUMMYFUNCTION("""COMPUTED_VALUE"""),49.91)</f>
        <v>49.91</v>
      </c>
      <c r="C1231" s="2">
        <f>IFERROR(__xludf.DUMMYFUNCTION("""COMPUTED_VALUE"""),50.2)</f>
        <v>50.2</v>
      </c>
      <c r="D1231" s="2">
        <f>IFERROR(__xludf.DUMMYFUNCTION("""COMPUTED_VALUE"""),48.17)</f>
        <v>48.17</v>
      </c>
      <c r="E1231" s="2">
        <f>IFERROR(__xludf.DUMMYFUNCTION("""COMPUTED_VALUE"""),48.41)</f>
        <v>48.41</v>
      </c>
      <c r="F1231" s="2">
        <f>IFERROR(__xludf.DUMMYFUNCTION("""COMPUTED_VALUE"""),467946.0)</f>
        <v>467946</v>
      </c>
    </row>
    <row r="1232">
      <c r="A1232" s="3">
        <f>IFERROR(__xludf.DUMMYFUNCTION("""COMPUTED_VALUE"""),38323.645833333336)</f>
        <v>38323.64583</v>
      </c>
      <c r="B1232" s="2">
        <f>IFERROR(__xludf.DUMMYFUNCTION("""COMPUTED_VALUE"""),49.48)</f>
        <v>49.48</v>
      </c>
      <c r="C1232" s="2">
        <f>IFERROR(__xludf.DUMMYFUNCTION("""COMPUTED_VALUE"""),49.5)</f>
        <v>49.5</v>
      </c>
      <c r="D1232" s="2">
        <f>IFERROR(__xludf.DUMMYFUNCTION("""COMPUTED_VALUE"""),48.5)</f>
        <v>48.5</v>
      </c>
      <c r="E1232" s="2">
        <f>IFERROR(__xludf.DUMMYFUNCTION("""COMPUTED_VALUE"""),48.84)</f>
        <v>48.84</v>
      </c>
      <c r="F1232" s="2">
        <f>IFERROR(__xludf.DUMMYFUNCTION("""COMPUTED_VALUE"""),564240.0)</f>
        <v>564240</v>
      </c>
    </row>
    <row r="1233">
      <c r="A1233" s="3">
        <f>IFERROR(__xludf.DUMMYFUNCTION("""COMPUTED_VALUE"""),38324.645833333336)</f>
        <v>38324.64583</v>
      </c>
      <c r="B1233" s="2">
        <f>IFERROR(__xludf.DUMMYFUNCTION("""COMPUTED_VALUE"""),49.0)</f>
        <v>49</v>
      </c>
      <c r="C1233" s="2">
        <f>IFERROR(__xludf.DUMMYFUNCTION("""COMPUTED_VALUE"""),49.5)</f>
        <v>49.5</v>
      </c>
      <c r="D1233" s="2">
        <f>IFERROR(__xludf.DUMMYFUNCTION("""COMPUTED_VALUE"""),47.72)</f>
        <v>47.72</v>
      </c>
      <c r="E1233" s="2">
        <f>IFERROR(__xludf.DUMMYFUNCTION("""COMPUTED_VALUE"""),48.28)</f>
        <v>48.28</v>
      </c>
      <c r="F1233" s="2">
        <f>IFERROR(__xludf.DUMMYFUNCTION("""COMPUTED_VALUE"""),583063.0)</f>
        <v>583063</v>
      </c>
    </row>
    <row r="1234">
      <c r="A1234" s="3">
        <f>IFERROR(__xludf.DUMMYFUNCTION("""COMPUTED_VALUE"""),38327.645833333336)</f>
        <v>38327.64583</v>
      </c>
      <c r="B1234" s="2">
        <f>IFERROR(__xludf.DUMMYFUNCTION("""COMPUTED_VALUE"""),48.28)</f>
        <v>48.28</v>
      </c>
      <c r="C1234" s="2">
        <f>IFERROR(__xludf.DUMMYFUNCTION("""COMPUTED_VALUE"""),49.1)</f>
        <v>49.1</v>
      </c>
      <c r="D1234" s="2">
        <f>IFERROR(__xludf.DUMMYFUNCTION("""COMPUTED_VALUE"""),47.5)</f>
        <v>47.5</v>
      </c>
      <c r="E1234" s="2">
        <f>IFERROR(__xludf.DUMMYFUNCTION("""COMPUTED_VALUE"""),47.66)</f>
        <v>47.66</v>
      </c>
      <c r="F1234" s="2">
        <f>IFERROR(__xludf.DUMMYFUNCTION("""COMPUTED_VALUE"""),579607.0)</f>
        <v>579607</v>
      </c>
    </row>
    <row r="1235">
      <c r="A1235" s="3">
        <f>IFERROR(__xludf.DUMMYFUNCTION("""COMPUTED_VALUE"""),38328.645833333336)</f>
        <v>38328.64583</v>
      </c>
      <c r="B1235" s="2">
        <f>IFERROR(__xludf.DUMMYFUNCTION("""COMPUTED_VALUE"""),47.9)</f>
        <v>47.9</v>
      </c>
      <c r="C1235" s="2">
        <f>IFERROR(__xludf.DUMMYFUNCTION("""COMPUTED_VALUE"""),48.39)</f>
        <v>48.39</v>
      </c>
      <c r="D1235" s="2">
        <f>IFERROR(__xludf.DUMMYFUNCTION("""COMPUTED_VALUE"""),47.9)</f>
        <v>47.9</v>
      </c>
      <c r="E1235" s="2">
        <f>IFERROR(__xludf.DUMMYFUNCTION("""COMPUTED_VALUE"""),48.1)</f>
        <v>48.1</v>
      </c>
      <c r="F1235" s="2">
        <f>IFERROR(__xludf.DUMMYFUNCTION("""COMPUTED_VALUE"""),527168.0)</f>
        <v>527168</v>
      </c>
    </row>
    <row r="1236">
      <c r="A1236" s="3">
        <f>IFERROR(__xludf.DUMMYFUNCTION("""COMPUTED_VALUE"""),38329.645833333336)</f>
        <v>38329.64583</v>
      </c>
      <c r="B1236" s="2">
        <f>IFERROR(__xludf.DUMMYFUNCTION("""COMPUTED_VALUE"""),49.2)</f>
        <v>49.2</v>
      </c>
      <c r="C1236" s="2">
        <f>IFERROR(__xludf.DUMMYFUNCTION("""COMPUTED_VALUE"""),49.2)</f>
        <v>49.2</v>
      </c>
      <c r="D1236" s="2">
        <f>IFERROR(__xludf.DUMMYFUNCTION("""COMPUTED_VALUE"""),46.91)</f>
        <v>46.91</v>
      </c>
      <c r="E1236" s="2">
        <f>IFERROR(__xludf.DUMMYFUNCTION("""COMPUTED_VALUE"""),47.14)</f>
        <v>47.14</v>
      </c>
      <c r="F1236" s="2">
        <f>IFERROR(__xludf.DUMMYFUNCTION("""COMPUTED_VALUE"""),201712.0)</f>
        <v>201712</v>
      </c>
    </row>
    <row r="1237">
      <c r="A1237" s="3">
        <f>IFERROR(__xludf.DUMMYFUNCTION("""COMPUTED_VALUE"""),38330.645833333336)</f>
        <v>38330.64583</v>
      </c>
      <c r="B1237" s="2">
        <f>IFERROR(__xludf.DUMMYFUNCTION("""COMPUTED_VALUE"""),47.98)</f>
        <v>47.98</v>
      </c>
      <c r="C1237" s="2">
        <f>IFERROR(__xludf.DUMMYFUNCTION("""COMPUTED_VALUE"""),48.0)</f>
        <v>48</v>
      </c>
      <c r="D1237" s="2">
        <f>IFERROR(__xludf.DUMMYFUNCTION("""COMPUTED_VALUE"""),47.5)</f>
        <v>47.5</v>
      </c>
      <c r="E1237" s="2">
        <f>IFERROR(__xludf.DUMMYFUNCTION("""COMPUTED_VALUE"""),47.71)</f>
        <v>47.71</v>
      </c>
      <c r="F1237" s="2">
        <f>IFERROR(__xludf.DUMMYFUNCTION("""COMPUTED_VALUE"""),333104.0)</f>
        <v>333104</v>
      </c>
    </row>
    <row r="1238">
      <c r="A1238" s="3">
        <f>IFERROR(__xludf.DUMMYFUNCTION("""COMPUTED_VALUE"""),38331.645833333336)</f>
        <v>38331.64583</v>
      </c>
      <c r="B1238" s="2">
        <f>IFERROR(__xludf.DUMMYFUNCTION("""COMPUTED_VALUE"""),47.5)</f>
        <v>47.5</v>
      </c>
      <c r="C1238" s="2">
        <f>IFERROR(__xludf.DUMMYFUNCTION("""COMPUTED_VALUE"""),47.5)</f>
        <v>47.5</v>
      </c>
      <c r="D1238" s="2">
        <f>IFERROR(__xludf.DUMMYFUNCTION("""COMPUTED_VALUE"""),46.45)</f>
        <v>46.45</v>
      </c>
      <c r="E1238" s="2">
        <f>IFERROR(__xludf.DUMMYFUNCTION("""COMPUTED_VALUE"""),46.69)</f>
        <v>46.69</v>
      </c>
      <c r="F1238" s="2">
        <f>IFERROR(__xludf.DUMMYFUNCTION("""COMPUTED_VALUE"""),470292.0)</f>
        <v>470292</v>
      </c>
    </row>
    <row r="1239">
      <c r="A1239" s="3">
        <f>IFERROR(__xludf.DUMMYFUNCTION("""COMPUTED_VALUE"""),38334.645833333336)</f>
        <v>38334.64583</v>
      </c>
      <c r="B1239" s="2">
        <f>IFERROR(__xludf.DUMMYFUNCTION("""COMPUTED_VALUE"""),47.0)</f>
        <v>47</v>
      </c>
      <c r="C1239" s="2">
        <f>IFERROR(__xludf.DUMMYFUNCTION("""COMPUTED_VALUE"""),47.66)</f>
        <v>47.66</v>
      </c>
      <c r="D1239" s="2">
        <f>IFERROR(__xludf.DUMMYFUNCTION("""COMPUTED_VALUE"""),46.9)</f>
        <v>46.9</v>
      </c>
      <c r="E1239" s="2">
        <f>IFERROR(__xludf.DUMMYFUNCTION("""COMPUTED_VALUE"""),47.33)</f>
        <v>47.33</v>
      </c>
      <c r="F1239" s="2">
        <f>IFERROR(__xludf.DUMMYFUNCTION("""COMPUTED_VALUE"""),978039.0)</f>
        <v>978039</v>
      </c>
    </row>
    <row r="1240">
      <c r="A1240" s="3">
        <f>IFERROR(__xludf.DUMMYFUNCTION("""COMPUTED_VALUE"""),38335.645833333336)</f>
        <v>38335.64583</v>
      </c>
      <c r="B1240" s="2">
        <f>IFERROR(__xludf.DUMMYFUNCTION("""COMPUTED_VALUE"""),47.6)</f>
        <v>47.6</v>
      </c>
      <c r="C1240" s="2">
        <f>IFERROR(__xludf.DUMMYFUNCTION("""COMPUTED_VALUE"""),47.88)</f>
        <v>47.88</v>
      </c>
      <c r="D1240" s="2">
        <f>IFERROR(__xludf.DUMMYFUNCTION("""COMPUTED_VALUE"""),47.4)</f>
        <v>47.4</v>
      </c>
      <c r="E1240" s="2">
        <f>IFERROR(__xludf.DUMMYFUNCTION("""COMPUTED_VALUE"""),47.52)</f>
        <v>47.52</v>
      </c>
      <c r="F1240" s="2">
        <f>IFERROR(__xludf.DUMMYFUNCTION("""COMPUTED_VALUE"""),338782.0)</f>
        <v>338782</v>
      </c>
    </row>
    <row r="1241">
      <c r="A1241" s="3">
        <f>IFERROR(__xludf.DUMMYFUNCTION("""COMPUTED_VALUE"""),38336.645833333336)</f>
        <v>38336.64583</v>
      </c>
      <c r="B1241" s="2">
        <f>IFERROR(__xludf.DUMMYFUNCTION("""COMPUTED_VALUE"""),47.55)</f>
        <v>47.55</v>
      </c>
      <c r="C1241" s="2">
        <f>IFERROR(__xludf.DUMMYFUNCTION("""COMPUTED_VALUE"""),48.0)</f>
        <v>48</v>
      </c>
      <c r="D1241" s="2">
        <f>IFERROR(__xludf.DUMMYFUNCTION("""COMPUTED_VALUE"""),47.2)</f>
        <v>47.2</v>
      </c>
      <c r="E1241" s="2">
        <f>IFERROR(__xludf.DUMMYFUNCTION("""COMPUTED_VALUE"""),47.42)</f>
        <v>47.42</v>
      </c>
      <c r="F1241" s="2">
        <f>IFERROR(__xludf.DUMMYFUNCTION("""COMPUTED_VALUE"""),344810.0)</f>
        <v>344810</v>
      </c>
    </row>
    <row r="1242">
      <c r="A1242" s="3">
        <f>IFERROR(__xludf.DUMMYFUNCTION("""COMPUTED_VALUE"""),38337.645833333336)</f>
        <v>38337.64583</v>
      </c>
      <c r="B1242" s="2">
        <f>IFERROR(__xludf.DUMMYFUNCTION("""COMPUTED_VALUE"""),47.75)</f>
        <v>47.75</v>
      </c>
      <c r="C1242" s="2">
        <f>IFERROR(__xludf.DUMMYFUNCTION("""COMPUTED_VALUE"""),48.69)</f>
        <v>48.69</v>
      </c>
      <c r="D1242" s="2">
        <f>IFERROR(__xludf.DUMMYFUNCTION("""COMPUTED_VALUE"""),47.75)</f>
        <v>47.75</v>
      </c>
      <c r="E1242" s="2">
        <f>IFERROR(__xludf.DUMMYFUNCTION("""COMPUTED_VALUE"""),48.18)</f>
        <v>48.18</v>
      </c>
      <c r="F1242" s="2">
        <f>IFERROR(__xludf.DUMMYFUNCTION("""COMPUTED_VALUE"""),437489.0)</f>
        <v>437489</v>
      </c>
    </row>
    <row r="1243">
      <c r="A1243" s="3">
        <f>IFERROR(__xludf.DUMMYFUNCTION("""COMPUTED_VALUE"""),38338.645833333336)</f>
        <v>38338.64583</v>
      </c>
      <c r="B1243" s="2">
        <f>IFERROR(__xludf.DUMMYFUNCTION("""COMPUTED_VALUE"""),48.6)</f>
        <v>48.6</v>
      </c>
      <c r="C1243" s="2">
        <f>IFERROR(__xludf.DUMMYFUNCTION("""COMPUTED_VALUE"""),48.76)</f>
        <v>48.76</v>
      </c>
      <c r="D1243" s="2">
        <f>IFERROR(__xludf.DUMMYFUNCTION("""COMPUTED_VALUE"""),47.56)</f>
        <v>47.56</v>
      </c>
      <c r="E1243" s="2">
        <f>IFERROR(__xludf.DUMMYFUNCTION("""COMPUTED_VALUE"""),48.18)</f>
        <v>48.18</v>
      </c>
      <c r="F1243" s="2">
        <f>IFERROR(__xludf.DUMMYFUNCTION("""COMPUTED_VALUE"""),282506.0)</f>
        <v>282506</v>
      </c>
    </row>
    <row r="1244">
      <c r="A1244" s="3">
        <f>IFERROR(__xludf.DUMMYFUNCTION("""COMPUTED_VALUE"""),38341.645833333336)</f>
        <v>38341.64583</v>
      </c>
      <c r="B1244" s="2">
        <f>IFERROR(__xludf.DUMMYFUNCTION("""COMPUTED_VALUE"""),48.3)</f>
        <v>48.3</v>
      </c>
      <c r="C1244" s="2">
        <f>IFERROR(__xludf.DUMMYFUNCTION("""COMPUTED_VALUE"""),49.5)</f>
        <v>49.5</v>
      </c>
      <c r="D1244" s="2">
        <f>IFERROR(__xludf.DUMMYFUNCTION("""COMPUTED_VALUE"""),48.3)</f>
        <v>48.3</v>
      </c>
      <c r="E1244" s="2">
        <f>IFERROR(__xludf.DUMMYFUNCTION("""COMPUTED_VALUE"""),49.25)</f>
        <v>49.25</v>
      </c>
      <c r="F1244" s="2">
        <f>IFERROR(__xludf.DUMMYFUNCTION("""COMPUTED_VALUE"""),381817.0)</f>
        <v>381817</v>
      </c>
    </row>
    <row r="1245">
      <c r="A1245" s="3">
        <f>IFERROR(__xludf.DUMMYFUNCTION("""COMPUTED_VALUE"""),38342.645833333336)</f>
        <v>38342.64583</v>
      </c>
      <c r="B1245" s="2">
        <f>IFERROR(__xludf.DUMMYFUNCTION("""COMPUTED_VALUE"""),49.5)</f>
        <v>49.5</v>
      </c>
      <c r="C1245" s="2">
        <f>IFERROR(__xludf.DUMMYFUNCTION("""COMPUTED_VALUE"""),49.7)</f>
        <v>49.7</v>
      </c>
      <c r="D1245" s="2">
        <f>IFERROR(__xludf.DUMMYFUNCTION("""COMPUTED_VALUE"""),49.06)</f>
        <v>49.06</v>
      </c>
      <c r="E1245" s="2">
        <f>IFERROR(__xludf.DUMMYFUNCTION("""COMPUTED_VALUE"""),49.62)</f>
        <v>49.62</v>
      </c>
      <c r="F1245" s="2">
        <f>IFERROR(__xludf.DUMMYFUNCTION("""COMPUTED_VALUE"""),479292.0)</f>
        <v>479292</v>
      </c>
    </row>
    <row r="1246">
      <c r="A1246" s="3">
        <f>IFERROR(__xludf.DUMMYFUNCTION("""COMPUTED_VALUE"""),38343.645833333336)</f>
        <v>38343.64583</v>
      </c>
      <c r="B1246" s="2">
        <f>IFERROR(__xludf.DUMMYFUNCTION("""COMPUTED_VALUE"""),49.8)</f>
        <v>49.8</v>
      </c>
      <c r="C1246" s="2">
        <f>IFERROR(__xludf.DUMMYFUNCTION("""COMPUTED_VALUE"""),52.0)</f>
        <v>52</v>
      </c>
      <c r="D1246" s="2">
        <f>IFERROR(__xludf.DUMMYFUNCTION("""COMPUTED_VALUE"""),48.7)</f>
        <v>48.7</v>
      </c>
      <c r="E1246" s="2">
        <f>IFERROR(__xludf.DUMMYFUNCTION("""COMPUTED_VALUE"""),49.32)</f>
        <v>49.32</v>
      </c>
      <c r="F1246" s="2">
        <f>IFERROR(__xludf.DUMMYFUNCTION("""COMPUTED_VALUE"""),445764.0)</f>
        <v>445764</v>
      </c>
    </row>
    <row r="1247">
      <c r="A1247" s="3">
        <f>IFERROR(__xludf.DUMMYFUNCTION("""COMPUTED_VALUE"""),38344.645833333336)</f>
        <v>38344.64583</v>
      </c>
      <c r="B1247" s="2">
        <f>IFERROR(__xludf.DUMMYFUNCTION("""COMPUTED_VALUE"""),49.99)</f>
        <v>49.99</v>
      </c>
      <c r="C1247" s="2">
        <f>IFERROR(__xludf.DUMMYFUNCTION("""COMPUTED_VALUE"""),50.0)</f>
        <v>50</v>
      </c>
      <c r="D1247" s="2">
        <f>IFERROR(__xludf.DUMMYFUNCTION("""COMPUTED_VALUE"""),48.8)</f>
        <v>48.8</v>
      </c>
      <c r="E1247" s="2">
        <f>IFERROR(__xludf.DUMMYFUNCTION("""COMPUTED_VALUE"""),49.41)</f>
        <v>49.41</v>
      </c>
      <c r="F1247" s="2">
        <f>IFERROR(__xludf.DUMMYFUNCTION("""COMPUTED_VALUE"""),282985.0)</f>
        <v>282985</v>
      </c>
    </row>
    <row r="1248">
      <c r="A1248" s="3">
        <f>IFERROR(__xludf.DUMMYFUNCTION("""COMPUTED_VALUE"""),38345.645833333336)</f>
        <v>38345.64583</v>
      </c>
      <c r="B1248" s="2">
        <f>IFERROR(__xludf.DUMMYFUNCTION("""COMPUTED_VALUE"""),50.0)</f>
        <v>50</v>
      </c>
      <c r="C1248" s="2">
        <f>IFERROR(__xludf.DUMMYFUNCTION("""COMPUTED_VALUE"""),50.5)</f>
        <v>50.5</v>
      </c>
      <c r="D1248" s="2">
        <f>IFERROR(__xludf.DUMMYFUNCTION("""COMPUTED_VALUE"""),49.7)</f>
        <v>49.7</v>
      </c>
      <c r="E1248" s="2">
        <f>IFERROR(__xludf.DUMMYFUNCTION("""COMPUTED_VALUE"""),50.25)</f>
        <v>50.25</v>
      </c>
      <c r="F1248" s="2">
        <f>IFERROR(__xludf.DUMMYFUNCTION("""COMPUTED_VALUE"""),282533.0)</f>
        <v>282533</v>
      </c>
    </row>
    <row r="1249">
      <c r="A1249" s="3">
        <f>IFERROR(__xludf.DUMMYFUNCTION("""COMPUTED_VALUE"""),38348.645833333336)</f>
        <v>38348.64583</v>
      </c>
      <c r="B1249" s="2">
        <f>IFERROR(__xludf.DUMMYFUNCTION("""COMPUTED_VALUE"""),50.5)</f>
        <v>50.5</v>
      </c>
      <c r="C1249" s="2">
        <f>IFERROR(__xludf.DUMMYFUNCTION("""COMPUTED_VALUE"""),50.7)</f>
        <v>50.7</v>
      </c>
      <c r="D1249" s="2">
        <f>IFERROR(__xludf.DUMMYFUNCTION("""COMPUTED_VALUE"""),49.73)</f>
        <v>49.73</v>
      </c>
      <c r="E1249" s="2">
        <f>IFERROR(__xludf.DUMMYFUNCTION("""COMPUTED_VALUE"""),50.49)</f>
        <v>50.49</v>
      </c>
      <c r="F1249" s="2">
        <f>IFERROR(__xludf.DUMMYFUNCTION("""COMPUTED_VALUE"""),158866.0)</f>
        <v>158866</v>
      </c>
    </row>
    <row r="1250">
      <c r="A1250" s="3">
        <f>IFERROR(__xludf.DUMMYFUNCTION("""COMPUTED_VALUE"""),38349.645833333336)</f>
        <v>38349.64583</v>
      </c>
      <c r="B1250" s="2">
        <f>IFERROR(__xludf.DUMMYFUNCTION("""COMPUTED_VALUE"""),50.5)</f>
        <v>50.5</v>
      </c>
      <c r="C1250" s="2">
        <f>IFERROR(__xludf.DUMMYFUNCTION("""COMPUTED_VALUE"""),52.0)</f>
        <v>52</v>
      </c>
      <c r="D1250" s="2">
        <f>IFERROR(__xludf.DUMMYFUNCTION("""COMPUTED_VALUE"""),50.5)</f>
        <v>50.5</v>
      </c>
      <c r="E1250" s="2">
        <f>IFERROR(__xludf.DUMMYFUNCTION("""COMPUTED_VALUE"""),51.87)</f>
        <v>51.87</v>
      </c>
      <c r="F1250" s="2">
        <f>IFERROR(__xludf.DUMMYFUNCTION("""COMPUTED_VALUE"""),253389.0)</f>
        <v>253389</v>
      </c>
    </row>
    <row r="1251">
      <c r="A1251" s="3">
        <f>IFERROR(__xludf.DUMMYFUNCTION("""COMPUTED_VALUE"""),38350.645833333336)</f>
        <v>38350.64583</v>
      </c>
      <c r="B1251" s="2">
        <f>IFERROR(__xludf.DUMMYFUNCTION("""COMPUTED_VALUE"""),52.01)</f>
        <v>52.01</v>
      </c>
      <c r="C1251" s="2">
        <f>IFERROR(__xludf.DUMMYFUNCTION("""COMPUTED_VALUE"""),52.4)</f>
        <v>52.4</v>
      </c>
      <c r="D1251" s="2">
        <f>IFERROR(__xludf.DUMMYFUNCTION("""COMPUTED_VALUE"""),51.02)</f>
        <v>51.02</v>
      </c>
      <c r="E1251" s="2">
        <f>IFERROR(__xludf.DUMMYFUNCTION("""COMPUTED_VALUE"""),51.51)</f>
        <v>51.51</v>
      </c>
      <c r="F1251" s="2">
        <f>IFERROR(__xludf.DUMMYFUNCTION("""COMPUTED_VALUE"""),152323.0)</f>
        <v>152323</v>
      </c>
    </row>
    <row r="1252">
      <c r="A1252" s="3">
        <f>IFERROR(__xludf.DUMMYFUNCTION("""COMPUTED_VALUE"""),38351.645833333336)</f>
        <v>38351.64583</v>
      </c>
      <c r="B1252" s="2">
        <f>IFERROR(__xludf.DUMMYFUNCTION("""COMPUTED_VALUE"""),51.52)</f>
        <v>51.52</v>
      </c>
      <c r="C1252" s="2">
        <f>IFERROR(__xludf.DUMMYFUNCTION("""COMPUTED_VALUE"""),53.0)</f>
        <v>53</v>
      </c>
      <c r="D1252" s="2">
        <f>IFERROR(__xludf.DUMMYFUNCTION("""COMPUTED_VALUE"""),51.11)</f>
        <v>51.11</v>
      </c>
      <c r="E1252" s="2">
        <f>IFERROR(__xludf.DUMMYFUNCTION("""COMPUTED_VALUE"""),52.43)</f>
        <v>52.43</v>
      </c>
      <c r="F1252" s="2">
        <f>IFERROR(__xludf.DUMMYFUNCTION("""COMPUTED_VALUE"""),199639.0)</f>
        <v>199639</v>
      </c>
    </row>
    <row r="1253">
      <c r="A1253" s="3">
        <f>IFERROR(__xludf.DUMMYFUNCTION("""COMPUTED_VALUE"""),38352.645833333336)</f>
        <v>38352.64583</v>
      </c>
      <c r="B1253" s="2">
        <f>IFERROR(__xludf.DUMMYFUNCTION("""COMPUTED_VALUE"""),52.1)</f>
        <v>52.1</v>
      </c>
      <c r="C1253" s="2">
        <f>IFERROR(__xludf.DUMMYFUNCTION("""COMPUTED_VALUE"""),52.52)</f>
        <v>52.52</v>
      </c>
      <c r="D1253" s="2">
        <f>IFERROR(__xludf.DUMMYFUNCTION("""COMPUTED_VALUE"""),51.71)</f>
        <v>51.71</v>
      </c>
      <c r="E1253" s="2">
        <f>IFERROR(__xludf.DUMMYFUNCTION("""COMPUTED_VALUE"""),52.03)</f>
        <v>52.03</v>
      </c>
      <c r="F1253" s="2">
        <f>IFERROR(__xludf.DUMMYFUNCTION("""COMPUTED_VALUE"""),108115.0)</f>
        <v>108115</v>
      </c>
    </row>
    <row r="1254">
      <c r="A1254" s="3">
        <f>IFERROR(__xludf.DUMMYFUNCTION("""COMPUTED_VALUE"""),38355.645833333336)</f>
        <v>38355.64583</v>
      </c>
      <c r="B1254" s="2">
        <f>IFERROR(__xludf.DUMMYFUNCTION("""COMPUTED_VALUE"""),51.61)</f>
        <v>51.61</v>
      </c>
      <c r="C1254" s="2">
        <f>IFERROR(__xludf.DUMMYFUNCTION("""COMPUTED_VALUE"""),52.78)</f>
        <v>52.78</v>
      </c>
      <c r="D1254" s="2">
        <f>IFERROR(__xludf.DUMMYFUNCTION("""COMPUTED_VALUE"""),51.61)</f>
        <v>51.61</v>
      </c>
      <c r="E1254" s="2">
        <f>IFERROR(__xludf.DUMMYFUNCTION("""COMPUTED_VALUE"""),52.53)</f>
        <v>52.53</v>
      </c>
      <c r="F1254" s="2">
        <f>IFERROR(__xludf.DUMMYFUNCTION("""COMPUTED_VALUE"""),129558.0)</f>
        <v>129558</v>
      </c>
    </row>
    <row r="1255">
      <c r="A1255" s="3">
        <f>IFERROR(__xludf.DUMMYFUNCTION("""COMPUTED_VALUE"""),38356.645833333336)</f>
        <v>38356.64583</v>
      </c>
      <c r="B1255" s="2">
        <f>IFERROR(__xludf.DUMMYFUNCTION("""COMPUTED_VALUE"""),52.51)</f>
        <v>52.51</v>
      </c>
      <c r="C1255" s="2">
        <f>IFERROR(__xludf.DUMMYFUNCTION("""COMPUTED_VALUE"""),53.1)</f>
        <v>53.1</v>
      </c>
      <c r="D1255" s="2">
        <f>IFERROR(__xludf.DUMMYFUNCTION("""COMPUTED_VALUE"""),50.5)</f>
        <v>50.5</v>
      </c>
      <c r="E1255" s="2">
        <f>IFERROR(__xludf.DUMMYFUNCTION("""COMPUTED_VALUE"""),51.95)</f>
        <v>51.95</v>
      </c>
      <c r="F1255" s="2">
        <f>IFERROR(__xludf.DUMMYFUNCTION("""COMPUTED_VALUE"""),223806.0)</f>
        <v>223806</v>
      </c>
    </row>
    <row r="1256">
      <c r="A1256" s="3">
        <f>IFERROR(__xludf.DUMMYFUNCTION("""COMPUTED_VALUE"""),38357.645833333336)</f>
        <v>38357.64583</v>
      </c>
      <c r="B1256" s="2">
        <f>IFERROR(__xludf.DUMMYFUNCTION("""COMPUTED_VALUE"""),52.0)</f>
        <v>52</v>
      </c>
      <c r="C1256" s="2">
        <f>IFERROR(__xludf.DUMMYFUNCTION("""COMPUTED_VALUE"""),52.0)</f>
        <v>52</v>
      </c>
      <c r="D1256" s="2">
        <f>IFERROR(__xludf.DUMMYFUNCTION("""COMPUTED_VALUE"""),48.7)</f>
        <v>48.7</v>
      </c>
      <c r="E1256" s="2">
        <f>IFERROR(__xludf.DUMMYFUNCTION("""COMPUTED_VALUE"""),50.01)</f>
        <v>50.01</v>
      </c>
      <c r="F1256" s="2">
        <f>IFERROR(__xludf.DUMMYFUNCTION("""COMPUTED_VALUE"""),398787.0)</f>
        <v>398787</v>
      </c>
    </row>
    <row r="1257">
      <c r="A1257" s="3">
        <f>IFERROR(__xludf.DUMMYFUNCTION("""COMPUTED_VALUE"""),38358.645833333336)</f>
        <v>38358.64583</v>
      </c>
      <c r="B1257" s="2">
        <f>IFERROR(__xludf.DUMMYFUNCTION("""COMPUTED_VALUE"""),50.01)</f>
        <v>50.01</v>
      </c>
      <c r="C1257" s="2">
        <f>IFERROR(__xludf.DUMMYFUNCTION("""COMPUTED_VALUE"""),50.98)</f>
        <v>50.98</v>
      </c>
      <c r="D1257" s="2">
        <f>IFERROR(__xludf.DUMMYFUNCTION("""COMPUTED_VALUE"""),47.9)</f>
        <v>47.9</v>
      </c>
      <c r="E1257" s="2">
        <f>IFERROR(__xludf.DUMMYFUNCTION("""COMPUTED_VALUE"""),48.52)</f>
        <v>48.52</v>
      </c>
      <c r="F1257" s="2">
        <f>IFERROR(__xludf.DUMMYFUNCTION("""COMPUTED_VALUE"""),482951.0)</f>
        <v>482951</v>
      </c>
    </row>
    <row r="1258">
      <c r="A1258" s="3">
        <f>IFERROR(__xludf.DUMMYFUNCTION("""COMPUTED_VALUE"""),38359.645833333336)</f>
        <v>38359.64583</v>
      </c>
      <c r="B1258" s="2">
        <f>IFERROR(__xludf.DUMMYFUNCTION("""COMPUTED_VALUE"""),48.8)</f>
        <v>48.8</v>
      </c>
      <c r="C1258" s="2">
        <f>IFERROR(__xludf.DUMMYFUNCTION("""COMPUTED_VALUE"""),49.38)</f>
        <v>49.38</v>
      </c>
      <c r="D1258" s="2">
        <f>IFERROR(__xludf.DUMMYFUNCTION("""COMPUTED_VALUE"""),48.45)</f>
        <v>48.45</v>
      </c>
      <c r="E1258" s="2">
        <f>IFERROR(__xludf.DUMMYFUNCTION("""COMPUTED_VALUE"""),49.03)</f>
        <v>49.03</v>
      </c>
      <c r="F1258" s="2">
        <f>IFERROR(__xludf.DUMMYFUNCTION("""COMPUTED_VALUE"""),264900.0)</f>
        <v>264900</v>
      </c>
    </row>
    <row r="1259">
      <c r="A1259" s="3">
        <f>IFERROR(__xludf.DUMMYFUNCTION("""COMPUTED_VALUE"""),38362.645833333336)</f>
        <v>38362.64583</v>
      </c>
      <c r="B1259" s="2">
        <f>IFERROR(__xludf.DUMMYFUNCTION("""COMPUTED_VALUE"""),50.0)</f>
        <v>50</v>
      </c>
      <c r="C1259" s="2">
        <f>IFERROR(__xludf.DUMMYFUNCTION("""COMPUTED_VALUE"""),50.8)</f>
        <v>50.8</v>
      </c>
      <c r="D1259" s="2">
        <f>IFERROR(__xludf.DUMMYFUNCTION("""COMPUTED_VALUE"""),48.53)</f>
        <v>48.53</v>
      </c>
      <c r="E1259" s="2">
        <f>IFERROR(__xludf.DUMMYFUNCTION("""COMPUTED_VALUE"""),48.98)</f>
        <v>48.98</v>
      </c>
      <c r="F1259" s="2">
        <f>IFERROR(__xludf.DUMMYFUNCTION("""COMPUTED_VALUE"""),661287.0)</f>
        <v>661287</v>
      </c>
    </row>
    <row r="1260">
      <c r="A1260" s="3">
        <f>IFERROR(__xludf.DUMMYFUNCTION("""COMPUTED_VALUE"""),38363.645833333336)</f>
        <v>38363.64583</v>
      </c>
      <c r="B1260" s="2">
        <f>IFERROR(__xludf.DUMMYFUNCTION("""COMPUTED_VALUE"""),49.0)</f>
        <v>49</v>
      </c>
      <c r="C1260" s="2">
        <f>IFERROR(__xludf.DUMMYFUNCTION("""COMPUTED_VALUE"""),49.18)</f>
        <v>49.18</v>
      </c>
      <c r="D1260" s="2">
        <f>IFERROR(__xludf.DUMMYFUNCTION("""COMPUTED_VALUE"""),48.0)</f>
        <v>48</v>
      </c>
      <c r="E1260" s="2">
        <f>IFERROR(__xludf.DUMMYFUNCTION("""COMPUTED_VALUE"""),48.34)</f>
        <v>48.34</v>
      </c>
      <c r="F1260" s="2">
        <f>IFERROR(__xludf.DUMMYFUNCTION("""COMPUTED_VALUE"""),239111.0)</f>
        <v>239111</v>
      </c>
    </row>
    <row r="1261">
      <c r="A1261" s="3">
        <f>IFERROR(__xludf.DUMMYFUNCTION("""COMPUTED_VALUE"""),38364.645833333336)</f>
        <v>38364.64583</v>
      </c>
      <c r="B1261" s="2">
        <f>IFERROR(__xludf.DUMMYFUNCTION("""COMPUTED_VALUE"""),48.34)</f>
        <v>48.34</v>
      </c>
      <c r="C1261" s="2">
        <f>IFERROR(__xludf.DUMMYFUNCTION("""COMPUTED_VALUE"""),48.69)</f>
        <v>48.69</v>
      </c>
      <c r="D1261" s="2">
        <f>IFERROR(__xludf.DUMMYFUNCTION("""COMPUTED_VALUE"""),47.51)</f>
        <v>47.51</v>
      </c>
      <c r="E1261" s="2">
        <f>IFERROR(__xludf.DUMMYFUNCTION("""COMPUTED_VALUE"""),48.1)</f>
        <v>48.1</v>
      </c>
      <c r="F1261" s="2">
        <f>IFERROR(__xludf.DUMMYFUNCTION("""COMPUTED_VALUE"""),141879.0)</f>
        <v>141879</v>
      </c>
    </row>
    <row r="1262">
      <c r="A1262" s="3">
        <f>IFERROR(__xludf.DUMMYFUNCTION("""COMPUTED_VALUE"""),38365.645833333336)</f>
        <v>38365.64583</v>
      </c>
      <c r="B1262" s="2">
        <f>IFERROR(__xludf.DUMMYFUNCTION("""COMPUTED_VALUE"""),48.0)</f>
        <v>48</v>
      </c>
      <c r="C1262" s="2">
        <f>IFERROR(__xludf.DUMMYFUNCTION("""COMPUTED_VALUE"""),50.8)</f>
        <v>50.8</v>
      </c>
      <c r="D1262" s="2">
        <f>IFERROR(__xludf.DUMMYFUNCTION("""COMPUTED_VALUE"""),48.0)</f>
        <v>48</v>
      </c>
      <c r="E1262" s="2">
        <f>IFERROR(__xludf.DUMMYFUNCTION("""COMPUTED_VALUE"""),49.89)</f>
        <v>49.89</v>
      </c>
      <c r="F1262" s="2">
        <f>IFERROR(__xludf.DUMMYFUNCTION("""COMPUTED_VALUE"""),539592.0)</f>
        <v>539592</v>
      </c>
    </row>
    <row r="1263">
      <c r="A1263" s="3">
        <f>IFERROR(__xludf.DUMMYFUNCTION("""COMPUTED_VALUE"""),38366.645833333336)</f>
        <v>38366.64583</v>
      </c>
      <c r="B1263" s="2">
        <f>IFERROR(__xludf.DUMMYFUNCTION("""COMPUTED_VALUE"""),49.9)</f>
        <v>49.9</v>
      </c>
      <c r="C1263" s="2">
        <f>IFERROR(__xludf.DUMMYFUNCTION("""COMPUTED_VALUE"""),52.2)</f>
        <v>52.2</v>
      </c>
      <c r="D1263" s="2">
        <f>IFERROR(__xludf.DUMMYFUNCTION("""COMPUTED_VALUE"""),49.23)</f>
        <v>49.23</v>
      </c>
      <c r="E1263" s="2">
        <f>IFERROR(__xludf.DUMMYFUNCTION("""COMPUTED_VALUE"""),51.5)</f>
        <v>51.5</v>
      </c>
      <c r="F1263" s="2">
        <f>IFERROR(__xludf.DUMMYFUNCTION("""COMPUTED_VALUE"""),795192.0)</f>
        <v>795192</v>
      </c>
    </row>
    <row r="1264">
      <c r="A1264" s="3">
        <f>IFERROR(__xludf.DUMMYFUNCTION("""COMPUTED_VALUE"""),38369.645833333336)</f>
        <v>38369.64583</v>
      </c>
      <c r="B1264" s="2">
        <f>IFERROR(__xludf.DUMMYFUNCTION("""COMPUTED_VALUE"""),52.0)</f>
        <v>52</v>
      </c>
      <c r="C1264" s="2">
        <f>IFERROR(__xludf.DUMMYFUNCTION("""COMPUTED_VALUE"""),52.9)</f>
        <v>52.9</v>
      </c>
      <c r="D1264" s="2">
        <f>IFERROR(__xludf.DUMMYFUNCTION("""COMPUTED_VALUE"""),50.82)</f>
        <v>50.82</v>
      </c>
      <c r="E1264" s="2">
        <f>IFERROR(__xludf.DUMMYFUNCTION("""COMPUTED_VALUE"""),52.01)</f>
        <v>52.01</v>
      </c>
      <c r="F1264" s="2">
        <f>IFERROR(__xludf.DUMMYFUNCTION("""COMPUTED_VALUE"""),474179.0)</f>
        <v>474179</v>
      </c>
    </row>
    <row r="1265">
      <c r="A1265" s="3">
        <f>IFERROR(__xludf.DUMMYFUNCTION("""COMPUTED_VALUE"""),38370.645833333336)</f>
        <v>38370.64583</v>
      </c>
      <c r="B1265" s="2">
        <f>IFERROR(__xludf.DUMMYFUNCTION("""COMPUTED_VALUE"""),52.79)</f>
        <v>52.79</v>
      </c>
      <c r="C1265" s="2">
        <f>IFERROR(__xludf.DUMMYFUNCTION("""COMPUTED_VALUE"""),52.79)</f>
        <v>52.79</v>
      </c>
      <c r="D1265" s="2">
        <f>IFERROR(__xludf.DUMMYFUNCTION("""COMPUTED_VALUE"""),50.0)</f>
        <v>50</v>
      </c>
      <c r="E1265" s="2">
        <f>IFERROR(__xludf.DUMMYFUNCTION("""COMPUTED_VALUE"""),51.36)</f>
        <v>51.36</v>
      </c>
      <c r="F1265" s="2">
        <f>IFERROR(__xludf.DUMMYFUNCTION("""COMPUTED_VALUE"""),500006.0)</f>
        <v>500006</v>
      </c>
    </row>
    <row r="1266">
      <c r="A1266" s="3">
        <f>IFERROR(__xludf.DUMMYFUNCTION("""COMPUTED_VALUE"""),38371.645833333336)</f>
        <v>38371.64583</v>
      </c>
      <c r="B1266" s="2">
        <f>IFERROR(__xludf.DUMMYFUNCTION("""COMPUTED_VALUE"""),51.77)</f>
        <v>51.77</v>
      </c>
      <c r="C1266" s="2">
        <f>IFERROR(__xludf.DUMMYFUNCTION("""COMPUTED_VALUE"""),52.5)</f>
        <v>52.5</v>
      </c>
      <c r="D1266" s="2">
        <f>IFERROR(__xludf.DUMMYFUNCTION("""COMPUTED_VALUE"""),50.96)</f>
        <v>50.96</v>
      </c>
      <c r="E1266" s="2">
        <f>IFERROR(__xludf.DUMMYFUNCTION("""COMPUTED_VALUE"""),51.89)</f>
        <v>51.89</v>
      </c>
      <c r="F1266" s="2">
        <f>IFERROR(__xludf.DUMMYFUNCTION("""COMPUTED_VALUE"""),451746.0)</f>
        <v>451746</v>
      </c>
    </row>
    <row r="1267">
      <c r="A1267" s="3">
        <f>IFERROR(__xludf.DUMMYFUNCTION("""COMPUTED_VALUE"""),38372.645833333336)</f>
        <v>38372.64583</v>
      </c>
      <c r="B1267" s="2">
        <f>IFERROR(__xludf.DUMMYFUNCTION("""COMPUTED_VALUE"""),51.1)</f>
        <v>51.1</v>
      </c>
      <c r="C1267" s="2">
        <f>IFERROR(__xludf.DUMMYFUNCTION("""COMPUTED_VALUE"""),52.1)</f>
        <v>52.1</v>
      </c>
      <c r="D1267" s="2">
        <f>IFERROR(__xludf.DUMMYFUNCTION("""COMPUTED_VALUE"""),50.0)</f>
        <v>50</v>
      </c>
      <c r="E1267" s="2">
        <f>IFERROR(__xludf.DUMMYFUNCTION("""COMPUTED_VALUE"""),51.14)</f>
        <v>51.14</v>
      </c>
      <c r="F1267" s="2">
        <f>IFERROR(__xludf.DUMMYFUNCTION("""COMPUTED_VALUE"""),1090807.0)</f>
        <v>1090807</v>
      </c>
    </row>
    <row r="1268">
      <c r="A1268" s="3">
        <f>IFERROR(__xludf.DUMMYFUNCTION("""COMPUTED_VALUE"""),38376.645833333336)</f>
        <v>38376.64583</v>
      </c>
      <c r="B1268" s="2">
        <f>IFERROR(__xludf.DUMMYFUNCTION("""COMPUTED_VALUE"""),51.39)</f>
        <v>51.39</v>
      </c>
      <c r="C1268" s="2">
        <f>IFERROR(__xludf.DUMMYFUNCTION("""COMPUTED_VALUE"""),51.39)</f>
        <v>51.39</v>
      </c>
      <c r="D1268" s="2">
        <f>IFERROR(__xludf.DUMMYFUNCTION("""COMPUTED_VALUE"""),48.6)</f>
        <v>48.6</v>
      </c>
      <c r="E1268" s="2">
        <f>IFERROR(__xludf.DUMMYFUNCTION("""COMPUTED_VALUE"""),49.14)</f>
        <v>49.14</v>
      </c>
      <c r="F1268" s="2">
        <f>IFERROR(__xludf.DUMMYFUNCTION("""COMPUTED_VALUE"""),839776.0)</f>
        <v>839776</v>
      </c>
    </row>
    <row r="1269">
      <c r="A1269" s="3">
        <f>IFERROR(__xludf.DUMMYFUNCTION("""COMPUTED_VALUE"""),38377.645833333336)</f>
        <v>38377.64583</v>
      </c>
      <c r="B1269" s="2">
        <f>IFERROR(__xludf.DUMMYFUNCTION("""COMPUTED_VALUE"""),52.5)</f>
        <v>52.5</v>
      </c>
      <c r="C1269" s="2">
        <f>IFERROR(__xludf.DUMMYFUNCTION("""COMPUTED_VALUE"""),53.94)</f>
        <v>53.94</v>
      </c>
      <c r="D1269" s="2">
        <f>IFERROR(__xludf.DUMMYFUNCTION("""COMPUTED_VALUE"""),49.21)</f>
        <v>49.21</v>
      </c>
      <c r="E1269" s="2">
        <f>IFERROR(__xludf.DUMMYFUNCTION("""COMPUTED_VALUE"""),52.06)</f>
        <v>52.06</v>
      </c>
      <c r="F1269" s="2">
        <f>IFERROR(__xludf.DUMMYFUNCTION("""COMPUTED_VALUE"""),1006248.0)</f>
        <v>1006248</v>
      </c>
    </row>
    <row r="1270">
      <c r="A1270" s="3">
        <f>IFERROR(__xludf.DUMMYFUNCTION("""COMPUTED_VALUE"""),38379.645833333336)</f>
        <v>38379.64583</v>
      </c>
      <c r="B1270" s="2">
        <f>IFERROR(__xludf.DUMMYFUNCTION("""COMPUTED_VALUE"""),52.23)</f>
        <v>52.23</v>
      </c>
      <c r="C1270" s="2">
        <f>IFERROR(__xludf.DUMMYFUNCTION("""COMPUTED_VALUE"""),54.8)</f>
        <v>54.8</v>
      </c>
      <c r="D1270" s="2">
        <f>IFERROR(__xludf.DUMMYFUNCTION("""COMPUTED_VALUE"""),51.8)</f>
        <v>51.8</v>
      </c>
      <c r="E1270" s="2">
        <f>IFERROR(__xludf.DUMMYFUNCTION("""COMPUTED_VALUE"""),53.77)</f>
        <v>53.77</v>
      </c>
      <c r="F1270" s="2">
        <f>IFERROR(__xludf.DUMMYFUNCTION("""COMPUTED_VALUE"""),1211154.0)</f>
        <v>1211154</v>
      </c>
    </row>
    <row r="1271">
      <c r="A1271" s="3">
        <f>IFERROR(__xludf.DUMMYFUNCTION("""COMPUTED_VALUE"""),38380.645833333336)</f>
        <v>38380.64583</v>
      </c>
      <c r="B1271" s="2">
        <f>IFERROR(__xludf.DUMMYFUNCTION("""COMPUTED_VALUE"""),53.77)</f>
        <v>53.77</v>
      </c>
      <c r="C1271" s="2">
        <f>IFERROR(__xludf.DUMMYFUNCTION("""COMPUTED_VALUE"""),54.88)</f>
        <v>54.88</v>
      </c>
      <c r="D1271" s="2">
        <f>IFERROR(__xludf.DUMMYFUNCTION("""COMPUTED_VALUE"""),52.73)</f>
        <v>52.73</v>
      </c>
      <c r="E1271" s="2">
        <f>IFERROR(__xludf.DUMMYFUNCTION("""COMPUTED_VALUE"""),53.98)</f>
        <v>53.98</v>
      </c>
      <c r="F1271" s="2">
        <f>IFERROR(__xludf.DUMMYFUNCTION("""COMPUTED_VALUE"""),487588.0)</f>
        <v>487588</v>
      </c>
    </row>
    <row r="1272">
      <c r="A1272" s="3">
        <f>IFERROR(__xludf.DUMMYFUNCTION("""COMPUTED_VALUE"""),38383.645833333336)</f>
        <v>38383.64583</v>
      </c>
      <c r="B1272" s="2">
        <f>IFERROR(__xludf.DUMMYFUNCTION("""COMPUTED_VALUE"""),53.65)</f>
        <v>53.65</v>
      </c>
      <c r="C1272" s="2">
        <f>IFERROR(__xludf.DUMMYFUNCTION("""COMPUTED_VALUE"""),57.0)</f>
        <v>57</v>
      </c>
      <c r="D1272" s="2">
        <f>IFERROR(__xludf.DUMMYFUNCTION("""COMPUTED_VALUE"""),53.5)</f>
        <v>53.5</v>
      </c>
      <c r="E1272" s="2">
        <f>IFERROR(__xludf.DUMMYFUNCTION("""COMPUTED_VALUE"""),56.46)</f>
        <v>56.46</v>
      </c>
      <c r="F1272" s="2">
        <f>IFERROR(__xludf.DUMMYFUNCTION("""COMPUTED_VALUE"""),667854.0)</f>
        <v>667854</v>
      </c>
    </row>
    <row r="1273">
      <c r="A1273" s="3">
        <f>IFERROR(__xludf.DUMMYFUNCTION("""COMPUTED_VALUE"""),38384.645833333336)</f>
        <v>38384.64583</v>
      </c>
      <c r="B1273" s="2">
        <f>IFERROR(__xludf.DUMMYFUNCTION("""COMPUTED_VALUE"""),56.6)</f>
        <v>56.6</v>
      </c>
      <c r="C1273" s="2">
        <f>IFERROR(__xludf.DUMMYFUNCTION("""COMPUTED_VALUE"""),56.88)</f>
        <v>56.88</v>
      </c>
      <c r="D1273" s="2">
        <f>IFERROR(__xludf.DUMMYFUNCTION("""COMPUTED_VALUE"""),55.03)</f>
        <v>55.03</v>
      </c>
      <c r="E1273" s="2">
        <f>IFERROR(__xludf.DUMMYFUNCTION("""COMPUTED_VALUE"""),56.02)</f>
        <v>56.02</v>
      </c>
      <c r="F1273" s="2">
        <f>IFERROR(__xludf.DUMMYFUNCTION("""COMPUTED_VALUE"""),386403.0)</f>
        <v>386403</v>
      </c>
    </row>
    <row r="1274">
      <c r="A1274" s="3">
        <f>IFERROR(__xludf.DUMMYFUNCTION("""COMPUTED_VALUE"""),38385.645833333336)</f>
        <v>38385.64583</v>
      </c>
      <c r="B1274" s="2">
        <f>IFERROR(__xludf.DUMMYFUNCTION("""COMPUTED_VALUE"""),56.5)</f>
        <v>56.5</v>
      </c>
      <c r="C1274" s="2">
        <f>IFERROR(__xludf.DUMMYFUNCTION("""COMPUTED_VALUE"""),56.5)</f>
        <v>56.5</v>
      </c>
      <c r="D1274" s="2">
        <f>IFERROR(__xludf.DUMMYFUNCTION("""COMPUTED_VALUE"""),55.3)</f>
        <v>55.3</v>
      </c>
      <c r="E1274" s="2">
        <f>IFERROR(__xludf.DUMMYFUNCTION("""COMPUTED_VALUE"""),55.86)</f>
        <v>55.86</v>
      </c>
      <c r="F1274" s="2">
        <f>IFERROR(__xludf.DUMMYFUNCTION("""COMPUTED_VALUE"""),230247.0)</f>
        <v>230247</v>
      </c>
    </row>
    <row r="1275">
      <c r="A1275" s="3">
        <f>IFERROR(__xludf.DUMMYFUNCTION("""COMPUTED_VALUE"""),38386.645833333336)</f>
        <v>38386.64583</v>
      </c>
      <c r="B1275" s="2">
        <f>IFERROR(__xludf.DUMMYFUNCTION("""COMPUTED_VALUE"""),55.9)</f>
        <v>55.9</v>
      </c>
      <c r="C1275" s="2">
        <f>IFERROR(__xludf.DUMMYFUNCTION("""COMPUTED_VALUE"""),57.5)</f>
        <v>57.5</v>
      </c>
      <c r="D1275" s="2">
        <f>IFERROR(__xludf.DUMMYFUNCTION("""COMPUTED_VALUE"""),55.7)</f>
        <v>55.7</v>
      </c>
      <c r="E1275" s="2">
        <f>IFERROR(__xludf.DUMMYFUNCTION("""COMPUTED_VALUE"""),57.35)</f>
        <v>57.35</v>
      </c>
      <c r="F1275" s="2">
        <f>IFERROR(__xludf.DUMMYFUNCTION("""COMPUTED_VALUE"""),404119.0)</f>
        <v>404119</v>
      </c>
    </row>
    <row r="1276">
      <c r="A1276" s="3">
        <f>IFERROR(__xludf.DUMMYFUNCTION("""COMPUTED_VALUE"""),38387.645833333336)</f>
        <v>38387.64583</v>
      </c>
      <c r="B1276" s="2">
        <f>IFERROR(__xludf.DUMMYFUNCTION("""COMPUTED_VALUE"""),57.0)</f>
        <v>57</v>
      </c>
      <c r="C1276" s="2">
        <f>IFERROR(__xludf.DUMMYFUNCTION("""COMPUTED_VALUE"""),57.9)</f>
        <v>57.9</v>
      </c>
      <c r="D1276" s="2">
        <f>IFERROR(__xludf.DUMMYFUNCTION("""COMPUTED_VALUE"""),56.31)</f>
        <v>56.31</v>
      </c>
      <c r="E1276" s="2">
        <f>IFERROR(__xludf.DUMMYFUNCTION("""COMPUTED_VALUE"""),56.72)</f>
        <v>56.72</v>
      </c>
      <c r="F1276" s="2">
        <f>IFERROR(__xludf.DUMMYFUNCTION("""COMPUTED_VALUE"""),178917.0)</f>
        <v>178917</v>
      </c>
    </row>
    <row r="1277">
      <c r="A1277" s="3">
        <f>IFERROR(__xludf.DUMMYFUNCTION("""COMPUTED_VALUE"""),38390.645833333336)</f>
        <v>38390.64583</v>
      </c>
      <c r="B1277" s="2">
        <f>IFERROR(__xludf.DUMMYFUNCTION("""COMPUTED_VALUE"""),56.53)</f>
        <v>56.53</v>
      </c>
      <c r="C1277" s="2">
        <f>IFERROR(__xludf.DUMMYFUNCTION("""COMPUTED_VALUE"""),57.5)</f>
        <v>57.5</v>
      </c>
      <c r="D1277" s="2">
        <f>IFERROR(__xludf.DUMMYFUNCTION("""COMPUTED_VALUE"""),55.21)</f>
        <v>55.21</v>
      </c>
      <c r="E1277" s="2">
        <f>IFERROR(__xludf.DUMMYFUNCTION("""COMPUTED_VALUE"""),56.18)</f>
        <v>56.18</v>
      </c>
      <c r="F1277" s="2">
        <f>IFERROR(__xludf.DUMMYFUNCTION("""COMPUTED_VALUE"""),120125.0)</f>
        <v>120125</v>
      </c>
    </row>
    <row r="1278">
      <c r="A1278" s="3">
        <f>IFERROR(__xludf.DUMMYFUNCTION("""COMPUTED_VALUE"""),38391.645833333336)</f>
        <v>38391.64583</v>
      </c>
      <c r="B1278" s="2">
        <f>IFERROR(__xludf.DUMMYFUNCTION("""COMPUTED_VALUE"""),55.8)</f>
        <v>55.8</v>
      </c>
      <c r="C1278" s="2">
        <f>IFERROR(__xludf.DUMMYFUNCTION("""COMPUTED_VALUE"""),57.5)</f>
        <v>57.5</v>
      </c>
      <c r="D1278" s="2">
        <f>IFERROR(__xludf.DUMMYFUNCTION("""COMPUTED_VALUE"""),55.71)</f>
        <v>55.71</v>
      </c>
      <c r="E1278" s="2">
        <f>IFERROR(__xludf.DUMMYFUNCTION("""COMPUTED_VALUE"""),57.05)</f>
        <v>57.05</v>
      </c>
      <c r="F1278" s="2">
        <f>IFERROR(__xludf.DUMMYFUNCTION("""COMPUTED_VALUE"""),175716.0)</f>
        <v>175716</v>
      </c>
    </row>
    <row r="1279">
      <c r="A1279" s="3">
        <f>IFERROR(__xludf.DUMMYFUNCTION("""COMPUTED_VALUE"""),38392.645833333336)</f>
        <v>38392.64583</v>
      </c>
      <c r="B1279" s="2">
        <f>IFERROR(__xludf.DUMMYFUNCTION("""COMPUTED_VALUE"""),57.2)</f>
        <v>57.2</v>
      </c>
      <c r="C1279" s="2">
        <f>IFERROR(__xludf.DUMMYFUNCTION("""COMPUTED_VALUE"""),58.99)</f>
        <v>58.99</v>
      </c>
      <c r="D1279" s="2">
        <f>IFERROR(__xludf.DUMMYFUNCTION("""COMPUTED_VALUE"""),57.0)</f>
        <v>57</v>
      </c>
      <c r="E1279" s="2">
        <f>IFERROR(__xludf.DUMMYFUNCTION("""COMPUTED_VALUE"""),58.81)</f>
        <v>58.81</v>
      </c>
      <c r="F1279" s="2">
        <f>IFERROR(__xludf.DUMMYFUNCTION("""COMPUTED_VALUE"""),301754.0)</f>
        <v>301754</v>
      </c>
    </row>
    <row r="1280">
      <c r="A1280" s="3">
        <f>IFERROR(__xludf.DUMMYFUNCTION("""COMPUTED_VALUE"""),38393.645833333336)</f>
        <v>38393.64583</v>
      </c>
      <c r="B1280" s="2">
        <f>IFERROR(__xludf.DUMMYFUNCTION("""COMPUTED_VALUE"""),59.0)</f>
        <v>59</v>
      </c>
      <c r="C1280" s="2">
        <f>IFERROR(__xludf.DUMMYFUNCTION("""COMPUTED_VALUE"""),59.0)</f>
        <v>59</v>
      </c>
      <c r="D1280" s="2">
        <f>IFERROR(__xludf.DUMMYFUNCTION("""COMPUTED_VALUE"""),57.51)</f>
        <v>57.51</v>
      </c>
      <c r="E1280" s="2">
        <f>IFERROR(__xludf.DUMMYFUNCTION("""COMPUTED_VALUE"""),57.95)</f>
        <v>57.95</v>
      </c>
      <c r="F1280" s="2">
        <f>IFERROR(__xludf.DUMMYFUNCTION("""COMPUTED_VALUE"""),170770.0)</f>
        <v>170770</v>
      </c>
    </row>
    <row r="1281">
      <c r="A1281" s="3">
        <f>IFERROR(__xludf.DUMMYFUNCTION("""COMPUTED_VALUE"""),38394.645833333336)</f>
        <v>38394.64583</v>
      </c>
      <c r="B1281" s="2">
        <f>IFERROR(__xludf.DUMMYFUNCTION("""COMPUTED_VALUE"""),58.0)</f>
        <v>58</v>
      </c>
      <c r="C1281" s="2">
        <f>IFERROR(__xludf.DUMMYFUNCTION("""COMPUTED_VALUE"""),58.0)</f>
        <v>58</v>
      </c>
      <c r="D1281" s="2">
        <f>IFERROR(__xludf.DUMMYFUNCTION("""COMPUTED_VALUE"""),56.8)</f>
        <v>56.8</v>
      </c>
      <c r="E1281" s="2">
        <f>IFERROR(__xludf.DUMMYFUNCTION("""COMPUTED_VALUE"""),57.5)</f>
        <v>57.5</v>
      </c>
      <c r="F1281" s="2">
        <f>IFERROR(__xludf.DUMMYFUNCTION("""COMPUTED_VALUE"""),243036.0)</f>
        <v>243036</v>
      </c>
    </row>
    <row r="1282">
      <c r="A1282" s="3">
        <f>IFERROR(__xludf.DUMMYFUNCTION("""COMPUTED_VALUE"""),38397.645833333336)</f>
        <v>38397.64583</v>
      </c>
      <c r="B1282" s="2">
        <f>IFERROR(__xludf.DUMMYFUNCTION("""COMPUTED_VALUE"""),56.24)</f>
        <v>56.24</v>
      </c>
      <c r="C1282" s="2">
        <f>IFERROR(__xludf.DUMMYFUNCTION("""COMPUTED_VALUE"""),57.83)</f>
        <v>57.83</v>
      </c>
      <c r="D1282" s="2">
        <f>IFERROR(__xludf.DUMMYFUNCTION("""COMPUTED_VALUE"""),56.24)</f>
        <v>56.24</v>
      </c>
      <c r="E1282" s="2">
        <f>IFERROR(__xludf.DUMMYFUNCTION("""COMPUTED_VALUE"""),56.87)</f>
        <v>56.87</v>
      </c>
      <c r="F1282" s="2">
        <f>IFERROR(__xludf.DUMMYFUNCTION("""COMPUTED_VALUE"""),312996.0)</f>
        <v>312996</v>
      </c>
    </row>
    <row r="1283">
      <c r="A1283" s="3">
        <f>IFERROR(__xludf.DUMMYFUNCTION("""COMPUTED_VALUE"""),38398.645833333336)</f>
        <v>38398.64583</v>
      </c>
      <c r="B1283" s="2">
        <f>IFERROR(__xludf.DUMMYFUNCTION("""COMPUTED_VALUE"""),57.5)</f>
        <v>57.5</v>
      </c>
      <c r="C1283" s="2">
        <f>IFERROR(__xludf.DUMMYFUNCTION("""COMPUTED_VALUE"""),57.8)</f>
        <v>57.8</v>
      </c>
      <c r="D1283" s="2">
        <f>IFERROR(__xludf.DUMMYFUNCTION("""COMPUTED_VALUE"""),56.01)</f>
        <v>56.01</v>
      </c>
      <c r="E1283" s="2">
        <f>IFERROR(__xludf.DUMMYFUNCTION("""COMPUTED_VALUE"""),56.25)</f>
        <v>56.25</v>
      </c>
      <c r="F1283" s="2">
        <f>IFERROR(__xludf.DUMMYFUNCTION("""COMPUTED_VALUE"""),317150.0)</f>
        <v>317150</v>
      </c>
    </row>
    <row r="1284">
      <c r="A1284" s="3">
        <f>IFERROR(__xludf.DUMMYFUNCTION("""COMPUTED_VALUE"""),38399.645833333336)</f>
        <v>38399.64583</v>
      </c>
      <c r="B1284" s="2">
        <f>IFERROR(__xludf.DUMMYFUNCTION("""COMPUTED_VALUE"""),56.5)</f>
        <v>56.5</v>
      </c>
      <c r="C1284" s="2">
        <f>IFERROR(__xludf.DUMMYFUNCTION("""COMPUTED_VALUE"""),57.3)</f>
        <v>57.3</v>
      </c>
      <c r="D1284" s="2">
        <f>IFERROR(__xludf.DUMMYFUNCTION("""COMPUTED_VALUE"""),55.7)</f>
        <v>55.7</v>
      </c>
      <c r="E1284" s="2">
        <f>IFERROR(__xludf.DUMMYFUNCTION("""COMPUTED_VALUE"""),56.2)</f>
        <v>56.2</v>
      </c>
      <c r="F1284" s="2">
        <f>IFERROR(__xludf.DUMMYFUNCTION("""COMPUTED_VALUE"""),436908.0)</f>
        <v>436908</v>
      </c>
    </row>
    <row r="1285">
      <c r="A1285" s="3">
        <f>IFERROR(__xludf.DUMMYFUNCTION("""COMPUTED_VALUE"""),38400.645833333336)</f>
        <v>38400.64583</v>
      </c>
      <c r="B1285" s="2">
        <f>IFERROR(__xludf.DUMMYFUNCTION("""COMPUTED_VALUE"""),56.0)</f>
        <v>56</v>
      </c>
      <c r="C1285" s="2">
        <f>IFERROR(__xludf.DUMMYFUNCTION("""COMPUTED_VALUE"""),56.36)</f>
        <v>56.36</v>
      </c>
      <c r="D1285" s="2">
        <f>IFERROR(__xludf.DUMMYFUNCTION("""COMPUTED_VALUE"""),55.51)</f>
        <v>55.51</v>
      </c>
      <c r="E1285" s="2">
        <f>IFERROR(__xludf.DUMMYFUNCTION("""COMPUTED_VALUE"""),55.83)</f>
        <v>55.83</v>
      </c>
      <c r="F1285" s="2">
        <f>IFERROR(__xludf.DUMMYFUNCTION("""COMPUTED_VALUE"""),150740.0)</f>
        <v>150740</v>
      </c>
    </row>
    <row r="1286">
      <c r="A1286" s="3">
        <f>IFERROR(__xludf.DUMMYFUNCTION("""COMPUTED_VALUE"""),38401.645833333336)</f>
        <v>38401.64583</v>
      </c>
      <c r="B1286" s="2">
        <f>IFERROR(__xludf.DUMMYFUNCTION("""COMPUTED_VALUE"""),56.2)</f>
        <v>56.2</v>
      </c>
      <c r="C1286" s="2">
        <f>IFERROR(__xludf.DUMMYFUNCTION("""COMPUTED_VALUE"""),56.7)</f>
        <v>56.7</v>
      </c>
      <c r="D1286" s="2">
        <f>IFERROR(__xludf.DUMMYFUNCTION("""COMPUTED_VALUE"""),56.0)</f>
        <v>56</v>
      </c>
      <c r="E1286" s="2">
        <f>IFERROR(__xludf.DUMMYFUNCTION("""COMPUTED_VALUE"""),56.42)</f>
        <v>56.42</v>
      </c>
      <c r="F1286" s="2">
        <f>IFERROR(__xludf.DUMMYFUNCTION("""COMPUTED_VALUE"""),161693.0)</f>
        <v>161693</v>
      </c>
    </row>
    <row r="1287">
      <c r="A1287" s="3">
        <f>IFERROR(__xludf.DUMMYFUNCTION("""COMPUTED_VALUE"""),38404.645833333336)</f>
        <v>38404.64583</v>
      </c>
      <c r="B1287" s="2">
        <f>IFERROR(__xludf.DUMMYFUNCTION("""COMPUTED_VALUE"""),56.89)</f>
        <v>56.89</v>
      </c>
      <c r="C1287" s="2">
        <f>IFERROR(__xludf.DUMMYFUNCTION("""COMPUTED_VALUE"""),56.89)</f>
        <v>56.89</v>
      </c>
      <c r="D1287" s="2">
        <f>IFERROR(__xludf.DUMMYFUNCTION("""COMPUTED_VALUE"""),55.43)</f>
        <v>55.43</v>
      </c>
      <c r="E1287" s="2">
        <f>IFERROR(__xludf.DUMMYFUNCTION("""COMPUTED_VALUE"""),56.05)</f>
        <v>56.05</v>
      </c>
      <c r="F1287" s="2">
        <f>IFERROR(__xludf.DUMMYFUNCTION("""COMPUTED_VALUE"""),310870.0)</f>
        <v>310870</v>
      </c>
    </row>
    <row r="1288">
      <c r="A1288" s="3">
        <f>IFERROR(__xludf.DUMMYFUNCTION("""COMPUTED_VALUE"""),38405.645833333336)</f>
        <v>38405.64583</v>
      </c>
      <c r="B1288" s="2">
        <f>IFERROR(__xludf.DUMMYFUNCTION("""COMPUTED_VALUE"""),55.6)</f>
        <v>55.6</v>
      </c>
      <c r="C1288" s="2">
        <f>IFERROR(__xludf.DUMMYFUNCTION("""COMPUTED_VALUE"""),56.5)</f>
        <v>56.5</v>
      </c>
      <c r="D1288" s="2">
        <f>IFERROR(__xludf.DUMMYFUNCTION("""COMPUTED_VALUE"""),55.6)</f>
        <v>55.6</v>
      </c>
      <c r="E1288" s="2">
        <f>IFERROR(__xludf.DUMMYFUNCTION("""COMPUTED_VALUE"""),56.06)</f>
        <v>56.06</v>
      </c>
      <c r="F1288" s="2">
        <f>IFERROR(__xludf.DUMMYFUNCTION("""COMPUTED_VALUE"""),173266.0)</f>
        <v>173266</v>
      </c>
    </row>
    <row r="1289">
      <c r="A1289" s="3">
        <f>IFERROR(__xludf.DUMMYFUNCTION("""COMPUTED_VALUE"""),38406.645833333336)</f>
        <v>38406.64583</v>
      </c>
      <c r="B1289" s="2">
        <f>IFERROR(__xludf.DUMMYFUNCTION("""COMPUTED_VALUE"""),56.0)</f>
        <v>56</v>
      </c>
      <c r="C1289" s="2">
        <f>IFERROR(__xludf.DUMMYFUNCTION("""COMPUTED_VALUE"""),56.08)</f>
        <v>56.08</v>
      </c>
      <c r="D1289" s="2">
        <f>IFERROR(__xludf.DUMMYFUNCTION("""COMPUTED_VALUE"""),55.41)</f>
        <v>55.41</v>
      </c>
      <c r="E1289" s="2">
        <f>IFERROR(__xludf.DUMMYFUNCTION("""COMPUTED_VALUE"""),55.81)</f>
        <v>55.81</v>
      </c>
      <c r="F1289" s="2">
        <f>IFERROR(__xludf.DUMMYFUNCTION("""COMPUTED_VALUE"""),309906.0)</f>
        <v>309906</v>
      </c>
    </row>
    <row r="1290">
      <c r="A1290" s="3">
        <f>IFERROR(__xludf.DUMMYFUNCTION("""COMPUTED_VALUE"""),38407.645833333336)</f>
        <v>38407.64583</v>
      </c>
      <c r="B1290" s="2">
        <f>IFERROR(__xludf.DUMMYFUNCTION("""COMPUTED_VALUE"""),56.38)</f>
        <v>56.38</v>
      </c>
      <c r="C1290" s="2">
        <f>IFERROR(__xludf.DUMMYFUNCTION("""COMPUTED_VALUE"""),57.83)</f>
        <v>57.83</v>
      </c>
      <c r="D1290" s="2">
        <f>IFERROR(__xludf.DUMMYFUNCTION("""COMPUTED_VALUE"""),55.91)</f>
        <v>55.91</v>
      </c>
      <c r="E1290" s="2">
        <f>IFERROR(__xludf.DUMMYFUNCTION("""COMPUTED_VALUE"""),57.6)</f>
        <v>57.6</v>
      </c>
      <c r="F1290" s="2">
        <f>IFERROR(__xludf.DUMMYFUNCTION("""COMPUTED_VALUE"""),335642.0)</f>
        <v>335642</v>
      </c>
    </row>
    <row r="1291">
      <c r="A1291" s="3">
        <f>IFERROR(__xludf.DUMMYFUNCTION("""COMPUTED_VALUE"""),38408.645833333336)</f>
        <v>38408.64583</v>
      </c>
      <c r="B1291" s="2">
        <f>IFERROR(__xludf.DUMMYFUNCTION("""COMPUTED_VALUE"""),57.6)</f>
        <v>57.6</v>
      </c>
      <c r="C1291" s="2">
        <f>IFERROR(__xludf.DUMMYFUNCTION("""COMPUTED_VALUE"""),57.6)</f>
        <v>57.6</v>
      </c>
      <c r="D1291" s="2">
        <f>IFERROR(__xludf.DUMMYFUNCTION("""COMPUTED_VALUE"""),56.21)</f>
        <v>56.21</v>
      </c>
      <c r="E1291" s="2">
        <f>IFERROR(__xludf.DUMMYFUNCTION("""COMPUTED_VALUE"""),57.02)</f>
        <v>57.02</v>
      </c>
      <c r="F1291" s="2">
        <f>IFERROR(__xludf.DUMMYFUNCTION("""COMPUTED_VALUE"""),162048.0)</f>
        <v>162048</v>
      </c>
    </row>
    <row r="1292">
      <c r="A1292" s="3">
        <f>IFERROR(__xludf.DUMMYFUNCTION("""COMPUTED_VALUE"""),38411.645833333336)</f>
        <v>38411.64583</v>
      </c>
      <c r="B1292" s="2">
        <f>IFERROR(__xludf.DUMMYFUNCTION("""COMPUTED_VALUE"""),57.68)</f>
        <v>57.68</v>
      </c>
      <c r="C1292" s="2">
        <f>IFERROR(__xludf.DUMMYFUNCTION("""COMPUTED_VALUE"""),59.98)</f>
        <v>59.98</v>
      </c>
      <c r="D1292" s="2">
        <f>IFERROR(__xludf.DUMMYFUNCTION("""COMPUTED_VALUE"""),57.13)</f>
        <v>57.13</v>
      </c>
      <c r="E1292" s="2">
        <f>IFERROR(__xludf.DUMMYFUNCTION("""COMPUTED_VALUE"""),58.73)</f>
        <v>58.73</v>
      </c>
      <c r="F1292" s="2">
        <f>IFERROR(__xludf.DUMMYFUNCTION("""COMPUTED_VALUE"""),744543.0)</f>
        <v>744543</v>
      </c>
    </row>
    <row r="1293">
      <c r="A1293" s="3">
        <f>IFERROR(__xludf.DUMMYFUNCTION("""COMPUTED_VALUE"""),38412.645833333336)</f>
        <v>38412.64583</v>
      </c>
      <c r="B1293" s="2">
        <f>IFERROR(__xludf.DUMMYFUNCTION("""COMPUTED_VALUE"""),58.7)</f>
        <v>58.7</v>
      </c>
      <c r="C1293" s="2">
        <f>IFERROR(__xludf.DUMMYFUNCTION("""COMPUTED_VALUE"""),58.7)</f>
        <v>58.7</v>
      </c>
      <c r="D1293" s="2">
        <f>IFERROR(__xludf.DUMMYFUNCTION("""COMPUTED_VALUE"""),57.32)</f>
        <v>57.32</v>
      </c>
      <c r="E1293" s="2">
        <f>IFERROR(__xludf.DUMMYFUNCTION("""COMPUTED_VALUE"""),57.76)</f>
        <v>57.76</v>
      </c>
      <c r="F1293" s="2">
        <f>IFERROR(__xludf.DUMMYFUNCTION("""COMPUTED_VALUE"""),423016.0)</f>
        <v>423016</v>
      </c>
    </row>
    <row r="1294">
      <c r="A1294" s="3">
        <f>IFERROR(__xludf.DUMMYFUNCTION("""COMPUTED_VALUE"""),38413.645833333336)</f>
        <v>38413.64583</v>
      </c>
      <c r="B1294" s="2">
        <f>IFERROR(__xludf.DUMMYFUNCTION("""COMPUTED_VALUE"""),58.2)</f>
        <v>58.2</v>
      </c>
      <c r="C1294" s="2">
        <f>IFERROR(__xludf.DUMMYFUNCTION("""COMPUTED_VALUE"""),58.2)</f>
        <v>58.2</v>
      </c>
      <c r="D1294" s="2">
        <f>IFERROR(__xludf.DUMMYFUNCTION("""COMPUTED_VALUE"""),57.0)</f>
        <v>57</v>
      </c>
      <c r="E1294" s="2">
        <f>IFERROR(__xludf.DUMMYFUNCTION("""COMPUTED_VALUE"""),57.68)</f>
        <v>57.68</v>
      </c>
      <c r="F1294" s="2">
        <f>IFERROR(__xludf.DUMMYFUNCTION("""COMPUTED_VALUE"""),196067.0)</f>
        <v>196067</v>
      </c>
    </row>
    <row r="1295">
      <c r="A1295" s="3">
        <f>IFERROR(__xludf.DUMMYFUNCTION("""COMPUTED_VALUE"""),38414.645833333336)</f>
        <v>38414.64583</v>
      </c>
      <c r="B1295" s="2">
        <f>IFERROR(__xludf.DUMMYFUNCTION("""COMPUTED_VALUE"""),57.99)</f>
        <v>57.99</v>
      </c>
      <c r="C1295" s="2">
        <f>IFERROR(__xludf.DUMMYFUNCTION("""COMPUTED_VALUE"""),58.0)</f>
        <v>58</v>
      </c>
      <c r="D1295" s="2">
        <f>IFERROR(__xludf.DUMMYFUNCTION("""COMPUTED_VALUE"""),57.43)</f>
        <v>57.43</v>
      </c>
      <c r="E1295" s="2">
        <f>IFERROR(__xludf.DUMMYFUNCTION("""COMPUTED_VALUE"""),57.61)</f>
        <v>57.61</v>
      </c>
      <c r="F1295" s="2">
        <f>IFERROR(__xludf.DUMMYFUNCTION("""COMPUTED_VALUE"""),231185.0)</f>
        <v>231185</v>
      </c>
    </row>
    <row r="1296">
      <c r="A1296" s="3">
        <f>IFERROR(__xludf.DUMMYFUNCTION("""COMPUTED_VALUE"""),38415.645833333336)</f>
        <v>38415.64583</v>
      </c>
      <c r="B1296" s="2">
        <f>IFERROR(__xludf.DUMMYFUNCTION("""COMPUTED_VALUE"""),57.9)</f>
        <v>57.9</v>
      </c>
      <c r="C1296" s="2">
        <f>IFERROR(__xludf.DUMMYFUNCTION("""COMPUTED_VALUE"""),59.68)</f>
        <v>59.68</v>
      </c>
      <c r="D1296" s="2">
        <f>IFERROR(__xludf.DUMMYFUNCTION("""COMPUTED_VALUE"""),57.72)</f>
        <v>57.72</v>
      </c>
      <c r="E1296" s="2">
        <f>IFERROR(__xludf.DUMMYFUNCTION("""COMPUTED_VALUE"""),58.59)</f>
        <v>58.59</v>
      </c>
      <c r="F1296" s="2">
        <f>IFERROR(__xludf.DUMMYFUNCTION("""COMPUTED_VALUE"""),328107.0)</f>
        <v>328107</v>
      </c>
    </row>
    <row r="1297">
      <c r="A1297" s="3">
        <f>IFERROR(__xludf.DUMMYFUNCTION("""COMPUTED_VALUE"""),38418.645833333336)</f>
        <v>38418.64583</v>
      </c>
      <c r="B1297" s="2">
        <f>IFERROR(__xludf.DUMMYFUNCTION("""COMPUTED_VALUE"""),59.2)</f>
        <v>59.2</v>
      </c>
      <c r="C1297" s="2">
        <f>IFERROR(__xludf.DUMMYFUNCTION("""COMPUTED_VALUE"""),60.5)</f>
        <v>60.5</v>
      </c>
      <c r="D1297" s="2">
        <f>IFERROR(__xludf.DUMMYFUNCTION("""COMPUTED_VALUE"""),58.9)</f>
        <v>58.9</v>
      </c>
      <c r="E1297" s="2">
        <f>IFERROR(__xludf.DUMMYFUNCTION("""COMPUTED_VALUE"""),60.12)</f>
        <v>60.12</v>
      </c>
      <c r="F1297" s="2">
        <f>IFERROR(__xludf.DUMMYFUNCTION("""COMPUTED_VALUE"""),405290.0)</f>
        <v>405290</v>
      </c>
    </row>
    <row r="1298">
      <c r="A1298" s="3">
        <f>IFERROR(__xludf.DUMMYFUNCTION("""COMPUTED_VALUE"""),38419.645833333336)</f>
        <v>38419.64583</v>
      </c>
      <c r="B1298" s="2">
        <f>IFERROR(__xludf.DUMMYFUNCTION("""COMPUTED_VALUE"""),60.3)</f>
        <v>60.3</v>
      </c>
      <c r="C1298" s="2">
        <f>IFERROR(__xludf.DUMMYFUNCTION("""COMPUTED_VALUE"""),62.5)</f>
        <v>62.5</v>
      </c>
      <c r="D1298" s="2">
        <f>IFERROR(__xludf.DUMMYFUNCTION("""COMPUTED_VALUE"""),60.3)</f>
        <v>60.3</v>
      </c>
      <c r="E1298" s="2">
        <f>IFERROR(__xludf.DUMMYFUNCTION("""COMPUTED_VALUE"""),61.42)</f>
        <v>61.42</v>
      </c>
      <c r="F1298" s="2">
        <f>IFERROR(__xludf.DUMMYFUNCTION("""COMPUTED_VALUE"""),547898.0)</f>
        <v>547898</v>
      </c>
    </row>
    <row r="1299">
      <c r="A1299" s="3">
        <f>IFERROR(__xludf.DUMMYFUNCTION("""COMPUTED_VALUE"""),38420.645833333336)</f>
        <v>38420.64583</v>
      </c>
      <c r="B1299" s="2">
        <f>IFERROR(__xludf.DUMMYFUNCTION("""COMPUTED_VALUE"""),61.9)</f>
        <v>61.9</v>
      </c>
      <c r="C1299" s="2">
        <f>IFERROR(__xludf.DUMMYFUNCTION("""COMPUTED_VALUE"""),62.5)</f>
        <v>62.5</v>
      </c>
      <c r="D1299" s="2">
        <f>IFERROR(__xludf.DUMMYFUNCTION("""COMPUTED_VALUE"""),61.03)</f>
        <v>61.03</v>
      </c>
      <c r="E1299" s="2">
        <f>IFERROR(__xludf.DUMMYFUNCTION("""COMPUTED_VALUE"""),62.42)</f>
        <v>62.42</v>
      </c>
      <c r="F1299" s="2">
        <f>IFERROR(__xludf.DUMMYFUNCTION("""COMPUTED_VALUE"""),319268.0)</f>
        <v>319268</v>
      </c>
    </row>
    <row r="1300">
      <c r="A1300" s="3">
        <f>IFERROR(__xludf.DUMMYFUNCTION("""COMPUTED_VALUE"""),38421.645833333336)</f>
        <v>38421.64583</v>
      </c>
      <c r="B1300" s="2">
        <f>IFERROR(__xludf.DUMMYFUNCTION("""COMPUTED_VALUE"""),62.02)</f>
        <v>62.02</v>
      </c>
      <c r="C1300" s="2">
        <f>IFERROR(__xludf.DUMMYFUNCTION("""COMPUTED_VALUE"""),62.86)</f>
        <v>62.86</v>
      </c>
      <c r="D1300" s="2">
        <f>IFERROR(__xludf.DUMMYFUNCTION("""COMPUTED_VALUE"""),61.23)</f>
        <v>61.23</v>
      </c>
      <c r="E1300" s="2">
        <f>IFERROR(__xludf.DUMMYFUNCTION("""COMPUTED_VALUE"""),61.54)</f>
        <v>61.54</v>
      </c>
      <c r="F1300" s="2">
        <f>IFERROR(__xludf.DUMMYFUNCTION("""COMPUTED_VALUE"""),228614.0)</f>
        <v>228614</v>
      </c>
    </row>
    <row r="1301">
      <c r="A1301" s="3">
        <f>IFERROR(__xludf.DUMMYFUNCTION("""COMPUTED_VALUE"""),38422.645833333336)</f>
        <v>38422.64583</v>
      </c>
      <c r="B1301" s="2">
        <f>IFERROR(__xludf.DUMMYFUNCTION("""COMPUTED_VALUE"""),62.0)</f>
        <v>62</v>
      </c>
      <c r="C1301" s="2">
        <f>IFERROR(__xludf.DUMMYFUNCTION("""COMPUTED_VALUE"""),62.0)</f>
        <v>62</v>
      </c>
      <c r="D1301" s="2">
        <f>IFERROR(__xludf.DUMMYFUNCTION("""COMPUTED_VALUE"""),60.62)</f>
        <v>60.62</v>
      </c>
      <c r="E1301" s="2">
        <f>IFERROR(__xludf.DUMMYFUNCTION("""COMPUTED_VALUE"""),60.97)</f>
        <v>60.97</v>
      </c>
      <c r="F1301" s="2">
        <f>IFERROR(__xludf.DUMMYFUNCTION("""COMPUTED_VALUE"""),260980.0)</f>
        <v>260980</v>
      </c>
    </row>
    <row r="1302">
      <c r="A1302" s="3">
        <f>IFERROR(__xludf.DUMMYFUNCTION("""COMPUTED_VALUE"""),38425.645833333336)</f>
        <v>38425.64583</v>
      </c>
      <c r="B1302" s="2">
        <f>IFERROR(__xludf.DUMMYFUNCTION("""COMPUTED_VALUE"""),60.97)</f>
        <v>60.97</v>
      </c>
      <c r="C1302" s="2">
        <f>IFERROR(__xludf.DUMMYFUNCTION("""COMPUTED_VALUE"""),61.2)</f>
        <v>61.2</v>
      </c>
      <c r="D1302" s="2">
        <f>IFERROR(__xludf.DUMMYFUNCTION("""COMPUTED_VALUE"""),60.1)</f>
        <v>60.1</v>
      </c>
      <c r="E1302" s="2">
        <f>IFERROR(__xludf.DUMMYFUNCTION("""COMPUTED_VALUE"""),60.27)</f>
        <v>60.27</v>
      </c>
      <c r="F1302" s="2">
        <f>IFERROR(__xludf.DUMMYFUNCTION("""COMPUTED_VALUE"""),243916.0)</f>
        <v>243916</v>
      </c>
    </row>
    <row r="1303">
      <c r="A1303" s="3">
        <f>IFERROR(__xludf.DUMMYFUNCTION("""COMPUTED_VALUE"""),38426.645833333336)</f>
        <v>38426.64583</v>
      </c>
      <c r="B1303" s="2">
        <f>IFERROR(__xludf.DUMMYFUNCTION("""COMPUTED_VALUE"""),60.29)</f>
        <v>60.29</v>
      </c>
      <c r="C1303" s="2">
        <f>IFERROR(__xludf.DUMMYFUNCTION("""COMPUTED_VALUE"""),60.29)</f>
        <v>60.29</v>
      </c>
      <c r="D1303" s="2">
        <f>IFERROR(__xludf.DUMMYFUNCTION("""COMPUTED_VALUE"""),58.2)</f>
        <v>58.2</v>
      </c>
      <c r="E1303" s="2">
        <f>IFERROR(__xludf.DUMMYFUNCTION("""COMPUTED_VALUE"""),59.39)</f>
        <v>59.39</v>
      </c>
      <c r="F1303" s="2">
        <f>IFERROR(__xludf.DUMMYFUNCTION("""COMPUTED_VALUE"""),123703.0)</f>
        <v>123703</v>
      </c>
    </row>
    <row r="1304">
      <c r="A1304" s="3">
        <f>IFERROR(__xludf.DUMMYFUNCTION("""COMPUTED_VALUE"""),38427.645833333336)</f>
        <v>38427.64583</v>
      </c>
      <c r="B1304" s="2">
        <f>IFERROR(__xludf.DUMMYFUNCTION("""COMPUTED_VALUE"""),59.49)</f>
        <v>59.49</v>
      </c>
      <c r="C1304" s="2">
        <f>IFERROR(__xludf.DUMMYFUNCTION("""COMPUTED_VALUE"""),60.4)</f>
        <v>60.4</v>
      </c>
      <c r="D1304" s="2">
        <f>IFERROR(__xludf.DUMMYFUNCTION("""COMPUTED_VALUE"""),58.4)</f>
        <v>58.4</v>
      </c>
      <c r="E1304" s="2">
        <f>IFERROR(__xludf.DUMMYFUNCTION("""COMPUTED_VALUE"""),59.42)</f>
        <v>59.42</v>
      </c>
      <c r="F1304" s="2">
        <f>IFERROR(__xludf.DUMMYFUNCTION("""COMPUTED_VALUE"""),184475.0)</f>
        <v>184475</v>
      </c>
    </row>
    <row r="1305">
      <c r="A1305" s="3">
        <f>IFERROR(__xludf.DUMMYFUNCTION("""COMPUTED_VALUE"""),38428.645833333336)</f>
        <v>38428.64583</v>
      </c>
      <c r="B1305" s="2">
        <f>IFERROR(__xludf.DUMMYFUNCTION("""COMPUTED_VALUE"""),59.3)</f>
        <v>59.3</v>
      </c>
      <c r="C1305" s="2">
        <f>IFERROR(__xludf.DUMMYFUNCTION("""COMPUTED_VALUE"""),59.3)</f>
        <v>59.3</v>
      </c>
      <c r="D1305" s="2">
        <f>IFERROR(__xludf.DUMMYFUNCTION("""COMPUTED_VALUE"""),57.1)</f>
        <v>57.1</v>
      </c>
      <c r="E1305" s="2">
        <f>IFERROR(__xludf.DUMMYFUNCTION("""COMPUTED_VALUE"""),57.24)</f>
        <v>57.24</v>
      </c>
      <c r="F1305" s="2">
        <f>IFERROR(__xludf.DUMMYFUNCTION("""COMPUTED_VALUE"""),377073.0)</f>
        <v>377073</v>
      </c>
    </row>
    <row r="1306">
      <c r="A1306" s="3">
        <f>IFERROR(__xludf.DUMMYFUNCTION("""COMPUTED_VALUE"""),38429.645833333336)</f>
        <v>38429.64583</v>
      </c>
      <c r="B1306" s="2">
        <f>IFERROR(__xludf.DUMMYFUNCTION("""COMPUTED_VALUE"""),57.2)</f>
        <v>57.2</v>
      </c>
      <c r="C1306" s="2">
        <f>IFERROR(__xludf.DUMMYFUNCTION("""COMPUTED_VALUE"""),57.4)</f>
        <v>57.4</v>
      </c>
      <c r="D1306" s="2">
        <f>IFERROR(__xludf.DUMMYFUNCTION("""COMPUTED_VALUE"""),56.21)</f>
        <v>56.21</v>
      </c>
      <c r="E1306" s="2">
        <f>IFERROR(__xludf.DUMMYFUNCTION("""COMPUTED_VALUE"""),56.59)</f>
        <v>56.59</v>
      </c>
      <c r="F1306" s="2">
        <f>IFERROR(__xludf.DUMMYFUNCTION("""COMPUTED_VALUE"""),156819.0)</f>
        <v>156819</v>
      </c>
    </row>
    <row r="1307">
      <c r="A1307" s="3">
        <f>IFERROR(__xludf.DUMMYFUNCTION("""COMPUTED_VALUE"""),38432.645833333336)</f>
        <v>38432.64583</v>
      </c>
      <c r="B1307" s="2">
        <f>IFERROR(__xludf.DUMMYFUNCTION("""COMPUTED_VALUE"""),56.99)</f>
        <v>56.99</v>
      </c>
      <c r="C1307" s="2">
        <f>IFERROR(__xludf.DUMMYFUNCTION("""COMPUTED_VALUE"""),57.0)</f>
        <v>57</v>
      </c>
      <c r="D1307" s="2">
        <f>IFERROR(__xludf.DUMMYFUNCTION("""COMPUTED_VALUE"""),55.6)</f>
        <v>55.6</v>
      </c>
      <c r="E1307" s="2">
        <f>IFERROR(__xludf.DUMMYFUNCTION("""COMPUTED_VALUE"""),55.92)</f>
        <v>55.92</v>
      </c>
      <c r="F1307" s="2">
        <f>IFERROR(__xludf.DUMMYFUNCTION("""COMPUTED_VALUE"""),150385.0)</f>
        <v>150385</v>
      </c>
    </row>
    <row r="1308">
      <c r="A1308" s="3">
        <f>IFERROR(__xludf.DUMMYFUNCTION("""COMPUTED_VALUE"""),38433.645833333336)</f>
        <v>38433.64583</v>
      </c>
      <c r="B1308" s="2">
        <f>IFERROR(__xludf.DUMMYFUNCTION("""COMPUTED_VALUE"""),55.01)</f>
        <v>55.01</v>
      </c>
      <c r="C1308" s="2">
        <f>IFERROR(__xludf.DUMMYFUNCTION("""COMPUTED_VALUE"""),55.6)</f>
        <v>55.6</v>
      </c>
      <c r="D1308" s="2">
        <f>IFERROR(__xludf.DUMMYFUNCTION("""COMPUTED_VALUE"""),54.56)</f>
        <v>54.56</v>
      </c>
      <c r="E1308" s="2">
        <f>IFERROR(__xludf.DUMMYFUNCTION("""COMPUTED_VALUE"""),55.18)</f>
        <v>55.18</v>
      </c>
      <c r="F1308" s="2">
        <f>IFERROR(__xludf.DUMMYFUNCTION("""COMPUTED_VALUE"""),212297.0)</f>
        <v>212297</v>
      </c>
    </row>
    <row r="1309">
      <c r="A1309" s="3">
        <f>IFERROR(__xludf.DUMMYFUNCTION("""COMPUTED_VALUE"""),38434.645833333336)</f>
        <v>38434.64583</v>
      </c>
      <c r="B1309" s="2">
        <f>IFERROR(__xludf.DUMMYFUNCTION("""COMPUTED_VALUE"""),55.0)</f>
        <v>55</v>
      </c>
      <c r="C1309" s="2">
        <f>IFERROR(__xludf.DUMMYFUNCTION("""COMPUTED_VALUE"""),55.0)</f>
        <v>55</v>
      </c>
      <c r="D1309" s="2">
        <f>IFERROR(__xludf.DUMMYFUNCTION("""COMPUTED_VALUE"""),52.3)</f>
        <v>52.3</v>
      </c>
      <c r="E1309" s="2">
        <f>IFERROR(__xludf.DUMMYFUNCTION("""COMPUTED_VALUE"""),53.17)</f>
        <v>53.17</v>
      </c>
      <c r="F1309" s="2">
        <f>IFERROR(__xludf.DUMMYFUNCTION("""COMPUTED_VALUE"""),411913.0)</f>
        <v>411913</v>
      </c>
    </row>
    <row r="1310">
      <c r="A1310" s="3">
        <f>IFERROR(__xludf.DUMMYFUNCTION("""COMPUTED_VALUE"""),38435.645833333336)</f>
        <v>38435.64583</v>
      </c>
      <c r="B1310" s="2">
        <f>IFERROR(__xludf.DUMMYFUNCTION("""COMPUTED_VALUE"""),60.4)</f>
        <v>60.4</v>
      </c>
      <c r="C1310" s="2">
        <f>IFERROR(__xludf.DUMMYFUNCTION("""COMPUTED_VALUE"""),60.4)</f>
        <v>60.4</v>
      </c>
      <c r="D1310" s="2">
        <f>IFERROR(__xludf.DUMMYFUNCTION("""COMPUTED_VALUE"""),50.8)</f>
        <v>50.8</v>
      </c>
      <c r="E1310" s="2">
        <f>IFERROR(__xludf.DUMMYFUNCTION("""COMPUTED_VALUE"""),51.95)</f>
        <v>51.95</v>
      </c>
      <c r="F1310" s="2">
        <f>IFERROR(__xludf.DUMMYFUNCTION("""COMPUTED_VALUE"""),420557.0)</f>
        <v>420557</v>
      </c>
    </row>
    <row r="1311">
      <c r="A1311" s="3">
        <f>IFERROR(__xludf.DUMMYFUNCTION("""COMPUTED_VALUE"""),38439.645833333336)</f>
        <v>38439.64583</v>
      </c>
      <c r="B1311" s="2">
        <f>IFERROR(__xludf.DUMMYFUNCTION("""COMPUTED_VALUE"""),52.9)</f>
        <v>52.9</v>
      </c>
      <c r="C1311" s="2">
        <f>IFERROR(__xludf.DUMMYFUNCTION("""COMPUTED_VALUE"""),53.98)</f>
        <v>53.98</v>
      </c>
      <c r="D1311" s="2">
        <f>IFERROR(__xludf.DUMMYFUNCTION("""COMPUTED_VALUE"""),52.65)</f>
        <v>52.65</v>
      </c>
      <c r="E1311" s="2">
        <f>IFERROR(__xludf.DUMMYFUNCTION("""COMPUTED_VALUE"""),53.3)</f>
        <v>53.3</v>
      </c>
      <c r="F1311" s="2">
        <f>IFERROR(__xludf.DUMMYFUNCTION("""COMPUTED_VALUE"""),104387.0)</f>
        <v>104387</v>
      </c>
    </row>
    <row r="1312">
      <c r="A1312" s="3">
        <f>IFERROR(__xludf.DUMMYFUNCTION("""COMPUTED_VALUE"""),38440.645833333336)</f>
        <v>38440.64583</v>
      </c>
      <c r="B1312" s="2">
        <f>IFERROR(__xludf.DUMMYFUNCTION("""COMPUTED_VALUE"""),53.4)</f>
        <v>53.4</v>
      </c>
      <c r="C1312" s="2">
        <f>IFERROR(__xludf.DUMMYFUNCTION("""COMPUTED_VALUE"""),54.5)</f>
        <v>54.5</v>
      </c>
      <c r="D1312" s="2">
        <f>IFERROR(__xludf.DUMMYFUNCTION("""COMPUTED_VALUE"""),52.51)</f>
        <v>52.51</v>
      </c>
      <c r="E1312" s="2">
        <f>IFERROR(__xludf.DUMMYFUNCTION("""COMPUTED_VALUE"""),53.7)</f>
        <v>53.7</v>
      </c>
      <c r="F1312" s="2">
        <f>IFERROR(__xludf.DUMMYFUNCTION("""COMPUTED_VALUE"""),163383.0)</f>
        <v>163383</v>
      </c>
    </row>
    <row r="1313">
      <c r="A1313" s="3">
        <f>IFERROR(__xludf.DUMMYFUNCTION("""COMPUTED_VALUE"""),38441.645833333336)</f>
        <v>38441.64583</v>
      </c>
      <c r="B1313" s="2">
        <f>IFERROR(__xludf.DUMMYFUNCTION("""COMPUTED_VALUE"""),53.5)</f>
        <v>53.5</v>
      </c>
      <c r="C1313" s="2">
        <f>IFERROR(__xludf.DUMMYFUNCTION("""COMPUTED_VALUE"""),53.79)</f>
        <v>53.79</v>
      </c>
      <c r="D1313" s="2">
        <f>IFERROR(__xludf.DUMMYFUNCTION("""COMPUTED_VALUE"""),52.61)</f>
        <v>52.61</v>
      </c>
      <c r="E1313" s="2">
        <f>IFERROR(__xludf.DUMMYFUNCTION("""COMPUTED_VALUE"""),53.33)</f>
        <v>53.33</v>
      </c>
      <c r="F1313" s="2">
        <f>IFERROR(__xludf.DUMMYFUNCTION("""COMPUTED_VALUE"""),428849.0)</f>
        <v>428849</v>
      </c>
    </row>
    <row r="1314">
      <c r="A1314" s="3">
        <f>IFERROR(__xludf.DUMMYFUNCTION("""COMPUTED_VALUE"""),38442.645833333336)</f>
        <v>38442.64583</v>
      </c>
      <c r="B1314" s="2">
        <f>IFERROR(__xludf.DUMMYFUNCTION("""COMPUTED_VALUE"""),53.89)</f>
        <v>53.89</v>
      </c>
      <c r="C1314" s="2">
        <f>IFERROR(__xludf.DUMMYFUNCTION("""COMPUTED_VALUE"""),54.99)</f>
        <v>54.99</v>
      </c>
      <c r="D1314" s="2">
        <f>IFERROR(__xludf.DUMMYFUNCTION("""COMPUTED_VALUE"""),53.52)</f>
        <v>53.52</v>
      </c>
      <c r="E1314" s="2">
        <f>IFERROR(__xludf.DUMMYFUNCTION("""COMPUTED_VALUE"""),54.48)</f>
        <v>54.48</v>
      </c>
      <c r="F1314" s="2">
        <f>IFERROR(__xludf.DUMMYFUNCTION("""COMPUTED_VALUE"""),222964.0)</f>
        <v>222964</v>
      </c>
    </row>
    <row r="1315">
      <c r="A1315" s="3">
        <f>IFERROR(__xludf.DUMMYFUNCTION("""COMPUTED_VALUE"""),38443.645833333336)</f>
        <v>38443.64583</v>
      </c>
      <c r="B1315" s="2">
        <f>IFERROR(__xludf.DUMMYFUNCTION("""COMPUTED_VALUE"""),54.6)</f>
        <v>54.6</v>
      </c>
      <c r="C1315" s="2">
        <f>IFERROR(__xludf.DUMMYFUNCTION("""COMPUTED_VALUE"""),55.7)</f>
        <v>55.7</v>
      </c>
      <c r="D1315" s="2">
        <f>IFERROR(__xludf.DUMMYFUNCTION("""COMPUTED_VALUE"""),54.1)</f>
        <v>54.1</v>
      </c>
      <c r="E1315" s="2">
        <f>IFERROR(__xludf.DUMMYFUNCTION("""COMPUTED_VALUE"""),55.16)</f>
        <v>55.16</v>
      </c>
      <c r="F1315" s="2">
        <f>IFERROR(__xludf.DUMMYFUNCTION("""COMPUTED_VALUE"""),167983.0)</f>
        <v>167983</v>
      </c>
    </row>
    <row r="1316">
      <c r="A1316" s="3">
        <f>IFERROR(__xludf.DUMMYFUNCTION("""COMPUTED_VALUE"""),38446.645833333336)</f>
        <v>38446.64583</v>
      </c>
      <c r="B1316" s="2">
        <f>IFERROR(__xludf.DUMMYFUNCTION("""COMPUTED_VALUE"""),55.2)</f>
        <v>55.2</v>
      </c>
      <c r="C1316" s="2">
        <f>IFERROR(__xludf.DUMMYFUNCTION("""COMPUTED_VALUE"""),55.39)</f>
        <v>55.39</v>
      </c>
      <c r="D1316" s="2">
        <f>IFERROR(__xludf.DUMMYFUNCTION("""COMPUTED_VALUE"""),54.03)</f>
        <v>54.03</v>
      </c>
      <c r="E1316" s="2">
        <f>IFERROR(__xludf.DUMMYFUNCTION("""COMPUTED_VALUE"""),55.22)</f>
        <v>55.22</v>
      </c>
      <c r="F1316" s="2">
        <f>IFERROR(__xludf.DUMMYFUNCTION("""COMPUTED_VALUE"""),126634.0)</f>
        <v>126634</v>
      </c>
    </row>
    <row r="1317">
      <c r="A1317" s="3">
        <f>IFERROR(__xludf.DUMMYFUNCTION("""COMPUTED_VALUE"""),38447.645833333336)</f>
        <v>38447.64583</v>
      </c>
      <c r="B1317" s="2">
        <f>IFERROR(__xludf.DUMMYFUNCTION("""COMPUTED_VALUE"""),55.7)</f>
        <v>55.7</v>
      </c>
      <c r="C1317" s="2">
        <f>IFERROR(__xludf.DUMMYFUNCTION("""COMPUTED_VALUE"""),56.2)</f>
        <v>56.2</v>
      </c>
      <c r="D1317" s="2">
        <f>IFERROR(__xludf.DUMMYFUNCTION("""COMPUTED_VALUE"""),53.71)</f>
        <v>53.71</v>
      </c>
      <c r="E1317" s="2">
        <f>IFERROR(__xludf.DUMMYFUNCTION("""COMPUTED_VALUE"""),54.0)</f>
        <v>54</v>
      </c>
      <c r="F1317" s="2">
        <f>IFERROR(__xludf.DUMMYFUNCTION("""COMPUTED_VALUE"""),192027.0)</f>
        <v>192027</v>
      </c>
    </row>
    <row r="1318">
      <c r="A1318" s="3">
        <f>IFERROR(__xludf.DUMMYFUNCTION("""COMPUTED_VALUE"""),38448.645833333336)</f>
        <v>38448.64583</v>
      </c>
      <c r="B1318" s="2">
        <f>IFERROR(__xludf.DUMMYFUNCTION("""COMPUTED_VALUE"""),53.63)</f>
        <v>53.63</v>
      </c>
      <c r="C1318" s="2">
        <f>IFERROR(__xludf.DUMMYFUNCTION("""COMPUTED_VALUE"""),55.7)</f>
        <v>55.7</v>
      </c>
      <c r="D1318" s="2">
        <f>IFERROR(__xludf.DUMMYFUNCTION("""COMPUTED_VALUE"""),53.63)</f>
        <v>53.63</v>
      </c>
      <c r="E1318" s="2">
        <f>IFERROR(__xludf.DUMMYFUNCTION("""COMPUTED_VALUE"""),55.33)</f>
        <v>55.33</v>
      </c>
      <c r="F1318" s="2">
        <f>IFERROR(__xludf.DUMMYFUNCTION("""COMPUTED_VALUE"""),212686.0)</f>
        <v>212686</v>
      </c>
    </row>
    <row r="1319">
      <c r="A1319" s="3">
        <f>IFERROR(__xludf.DUMMYFUNCTION("""COMPUTED_VALUE"""),38449.645833333336)</f>
        <v>38449.64583</v>
      </c>
      <c r="B1319" s="2">
        <f>IFERROR(__xludf.DUMMYFUNCTION("""COMPUTED_VALUE"""),56.0)</f>
        <v>56</v>
      </c>
      <c r="C1319" s="2">
        <f>IFERROR(__xludf.DUMMYFUNCTION("""COMPUTED_VALUE"""),56.7)</f>
        <v>56.7</v>
      </c>
      <c r="D1319" s="2">
        <f>IFERROR(__xludf.DUMMYFUNCTION("""COMPUTED_VALUE"""),55.85)</f>
        <v>55.85</v>
      </c>
      <c r="E1319" s="2">
        <f>IFERROR(__xludf.DUMMYFUNCTION("""COMPUTED_VALUE"""),56.32)</f>
        <v>56.32</v>
      </c>
      <c r="F1319" s="2">
        <f>IFERROR(__xludf.DUMMYFUNCTION("""COMPUTED_VALUE"""),254462.0)</f>
        <v>254462</v>
      </c>
    </row>
    <row r="1320">
      <c r="A1320" s="3">
        <f>IFERROR(__xludf.DUMMYFUNCTION("""COMPUTED_VALUE"""),38450.645833333336)</f>
        <v>38450.64583</v>
      </c>
      <c r="B1320" s="2">
        <f>IFERROR(__xludf.DUMMYFUNCTION("""COMPUTED_VALUE"""),56.4)</f>
        <v>56.4</v>
      </c>
      <c r="C1320" s="2">
        <f>IFERROR(__xludf.DUMMYFUNCTION("""COMPUTED_VALUE"""),56.5)</f>
        <v>56.5</v>
      </c>
      <c r="D1320" s="2">
        <f>IFERROR(__xludf.DUMMYFUNCTION("""COMPUTED_VALUE"""),53.8)</f>
        <v>53.8</v>
      </c>
      <c r="E1320" s="2">
        <f>IFERROR(__xludf.DUMMYFUNCTION("""COMPUTED_VALUE"""),54.67)</f>
        <v>54.67</v>
      </c>
      <c r="F1320" s="2">
        <f>IFERROR(__xludf.DUMMYFUNCTION("""COMPUTED_VALUE"""),242715.0)</f>
        <v>242715</v>
      </c>
    </row>
    <row r="1321">
      <c r="A1321" s="3">
        <f>IFERROR(__xludf.DUMMYFUNCTION("""COMPUTED_VALUE"""),38453.645833333336)</f>
        <v>38453.64583</v>
      </c>
      <c r="B1321" s="2">
        <f>IFERROR(__xludf.DUMMYFUNCTION("""COMPUTED_VALUE"""),56.78)</f>
        <v>56.78</v>
      </c>
      <c r="C1321" s="2">
        <f>IFERROR(__xludf.DUMMYFUNCTION("""COMPUTED_VALUE"""),56.78)</f>
        <v>56.78</v>
      </c>
      <c r="D1321" s="2">
        <f>IFERROR(__xludf.DUMMYFUNCTION("""COMPUTED_VALUE"""),54.51)</f>
        <v>54.51</v>
      </c>
      <c r="E1321" s="2">
        <f>IFERROR(__xludf.DUMMYFUNCTION("""COMPUTED_VALUE"""),55.71)</f>
        <v>55.71</v>
      </c>
      <c r="F1321" s="2">
        <f>IFERROR(__xludf.DUMMYFUNCTION("""COMPUTED_VALUE"""),208717.0)</f>
        <v>208717</v>
      </c>
    </row>
    <row r="1322">
      <c r="A1322" s="3">
        <f>IFERROR(__xludf.DUMMYFUNCTION("""COMPUTED_VALUE"""),38454.645833333336)</f>
        <v>38454.64583</v>
      </c>
      <c r="B1322" s="2">
        <f>IFERROR(__xludf.DUMMYFUNCTION("""COMPUTED_VALUE"""),55.9)</f>
        <v>55.9</v>
      </c>
      <c r="C1322" s="2">
        <f>IFERROR(__xludf.DUMMYFUNCTION("""COMPUTED_VALUE"""),56.0)</f>
        <v>56</v>
      </c>
      <c r="D1322" s="2">
        <f>IFERROR(__xludf.DUMMYFUNCTION("""COMPUTED_VALUE"""),55.0)</f>
        <v>55</v>
      </c>
      <c r="E1322" s="2">
        <f>IFERROR(__xludf.DUMMYFUNCTION("""COMPUTED_VALUE"""),55.85)</f>
        <v>55.85</v>
      </c>
      <c r="F1322" s="2">
        <f>IFERROR(__xludf.DUMMYFUNCTION("""COMPUTED_VALUE"""),122636.0)</f>
        <v>122636</v>
      </c>
    </row>
    <row r="1323">
      <c r="A1323" s="3">
        <f>IFERROR(__xludf.DUMMYFUNCTION("""COMPUTED_VALUE"""),38455.645833333336)</f>
        <v>38455.64583</v>
      </c>
      <c r="B1323" s="2">
        <f>IFERROR(__xludf.DUMMYFUNCTION("""COMPUTED_VALUE"""),56.5)</f>
        <v>56.5</v>
      </c>
      <c r="C1323" s="2">
        <f>IFERROR(__xludf.DUMMYFUNCTION("""COMPUTED_VALUE"""),57.35)</f>
        <v>57.35</v>
      </c>
      <c r="D1323" s="2">
        <f>IFERROR(__xludf.DUMMYFUNCTION("""COMPUTED_VALUE"""),55.7)</f>
        <v>55.7</v>
      </c>
      <c r="E1323" s="2">
        <f>IFERROR(__xludf.DUMMYFUNCTION("""COMPUTED_VALUE"""),56.15)</f>
        <v>56.15</v>
      </c>
      <c r="F1323" s="2">
        <f>IFERROR(__xludf.DUMMYFUNCTION("""COMPUTED_VALUE"""),501443.0)</f>
        <v>501443</v>
      </c>
    </row>
    <row r="1324">
      <c r="A1324" s="3">
        <f>IFERROR(__xludf.DUMMYFUNCTION("""COMPUTED_VALUE"""),38457.645833333336)</f>
        <v>38457.64583</v>
      </c>
      <c r="B1324" s="2">
        <f>IFERROR(__xludf.DUMMYFUNCTION("""COMPUTED_VALUE"""),56.1)</f>
        <v>56.1</v>
      </c>
      <c r="C1324" s="2">
        <f>IFERROR(__xludf.DUMMYFUNCTION("""COMPUTED_VALUE"""),56.17)</f>
        <v>56.17</v>
      </c>
      <c r="D1324" s="2">
        <f>IFERROR(__xludf.DUMMYFUNCTION("""COMPUTED_VALUE"""),53.3)</f>
        <v>53.3</v>
      </c>
      <c r="E1324" s="2">
        <f>IFERROR(__xludf.DUMMYFUNCTION("""COMPUTED_VALUE"""),53.86)</f>
        <v>53.86</v>
      </c>
      <c r="F1324" s="2">
        <f>IFERROR(__xludf.DUMMYFUNCTION("""COMPUTED_VALUE"""),280183.0)</f>
        <v>280183</v>
      </c>
    </row>
    <row r="1325">
      <c r="A1325" s="3">
        <f>IFERROR(__xludf.DUMMYFUNCTION("""COMPUTED_VALUE"""),38460.645833333336)</f>
        <v>38460.64583</v>
      </c>
      <c r="B1325" s="2">
        <f>IFERROR(__xludf.DUMMYFUNCTION("""COMPUTED_VALUE"""),53.44)</f>
        <v>53.44</v>
      </c>
      <c r="C1325" s="2">
        <f>IFERROR(__xludf.DUMMYFUNCTION("""COMPUTED_VALUE"""),53.44)</f>
        <v>53.44</v>
      </c>
      <c r="D1325" s="2">
        <f>IFERROR(__xludf.DUMMYFUNCTION("""COMPUTED_VALUE"""),51.61)</f>
        <v>51.61</v>
      </c>
      <c r="E1325" s="2">
        <f>IFERROR(__xludf.DUMMYFUNCTION("""COMPUTED_VALUE"""),52.03)</f>
        <v>52.03</v>
      </c>
      <c r="F1325" s="2">
        <f>IFERROR(__xludf.DUMMYFUNCTION("""COMPUTED_VALUE"""),447662.0)</f>
        <v>447662</v>
      </c>
    </row>
    <row r="1326">
      <c r="A1326" s="3">
        <f>IFERROR(__xludf.DUMMYFUNCTION("""COMPUTED_VALUE"""),38461.645833333336)</f>
        <v>38461.64583</v>
      </c>
      <c r="B1326" s="2">
        <f>IFERROR(__xludf.DUMMYFUNCTION("""COMPUTED_VALUE"""),53.0)</f>
        <v>53</v>
      </c>
      <c r="C1326" s="2">
        <f>IFERROR(__xludf.DUMMYFUNCTION("""COMPUTED_VALUE"""),53.5)</f>
        <v>53.5</v>
      </c>
      <c r="D1326" s="2">
        <f>IFERROR(__xludf.DUMMYFUNCTION("""COMPUTED_VALUE"""),52.66)</f>
        <v>52.66</v>
      </c>
      <c r="E1326" s="2">
        <f>IFERROR(__xludf.DUMMYFUNCTION("""COMPUTED_VALUE"""),53.13)</f>
        <v>53.13</v>
      </c>
      <c r="F1326" s="2">
        <f>IFERROR(__xludf.DUMMYFUNCTION("""COMPUTED_VALUE"""),284556.0)</f>
        <v>284556</v>
      </c>
    </row>
    <row r="1327">
      <c r="A1327" s="3">
        <f>IFERROR(__xludf.DUMMYFUNCTION("""COMPUTED_VALUE"""),38462.645833333336)</f>
        <v>38462.64583</v>
      </c>
      <c r="B1327" s="2">
        <f>IFERROR(__xludf.DUMMYFUNCTION("""COMPUTED_VALUE"""),52.23)</f>
        <v>52.23</v>
      </c>
      <c r="C1327" s="2">
        <f>IFERROR(__xludf.DUMMYFUNCTION("""COMPUTED_VALUE"""),54.6)</f>
        <v>54.6</v>
      </c>
      <c r="D1327" s="2">
        <f>IFERROR(__xludf.DUMMYFUNCTION("""COMPUTED_VALUE"""),52.23)</f>
        <v>52.23</v>
      </c>
      <c r="E1327" s="2">
        <f>IFERROR(__xludf.DUMMYFUNCTION("""COMPUTED_VALUE"""),54.08)</f>
        <v>54.08</v>
      </c>
      <c r="F1327" s="2">
        <f>IFERROR(__xludf.DUMMYFUNCTION("""COMPUTED_VALUE"""),314391.0)</f>
        <v>314391</v>
      </c>
    </row>
    <row r="1328">
      <c r="A1328" s="3">
        <f>IFERROR(__xludf.DUMMYFUNCTION("""COMPUTED_VALUE"""),38463.645833333336)</f>
        <v>38463.64583</v>
      </c>
      <c r="B1328" s="2">
        <f>IFERROR(__xludf.DUMMYFUNCTION("""COMPUTED_VALUE"""),63.23)</f>
        <v>63.23</v>
      </c>
      <c r="C1328" s="2">
        <f>IFERROR(__xludf.DUMMYFUNCTION("""COMPUTED_VALUE"""),63.23)</f>
        <v>63.23</v>
      </c>
      <c r="D1328" s="2">
        <f>IFERROR(__xludf.DUMMYFUNCTION("""COMPUTED_VALUE"""),52.5)</f>
        <v>52.5</v>
      </c>
      <c r="E1328" s="2">
        <f>IFERROR(__xludf.DUMMYFUNCTION("""COMPUTED_VALUE"""),54.58)</f>
        <v>54.58</v>
      </c>
      <c r="F1328" s="2">
        <f>IFERROR(__xludf.DUMMYFUNCTION("""COMPUTED_VALUE"""),144256.0)</f>
        <v>144256</v>
      </c>
    </row>
    <row r="1329">
      <c r="A1329" s="3">
        <f>IFERROR(__xludf.DUMMYFUNCTION("""COMPUTED_VALUE"""),38464.645833333336)</f>
        <v>38464.64583</v>
      </c>
      <c r="B1329" s="2">
        <f>IFERROR(__xludf.DUMMYFUNCTION("""COMPUTED_VALUE"""),56.29)</f>
        <v>56.29</v>
      </c>
      <c r="C1329" s="2">
        <f>IFERROR(__xludf.DUMMYFUNCTION("""COMPUTED_VALUE"""),56.29)</f>
        <v>56.29</v>
      </c>
      <c r="D1329" s="2">
        <f>IFERROR(__xludf.DUMMYFUNCTION("""COMPUTED_VALUE"""),53.52)</f>
        <v>53.52</v>
      </c>
      <c r="E1329" s="2">
        <f>IFERROR(__xludf.DUMMYFUNCTION("""COMPUTED_VALUE"""),54.02)</f>
        <v>54.02</v>
      </c>
      <c r="F1329" s="2">
        <f>IFERROR(__xludf.DUMMYFUNCTION("""COMPUTED_VALUE"""),143353.0)</f>
        <v>143353</v>
      </c>
    </row>
    <row r="1330">
      <c r="A1330" s="3">
        <f>IFERROR(__xludf.DUMMYFUNCTION("""COMPUTED_VALUE"""),38467.645833333336)</f>
        <v>38467.64583</v>
      </c>
      <c r="B1330" s="2">
        <f>IFERROR(__xludf.DUMMYFUNCTION("""COMPUTED_VALUE"""),54.5)</f>
        <v>54.5</v>
      </c>
      <c r="C1330" s="2">
        <f>IFERROR(__xludf.DUMMYFUNCTION("""COMPUTED_VALUE"""),54.5)</f>
        <v>54.5</v>
      </c>
      <c r="D1330" s="2">
        <f>IFERROR(__xludf.DUMMYFUNCTION("""COMPUTED_VALUE"""),53.52)</f>
        <v>53.52</v>
      </c>
      <c r="E1330" s="2">
        <f>IFERROR(__xludf.DUMMYFUNCTION("""COMPUTED_VALUE"""),54.0)</f>
        <v>54</v>
      </c>
      <c r="F1330" s="2">
        <f>IFERROR(__xludf.DUMMYFUNCTION("""COMPUTED_VALUE"""),141429.0)</f>
        <v>141429</v>
      </c>
    </row>
    <row r="1331">
      <c r="A1331" s="3">
        <f>IFERROR(__xludf.DUMMYFUNCTION("""COMPUTED_VALUE"""),38468.645833333336)</f>
        <v>38468.64583</v>
      </c>
      <c r="B1331" s="2">
        <f>IFERROR(__xludf.DUMMYFUNCTION("""COMPUTED_VALUE"""),54.09)</f>
        <v>54.09</v>
      </c>
      <c r="C1331" s="2">
        <f>IFERROR(__xludf.DUMMYFUNCTION("""COMPUTED_VALUE"""),54.37)</f>
        <v>54.37</v>
      </c>
      <c r="D1331" s="2">
        <f>IFERROR(__xludf.DUMMYFUNCTION("""COMPUTED_VALUE"""),53.63)</f>
        <v>53.63</v>
      </c>
      <c r="E1331" s="2">
        <f>IFERROR(__xludf.DUMMYFUNCTION("""COMPUTED_VALUE"""),53.87)</f>
        <v>53.87</v>
      </c>
      <c r="F1331" s="2">
        <f>IFERROR(__xludf.DUMMYFUNCTION("""COMPUTED_VALUE"""),145955.0)</f>
        <v>145955</v>
      </c>
    </row>
    <row r="1332">
      <c r="A1332" s="3">
        <f>IFERROR(__xludf.DUMMYFUNCTION("""COMPUTED_VALUE"""),38469.645833333336)</f>
        <v>38469.64583</v>
      </c>
      <c r="B1332" s="2">
        <f>IFERROR(__xludf.DUMMYFUNCTION("""COMPUTED_VALUE"""),53.11)</f>
        <v>53.11</v>
      </c>
      <c r="C1332" s="2">
        <f>IFERROR(__xludf.DUMMYFUNCTION("""COMPUTED_VALUE"""),54.08)</f>
        <v>54.08</v>
      </c>
      <c r="D1332" s="2">
        <f>IFERROR(__xludf.DUMMYFUNCTION("""COMPUTED_VALUE"""),53.11)</f>
        <v>53.11</v>
      </c>
      <c r="E1332" s="2">
        <f>IFERROR(__xludf.DUMMYFUNCTION("""COMPUTED_VALUE"""),53.75)</f>
        <v>53.75</v>
      </c>
      <c r="F1332" s="2">
        <f>IFERROR(__xludf.DUMMYFUNCTION("""COMPUTED_VALUE"""),102382.0)</f>
        <v>102382</v>
      </c>
    </row>
    <row r="1333">
      <c r="A1333" s="3">
        <f>IFERROR(__xludf.DUMMYFUNCTION("""COMPUTED_VALUE"""),38470.645833333336)</f>
        <v>38470.64583</v>
      </c>
      <c r="B1333" s="2">
        <f>IFERROR(__xludf.DUMMYFUNCTION("""COMPUTED_VALUE"""),53.7)</f>
        <v>53.7</v>
      </c>
      <c r="C1333" s="2">
        <f>IFERROR(__xludf.DUMMYFUNCTION("""COMPUTED_VALUE"""),54.4)</f>
        <v>54.4</v>
      </c>
      <c r="D1333" s="2">
        <f>IFERROR(__xludf.DUMMYFUNCTION("""COMPUTED_VALUE"""),52.53)</f>
        <v>52.53</v>
      </c>
      <c r="E1333" s="2">
        <f>IFERROR(__xludf.DUMMYFUNCTION("""COMPUTED_VALUE"""),53.98)</f>
        <v>53.98</v>
      </c>
      <c r="F1333" s="2">
        <f>IFERROR(__xludf.DUMMYFUNCTION("""COMPUTED_VALUE"""),229509.0)</f>
        <v>229509</v>
      </c>
    </row>
    <row r="1334">
      <c r="A1334" s="3">
        <f>IFERROR(__xludf.DUMMYFUNCTION("""COMPUTED_VALUE"""),38471.645833333336)</f>
        <v>38471.64583</v>
      </c>
      <c r="B1334" s="2">
        <f>IFERROR(__xludf.DUMMYFUNCTION("""COMPUTED_VALUE"""),53.64)</f>
        <v>53.64</v>
      </c>
      <c r="C1334" s="2">
        <f>IFERROR(__xludf.DUMMYFUNCTION("""COMPUTED_VALUE"""),54.03)</f>
        <v>54.03</v>
      </c>
      <c r="D1334" s="2">
        <f>IFERROR(__xludf.DUMMYFUNCTION("""COMPUTED_VALUE"""),52.3)</f>
        <v>52.3</v>
      </c>
      <c r="E1334" s="2">
        <f>IFERROR(__xludf.DUMMYFUNCTION("""COMPUTED_VALUE"""),53.5)</f>
        <v>53.5</v>
      </c>
      <c r="F1334" s="2">
        <f>IFERROR(__xludf.DUMMYFUNCTION("""COMPUTED_VALUE"""),203680.0)</f>
        <v>203680</v>
      </c>
    </row>
    <row r="1335">
      <c r="A1335" s="3">
        <f>IFERROR(__xludf.DUMMYFUNCTION("""COMPUTED_VALUE"""),38474.645833333336)</f>
        <v>38474.64583</v>
      </c>
      <c r="B1335" s="2">
        <f>IFERROR(__xludf.DUMMYFUNCTION("""COMPUTED_VALUE"""),53.5)</f>
        <v>53.5</v>
      </c>
      <c r="C1335" s="2">
        <f>IFERROR(__xludf.DUMMYFUNCTION("""COMPUTED_VALUE"""),54.03)</f>
        <v>54.03</v>
      </c>
      <c r="D1335" s="2">
        <f>IFERROR(__xludf.DUMMYFUNCTION("""COMPUTED_VALUE"""),53.5)</f>
        <v>53.5</v>
      </c>
      <c r="E1335" s="2">
        <f>IFERROR(__xludf.DUMMYFUNCTION("""COMPUTED_VALUE"""),53.98)</f>
        <v>53.98</v>
      </c>
      <c r="F1335" s="2">
        <f>IFERROR(__xludf.DUMMYFUNCTION("""COMPUTED_VALUE"""),100303.0)</f>
        <v>100303</v>
      </c>
    </row>
    <row r="1336">
      <c r="A1336" s="3">
        <f>IFERROR(__xludf.DUMMYFUNCTION("""COMPUTED_VALUE"""),38475.645833333336)</f>
        <v>38475.64583</v>
      </c>
      <c r="B1336" s="2">
        <f>IFERROR(__xludf.DUMMYFUNCTION("""COMPUTED_VALUE"""),53.9)</f>
        <v>53.9</v>
      </c>
      <c r="C1336" s="2">
        <f>IFERROR(__xludf.DUMMYFUNCTION("""COMPUTED_VALUE"""),54.19)</f>
        <v>54.19</v>
      </c>
      <c r="D1336" s="2">
        <f>IFERROR(__xludf.DUMMYFUNCTION("""COMPUTED_VALUE"""),53.71)</f>
        <v>53.71</v>
      </c>
      <c r="E1336" s="2">
        <f>IFERROR(__xludf.DUMMYFUNCTION("""COMPUTED_VALUE"""),54.03)</f>
        <v>54.03</v>
      </c>
      <c r="F1336" s="2">
        <f>IFERROR(__xludf.DUMMYFUNCTION("""COMPUTED_VALUE"""),220663.0)</f>
        <v>220663</v>
      </c>
    </row>
    <row r="1337">
      <c r="A1337" s="3">
        <f>IFERROR(__xludf.DUMMYFUNCTION("""COMPUTED_VALUE"""),38476.645833333336)</f>
        <v>38476.64583</v>
      </c>
      <c r="B1337" s="2">
        <f>IFERROR(__xludf.DUMMYFUNCTION("""COMPUTED_VALUE"""),53.45)</f>
        <v>53.45</v>
      </c>
      <c r="C1337" s="2">
        <f>IFERROR(__xludf.DUMMYFUNCTION("""COMPUTED_VALUE"""),54.0)</f>
        <v>54</v>
      </c>
      <c r="D1337" s="2">
        <f>IFERROR(__xludf.DUMMYFUNCTION("""COMPUTED_VALUE"""),53.25)</f>
        <v>53.25</v>
      </c>
      <c r="E1337" s="2">
        <f>IFERROR(__xludf.DUMMYFUNCTION("""COMPUTED_VALUE"""),53.92)</f>
        <v>53.92</v>
      </c>
      <c r="F1337" s="2">
        <f>IFERROR(__xludf.DUMMYFUNCTION("""COMPUTED_VALUE"""),74719.0)</f>
        <v>74719</v>
      </c>
    </row>
    <row r="1338">
      <c r="A1338" s="3">
        <f>IFERROR(__xludf.DUMMYFUNCTION("""COMPUTED_VALUE"""),38477.645833333336)</f>
        <v>38477.64583</v>
      </c>
      <c r="B1338" s="2">
        <f>IFERROR(__xludf.DUMMYFUNCTION("""COMPUTED_VALUE"""),54.4)</f>
        <v>54.4</v>
      </c>
      <c r="C1338" s="2">
        <f>IFERROR(__xludf.DUMMYFUNCTION("""COMPUTED_VALUE"""),55.49)</f>
        <v>55.49</v>
      </c>
      <c r="D1338" s="2">
        <f>IFERROR(__xludf.DUMMYFUNCTION("""COMPUTED_VALUE"""),54.4)</f>
        <v>54.4</v>
      </c>
      <c r="E1338" s="2">
        <f>IFERROR(__xludf.DUMMYFUNCTION("""COMPUTED_VALUE"""),54.66)</f>
        <v>54.66</v>
      </c>
      <c r="F1338" s="2">
        <f>IFERROR(__xludf.DUMMYFUNCTION("""COMPUTED_VALUE"""),267709.0)</f>
        <v>267709</v>
      </c>
    </row>
    <row r="1339">
      <c r="A1339" s="3">
        <f>IFERROR(__xludf.DUMMYFUNCTION("""COMPUTED_VALUE"""),38478.645833333336)</f>
        <v>38478.64583</v>
      </c>
      <c r="B1339" s="2">
        <f>IFERROR(__xludf.DUMMYFUNCTION("""COMPUTED_VALUE"""),54.68)</f>
        <v>54.68</v>
      </c>
      <c r="C1339" s="2">
        <f>IFERROR(__xludf.DUMMYFUNCTION("""COMPUTED_VALUE"""),54.68)</f>
        <v>54.68</v>
      </c>
      <c r="D1339" s="2">
        <f>IFERROR(__xludf.DUMMYFUNCTION("""COMPUTED_VALUE"""),53.65)</f>
        <v>53.65</v>
      </c>
      <c r="E1339" s="2">
        <f>IFERROR(__xludf.DUMMYFUNCTION("""COMPUTED_VALUE"""),54.1)</f>
        <v>54.1</v>
      </c>
      <c r="F1339" s="2">
        <f>IFERROR(__xludf.DUMMYFUNCTION("""COMPUTED_VALUE"""),144877.0)</f>
        <v>144877</v>
      </c>
    </row>
    <row r="1340">
      <c r="A1340" s="3">
        <f>IFERROR(__xludf.DUMMYFUNCTION("""COMPUTED_VALUE"""),38481.645833333336)</f>
        <v>38481.64583</v>
      </c>
      <c r="B1340" s="2">
        <f>IFERROR(__xludf.DUMMYFUNCTION("""COMPUTED_VALUE"""),44.8)</f>
        <v>44.8</v>
      </c>
      <c r="C1340" s="2">
        <f>IFERROR(__xludf.DUMMYFUNCTION("""COMPUTED_VALUE"""),55.48)</f>
        <v>55.48</v>
      </c>
      <c r="D1340" s="2">
        <f>IFERROR(__xludf.DUMMYFUNCTION("""COMPUTED_VALUE"""),44.8)</f>
        <v>44.8</v>
      </c>
      <c r="E1340" s="2">
        <f>IFERROR(__xludf.DUMMYFUNCTION("""COMPUTED_VALUE"""),54.03)</f>
        <v>54.03</v>
      </c>
      <c r="F1340" s="2">
        <f>IFERROR(__xludf.DUMMYFUNCTION("""COMPUTED_VALUE"""),435177.0)</f>
        <v>435177</v>
      </c>
    </row>
    <row r="1341">
      <c r="A1341" s="3">
        <f>IFERROR(__xludf.DUMMYFUNCTION("""COMPUTED_VALUE"""),38482.645833333336)</f>
        <v>38482.64583</v>
      </c>
      <c r="B1341" s="2">
        <f>IFERROR(__xludf.DUMMYFUNCTION("""COMPUTED_VALUE"""),54.01)</f>
        <v>54.01</v>
      </c>
      <c r="C1341" s="2">
        <f>IFERROR(__xludf.DUMMYFUNCTION("""COMPUTED_VALUE"""),54.5)</f>
        <v>54.5</v>
      </c>
      <c r="D1341" s="2">
        <f>IFERROR(__xludf.DUMMYFUNCTION("""COMPUTED_VALUE"""),53.5)</f>
        <v>53.5</v>
      </c>
      <c r="E1341" s="2">
        <f>IFERROR(__xludf.DUMMYFUNCTION("""COMPUTED_VALUE"""),54.08)</f>
        <v>54.08</v>
      </c>
      <c r="F1341" s="2">
        <f>IFERROR(__xludf.DUMMYFUNCTION("""COMPUTED_VALUE"""),221775.0)</f>
        <v>221775</v>
      </c>
    </row>
    <row r="1342">
      <c r="A1342" s="3">
        <f>IFERROR(__xludf.DUMMYFUNCTION("""COMPUTED_VALUE"""),38483.645833333336)</f>
        <v>38483.64583</v>
      </c>
      <c r="B1342" s="2">
        <f>IFERROR(__xludf.DUMMYFUNCTION("""COMPUTED_VALUE"""),53.38)</f>
        <v>53.38</v>
      </c>
      <c r="C1342" s="2">
        <f>IFERROR(__xludf.DUMMYFUNCTION("""COMPUTED_VALUE"""),53.7)</f>
        <v>53.7</v>
      </c>
      <c r="D1342" s="2">
        <f>IFERROR(__xludf.DUMMYFUNCTION("""COMPUTED_VALUE"""),52.8)</f>
        <v>52.8</v>
      </c>
      <c r="E1342" s="2">
        <f>IFERROR(__xludf.DUMMYFUNCTION("""COMPUTED_VALUE"""),53.5)</f>
        <v>53.5</v>
      </c>
      <c r="F1342" s="2">
        <f>IFERROR(__xludf.DUMMYFUNCTION("""COMPUTED_VALUE"""),301176.0)</f>
        <v>301176</v>
      </c>
    </row>
    <row r="1343">
      <c r="A1343" s="3">
        <f>IFERROR(__xludf.DUMMYFUNCTION("""COMPUTED_VALUE"""),38484.645833333336)</f>
        <v>38484.64583</v>
      </c>
      <c r="B1343" s="2">
        <f>IFERROR(__xludf.DUMMYFUNCTION("""COMPUTED_VALUE"""),53.5)</f>
        <v>53.5</v>
      </c>
      <c r="C1343" s="2">
        <f>IFERROR(__xludf.DUMMYFUNCTION("""COMPUTED_VALUE"""),53.99)</f>
        <v>53.99</v>
      </c>
      <c r="D1343" s="2">
        <f>IFERROR(__xludf.DUMMYFUNCTION("""COMPUTED_VALUE"""),52.72)</f>
        <v>52.72</v>
      </c>
      <c r="E1343" s="2">
        <f>IFERROR(__xludf.DUMMYFUNCTION("""COMPUTED_VALUE"""),52.93)</f>
        <v>52.93</v>
      </c>
      <c r="F1343" s="2">
        <f>IFERROR(__xludf.DUMMYFUNCTION("""COMPUTED_VALUE"""),425237.0)</f>
        <v>425237</v>
      </c>
    </row>
    <row r="1344">
      <c r="A1344" s="3">
        <f>IFERROR(__xludf.DUMMYFUNCTION("""COMPUTED_VALUE"""),38485.645833333336)</f>
        <v>38485.64583</v>
      </c>
      <c r="B1344" s="2">
        <f>IFERROR(__xludf.DUMMYFUNCTION("""COMPUTED_VALUE"""),52.7)</f>
        <v>52.7</v>
      </c>
      <c r="C1344" s="2">
        <f>IFERROR(__xludf.DUMMYFUNCTION("""COMPUTED_VALUE"""),53.55)</f>
        <v>53.55</v>
      </c>
      <c r="D1344" s="2">
        <f>IFERROR(__xludf.DUMMYFUNCTION("""COMPUTED_VALUE"""),52.7)</f>
        <v>52.7</v>
      </c>
      <c r="E1344" s="2">
        <f>IFERROR(__xludf.DUMMYFUNCTION("""COMPUTED_VALUE"""),53.3)</f>
        <v>53.3</v>
      </c>
      <c r="F1344" s="2">
        <f>IFERROR(__xludf.DUMMYFUNCTION("""COMPUTED_VALUE"""),267681.0)</f>
        <v>267681</v>
      </c>
    </row>
    <row r="1345">
      <c r="A1345" s="3">
        <f>IFERROR(__xludf.DUMMYFUNCTION("""COMPUTED_VALUE"""),38488.645833333336)</f>
        <v>38488.64583</v>
      </c>
      <c r="B1345" s="2">
        <f>IFERROR(__xludf.DUMMYFUNCTION("""COMPUTED_VALUE"""),53.9)</f>
        <v>53.9</v>
      </c>
      <c r="C1345" s="2">
        <f>IFERROR(__xludf.DUMMYFUNCTION("""COMPUTED_VALUE"""),54.2)</f>
        <v>54.2</v>
      </c>
      <c r="D1345" s="2">
        <f>IFERROR(__xludf.DUMMYFUNCTION("""COMPUTED_VALUE"""),53.45)</f>
        <v>53.45</v>
      </c>
      <c r="E1345" s="2">
        <f>IFERROR(__xludf.DUMMYFUNCTION("""COMPUTED_VALUE"""),53.96)</f>
        <v>53.96</v>
      </c>
      <c r="F1345" s="2">
        <f>IFERROR(__xludf.DUMMYFUNCTION("""COMPUTED_VALUE"""),118771.0)</f>
        <v>118771</v>
      </c>
    </row>
    <row r="1346">
      <c r="A1346" s="3">
        <f>IFERROR(__xludf.DUMMYFUNCTION("""COMPUTED_VALUE"""),38489.645833333336)</f>
        <v>38489.64583</v>
      </c>
      <c r="B1346" s="2">
        <f>IFERROR(__xludf.DUMMYFUNCTION("""COMPUTED_VALUE"""),55.48)</f>
        <v>55.48</v>
      </c>
      <c r="C1346" s="2">
        <f>IFERROR(__xludf.DUMMYFUNCTION("""COMPUTED_VALUE"""),55.48)</f>
        <v>55.48</v>
      </c>
      <c r="D1346" s="2">
        <f>IFERROR(__xludf.DUMMYFUNCTION("""COMPUTED_VALUE"""),53.5)</f>
        <v>53.5</v>
      </c>
      <c r="E1346" s="2">
        <f>IFERROR(__xludf.DUMMYFUNCTION("""COMPUTED_VALUE"""),53.68)</f>
        <v>53.68</v>
      </c>
      <c r="F1346" s="2">
        <f>IFERROR(__xludf.DUMMYFUNCTION("""COMPUTED_VALUE"""),49424.0)</f>
        <v>49424</v>
      </c>
    </row>
    <row r="1347">
      <c r="A1347" s="3">
        <f>IFERROR(__xludf.DUMMYFUNCTION("""COMPUTED_VALUE"""),38490.645833333336)</f>
        <v>38490.64583</v>
      </c>
      <c r="B1347" s="2">
        <f>IFERROR(__xludf.DUMMYFUNCTION("""COMPUTED_VALUE"""),53.69)</f>
        <v>53.69</v>
      </c>
      <c r="C1347" s="2">
        <f>IFERROR(__xludf.DUMMYFUNCTION("""COMPUTED_VALUE"""),53.7)</f>
        <v>53.7</v>
      </c>
      <c r="D1347" s="2">
        <f>IFERROR(__xludf.DUMMYFUNCTION("""COMPUTED_VALUE"""),52.85)</f>
        <v>52.85</v>
      </c>
      <c r="E1347" s="2">
        <f>IFERROR(__xludf.DUMMYFUNCTION("""COMPUTED_VALUE"""),53.5)</f>
        <v>53.5</v>
      </c>
      <c r="F1347" s="2">
        <f>IFERROR(__xludf.DUMMYFUNCTION("""COMPUTED_VALUE"""),221725.0)</f>
        <v>221725</v>
      </c>
    </row>
    <row r="1348">
      <c r="A1348" s="3">
        <f>IFERROR(__xludf.DUMMYFUNCTION("""COMPUTED_VALUE"""),38491.645833333336)</f>
        <v>38491.64583</v>
      </c>
      <c r="B1348" s="2">
        <f>IFERROR(__xludf.DUMMYFUNCTION("""COMPUTED_VALUE"""),54.48)</f>
        <v>54.48</v>
      </c>
      <c r="C1348" s="2">
        <f>IFERROR(__xludf.DUMMYFUNCTION("""COMPUTED_VALUE"""),54.5)</f>
        <v>54.5</v>
      </c>
      <c r="D1348" s="2">
        <f>IFERROR(__xludf.DUMMYFUNCTION("""COMPUTED_VALUE"""),53.9)</f>
        <v>53.9</v>
      </c>
      <c r="E1348" s="2">
        <f>IFERROR(__xludf.DUMMYFUNCTION("""COMPUTED_VALUE"""),54.31)</f>
        <v>54.31</v>
      </c>
      <c r="F1348" s="2">
        <f>IFERROR(__xludf.DUMMYFUNCTION("""COMPUTED_VALUE"""),197914.0)</f>
        <v>197914</v>
      </c>
    </row>
    <row r="1349">
      <c r="A1349" s="3">
        <f>IFERROR(__xludf.DUMMYFUNCTION("""COMPUTED_VALUE"""),38492.645833333336)</f>
        <v>38492.64583</v>
      </c>
      <c r="B1349" s="2">
        <f>IFERROR(__xludf.DUMMYFUNCTION("""COMPUTED_VALUE"""),53.61)</f>
        <v>53.61</v>
      </c>
      <c r="C1349" s="2">
        <f>IFERROR(__xludf.DUMMYFUNCTION("""COMPUTED_VALUE"""),54.4)</f>
        <v>54.4</v>
      </c>
      <c r="D1349" s="2">
        <f>IFERROR(__xludf.DUMMYFUNCTION("""COMPUTED_VALUE"""),53.6)</f>
        <v>53.6</v>
      </c>
      <c r="E1349" s="2">
        <f>IFERROR(__xludf.DUMMYFUNCTION("""COMPUTED_VALUE"""),53.77)</f>
        <v>53.77</v>
      </c>
      <c r="F1349" s="2">
        <f>IFERROR(__xludf.DUMMYFUNCTION("""COMPUTED_VALUE"""),50456.0)</f>
        <v>50456</v>
      </c>
    </row>
    <row r="1350">
      <c r="A1350" s="3">
        <f>IFERROR(__xludf.DUMMYFUNCTION("""COMPUTED_VALUE"""),38495.645833333336)</f>
        <v>38495.64583</v>
      </c>
      <c r="B1350" s="2">
        <f>IFERROR(__xludf.DUMMYFUNCTION("""COMPUTED_VALUE"""),53.8)</f>
        <v>53.8</v>
      </c>
      <c r="C1350" s="2">
        <f>IFERROR(__xludf.DUMMYFUNCTION("""COMPUTED_VALUE"""),55.25)</f>
        <v>55.25</v>
      </c>
      <c r="D1350" s="2">
        <f>IFERROR(__xludf.DUMMYFUNCTION("""COMPUTED_VALUE"""),53.8)</f>
        <v>53.8</v>
      </c>
      <c r="E1350" s="2">
        <f>IFERROR(__xludf.DUMMYFUNCTION("""COMPUTED_VALUE"""),55.0)</f>
        <v>55</v>
      </c>
      <c r="F1350" s="2">
        <f>IFERROR(__xludf.DUMMYFUNCTION("""COMPUTED_VALUE"""),108786.0)</f>
        <v>108786</v>
      </c>
    </row>
    <row r="1351">
      <c r="A1351" s="3">
        <f>IFERROR(__xludf.DUMMYFUNCTION("""COMPUTED_VALUE"""),38496.645833333336)</f>
        <v>38496.64583</v>
      </c>
      <c r="B1351" s="2">
        <f>IFERROR(__xludf.DUMMYFUNCTION("""COMPUTED_VALUE"""),55.01)</f>
        <v>55.01</v>
      </c>
      <c r="C1351" s="2">
        <f>IFERROR(__xludf.DUMMYFUNCTION("""COMPUTED_VALUE"""),55.38)</f>
        <v>55.38</v>
      </c>
      <c r="D1351" s="2">
        <f>IFERROR(__xludf.DUMMYFUNCTION("""COMPUTED_VALUE"""),53.5)</f>
        <v>53.5</v>
      </c>
      <c r="E1351" s="2">
        <f>IFERROR(__xludf.DUMMYFUNCTION("""COMPUTED_VALUE"""),54.65)</f>
        <v>54.65</v>
      </c>
      <c r="F1351" s="2">
        <f>IFERROR(__xludf.DUMMYFUNCTION("""COMPUTED_VALUE"""),71111.0)</f>
        <v>71111</v>
      </c>
    </row>
    <row r="1352">
      <c r="A1352" s="3">
        <f>IFERROR(__xludf.DUMMYFUNCTION("""COMPUTED_VALUE"""),38497.645833333336)</f>
        <v>38497.64583</v>
      </c>
      <c r="B1352" s="2">
        <f>IFERROR(__xludf.DUMMYFUNCTION("""COMPUTED_VALUE"""),54.72)</f>
        <v>54.72</v>
      </c>
      <c r="C1352" s="2">
        <f>IFERROR(__xludf.DUMMYFUNCTION("""COMPUTED_VALUE"""),54.72)</f>
        <v>54.72</v>
      </c>
      <c r="D1352" s="2">
        <f>IFERROR(__xludf.DUMMYFUNCTION("""COMPUTED_VALUE"""),53.72)</f>
        <v>53.72</v>
      </c>
      <c r="E1352" s="2">
        <f>IFERROR(__xludf.DUMMYFUNCTION("""COMPUTED_VALUE"""),54.03)</f>
        <v>54.03</v>
      </c>
      <c r="F1352" s="2">
        <f>IFERROR(__xludf.DUMMYFUNCTION("""COMPUTED_VALUE"""),142989.0)</f>
        <v>142989</v>
      </c>
    </row>
    <row r="1353">
      <c r="A1353" s="3">
        <f>IFERROR(__xludf.DUMMYFUNCTION("""COMPUTED_VALUE"""),38498.645833333336)</f>
        <v>38498.64583</v>
      </c>
      <c r="B1353" s="2">
        <f>IFERROR(__xludf.DUMMYFUNCTION("""COMPUTED_VALUE"""),54.08)</f>
        <v>54.08</v>
      </c>
      <c r="C1353" s="2">
        <f>IFERROR(__xludf.DUMMYFUNCTION("""COMPUTED_VALUE"""),54.48)</f>
        <v>54.48</v>
      </c>
      <c r="D1353" s="2">
        <f>IFERROR(__xludf.DUMMYFUNCTION("""COMPUTED_VALUE"""),53.03)</f>
        <v>53.03</v>
      </c>
      <c r="E1353" s="2">
        <f>IFERROR(__xludf.DUMMYFUNCTION("""COMPUTED_VALUE"""),53.8)</f>
        <v>53.8</v>
      </c>
      <c r="F1353" s="2">
        <f>IFERROR(__xludf.DUMMYFUNCTION("""COMPUTED_VALUE"""),465605.0)</f>
        <v>465605</v>
      </c>
    </row>
    <row r="1354">
      <c r="A1354" s="3">
        <f>IFERROR(__xludf.DUMMYFUNCTION("""COMPUTED_VALUE"""),38499.645833333336)</f>
        <v>38499.64583</v>
      </c>
      <c r="B1354" s="2">
        <f>IFERROR(__xludf.DUMMYFUNCTION("""COMPUTED_VALUE"""),53.85)</f>
        <v>53.85</v>
      </c>
      <c r="C1354" s="2">
        <f>IFERROR(__xludf.DUMMYFUNCTION("""COMPUTED_VALUE"""),54.37)</f>
        <v>54.37</v>
      </c>
      <c r="D1354" s="2">
        <f>IFERROR(__xludf.DUMMYFUNCTION("""COMPUTED_VALUE"""),53.61)</f>
        <v>53.61</v>
      </c>
      <c r="E1354" s="2">
        <f>IFERROR(__xludf.DUMMYFUNCTION("""COMPUTED_VALUE"""),54.07)</f>
        <v>54.07</v>
      </c>
      <c r="F1354" s="2">
        <f>IFERROR(__xludf.DUMMYFUNCTION("""COMPUTED_VALUE"""),203015.0)</f>
        <v>203015</v>
      </c>
    </row>
    <row r="1355">
      <c r="A1355" s="3">
        <f>IFERROR(__xludf.DUMMYFUNCTION("""COMPUTED_VALUE"""),38502.645833333336)</f>
        <v>38502.64583</v>
      </c>
      <c r="B1355" s="2">
        <f>IFERROR(__xludf.DUMMYFUNCTION("""COMPUTED_VALUE"""),53.82)</f>
        <v>53.82</v>
      </c>
      <c r="C1355" s="2">
        <f>IFERROR(__xludf.DUMMYFUNCTION("""COMPUTED_VALUE"""),54.2)</f>
        <v>54.2</v>
      </c>
      <c r="D1355" s="2">
        <f>IFERROR(__xludf.DUMMYFUNCTION("""COMPUTED_VALUE"""),53.3)</f>
        <v>53.3</v>
      </c>
      <c r="E1355" s="2">
        <f>IFERROR(__xludf.DUMMYFUNCTION("""COMPUTED_VALUE"""),54.02)</f>
        <v>54.02</v>
      </c>
      <c r="F1355" s="2">
        <f>IFERROR(__xludf.DUMMYFUNCTION("""COMPUTED_VALUE"""),91429.0)</f>
        <v>91429</v>
      </c>
    </row>
    <row r="1356">
      <c r="A1356" s="3">
        <f>IFERROR(__xludf.DUMMYFUNCTION("""COMPUTED_VALUE"""),38503.645833333336)</f>
        <v>38503.64583</v>
      </c>
      <c r="B1356" s="2">
        <f>IFERROR(__xludf.DUMMYFUNCTION("""COMPUTED_VALUE"""),54.4)</f>
        <v>54.4</v>
      </c>
      <c r="C1356" s="2">
        <f>IFERROR(__xludf.DUMMYFUNCTION("""COMPUTED_VALUE"""),54.4)</f>
        <v>54.4</v>
      </c>
      <c r="D1356" s="2">
        <f>IFERROR(__xludf.DUMMYFUNCTION("""COMPUTED_VALUE"""),53.4)</f>
        <v>53.4</v>
      </c>
      <c r="E1356" s="2">
        <f>IFERROR(__xludf.DUMMYFUNCTION("""COMPUTED_VALUE"""),53.96)</f>
        <v>53.96</v>
      </c>
      <c r="F1356" s="2">
        <f>IFERROR(__xludf.DUMMYFUNCTION("""COMPUTED_VALUE"""),186077.0)</f>
        <v>186077</v>
      </c>
    </row>
    <row r="1357">
      <c r="A1357" s="3">
        <f>IFERROR(__xludf.DUMMYFUNCTION("""COMPUTED_VALUE"""),38504.645833333336)</f>
        <v>38504.64583</v>
      </c>
      <c r="B1357" s="2">
        <f>IFERROR(__xludf.DUMMYFUNCTION("""COMPUTED_VALUE"""),54.15)</f>
        <v>54.15</v>
      </c>
      <c r="C1357" s="2">
        <f>IFERROR(__xludf.DUMMYFUNCTION("""COMPUTED_VALUE"""),54.25)</f>
        <v>54.25</v>
      </c>
      <c r="D1357" s="2">
        <f>IFERROR(__xludf.DUMMYFUNCTION("""COMPUTED_VALUE"""),53.4)</f>
        <v>53.4</v>
      </c>
      <c r="E1357" s="2">
        <f>IFERROR(__xludf.DUMMYFUNCTION("""COMPUTED_VALUE"""),53.6)</f>
        <v>53.6</v>
      </c>
      <c r="F1357" s="2">
        <f>IFERROR(__xludf.DUMMYFUNCTION("""COMPUTED_VALUE"""),168181.0)</f>
        <v>168181</v>
      </c>
    </row>
    <row r="1358">
      <c r="A1358" s="3">
        <f>IFERROR(__xludf.DUMMYFUNCTION("""COMPUTED_VALUE"""),38505.645833333336)</f>
        <v>38505.64583</v>
      </c>
      <c r="B1358" s="2">
        <f>IFERROR(__xludf.DUMMYFUNCTION("""COMPUTED_VALUE"""),54.2)</f>
        <v>54.2</v>
      </c>
      <c r="C1358" s="2">
        <f>IFERROR(__xludf.DUMMYFUNCTION("""COMPUTED_VALUE"""),54.32)</f>
        <v>54.32</v>
      </c>
      <c r="D1358" s="2">
        <f>IFERROR(__xludf.DUMMYFUNCTION("""COMPUTED_VALUE"""),53.63)</f>
        <v>53.63</v>
      </c>
      <c r="E1358" s="2">
        <f>IFERROR(__xludf.DUMMYFUNCTION("""COMPUTED_VALUE"""),53.98)</f>
        <v>53.98</v>
      </c>
      <c r="F1358" s="2">
        <f>IFERROR(__xludf.DUMMYFUNCTION("""COMPUTED_VALUE"""),149121.0)</f>
        <v>149121</v>
      </c>
    </row>
    <row r="1359">
      <c r="A1359" s="3">
        <f>IFERROR(__xludf.DUMMYFUNCTION("""COMPUTED_VALUE"""),38506.645833333336)</f>
        <v>38506.64583</v>
      </c>
      <c r="B1359" s="2">
        <f>IFERROR(__xludf.DUMMYFUNCTION("""COMPUTED_VALUE"""),54.0)</f>
        <v>54</v>
      </c>
      <c r="C1359" s="2">
        <f>IFERROR(__xludf.DUMMYFUNCTION("""COMPUTED_VALUE"""),54.7)</f>
        <v>54.7</v>
      </c>
      <c r="D1359" s="2">
        <f>IFERROR(__xludf.DUMMYFUNCTION("""COMPUTED_VALUE"""),53.55)</f>
        <v>53.55</v>
      </c>
      <c r="E1359" s="2">
        <f>IFERROR(__xludf.DUMMYFUNCTION("""COMPUTED_VALUE"""),54.58)</f>
        <v>54.58</v>
      </c>
      <c r="F1359" s="2">
        <f>IFERROR(__xludf.DUMMYFUNCTION("""COMPUTED_VALUE"""),165376.0)</f>
        <v>165376</v>
      </c>
    </row>
    <row r="1360">
      <c r="A1360" s="3">
        <f>IFERROR(__xludf.DUMMYFUNCTION("""COMPUTED_VALUE"""),38509.645833333336)</f>
        <v>38509.64583</v>
      </c>
      <c r="B1360" s="2">
        <f>IFERROR(__xludf.DUMMYFUNCTION("""COMPUTED_VALUE"""),54.35)</f>
        <v>54.35</v>
      </c>
      <c r="C1360" s="2">
        <f>IFERROR(__xludf.DUMMYFUNCTION("""COMPUTED_VALUE"""),55.7)</f>
        <v>55.7</v>
      </c>
      <c r="D1360" s="2">
        <f>IFERROR(__xludf.DUMMYFUNCTION("""COMPUTED_VALUE"""),54.12)</f>
        <v>54.12</v>
      </c>
      <c r="E1360" s="2">
        <f>IFERROR(__xludf.DUMMYFUNCTION("""COMPUTED_VALUE"""),55.33)</f>
        <v>55.33</v>
      </c>
      <c r="F1360" s="2">
        <f>IFERROR(__xludf.DUMMYFUNCTION("""COMPUTED_VALUE"""),234518.0)</f>
        <v>234518</v>
      </c>
    </row>
    <row r="1361">
      <c r="A1361" s="3">
        <f>IFERROR(__xludf.DUMMYFUNCTION("""COMPUTED_VALUE"""),38510.645833333336)</f>
        <v>38510.64583</v>
      </c>
      <c r="B1361" s="2">
        <f>IFERROR(__xludf.DUMMYFUNCTION("""COMPUTED_VALUE"""),55.33)</f>
        <v>55.33</v>
      </c>
      <c r="C1361" s="2">
        <f>IFERROR(__xludf.DUMMYFUNCTION("""COMPUTED_VALUE"""),60.0)</f>
        <v>60</v>
      </c>
      <c r="D1361" s="2">
        <f>IFERROR(__xludf.DUMMYFUNCTION("""COMPUTED_VALUE"""),54.8)</f>
        <v>54.8</v>
      </c>
      <c r="E1361" s="2">
        <f>IFERROR(__xludf.DUMMYFUNCTION("""COMPUTED_VALUE"""),58.83)</f>
        <v>58.83</v>
      </c>
      <c r="F1361" s="2">
        <f>IFERROR(__xludf.DUMMYFUNCTION("""COMPUTED_VALUE"""),550172.0)</f>
        <v>550172</v>
      </c>
    </row>
    <row r="1362">
      <c r="A1362" s="3">
        <f>IFERROR(__xludf.DUMMYFUNCTION("""COMPUTED_VALUE"""),38511.645833333336)</f>
        <v>38511.64583</v>
      </c>
      <c r="B1362" s="2">
        <f>IFERROR(__xludf.DUMMYFUNCTION("""COMPUTED_VALUE"""),59.2)</f>
        <v>59.2</v>
      </c>
      <c r="C1362" s="2">
        <f>IFERROR(__xludf.DUMMYFUNCTION("""COMPUTED_VALUE"""),59.48)</f>
        <v>59.48</v>
      </c>
      <c r="D1362" s="2">
        <f>IFERROR(__xludf.DUMMYFUNCTION("""COMPUTED_VALUE"""),58.2)</f>
        <v>58.2</v>
      </c>
      <c r="E1362" s="2">
        <f>IFERROR(__xludf.DUMMYFUNCTION("""COMPUTED_VALUE"""),58.58)</f>
        <v>58.58</v>
      </c>
      <c r="F1362" s="2">
        <f>IFERROR(__xludf.DUMMYFUNCTION("""COMPUTED_VALUE"""),354522.0)</f>
        <v>354522</v>
      </c>
    </row>
    <row r="1363">
      <c r="A1363" s="3">
        <f>IFERROR(__xludf.DUMMYFUNCTION("""COMPUTED_VALUE"""),38512.645833333336)</f>
        <v>38512.64583</v>
      </c>
      <c r="B1363" s="2">
        <f>IFERROR(__xludf.DUMMYFUNCTION("""COMPUTED_VALUE"""),58.8)</f>
        <v>58.8</v>
      </c>
      <c r="C1363" s="2">
        <f>IFERROR(__xludf.DUMMYFUNCTION("""COMPUTED_VALUE"""),58.85)</f>
        <v>58.85</v>
      </c>
      <c r="D1363" s="2">
        <f>IFERROR(__xludf.DUMMYFUNCTION("""COMPUTED_VALUE"""),57.5)</f>
        <v>57.5</v>
      </c>
      <c r="E1363" s="2">
        <f>IFERROR(__xludf.DUMMYFUNCTION("""COMPUTED_VALUE"""),57.91)</f>
        <v>57.91</v>
      </c>
      <c r="F1363" s="2">
        <f>IFERROR(__xludf.DUMMYFUNCTION("""COMPUTED_VALUE"""),200068.0)</f>
        <v>200068</v>
      </c>
    </row>
    <row r="1364">
      <c r="A1364" s="3">
        <f>IFERROR(__xludf.DUMMYFUNCTION("""COMPUTED_VALUE"""),38513.645833333336)</f>
        <v>38513.64583</v>
      </c>
      <c r="B1364" s="2">
        <f>IFERROR(__xludf.DUMMYFUNCTION("""COMPUTED_VALUE"""),58.0)</f>
        <v>58</v>
      </c>
      <c r="C1364" s="2">
        <f>IFERROR(__xludf.DUMMYFUNCTION("""COMPUTED_VALUE"""),58.9)</f>
        <v>58.9</v>
      </c>
      <c r="D1364" s="2">
        <f>IFERROR(__xludf.DUMMYFUNCTION("""COMPUTED_VALUE"""),57.0)</f>
        <v>57</v>
      </c>
      <c r="E1364" s="2">
        <f>IFERROR(__xludf.DUMMYFUNCTION("""COMPUTED_VALUE"""),57.63)</f>
        <v>57.63</v>
      </c>
      <c r="F1364" s="2">
        <f>IFERROR(__xludf.DUMMYFUNCTION("""COMPUTED_VALUE"""),330245.0)</f>
        <v>330245</v>
      </c>
    </row>
    <row r="1365">
      <c r="A1365" s="3">
        <f>IFERROR(__xludf.DUMMYFUNCTION("""COMPUTED_VALUE"""),38516.645833333336)</f>
        <v>38516.64583</v>
      </c>
      <c r="B1365" s="2">
        <f>IFERROR(__xludf.DUMMYFUNCTION("""COMPUTED_VALUE"""),58.4)</f>
        <v>58.4</v>
      </c>
      <c r="C1365" s="2">
        <f>IFERROR(__xludf.DUMMYFUNCTION("""COMPUTED_VALUE"""),58.5)</f>
        <v>58.5</v>
      </c>
      <c r="D1365" s="2">
        <f>IFERROR(__xludf.DUMMYFUNCTION("""COMPUTED_VALUE"""),56.82)</f>
        <v>56.82</v>
      </c>
      <c r="E1365" s="2">
        <f>IFERROR(__xludf.DUMMYFUNCTION("""COMPUTED_VALUE"""),58.23)</f>
        <v>58.23</v>
      </c>
      <c r="F1365" s="2">
        <f>IFERROR(__xludf.DUMMYFUNCTION("""COMPUTED_VALUE"""),160121.0)</f>
        <v>160121</v>
      </c>
    </row>
    <row r="1366">
      <c r="A1366" s="3">
        <f>IFERROR(__xludf.DUMMYFUNCTION("""COMPUTED_VALUE"""),38517.645833333336)</f>
        <v>38517.64583</v>
      </c>
      <c r="B1366" s="2">
        <f>IFERROR(__xludf.DUMMYFUNCTION("""COMPUTED_VALUE"""),58.4)</f>
        <v>58.4</v>
      </c>
      <c r="C1366" s="2">
        <f>IFERROR(__xludf.DUMMYFUNCTION("""COMPUTED_VALUE"""),59.49)</f>
        <v>59.49</v>
      </c>
      <c r="D1366" s="2">
        <f>IFERROR(__xludf.DUMMYFUNCTION("""COMPUTED_VALUE"""),58.2)</f>
        <v>58.2</v>
      </c>
      <c r="E1366" s="2">
        <f>IFERROR(__xludf.DUMMYFUNCTION("""COMPUTED_VALUE"""),59.35)</f>
        <v>59.35</v>
      </c>
      <c r="F1366" s="2">
        <f>IFERROR(__xludf.DUMMYFUNCTION("""COMPUTED_VALUE"""),242283.0)</f>
        <v>242283</v>
      </c>
    </row>
    <row r="1367">
      <c r="A1367" s="3">
        <f>IFERROR(__xludf.DUMMYFUNCTION("""COMPUTED_VALUE"""),38518.645833333336)</f>
        <v>38518.64583</v>
      </c>
      <c r="B1367" s="2">
        <f>IFERROR(__xludf.DUMMYFUNCTION("""COMPUTED_VALUE"""),60.71)</f>
        <v>60.71</v>
      </c>
      <c r="C1367" s="2">
        <f>IFERROR(__xludf.DUMMYFUNCTION("""COMPUTED_VALUE"""),60.71)</f>
        <v>60.71</v>
      </c>
      <c r="D1367" s="2">
        <f>IFERROR(__xludf.DUMMYFUNCTION("""COMPUTED_VALUE"""),58.0)</f>
        <v>58</v>
      </c>
      <c r="E1367" s="2">
        <f>IFERROR(__xludf.DUMMYFUNCTION("""COMPUTED_VALUE"""),59.12)</f>
        <v>59.12</v>
      </c>
      <c r="F1367" s="2">
        <f>IFERROR(__xludf.DUMMYFUNCTION("""COMPUTED_VALUE"""),233255.0)</f>
        <v>233255</v>
      </c>
    </row>
    <row r="1368">
      <c r="A1368" s="3">
        <f>IFERROR(__xludf.DUMMYFUNCTION("""COMPUTED_VALUE"""),38519.645833333336)</f>
        <v>38519.64583</v>
      </c>
      <c r="B1368" s="2">
        <f>IFERROR(__xludf.DUMMYFUNCTION("""COMPUTED_VALUE"""),59.2)</f>
        <v>59.2</v>
      </c>
      <c r="C1368" s="2">
        <f>IFERROR(__xludf.DUMMYFUNCTION("""COMPUTED_VALUE"""),59.9)</f>
        <v>59.9</v>
      </c>
      <c r="D1368" s="2">
        <f>IFERROR(__xludf.DUMMYFUNCTION("""COMPUTED_VALUE"""),59.0)</f>
        <v>59</v>
      </c>
      <c r="E1368" s="2">
        <f>IFERROR(__xludf.DUMMYFUNCTION("""COMPUTED_VALUE"""),59.55)</f>
        <v>59.55</v>
      </c>
      <c r="F1368" s="2">
        <f>IFERROR(__xludf.DUMMYFUNCTION("""COMPUTED_VALUE"""),1690214.0)</f>
        <v>1690214</v>
      </c>
    </row>
    <row r="1369">
      <c r="A1369" s="3">
        <f>IFERROR(__xludf.DUMMYFUNCTION("""COMPUTED_VALUE"""),38520.645833333336)</f>
        <v>38520.64583</v>
      </c>
      <c r="B1369" s="2">
        <f>IFERROR(__xludf.DUMMYFUNCTION("""COMPUTED_VALUE"""),60.0)</f>
        <v>60</v>
      </c>
      <c r="C1369" s="2">
        <f>IFERROR(__xludf.DUMMYFUNCTION("""COMPUTED_VALUE"""),60.1)</f>
        <v>60.1</v>
      </c>
      <c r="D1369" s="2">
        <f>IFERROR(__xludf.DUMMYFUNCTION("""COMPUTED_VALUE"""),58.8)</f>
        <v>58.8</v>
      </c>
      <c r="E1369" s="2">
        <f>IFERROR(__xludf.DUMMYFUNCTION("""COMPUTED_VALUE"""),59.72)</f>
        <v>59.72</v>
      </c>
      <c r="F1369" s="2">
        <f>IFERROR(__xludf.DUMMYFUNCTION("""COMPUTED_VALUE"""),196983.0)</f>
        <v>196983</v>
      </c>
    </row>
    <row r="1370">
      <c r="A1370" s="3">
        <f>IFERROR(__xludf.DUMMYFUNCTION("""COMPUTED_VALUE"""),38523.645833333336)</f>
        <v>38523.64583</v>
      </c>
      <c r="B1370" s="2">
        <f>IFERROR(__xludf.DUMMYFUNCTION("""COMPUTED_VALUE"""),59.98)</f>
        <v>59.98</v>
      </c>
      <c r="C1370" s="2">
        <f>IFERROR(__xludf.DUMMYFUNCTION("""COMPUTED_VALUE"""),60.0)</f>
        <v>60</v>
      </c>
      <c r="D1370" s="2">
        <f>IFERROR(__xludf.DUMMYFUNCTION("""COMPUTED_VALUE"""),59.31)</f>
        <v>59.31</v>
      </c>
      <c r="E1370" s="2">
        <f>IFERROR(__xludf.DUMMYFUNCTION("""COMPUTED_VALUE"""),59.86)</f>
        <v>59.86</v>
      </c>
      <c r="F1370" s="2">
        <f>IFERROR(__xludf.DUMMYFUNCTION("""COMPUTED_VALUE"""),223962.0)</f>
        <v>223962</v>
      </c>
    </row>
    <row r="1371">
      <c r="A1371" s="3">
        <f>IFERROR(__xludf.DUMMYFUNCTION("""COMPUTED_VALUE"""),38524.645833333336)</f>
        <v>38524.64583</v>
      </c>
      <c r="B1371" s="2">
        <f>IFERROR(__xludf.DUMMYFUNCTION("""COMPUTED_VALUE"""),59.55)</f>
        <v>59.55</v>
      </c>
      <c r="C1371" s="2">
        <f>IFERROR(__xludf.DUMMYFUNCTION("""COMPUTED_VALUE"""),60.5)</f>
        <v>60.5</v>
      </c>
      <c r="D1371" s="2">
        <f>IFERROR(__xludf.DUMMYFUNCTION("""COMPUTED_VALUE"""),59.22)</f>
        <v>59.22</v>
      </c>
      <c r="E1371" s="2">
        <f>IFERROR(__xludf.DUMMYFUNCTION("""COMPUTED_VALUE"""),60.26)</f>
        <v>60.26</v>
      </c>
      <c r="F1371" s="2">
        <f>IFERROR(__xludf.DUMMYFUNCTION("""COMPUTED_VALUE"""),370495.0)</f>
        <v>370495</v>
      </c>
    </row>
    <row r="1372">
      <c r="A1372" s="3">
        <f>IFERROR(__xludf.DUMMYFUNCTION("""COMPUTED_VALUE"""),38525.645833333336)</f>
        <v>38525.64583</v>
      </c>
      <c r="B1372" s="2">
        <f>IFERROR(__xludf.DUMMYFUNCTION("""COMPUTED_VALUE"""),60.39)</f>
        <v>60.39</v>
      </c>
      <c r="C1372" s="2">
        <f>IFERROR(__xludf.DUMMYFUNCTION("""COMPUTED_VALUE"""),60.39)</f>
        <v>60.39</v>
      </c>
      <c r="D1372" s="2">
        <f>IFERROR(__xludf.DUMMYFUNCTION("""COMPUTED_VALUE"""),58.51)</f>
        <v>58.51</v>
      </c>
      <c r="E1372" s="2">
        <f>IFERROR(__xludf.DUMMYFUNCTION("""COMPUTED_VALUE"""),59.01)</f>
        <v>59.01</v>
      </c>
      <c r="F1372" s="2">
        <f>IFERROR(__xludf.DUMMYFUNCTION("""COMPUTED_VALUE"""),235419.0)</f>
        <v>235419</v>
      </c>
    </row>
    <row r="1373">
      <c r="A1373" s="3">
        <f>IFERROR(__xludf.DUMMYFUNCTION("""COMPUTED_VALUE"""),38526.645833333336)</f>
        <v>38526.64583</v>
      </c>
      <c r="B1373" s="2">
        <f>IFERROR(__xludf.DUMMYFUNCTION("""COMPUTED_VALUE"""),59.84)</f>
        <v>59.84</v>
      </c>
      <c r="C1373" s="2">
        <f>IFERROR(__xludf.DUMMYFUNCTION("""COMPUTED_VALUE"""),59.84)</f>
        <v>59.84</v>
      </c>
      <c r="D1373" s="2">
        <f>IFERROR(__xludf.DUMMYFUNCTION("""COMPUTED_VALUE"""),57.5)</f>
        <v>57.5</v>
      </c>
      <c r="E1373" s="2">
        <f>IFERROR(__xludf.DUMMYFUNCTION("""COMPUTED_VALUE"""),58.06)</f>
        <v>58.06</v>
      </c>
      <c r="F1373" s="2">
        <f>IFERROR(__xludf.DUMMYFUNCTION("""COMPUTED_VALUE"""),248864.0)</f>
        <v>248864</v>
      </c>
    </row>
    <row r="1374">
      <c r="A1374" s="3">
        <f>IFERROR(__xludf.DUMMYFUNCTION("""COMPUTED_VALUE"""),38527.645833333336)</f>
        <v>38527.64583</v>
      </c>
      <c r="B1374" s="2">
        <f>IFERROR(__xludf.DUMMYFUNCTION("""COMPUTED_VALUE"""),58.5)</f>
        <v>58.5</v>
      </c>
      <c r="C1374" s="2">
        <f>IFERROR(__xludf.DUMMYFUNCTION("""COMPUTED_VALUE"""),58.73)</f>
        <v>58.73</v>
      </c>
      <c r="D1374" s="2">
        <f>IFERROR(__xludf.DUMMYFUNCTION("""COMPUTED_VALUE"""),57.31)</f>
        <v>57.31</v>
      </c>
      <c r="E1374" s="2">
        <f>IFERROR(__xludf.DUMMYFUNCTION("""COMPUTED_VALUE"""),58.25)</f>
        <v>58.25</v>
      </c>
      <c r="F1374" s="2">
        <f>IFERROR(__xludf.DUMMYFUNCTION("""COMPUTED_VALUE"""),170602.0)</f>
        <v>170602</v>
      </c>
    </row>
    <row r="1375">
      <c r="A1375" s="3">
        <f>IFERROR(__xludf.DUMMYFUNCTION("""COMPUTED_VALUE"""),38530.645833333336)</f>
        <v>38530.64583</v>
      </c>
      <c r="B1375" s="2">
        <f>IFERROR(__xludf.DUMMYFUNCTION("""COMPUTED_VALUE"""),58.0)</f>
        <v>58</v>
      </c>
      <c r="C1375" s="2">
        <f>IFERROR(__xludf.DUMMYFUNCTION("""COMPUTED_VALUE"""),60.34)</f>
        <v>60.34</v>
      </c>
      <c r="D1375" s="2">
        <f>IFERROR(__xludf.DUMMYFUNCTION("""COMPUTED_VALUE"""),58.0)</f>
        <v>58</v>
      </c>
      <c r="E1375" s="2">
        <f>IFERROR(__xludf.DUMMYFUNCTION("""COMPUTED_VALUE"""),59.97)</f>
        <v>59.97</v>
      </c>
      <c r="F1375" s="2">
        <f>IFERROR(__xludf.DUMMYFUNCTION("""COMPUTED_VALUE"""),321640.0)</f>
        <v>321640</v>
      </c>
    </row>
    <row r="1376">
      <c r="A1376" s="3">
        <f>IFERROR(__xludf.DUMMYFUNCTION("""COMPUTED_VALUE"""),38531.645833333336)</f>
        <v>38531.64583</v>
      </c>
      <c r="B1376" s="2">
        <f>IFERROR(__xludf.DUMMYFUNCTION("""COMPUTED_VALUE"""),59.78)</f>
        <v>59.78</v>
      </c>
      <c r="C1376" s="2">
        <f>IFERROR(__xludf.DUMMYFUNCTION("""COMPUTED_VALUE"""),59.78)</f>
        <v>59.78</v>
      </c>
      <c r="D1376" s="2">
        <f>IFERROR(__xludf.DUMMYFUNCTION("""COMPUTED_VALUE"""),58.23)</f>
        <v>58.23</v>
      </c>
      <c r="E1376" s="2">
        <f>IFERROR(__xludf.DUMMYFUNCTION("""COMPUTED_VALUE"""),59.0)</f>
        <v>59</v>
      </c>
      <c r="F1376" s="2">
        <f>IFERROR(__xludf.DUMMYFUNCTION("""COMPUTED_VALUE"""),177169.0)</f>
        <v>177169</v>
      </c>
    </row>
    <row r="1377">
      <c r="A1377" s="3">
        <f>IFERROR(__xludf.DUMMYFUNCTION("""COMPUTED_VALUE"""),38532.645833333336)</f>
        <v>38532.64583</v>
      </c>
      <c r="B1377" s="2">
        <f>IFERROR(__xludf.DUMMYFUNCTION("""COMPUTED_VALUE"""),59.47)</f>
        <v>59.47</v>
      </c>
      <c r="C1377" s="2">
        <f>IFERROR(__xludf.DUMMYFUNCTION("""COMPUTED_VALUE"""),60.99)</f>
        <v>60.99</v>
      </c>
      <c r="D1377" s="2">
        <f>IFERROR(__xludf.DUMMYFUNCTION("""COMPUTED_VALUE"""),59.0)</f>
        <v>59</v>
      </c>
      <c r="E1377" s="2">
        <f>IFERROR(__xludf.DUMMYFUNCTION("""COMPUTED_VALUE"""),60.16)</f>
        <v>60.16</v>
      </c>
      <c r="F1377" s="2">
        <f>IFERROR(__xludf.DUMMYFUNCTION("""COMPUTED_VALUE"""),649553.0)</f>
        <v>649553</v>
      </c>
    </row>
    <row r="1378">
      <c r="A1378" s="3">
        <f>IFERROR(__xludf.DUMMYFUNCTION("""COMPUTED_VALUE"""),38533.645833333336)</f>
        <v>38533.64583</v>
      </c>
      <c r="B1378" s="2">
        <f>IFERROR(__xludf.DUMMYFUNCTION("""COMPUTED_VALUE"""),60.16)</f>
        <v>60.16</v>
      </c>
      <c r="C1378" s="2">
        <f>IFERROR(__xludf.DUMMYFUNCTION("""COMPUTED_VALUE"""),64.3)</f>
        <v>64.3</v>
      </c>
      <c r="D1378" s="2">
        <f>IFERROR(__xludf.DUMMYFUNCTION("""COMPUTED_VALUE"""),60.16)</f>
        <v>60.16</v>
      </c>
      <c r="E1378" s="2">
        <f>IFERROR(__xludf.DUMMYFUNCTION("""COMPUTED_VALUE"""),63.61)</f>
        <v>63.61</v>
      </c>
      <c r="F1378" s="2">
        <f>IFERROR(__xludf.DUMMYFUNCTION("""COMPUTED_VALUE"""),1163893.0)</f>
        <v>1163893</v>
      </c>
    </row>
    <row r="1379">
      <c r="A1379" s="3">
        <f>IFERROR(__xludf.DUMMYFUNCTION("""COMPUTED_VALUE"""),38534.645833333336)</f>
        <v>38534.64583</v>
      </c>
      <c r="B1379" s="2">
        <f>IFERROR(__xludf.DUMMYFUNCTION("""COMPUTED_VALUE"""),61.63)</f>
        <v>61.63</v>
      </c>
      <c r="C1379" s="2">
        <f>IFERROR(__xludf.DUMMYFUNCTION("""COMPUTED_VALUE"""),62.5)</f>
        <v>62.5</v>
      </c>
      <c r="D1379" s="2">
        <f>IFERROR(__xludf.DUMMYFUNCTION("""COMPUTED_VALUE"""),61.3)</f>
        <v>61.3</v>
      </c>
      <c r="E1379" s="2">
        <f>IFERROR(__xludf.DUMMYFUNCTION("""COMPUTED_VALUE"""),61.81)</f>
        <v>61.81</v>
      </c>
      <c r="F1379" s="2">
        <f>IFERROR(__xludf.DUMMYFUNCTION("""COMPUTED_VALUE"""),224993.0)</f>
        <v>224993</v>
      </c>
    </row>
    <row r="1380">
      <c r="A1380" s="3">
        <f>IFERROR(__xludf.DUMMYFUNCTION("""COMPUTED_VALUE"""),38537.645833333336)</f>
        <v>38537.64583</v>
      </c>
      <c r="B1380" s="2">
        <f>IFERROR(__xludf.DUMMYFUNCTION("""COMPUTED_VALUE"""),62.3)</f>
        <v>62.3</v>
      </c>
      <c r="C1380" s="2">
        <f>IFERROR(__xludf.DUMMYFUNCTION("""COMPUTED_VALUE"""),63.5)</f>
        <v>63.5</v>
      </c>
      <c r="D1380" s="2">
        <f>IFERROR(__xludf.DUMMYFUNCTION("""COMPUTED_VALUE"""),62.0)</f>
        <v>62</v>
      </c>
      <c r="E1380" s="2">
        <f>IFERROR(__xludf.DUMMYFUNCTION("""COMPUTED_VALUE"""),63.2)</f>
        <v>63.2</v>
      </c>
      <c r="F1380" s="2">
        <f>IFERROR(__xludf.DUMMYFUNCTION("""COMPUTED_VALUE"""),223861.0)</f>
        <v>223861</v>
      </c>
    </row>
    <row r="1381">
      <c r="A1381" s="3">
        <f>IFERROR(__xludf.DUMMYFUNCTION("""COMPUTED_VALUE"""),38538.645833333336)</f>
        <v>38538.64583</v>
      </c>
      <c r="B1381" s="2">
        <f>IFERROR(__xludf.DUMMYFUNCTION("""COMPUTED_VALUE"""),61.23)</f>
        <v>61.23</v>
      </c>
      <c r="C1381" s="2">
        <f>IFERROR(__xludf.DUMMYFUNCTION("""COMPUTED_VALUE"""),63.99)</f>
        <v>63.99</v>
      </c>
      <c r="D1381" s="2">
        <f>IFERROR(__xludf.DUMMYFUNCTION("""COMPUTED_VALUE"""),53.79)</f>
        <v>53.79</v>
      </c>
      <c r="E1381" s="2">
        <f>IFERROR(__xludf.DUMMYFUNCTION("""COMPUTED_VALUE"""),63.31)</f>
        <v>63.31</v>
      </c>
      <c r="F1381" s="2">
        <f>IFERROR(__xludf.DUMMYFUNCTION("""COMPUTED_VALUE"""),147664.0)</f>
        <v>147664</v>
      </c>
    </row>
    <row r="1382">
      <c r="A1382" s="3">
        <f>IFERROR(__xludf.DUMMYFUNCTION("""COMPUTED_VALUE"""),38539.645833333336)</f>
        <v>38539.64583</v>
      </c>
      <c r="B1382" s="2">
        <f>IFERROR(__xludf.DUMMYFUNCTION("""COMPUTED_VALUE"""),63.3)</f>
        <v>63.3</v>
      </c>
      <c r="C1382" s="2">
        <f>IFERROR(__xludf.DUMMYFUNCTION("""COMPUTED_VALUE"""),65.0)</f>
        <v>65</v>
      </c>
      <c r="D1382" s="2">
        <f>IFERROR(__xludf.DUMMYFUNCTION("""COMPUTED_VALUE"""),62.72)</f>
        <v>62.72</v>
      </c>
      <c r="E1382" s="2">
        <f>IFERROR(__xludf.DUMMYFUNCTION("""COMPUTED_VALUE"""),64.66)</f>
        <v>64.66</v>
      </c>
      <c r="F1382" s="2">
        <f>IFERROR(__xludf.DUMMYFUNCTION("""COMPUTED_VALUE"""),233523.0)</f>
        <v>233523</v>
      </c>
    </row>
    <row r="1383">
      <c r="A1383" s="3">
        <f>IFERROR(__xludf.DUMMYFUNCTION("""COMPUTED_VALUE"""),38540.645833333336)</f>
        <v>38540.64583</v>
      </c>
      <c r="B1383" s="2">
        <f>IFERROR(__xludf.DUMMYFUNCTION("""COMPUTED_VALUE"""),64.51)</f>
        <v>64.51</v>
      </c>
      <c r="C1383" s="2">
        <f>IFERROR(__xludf.DUMMYFUNCTION("""COMPUTED_VALUE"""),66.2)</f>
        <v>66.2</v>
      </c>
      <c r="D1383" s="2">
        <f>IFERROR(__xludf.DUMMYFUNCTION("""COMPUTED_VALUE"""),63.4)</f>
        <v>63.4</v>
      </c>
      <c r="E1383" s="2">
        <f>IFERROR(__xludf.DUMMYFUNCTION("""COMPUTED_VALUE"""),64.06)</f>
        <v>64.06</v>
      </c>
      <c r="F1383" s="2">
        <f>IFERROR(__xludf.DUMMYFUNCTION("""COMPUTED_VALUE"""),652269.0)</f>
        <v>652269</v>
      </c>
    </row>
    <row r="1384">
      <c r="A1384" s="3">
        <f>IFERROR(__xludf.DUMMYFUNCTION("""COMPUTED_VALUE"""),38541.645833333336)</f>
        <v>38541.64583</v>
      </c>
      <c r="B1384" s="2">
        <f>IFERROR(__xludf.DUMMYFUNCTION("""COMPUTED_VALUE"""),64.4)</f>
        <v>64.4</v>
      </c>
      <c r="C1384" s="2">
        <f>IFERROR(__xludf.DUMMYFUNCTION("""COMPUTED_VALUE"""),65.4)</f>
        <v>65.4</v>
      </c>
      <c r="D1384" s="2">
        <f>IFERROR(__xludf.DUMMYFUNCTION("""COMPUTED_VALUE"""),64.22)</f>
        <v>64.22</v>
      </c>
      <c r="E1384" s="2">
        <f>IFERROR(__xludf.DUMMYFUNCTION("""COMPUTED_VALUE"""),65.18)</f>
        <v>65.18</v>
      </c>
      <c r="F1384" s="2">
        <f>IFERROR(__xludf.DUMMYFUNCTION("""COMPUTED_VALUE"""),153745.0)</f>
        <v>153745</v>
      </c>
    </row>
    <row r="1385">
      <c r="A1385" s="3">
        <f>IFERROR(__xludf.DUMMYFUNCTION("""COMPUTED_VALUE"""),38544.645833333336)</f>
        <v>38544.64583</v>
      </c>
      <c r="B1385" s="2">
        <f>IFERROR(__xludf.DUMMYFUNCTION("""COMPUTED_VALUE"""),65.55)</f>
        <v>65.55</v>
      </c>
      <c r="C1385" s="2">
        <f>IFERROR(__xludf.DUMMYFUNCTION("""COMPUTED_VALUE"""),66.9)</f>
        <v>66.9</v>
      </c>
      <c r="D1385" s="2">
        <f>IFERROR(__xludf.DUMMYFUNCTION("""COMPUTED_VALUE"""),65.5)</f>
        <v>65.5</v>
      </c>
      <c r="E1385" s="2">
        <f>IFERROR(__xludf.DUMMYFUNCTION("""COMPUTED_VALUE"""),66.4)</f>
        <v>66.4</v>
      </c>
      <c r="F1385" s="2">
        <f>IFERROR(__xludf.DUMMYFUNCTION("""COMPUTED_VALUE"""),222659.0)</f>
        <v>222659</v>
      </c>
    </row>
    <row r="1386">
      <c r="A1386" s="3">
        <f>IFERROR(__xludf.DUMMYFUNCTION("""COMPUTED_VALUE"""),38545.645833333336)</f>
        <v>38545.64583</v>
      </c>
      <c r="B1386" s="2">
        <f>IFERROR(__xludf.DUMMYFUNCTION("""COMPUTED_VALUE"""),66.3)</f>
        <v>66.3</v>
      </c>
      <c r="C1386" s="2">
        <f>IFERROR(__xludf.DUMMYFUNCTION("""COMPUTED_VALUE"""),67.0)</f>
        <v>67</v>
      </c>
      <c r="D1386" s="2">
        <f>IFERROR(__xludf.DUMMYFUNCTION("""COMPUTED_VALUE"""),64.82)</f>
        <v>64.82</v>
      </c>
      <c r="E1386" s="2">
        <f>IFERROR(__xludf.DUMMYFUNCTION("""COMPUTED_VALUE"""),65.81)</f>
        <v>65.81</v>
      </c>
      <c r="F1386" s="2">
        <f>IFERROR(__xludf.DUMMYFUNCTION("""COMPUTED_VALUE"""),330002.0)</f>
        <v>330002</v>
      </c>
    </row>
    <row r="1387">
      <c r="A1387" s="3">
        <f>IFERROR(__xludf.DUMMYFUNCTION("""COMPUTED_VALUE"""),38546.645833333336)</f>
        <v>38546.64583</v>
      </c>
      <c r="B1387" s="2">
        <f>IFERROR(__xludf.DUMMYFUNCTION("""COMPUTED_VALUE"""),65.8)</f>
        <v>65.8</v>
      </c>
      <c r="C1387" s="2">
        <f>IFERROR(__xludf.DUMMYFUNCTION("""COMPUTED_VALUE"""),65.8)</f>
        <v>65.8</v>
      </c>
      <c r="D1387" s="2">
        <f>IFERROR(__xludf.DUMMYFUNCTION("""COMPUTED_VALUE"""),63.7)</f>
        <v>63.7</v>
      </c>
      <c r="E1387" s="2">
        <f>IFERROR(__xludf.DUMMYFUNCTION("""COMPUTED_VALUE"""),64.28)</f>
        <v>64.28</v>
      </c>
      <c r="F1387" s="2">
        <f>IFERROR(__xludf.DUMMYFUNCTION("""COMPUTED_VALUE"""),349002.0)</f>
        <v>349002</v>
      </c>
    </row>
    <row r="1388">
      <c r="A1388" s="3">
        <f>IFERROR(__xludf.DUMMYFUNCTION("""COMPUTED_VALUE"""),38547.645833333336)</f>
        <v>38547.64583</v>
      </c>
      <c r="B1388" s="2">
        <f>IFERROR(__xludf.DUMMYFUNCTION("""COMPUTED_VALUE"""),64.28)</f>
        <v>64.28</v>
      </c>
      <c r="C1388" s="2">
        <f>IFERROR(__xludf.DUMMYFUNCTION("""COMPUTED_VALUE"""),65.5)</f>
        <v>65.5</v>
      </c>
      <c r="D1388" s="2">
        <f>IFERROR(__xludf.DUMMYFUNCTION("""COMPUTED_VALUE"""),62.9)</f>
        <v>62.9</v>
      </c>
      <c r="E1388" s="2">
        <f>IFERROR(__xludf.DUMMYFUNCTION("""COMPUTED_VALUE"""),64.52)</f>
        <v>64.52</v>
      </c>
      <c r="F1388" s="2">
        <f>IFERROR(__xludf.DUMMYFUNCTION("""COMPUTED_VALUE"""),683970.0)</f>
        <v>683970</v>
      </c>
    </row>
    <row r="1389">
      <c r="A1389" s="3">
        <f>IFERROR(__xludf.DUMMYFUNCTION("""COMPUTED_VALUE"""),38548.645833333336)</f>
        <v>38548.64583</v>
      </c>
      <c r="B1389" s="2">
        <f>IFERROR(__xludf.DUMMYFUNCTION("""COMPUTED_VALUE"""),64.5)</f>
        <v>64.5</v>
      </c>
      <c r="C1389" s="2">
        <f>IFERROR(__xludf.DUMMYFUNCTION("""COMPUTED_VALUE"""),64.5)</f>
        <v>64.5</v>
      </c>
      <c r="D1389" s="2">
        <f>IFERROR(__xludf.DUMMYFUNCTION("""COMPUTED_VALUE"""),62.71)</f>
        <v>62.71</v>
      </c>
      <c r="E1389" s="2">
        <f>IFERROR(__xludf.DUMMYFUNCTION("""COMPUTED_VALUE"""),63.06)</f>
        <v>63.06</v>
      </c>
      <c r="F1389" s="2">
        <f>IFERROR(__xludf.DUMMYFUNCTION("""COMPUTED_VALUE"""),250318.0)</f>
        <v>250318</v>
      </c>
    </row>
    <row r="1390">
      <c r="A1390" s="3">
        <f>IFERROR(__xludf.DUMMYFUNCTION("""COMPUTED_VALUE"""),38551.645833333336)</f>
        <v>38551.64583</v>
      </c>
      <c r="B1390" s="2">
        <f>IFERROR(__xludf.DUMMYFUNCTION("""COMPUTED_VALUE"""),63.3)</f>
        <v>63.3</v>
      </c>
      <c r="C1390" s="2">
        <f>IFERROR(__xludf.DUMMYFUNCTION("""COMPUTED_VALUE"""),63.8)</f>
        <v>63.8</v>
      </c>
      <c r="D1390" s="2">
        <f>IFERROR(__xludf.DUMMYFUNCTION("""COMPUTED_VALUE"""),62.4)</f>
        <v>62.4</v>
      </c>
      <c r="E1390" s="2">
        <f>IFERROR(__xludf.DUMMYFUNCTION("""COMPUTED_VALUE"""),62.78)</f>
        <v>62.78</v>
      </c>
      <c r="F1390" s="2">
        <f>IFERROR(__xludf.DUMMYFUNCTION("""COMPUTED_VALUE"""),507605.0)</f>
        <v>507605</v>
      </c>
    </row>
    <row r="1391">
      <c r="A1391" s="3">
        <f>IFERROR(__xludf.DUMMYFUNCTION("""COMPUTED_VALUE"""),38552.645833333336)</f>
        <v>38552.64583</v>
      </c>
      <c r="B1391" s="2">
        <f>IFERROR(__xludf.DUMMYFUNCTION("""COMPUTED_VALUE"""),63.5)</f>
        <v>63.5</v>
      </c>
      <c r="C1391" s="2">
        <f>IFERROR(__xludf.DUMMYFUNCTION("""COMPUTED_VALUE"""),64.0)</f>
        <v>64</v>
      </c>
      <c r="D1391" s="2">
        <f>IFERROR(__xludf.DUMMYFUNCTION("""COMPUTED_VALUE"""),63.14)</f>
        <v>63.14</v>
      </c>
      <c r="E1391" s="2">
        <f>IFERROR(__xludf.DUMMYFUNCTION("""COMPUTED_VALUE"""),63.98)</f>
        <v>63.98</v>
      </c>
      <c r="F1391" s="2">
        <f>IFERROR(__xludf.DUMMYFUNCTION("""COMPUTED_VALUE"""),245509.0)</f>
        <v>245509</v>
      </c>
    </row>
    <row r="1392">
      <c r="A1392" s="3">
        <f>IFERROR(__xludf.DUMMYFUNCTION("""COMPUTED_VALUE"""),38553.645833333336)</f>
        <v>38553.64583</v>
      </c>
      <c r="B1392" s="2">
        <f>IFERROR(__xludf.DUMMYFUNCTION("""COMPUTED_VALUE"""),64.3)</f>
        <v>64.3</v>
      </c>
      <c r="C1392" s="2">
        <f>IFERROR(__xludf.DUMMYFUNCTION("""COMPUTED_VALUE"""),67.5)</f>
        <v>67.5</v>
      </c>
      <c r="D1392" s="2">
        <f>IFERROR(__xludf.DUMMYFUNCTION("""COMPUTED_VALUE"""),63.65)</f>
        <v>63.65</v>
      </c>
      <c r="E1392" s="2">
        <f>IFERROR(__xludf.DUMMYFUNCTION("""COMPUTED_VALUE"""),64.14)</f>
        <v>64.14</v>
      </c>
      <c r="F1392" s="2">
        <f>IFERROR(__xludf.DUMMYFUNCTION("""COMPUTED_VALUE"""),277735.0)</f>
        <v>277735</v>
      </c>
    </row>
    <row r="1393">
      <c r="A1393" s="3">
        <f>IFERROR(__xludf.DUMMYFUNCTION("""COMPUTED_VALUE"""),38554.645833333336)</f>
        <v>38554.64583</v>
      </c>
      <c r="B1393" s="2">
        <f>IFERROR(__xludf.DUMMYFUNCTION("""COMPUTED_VALUE"""),64.49)</f>
        <v>64.49</v>
      </c>
      <c r="C1393" s="2">
        <f>IFERROR(__xludf.DUMMYFUNCTION("""COMPUTED_VALUE"""),64.88)</f>
        <v>64.88</v>
      </c>
      <c r="D1393" s="2">
        <f>IFERROR(__xludf.DUMMYFUNCTION("""COMPUTED_VALUE"""),61.23)</f>
        <v>61.23</v>
      </c>
      <c r="E1393" s="2">
        <f>IFERROR(__xludf.DUMMYFUNCTION("""COMPUTED_VALUE"""),64.16)</f>
        <v>64.16</v>
      </c>
      <c r="F1393" s="2">
        <f>IFERROR(__xludf.DUMMYFUNCTION("""COMPUTED_VALUE"""),80409.0)</f>
        <v>80409</v>
      </c>
    </row>
    <row r="1394">
      <c r="A1394" s="3">
        <f>IFERROR(__xludf.DUMMYFUNCTION("""COMPUTED_VALUE"""),38555.645833333336)</f>
        <v>38555.64583</v>
      </c>
      <c r="B1394" s="2">
        <f>IFERROR(__xludf.DUMMYFUNCTION("""COMPUTED_VALUE"""),63.7)</f>
        <v>63.7</v>
      </c>
      <c r="C1394" s="2">
        <f>IFERROR(__xludf.DUMMYFUNCTION("""COMPUTED_VALUE"""),64.98)</f>
        <v>64.98</v>
      </c>
      <c r="D1394" s="2">
        <f>IFERROR(__xludf.DUMMYFUNCTION("""COMPUTED_VALUE"""),61.33)</f>
        <v>61.33</v>
      </c>
      <c r="E1394" s="2">
        <f>IFERROR(__xludf.DUMMYFUNCTION("""COMPUTED_VALUE"""),64.85)</f>
        <v>64.85</v>
      </c>
      <c r="F1394" s="2">
        <f>IFERROR(__xludf.DUMMYFUNCTION("""COMPUTED_VALUE"""),606658.0)</f>
        <v>606658</v>
      </c>
    </row>
    <row r="1395">
      <c r="A1395" s="3">
        <f>IFERROR(__xludf.DUMMYFUNCTION("""COMPUTED_VALUE"""),38558.645833333336)</f>
        <v>38558.64583</v>
      </c>
      <c r="B1395" s="2">
        <f>IFERROR(__xludf.DUMMYFUNCTION("""COMPUTED_VALUE"""),64.77)</f>
        <v>64.77</v>
      </c>
      <c r="C1395" s="2">
        <f>IFERROR(__xludf.DUMMYFUNCTION("""COMPUTED_VALUE"""),69.5)</f>
        <v>69.5</v>
      </c>
      <c r="D1395" s="2">
        <f>IFERROR(__xludf.DUMMYFUNCTION("""COMPUTED_VALUE"""),64.77)</f>
        <v>64.77</v>
      </c>
      <c r="E1395" s="2">
        <f>IFERROR(__xludf.DUMMYFUNCTION("""COMPUTED_VALUE"""),67.47)</f>
        <v>67.47</v>
      </c>
      <c r="F1395" s="2">
        <f>IFERROR(__xludf.DUMMYFUNCTION("""COMPUTED_VALUE"""),1310145.0)</f>
        <v>1310145</v>
      </c>
    </row>
    <row r="1396">
      <c r="A1396" s="3">
        <f>IFERROR(__xludf.DUMMYFUNCTION("""COMPUTED_VALUE"""),38559.645833333336)</f>
        <v>38559.64583</v>
      </c>
      <c r="B1396" s="2">
        <f>IFERROR(__xludf.DUMMYFUNCTION("""COMPUTED_VALUE"""),67.5)</f>
        <v>67.5</v>
      </c>
      <c r="C1396" s="2">
        <f>IFERROR(__xludf.DUMMYFUNCTION("""COMPUTED_VALUE"""),68.8)</f>
        <v>68.8</v>
      </c>
      <c r="D1396" s="2">
        <f>IFERROR(__xludf.DUMMYFUNCTION("""COMPUTED_VALUE"""),67.4)</f>
        <v>67.4</v>
      </c>
      <c r="E1396" s="2">
        <f>IFERROR(__xludf.DUMMYFUNCTION("""COMPUTED_VALUE"""),67.83)</f>
        <v>67.83</v>
      </c>
      <c r="F1396" s="2">
        <f>IFERROR(__xludf.DUMMYFUNCTION("""COMPUTED_VALUE"""),774235.0)</f>
        <v>774235</v>
      </c>
    </row>
    <row r="1397">
      <c r="A1397" s="3">
        <f>IFERROR(__xludf.DUMMYFUNCTION("""COMPUTED_VALUE"""),38560.645833333336)</f>
        <v>38560.64583</v>
      </c>
      <c r="B1397" s="2">
        <f>IFERROR(__xludf.DUMMYFUNCTION("""COMPUTED_VALUE"""),68.0)</f>
        <v>68</v>
      </c>
      <c r="C1397" s="2">
        <f>IFERROR(__xludf.DUMMYFUNCTION("""COMPUTED_VALUE"""),71.6)</f>
        <v>71.6</v>
      </c>
      <c r="D1397" s="2">
        <f>IFERROR(__xludf.DUMMYFUNCTION("""COMPUTED_VALUE"""),66.73)</f>
        <v>66.73</v>
      </c>
      <c r="E1397" s="2">
        <f>IFERROR(__xludf.DUMMYFUNCTION("""COMPUTED_VALUE"""),70.52)</f>
        <v>70.52</v>
      </c>
      <c r="F1397" s="2">
        <f>IFERROR(__xludf.DUMMYFUNCTION("""COMPUTED_VALUE"""),677477.0)</f>
        <v>677477</v>
      </c>
    </row>
    <row r="1398">
      <c r="A1398" s="3">
        <f>IFERROR(__xludf.DUMMYFUNCTION("""COMPUTED_VALUE"""),38562.645833333336)</f>
        <v>38562.64583</v>
      </c>
      <c r="B1398" s="2">
        <f>IFERROR(__xludf.DUMMYFUNCTION("""COMPUTED_VALUE"""),70.0)</f>
        <v>70</v>
      </c>
      <c r="C1398" s="2">
        <f>IFERROR(__xludf.DUMMYFUNCTION("""COMPUTED_VALUE"""),73.0)</f>
        <v>73</v>
      </c>
      <c r="D1398" s="2">
        <f>IFERROR(__xludf.DUMMYFUNCTION("""COMPUTED_VALUE"""),68.01)</f>
        <v>68.01</v>
      </c>
      <c r="E1398" s="2">
        <f>IFERROR(__xludf.DUMMYFUNCTION("""COMPUTED_VALUE"""),69.95)</f>
        <v>69.95</v>
      </c>
      <c r="F1398" s="2">
        <f>IFERROR(__xludf.DUMMYFUNCTION("""COMPUTED_VALUE"""),2187718.0)</f>
        <v>2187718</v>
      </c>
    </row>
    <row r="1399">
      <c r="A1399" s="3">
        <f>IFERROR(__xludf.DUMMYFUNCTION("""COMPUTED_VALUE"""),38565.645833333336)</f>
        <v>38565.64583</v>
      </c>
      <c r="B1399" s="2">
        <f>IFERROR(__xludf.DUMMYFUNCTION("""COMPUTED_VALUE"""),68.99)</f>
        <v>68.99</v>
      </c>
      <c r="C1399" s="2">
        <f>IFERROR(__xludf.DUMMYFUNCTION("""COMPUTED_VALUE"""),69.6)</f>
        <v>69.6</v>
      </c>
      <c r="D1399" s="2">
        <f>IFERROR(__xludf.DUMMYFUNCTION("""COMPUTED_VALUE"""),67.0)</f>
        <v>67</v>
      </c>
      <c r="E1399" s="2">
        <f>IFERROR(__xludf.DUMMYFUNCTION("""COMPUTED_VALUE"""),67.65)</f>
        <v>67.65</v>
      </c>
      <c r="F1399" s="2">
        <f>IFERROR(__xludf.DUMMYFUNCTION("""COMPUTED_VALUE"""),306188.0)</f>
        <v>306188</v>
      </c>
    </row>
    <row r="1400">
      <c r="A1400" s="3">
        <f>IFERROR(__xludf.DUMMYFUNCTION("""COMPUTED_VALUE"""),38566.645833333336)</f>
        <v>38566.64583</v>
      </c>
      <c r="B1400" s="2">
        <f>IFERROR(__xludf.DUMMYFUNCTION("""COMPUTED_VALUE"""),68.0)</f>
        <v>68</v>
      </c>
      <c r="C1400" s="2">
        <f>IFERROR(__xludf.DUMMYFUNCTION("""COMPUTED_VALUE"""),68.2)</f>
        <v>68.2</v>
      </c>
      <c r="D1400" s="2">
        <f>IFERROR(__xludf.DUMMYFUNCTION("""COMPUTED_VALUE"""),66.55)</f>
        <v>66.55</v>
      </c>
      <c r="E1400" s="2">
        <f>IFERROR(__xludf.DUMMYFUNCTION("""COMPUTED_VALUE"""),66.9)</f>
        <v>66.9</v>
      </c>
      <c r="F1400" s="2">
        <f>IFERROR(__xludf.DUMMYFUNCTION("""COMPUTED_VALUE"""),331351.0)</f>
        <v>331351</v>
      </c>
    </row>
    <row r="1401">
      <c r="A1401" s="3">
        <f>IFERROR(__xludf.DUMMYFUNCTION("""COMPUTED_VALUE"""),38567.645833333336)</f>
        <v>38567.64583</v>
      </c>
      <c r="B1401" s="2">
        <f>IFERROR(__xludf.DUMMYFUNCTION("""COMPUTED_VALUE"""),67.11)</f>
        <v>67.11</v>
      </c>
      <c r="C1401" s="2">
        <f>IFERROR(__xludf.DUMMYFUNCTION("""COMPUTED_VALUE"""),68.9)</f>
        <v>68.9</v>
      </c>
      <c r="D1401" s="2">
        <f>IFERROR(__xludf.DUMMYFUNCTION("""COMPUTED_VALUE"""),67.0)</f>
        <v>67</v>
      </c>
      <c r="E1401" s="2">
        <f>IFERROR(__xludf.DUMMYFUNCTION("""COMPUTED_VALUE"""),67.68)</f>
        <v>67.68</v>
      </c>
      <c r="F1401" s="2">
        <f>IFERROR(__xludf.DUMMYFUNCTION("""COMPUTED_VALUE"""),564719.0)</f>
        <v>564719</v>
      </c>
    </row>
    <row r="1402">
      <c r="A1402" s="3">
        <f>IFERROR(__xludf.DUMMYFUNCTION("""COMPUTED_VALUE"""),38568.645833333336)</f>
        <v>38568.64583</v>
      </c>
      <c r="B1402" s="2">
        <f>IFERROR(__xludf.DUMMYFUNCTION("""COMPUTED_VALUE"""),74.0)</f>
        <v>74</v>
      </c>
      <c r="C1402" s="2">
        <f>IFERROR(__xludf.DUMMYFUNCTION("""COMPUTED_VALUE"""),74.0)</f>
        <v>74</v>
      </c>
      <c r="D1402" s="2">
        <f>IFERROR(__xludf.DUMMYFUNCTION("""COMPUTED_VALUE"""),67.7)</f>
        <v>67.7</v>
      </c>
      <c r="E1402" s="2">
        <f>IFERROR(__xludf.DUMMYFUNCTION("""COMPUTED_VALUE"""),68.45)</f>
        <v>68.45</v>
      </c>
      <c r="F1402" s="2">
        <f>IFERROR(__xludf.DUMMYFUNCTION("""COMPUTED_VALUE"""),204005.0)</f>
        <v>204005</v>
      </c>
    </row>
    <row r="1403">
      <c r="A1403" s="3">
        <f>IFERROR(__xludf.DUMMYFUNCTION("""COMPUTED_VALUE"""),38569.645833333336)</f>
        <v>38569.64583</v>
      </c>
      <c r="B1403" s="2">
        <f>IFERROR(__xludf.DUMMYFUNCTION("""COMPUTED_VALUE"""),68.69)</f>
        <v>68.69</v>
      </c>
      <c r="C1403" s="2">
        <f>IFERROR(__xludf.DUMMYFUNCTION("""COMPUTED_VALUE"""),69.0)</f>
        <v>69</v>
      </c>
      <c r="D1403" s="2">
        <f>IFERROR(__xludf.DUMMYFUNCTION("""COMPUTED_VALUE"""),67.11)</f>
        <v>67.11</v>
      </c>
      <c r="E1403" s="2">
        <f>IFERROR(__xludf.DUMMYFUNCTION("""COMPUTED_VALUE"""),67.42)</f>
        <v>67.42</v>
      </c>
      <c r="F1403" s="2">
        <f>IFERROR(__xludf.DUMMYFUNCTION("""COMPUTED_VALUE"""),227482.0)</f>
        <v>227482</v>
      </c>
    </row>
    <row r="1404">
      <c r="A1404" s="3">
        <f>IFERROR(__xludf.DUMMYFUNCTION("""COMPUTED_VALUE"""),38572.645833333336)</f>
        <v>38572.64583</v>
      </c>
      <c r="B1404" s="2">
        <f>IFERROR(__xludf.DUMMYFUNCTION("""COMPUTED_VALUE"""),76.5)</f>
        <v>76.5</v>
      </c>
      <c r="C1404" s="2">
        <f>IFERROR(__xludf.DUMMYFUNCTION("""COMPUTED_VALUE"""),76.5)</f>
        <v>76.5</v>
      </c>
      <c r="D1404" s="2">
        <f>IFERROR(__xludf.DUMMYFUNCTION("""COMPUTED_VALUE"""),65.12)</f>
        <v>65.12</v>
      </c>
      <c r="E1404" s="2">
        <f>IFERROR(__xludf.DUMMYFUNCTION("""COMPUTED_VALUE"""),65.78)</f>
        <v>65.78</v>
      </c>
      <c r="F1404" s="2">
        <f>IFERROR(__xludf.DUMMYFUNCTION("""COMPUTED_VALUE"""),411630.0)</f>
        <v>411630</v>
      </c>
    </row>
    <row r="1405">
      <c r="A1405" s="3">
        <f>IFERROR(__xludf.DUMMYFUNCTION("""COMPUTED_VALUE"""),38573.645833333336)</f>
        <v>38573.64583</v>
      </c>
      <c r="B1405" s="2">
        <f>IFERROR(__xludf.DUMMYFUNCTION("""COMPUTED_VALUE"""),64.5)</f>
        <v>64.5</v>
      </c>
      <c r="C1405" s="2">
        <f>IFERROR(__xludf.DUMMYFUNCTION("""COMPUTED_VALUE"""),66.46)</f>
        <v>66.46</v>
      </c>
      <c r="D1405" s="2">
        <f>IFERROR(__xludf.DUMMYFUNCTION("""COMPUTED_VALUE"""),64.5)</f>
        <v>64.5</v>
      </c>
      <c r="E1405" s="2">
        <f>IFERROR(__xludf.DUMMYFUNCTION("""COMPUTED_VALUE"""),65.43)</f>
        <v>65.43</v>
      </c>
      <c r="F1405" s="2">
        <f>IFERROR(__xludf.DUMMYFUNCTION("""COMPUTED_VALUE"""),221201.0)</f>
        <v>221201</v>
      </c>
    </row>
    <row r="1406">
      <c r="A1406" s="3">
        <f>IFERROR(__xludf.DUMMYFUNCTION("""COMPUTED_VALUE"""),38574.645833333336)</f>
        <v>38574.64583</v>
      </c>
      <c r="B1406" s="2">
        <f>IFERROR(__xludf.DUMMYFUNCTION("""COMPUTED_VALUE"""),67.5)</f>
        <v>67.5</v>
      </c>
      <c r="C1406" s="2">
        <f>IFERROR(__xludf.DUMMYFUNCTION("""COMPUTED_VALUE"""),67.5)</f>
        <v>67.5</v>
      </c>
      <c r="D1406" s="2">
        <f>IFERROR(__xludf.DUMMYFUNCTION("""COMPUTED_VALUE"""),65.53)</f>
        <v>65.53</v>
      </c>
      <c r="E1406" s="2">
        <f>IFERROR(__xludf.DUMMYFUNCTION("""COMPUTED_VALUE"""),66.03)</f>
        <v>66.03</v>
      </c>
      <c r="F1406" s="2">
        <f>IFERROR(__xludf.DUMMYFUNCTION("""COMPUTED_VALUE"""),321023.0)</f>
        <v>321023</v>
      </c>
    </row>
    <row r="1407">
      <c r="A1407" s="3">
        <f>IFERROR(__xludf.DUMMYFUNCTION("""COMPUTED_VALUE"""),38575.645833333336)</f>
        <v>38575.64583</v>
      </c>
      <c r="B1407" s="2">
        <f>IFERROR(__xludf.DUMMYFUNCTION("""COMPUTED_VALUE"""),66.75)</f>
        <v>66.75</v>
      </c>
      <c r="C1407" s="2">
        <f>IFERROR(__xludf.DUMMYFUNCTION("""COMPUTED_VALUE"""),67.2)</f>
        <v>67.2</v>
      </c>
      <c r="D1407" s="2">
        <f>IFERROR(__xludf.DUMMYFUNCTION("""COMPUTED_VALUE"""),65.5)</f>
        <v>65.5</v>
      </c>
      <c r="E1407" s="2">
        <f>IFERROR(__xludf.DUMMYFUNCTION("""COMPUTED_VALUE"""),66.12)</f>
        <v>66.12</v>
      </c>
      <c r="F1407" s="2">
        <f>IFERROR(__xludf.DUMMYFUNCTION("""COMPUTED_VALUE"""),654901.0)</f>
        <v>654901</v>
      </c>
    </row>
    <row r="1408">
      <c r="A1408" s="3">
        <f>IFERROR(__xludf.DUMMYFUNCTION("""COMPUTED_VALUE"""),38576.645833333336)</f>
        <v>38576.64583</v>
      </c>
      <c r="B1408" s="2">
        <f>IFERROR(__xludf.DUMMYFUNCTION("""COMPUTED_VALUE"""),65.1)</f>
        <v>65.1</v>
      </c>
      <c r="C1408" s="2">
        <f>IFERROR(__xludf.DUMMYFUNCTION("""COMPUTED_VALUE"""),67.0)</f>
        <v>67</v>
      </c>
      <c r="D1408" s="2">
        <f>IFERROR(__xludf.DUMMYFUNCTION("""COMPUTED_VALUE"""),65.1)</f>
        <v>65.1</v>
      </c>
      <c r="E1408" s="2">
        <f>IFERROR(__xludf.DUMMYFUNCTION("""COMPUTED_VALUE"""),66.02)</f>
        <v>66.02</v>
      </c>
      <c r="F1408" s="2">
        <f>IFERROR(__xludf.DUMMYFUNCTION("""COMPUTED_VALUE"""),464260.0)</f>
        <v>464260</v>
      </c>
    </row>
    <row r="1409">
      <c r="A1409" s="3">
        <f>IFERROR(__xludf.DUMMYFUNCTION("""COMPUTED_VALUE"""),38580.645833333336)</f>
        <v>38580.64583</v>
      </c>
      <c r="B1409" s="2">
        <f>IFERROR(__xludf.DUMMYFUNCTION("""COMPUTED_VALUE"""),66.8)</f>
        <v>66.8</v>
      </c>
      <c r="C1409" s="2">
        <f>IFERROR(__xludf.DUMMYFUNCTION("""COMPUTED_VALUE"""),66.8)</f>
        <v>66.8</v>
      </c>
      <c r="D1409" s="2">
        <f>IFERROR(__xludf.DUMMYFUNCTION("""COMPUTED_VALUE"""),64.3)</f>
        <v>64.3</v>
      </c>
      <c r="E1409" s="2">
        <f>IFERROR(__xludf.DUMMYFUNCTION("""COMPUTED_VALUE"""),64.72)</f>
        <v>64.72</v>
      </c>
      <c r="F1409" s="2">
        <f>IFERROR(__xludf.DUMMYFUNCTION("""COMPUTED_VALUE"""),427233.0)</f>
        <v>427233</v>
      </c>
    </row>
    <row r="1410">
      <c r="A1410" s="3">
        <f>IFERROR(__xludf.DUMMYFUNCTION("""COMPUTED_VALUE"""),38581.645833333336)</f>
        <v>38581.64583</v>
      </c>
      <c r="B1410" s="2">
        <f>IFERROR(__xludf.DUMMYFUNCTION("""COMPUTED_VALUE"""),64.9)</f>
        <v>64.9</v>
      </c>
      <c r="C1410" s="2">
        <f>IFERROR(__xludf.DUMMYFUNCTION("""COMPUTED_VALUE"""),66.8)</f>
        <v>66.8</v>
      </c>
      <c r="D1410" s="2">
        <f>IFERROR(__xludf.DUMMYFUNCTION("""COMPUTED_VALUE"""),64.9)</f>
        <v>64.9</v>
      </c>
      <c r="E1410" s="2">
        <f>IFERROR(__xludf.DUMMYFUNCTION("""COMPUTED_VALUE"""),65.61)</f>
        <v>65.61</v>
      </c>
      <c r="F1410" s="2">
        <f>IFERROR(__xludf.DUMMYFUNCTION("""COMPUTED_VALUE"""),485640.0)</f>
        <v>485640</v>
      </c>
    </row>
    <row r="1411">
      <c r="A1411" s="3">
        <f>IFERROR(__xludf.DUMMYFUNCTION("""COMPUTED_VALUE"""),38582.645833333336)</f>
        <v>38582.64583</v>
      </c>
      <c r="B1411" s="2">
        <f>IFERROR(__xludf.DUMMYFUNCTION("""COMPUTED_VALUE"""),66.81)</f>
        <v>66.81</v>
      </c>
      <c r="C1411" s="2">
        <f>IFERROR(__xludf.DUMMYFUNCTION("""COMPUTED_VALUE"""),66.81)</f>
        <v>66.81</v>
      </c>
      <c r="D1411" s="2">
        <f>IFERROR(__xludf.DUMMYFUNCTION("""COMPUTED_VALUE"""),65.62)</f>
        <v>65.62</v>
      </c>
      <c r="E1411" s="2">
        <f>IFERROR(__xludf.DUMMYFUNCTION("""COMPUTED_VALUE"""),66.3)</f>
        <v>66.3</v>
      </c>
      <c r="F1411" s="2">
        <f>IFERROR(__xludf.DUMMYFUNCTION("""COMPUTED_VALUE"""),152830.0)</f>
        <v>152830</v>
      </c>
    </row>
    <row r="1412">
      <c r="A1412" s="3">
        <f>IFERROR(__xludf.DUMMYFUNCTION("""COMPUTED_VALUE"""),38583.645833333336)</f>
        <v>38583.64583</v>
      </c>
      <c r="B1412" s="2">
        <f>IFERROR(__xludf.DUMMYFUNCTION("""COMPUTED_VALUE"""),65.8)</f>
        <v>65.8</v>
      </c>
      <c r="C1412" s="2">
        <f>IFERROR(__xludf.DUMMYFUNCTION("""COMPUTED_VALUE"""),66.4)</f>
        <v>66.4</v>
      </c>
      <c r="D1412" s="2">
        <f>IFERROR(__xludf.DUMMYFUNCTION("""COMPUTED_VALUE"""),65.52)</f>
        <v>65.52</v>
      </c>
      <c r="E1412" s="2">
        <f>IFERROR(__xludf.DUMMYFUNCTION("""COMPUTED_VALUE"""),65.88)</f>
        <v>65.88</v>
      </c>
      <c r="F1412" s="2">
        <f>IFERROR(__xludf.DUMMYFUNCTION("""COMPUTED_VALUE"""),163856.0)</f>
        <v>163856</v>
      </c>
    </row>
    <row r="1413">
      <c r="A1413" s="3">
        <f>IFERROR(__xludf.DUMMYFUNCTION("""COMPUTED_VALUE"""),38586.645833333336)</f>
        <v>38586.64583</v>
      </c>
      <c r="B1413" s="2">
        <f>IFERROR(__xludf.DUMMYFUNCTION("""COMPUTED_VALUE"""),67.29)</f>
        <v>67.29</v>
      </c>
      <c r="C1413" s="2">
        <f>IFERROR(__xludf.DUMMYFUNCTION("""COMPUTED_VALUE"""),67.29)</f>
        <v>67.29</v>
      </c>
      <c r="D1413" s="2">
        <f>IFERROR(__xludf.DUMMYFUNCTION("""COMPUTED_VALUE"""),65.3)</f>
        <v>65.3</v>
      </c>
      <c r="E1413" s="2">
        <f>IFERROR(__xludf.DUMMYFUNCTION("""COMPUTED_VALUE"""),65.76)</f>
        <v>65.76</v>
      </c>
      <c r="F1413" s="2">
        <f>IFERROR(__xludf.DUMMYFUNCTION("""COMPUTED_VALUE"""),116985.0)</f>
        <v>116985</v>
      </c>
    </row>
    <row r="1414">
      <c r="A1414" s="3">
        <f>IFERROR(__xludf.DUMMYFUNCTION("""COMPUTED_VALUE"""),38587.645833333336)</f>
        <v>38587.64583</v>
      </c>
      <c r="B1414" s="2">
        <f>IFERROR(__xludf.DUMMYFUNCTION("""COMPUTED_VALUE"""),65.0)</f>
        <v>65</v>
      </c>
      <c r="C1414" s="2">
        <f>IFERROR(__xludf.DUMMYFUNCTION("""COMPUTED_VALUE"""),66.39)</f>
        <v>66.39</v>
      </c>
      <c r="D1414" s="2">
        <f>IFERROR(__xludf.DUMMYFUNCTION("""COMPUTED_VALUE"""),62.99)</f>
        <v>62.99</v>
      </c>
      <c r="E1414" s="2">
        <f>IFERROR(__xludf.DUMMYFUNCTION("""COMPUTED_VALUE"""),64.86)</f>
        <v>64.86</v>
      </c>
      <c r="F1414" s="2">
        <f>IFERROR(__xludf.DUMMYFUNCTION("""COMPUTED_VALUE"""),259585.0)</f>
        <v>259585</v>
      </c>
    </row>
    <row r="1415">
      <c r="A1415" s="3">
        <f>IFERROR(__xludf.DUMMYFUNCTION("""COMPUTED_VALUE"""),38588.645833333336)</f>
        <v>38588.64583</v>
      </c>
      <c r="B1415" s="2">
        <f>IFERROR(__xludf.DUMMYFUNCTION("""COMPUTED_VALUE"""),64.5)</f>
        <v>64.5</v>
      </c>
      <c r="C1415" s="2">
        <f>IFERROR(__xludf.DUMMYFUNCTION("""COMPUTED_VALUE"""),65.8)</f>
        <v>65.8</v>
      </c>
      <c r="D1415" s="2">
        <f>IFERROR(__xludf.DUMMYFUNCTION("""COMPUTED_VALUE"""),62.93)</f>
        <v>62.93</v>
      </c>
      <c r="E1415" s="2">
        <f>IFERROR(__xludf.DUMMYFUNCTION("""COMPUTED_VALUE"""),65.16)</f>
        <v>65.16</v>
      </c>
      <c r="F1415" s="2">
        <f>IFERROR(__xludf.DUMMYFUNCTION("""COMPUTED_VALUE"""),596455.0)</f>
        <v>596455</v>
      </c>
    </row>
    <row r="1416">
      <c r="A1416" s="3">
        <f>IFERROR(__xludf.DUMMYFUNCTION("""COMPUTED_VALUE"""),38589.645833333336)</f>
        <v>38589.64583</v>
      </c>
      <c r="B1416" s="2">
        <f>IFERROR(__xludf.DUMMYFUNCTION("""COMPUTED_VALUE"""),64.99)</f>
        <v>64.99</v>
      </c>
      <c r="C1416" s="2">
        <f>IFERROR(__xludf.DUMMYFUNCTION("""COMPUTED_VALUE"""),65.2)</f>
        <v>65.2</v>
      </c>
      <c r="D1416" s="2">
        <f>IFERROR(__xludf.DUMMYFUNCTION("""COMPUTED_VALUE"""),63.83)</f>
        <v>63.83</v>
      </c>
      <c r="E1416" s="2">
        <f>IFERROR(__xludf.DUMMYFUNCTION("""COMPUTED_VALUE"""),64.95)</f>
        <v>64.95</v>
      </c>
      <c r="F1416" s="2">
        <f>IFERROR(__xludf.DUMMYFUNCTION("""COMPUTED_VALUE"""),496103.0)</f>
        <v>496103</v>
      </c>
    </row>
    <row r="1417">
      <c r="A1417" s="3">
        <f>IFERROR(__xludf.DUMMYFUNCTION("""COMPUTED_VALUE"""),38590.645833333336)</f>
        <v>38590.64583</v>
      </c>
      <c r="B1417" s="2">
        <f>IFERROR(__xludf.DUMMYFUNCTION("""COMPUTED_VALUE"""),65.9)</f>
        <v>65.9</v>
      </c>
      <c r="C1417" s="2">
        <f>IFERROR(__xludf.DUMMYFUNCTION("""COMPUTED_VALUE"""),66.39)</f>
        <v>66.39</v>
      </c>
      <c r="D1417" s="2">
        <f>IFERROR(__xludf.DUMMYFUNCTION("""COMPUTED_VALUE"""),63.03)</f>
        <v>63.03</v>
      </c>
      <c r="E1417" s="2">
        <f>IFERROR(__xludf.DUMMYFUNCTION("""COMPUTED_VALUE"""),63.47)</f>
        <v>63.47</v>
      </c>
      <c r="F1417" s="2">
        <f>IFERROR(__xludf.DUMMYFUNCTION("""COMPUTED_VALUE"""),365237.0)</f>
        <v>365237</v>
      </c>
    </row>
    <row r="1418">
      <c r="A1418" s="3">
        <f>IFERROR(__xludf.DUMMYFUNCTION("""COMPUTED_VALUE"""),38593.645833333336)</f>
        <v>38593.64583</v>
      </c>
      <c r="B1418" s="2">
        <f>IFERROR(__xludf.DUMMYFUNCTION("""COMPUTED_VALUE"""),64.3)</f>
        <v>64.3</v>
      </c>
      <c r="C1418" s="2">
        <f>IFERROR(__xludf.DUMMYFUNCTION("""COMPUTED_VALUE"""),64.7)</f>
        <v>64.7</v>
      </c>
      <c r="D1418" s="2">
        <f>IFERROR(__xludf.DUMMYFUNCTION("""COMPUTED_VALUE"""),62.83)</f>
        <v>62.83</v>
      </c>
      <c r="E1418" s="2">
        <f>IFERROR(__xludf.DUMMYFUNCTION("""COMPUTED_VALUE"""),63.88)</f>
        <v>63.88</v>
      </c>
      <c r="F1418" s="2">
        <f>IFERROR(__xludf.DUMMYFUNCTION("""COMPUTED_VALUE"""),451248.0)</f>
        <v>451248</v>
      </c>
    </row>
    <row r="1419">
      <c r="A1419" s="3">
        <f>IFERROR(__xludf.DUMMYFUNCTION("""COMPUTED_VALUE"""),38594.645833333336)</f>
        <v>38594.64583</v>
      </c>
      <c r="B1419" s="2">
        <f>IFERROR(__xludf.DUMMYFUNCTION("""COMPUTED_VALUE"""),63.5)</f>
        <v>63.5</v>
      </c>
      <c r="C1419" s="2">
        <f>IFERROR(__xludf.DUMMYFUNCTION("""COMPUTED_VALUE"""),65.0)</f>
        <v>65</v>
      </c>
      <c r="D1419" s="2">
        <f>IFERROR(__xludf.DUMMYFUNCTION("""COMPUTED_VALUE"""),63.5)</f>
        <v>63.5</v>
      </c>
      <c r="E1419" s="2">
        <f>IFERROR(__xludf.DUMMYFUNCTION("""COMPUTED_VALUE"""),64.66)</f>
        <v>64.66</v>
      </c>
      <c r="F1419" s="2">
        <f>IFERROR(__xludf.DUMMYFUNCTION("""COMPUTED_VALUE"""),254575.0)</f>
        <v>254575</v>
      </c>
    </row>
    <row r="1420">
      <c r="A1420" s="3">
        <f>IFERROR(__xludf.DUMMYFUNCTION("""COMPUTED_VALUE"""),38595.645833333336)</f>
        <v>38595.64583</v>
      </c>
      <c r="B1420" s="2">
        <f>IFERROR(__xludf.DUMMYFUNCTION("""COMPUTED_VALUE"""),64.9)</f>
        <v>64.9</v>
      </c>
      <c r="C1420" s="2">
        <f>IFERROR(__xludf.DUMMYFUNCTION("""COMPUTED_VALUE"""),65.0)</f>
        <v>65</v>
      </c>
      <c r="D1420" s="2">
        <f>IFERROR(__xludf.DUMMYFUNCTION("""COMPUTED_VALUE"""),63.21)</f>
        <v>63.21</v>
      </c>
      <c r="E1420" s="2">
        <f>IFERROR(__xludf.DUMMYFUNCTION("""COMPUTED_VALUE"""),64.03)</f>
        <v>64.03</v>
      </c>
      <c r="F1420" s="2">
        <f>IFERROR(__xludf.DUMMYFUNCTION("""COMPUTED_VALUE"""),152868.0)</f>
        <v>152868</v>
      </c>
    </row>
    <row r="1421">
      <c r="A1421" s="3">
        <f>IFERROR(__xludf.DUMMYFUNCTION("""COMPUTED_VALUE"""),38596.645833333336)</f>
        <v>38596.64583</v>
      </c>
      <c r="B1421" s="2">
        <f>IFERROR(__xludf.DUMMYFUNCTION("""COMPUTED_VALUE"""),64.97)</f>
        <v>64.97</v>
      </c>
      <c r="C1421" s="2">
        <f>IFERROR(__xludf.DUMMYFUNCTION("""COMPUTED_VALUE"""),64.97)</f>
        <v>64.97</v>
      </c>
      <c r="D1421" s="2">
        <f>IFERROR(__xludf.DUMMYFUNCTION("""COMPUTED_VALUE"""),62.93)</f>
        <v>62.93</v>
      </c>
      <c r="E1421" s="2">
        <f>IFERROR(__xludf.DUMMYFUNCTION("""COMPUTED_VALUE"""),63.18)</f>
        <v>63.18</v>
      </c>
      <c r="F1421" s="2">
        <f>IFERROR(__xludf.DUMMYFUNCTION("""COMPUTED_VALUE"""),143074.0)</f>
        <v>143074</v>
      </c>
    </row>
    <row r="1422">
      <c r="A1422" s="3">
        <f>IFERROR(__xludf.DUMMYFUNCTION("""COMPUTED_VALUE"""),38597.645833333336)</f>
        <v>38597.64583</v>
      </c>
      <c r="B1422" s="2">
        <f>IFERROR(__xludf.DUMMYFUNCTION("""COMPUTED_VALUE"""),63.1)</f>
        <v>63.1</v>
      </c>
      <c r="C1422" s="2">
        <f>IFERROR(__xludf.DUMMYFUNCTION("""COMPUTED_VALUE"""),64.05)</f>
        <v>64.05</v>
      </c>
      <c r="D1422" s="2">
        <f>IFERROR(__xludf.DUMMYFUNCTION("""COMPUTED_VALUE"""),63.1)</f>
        <v>63.1</v>
      </c>
      <c r="E1422" s="2">
        <f>IFERROR(__xludf.DUMMYFUNCTION("""COMPUTED_VALUE"""),63.63)</f>
        <v>63.63</v>
      </c>
      <c r="F1422" s="2">
        <f>IFERROR(__xludf.DUMMYFUNCTION("""COMPUTED_VALUE"""),416748.0)</f>
        <v>416748</v>
      </c>
    </row>
    <row r="1423">
      <c r="A1423" s="3">
        <f>IFERROR(__xludf.DUMMYFUNCTION("""COMPUTED_VALUE"""),38600.645833333336)</f>
        <v>38600.64583</v>
      </c>
      <c r="B1423" s="2">
        <f>IFERROR(__xludf.DUMMYFUNCTION("""COMPUTED_VALUE"""),63.61)</f>
        <v>63.61</v>
      </c>
      <c r="C1423" s="2">
        <f>IFERROR(__xludf.DUMMYFUNCTION("""COMPUTED_VALUE"""),64.4)</f>
        <v>64.4</v>
      </c>
      <c r="D1423" s="2">
        <f>IFERROR(__xludf.DUMMYFUNCTION("""COMPUTED_VALUE"""),63.61)</f>
        <v>63.61</v>
      </c>
      <c r="E1423" s="2">
        <f>IFERROR(__xludf.DUMMYFUNCTION("""COMPUTED_VALUE"""),64.02)</f>
        <v>64.02</v>
      </c>
      <c r="F1423" s="2">
        <f>IFERROR(__xludf.DUMMYFUNCTION("""COMPUTED_VALUE"""),100451.0)</f>
        <v>100451</v>
      </c>
    </row>
    <row r="1424">
      <c r="A1424" s="3">
        <f>IFERROR(__xludf.DUMMYFUNCTION("""COMPUTED_VALUE"""),38601.645833333336)</f>
        <v>38601.64583</v>
      </c>
      <c r="B1424" s="2">
        <f>IFERROR(__xludf.DUMMYFUNCTION("""COMPUTED_VALUE"""),64.1)</f>
        <v>64.1</v>
      </c>
      <c r="C1424" s="2">
        <f>IFERROR(__xludf.DUMMYFUNCTION("""COMPUTED_VALUE"""),64.4)</f>
        <v>64.4</v>
      </c>
      <c r="D1424" s="2">
        <f>IFERROR(__xludf.DUMMYFUNCTION("""COMPUTED_VALUE"""),63.56)</f>
        <v>63.56</v>
      </c>
      <c r="E1424" s="2">
        <f>IFERROR(__xludf.DUMMYFUNCTION("""COMPUTED_VALUE"""),64.25)</f>
        <v>64.25</v>
      </c>
      <c r="F1424" s="2">
        <f>IFERROR(__xludf.DUMMYFUNCTION("""COMPUTED_VALUE"""),104340.0)</f>
        <v>104340</v>
      </c>
    </row>
    <row r="1425">
      <c r="A1425" s="3">
        <f>IFERROR(__xludf.DUMMYFUNCTION("""COMPUTED_VALUE"""),38603.645833333336)</f>
        <v>38603.64583</v>
      </c>
      <c r="B1425" s="2">
        <f>IFERROR(__xludf.DUMMYFUNCTION("""COMPUTED_VALUE"""),64.4)</f>
        <v>64.4</v>
      </c>
      <c r="C1425" s="2">
        <f>IFERROR(__xludf.DUMMYFUNCTION("""COMPUTED_VALUE"""),65.7)</f>
        <v>65.7</v>
      </c>
      <c r="D1425" s="2">
        <f>IFERROR(__xludf.DUMMYFUNCTION("""COMPUTED_VALUE"""),64.0)</f>
        <v>64</v>
      </c>
      <c r="E1425" s="2">
        <f>IFERROR(__xludf.DUMMYFUNCTION("""COMPUTED_VALUE"""),65.58)</f>
        <v>65.58</v>
      </c>
      <c r="F1425" s="2">
        <f>IFERROR(__xludf.DUMMYFUNCTION("""COMPUTED_VALUE"""),193661.0)</f>
        <v>193661</v>
      </c>
    </row>
    <row r="1426">
      <c r="A1426" s="3">
        <f>IFERROR(__xludf.DUMMYFUNCTION("""COMPUTED_VALUE"""),38604.645833333336)</f>
        <v>38604.64583</v>
      </c>
      <c r="B1426" s="2">
        <f>IFERROR(__xludf.DUMMYFUNCTION("""COMPUTED_VALUE"""),65.7)</f>
        <v>65.7</v>
      </c>
      <c r="C1426" s="2">
        <f>IFERROR(__xludf.DUMMYFUNCTION("""COMPUTED_VALUE"""),68.0)</f>
        <v>68</v>
      </c>
      <c r="D1426" s="2">
        <f>IFERROR(__xludf.DUMMYFUNCTION("""COMPUTED_VALUE"""),65.21)</f>
        <v>65.21</v>
      </c>
      <c r="E1426" s="2">
        <f>IFERROR(__xludf.DUMMYFUNCTION("""COMPUTED_VALUE"""),67.61)</f>
        <v>67.61</v>
      </c>
      <c r="F1426" s="2">
        <f>IFERROR(__xludf.DUMMYFUNCTION("""COMPUTED_VALUE"""),417973.0)</f>
        <v>417973</v>
      </c>
    </row>
    <row r="1427">
      <c r="A1427" s="3">
        <f>IFERROR(__xludf.DUMMYFUNCTION("""COMPUTED_VALUE"""),38607.645833333336)</f>
        <v>38607.64583</v>
      </c>
      <c r="B1427" s="2">
        <f>IFERROR(__xludf.DUMMYFUNCTION("""COMPUTED_VALUE"""),67.6)</f>
        <v>67.6</v>
      </c>
      <c r="C1427" s="2">
        <f>IFERROR(__xludf.DUMMYFUNCTION("""COMPUTED_VALUE"""),68.0)</f>
        <v>68</v>
      </c>
      <c r="D1427" s="2">
        <f>IFERROR(__xludf.DUMMYFUNCTION("""COMPUTED_VALUE"""),66.1)</f>
        <v>66.1</v>
      </c>
      <c r="E1427" s="2">
        <f>IFERROR(__xludf.DUMMYFUNCTION("""COMPUTED_VALUE"""),67.73)</f>
        <v>67.73</v>
      </c>
      <c r="F1427" s="2">
        <f>IFERROR(__xludf.DUMMYFUNCTION("""COMPUTED_VALUE"""),270625.0)</f>
        <v>270625</v>
      </c>
    </row>
    <row r="1428">
      <c r="A1428" s="3">
        <f>IFERROR(__xludf.DUMMYFUNCTION("""COMPUTED_VALUE"""),38608.645833333336)</f>
        <v>38608.64583</v>
      </c>
      <c r="B1428" s="2">
        <f>IFERROR(__xludf.DUMMYFUNCTION("""COMPUTED_VALUE"""),67.5)</f>
        <v>67.5</v>
      </c>
      <c r="C1428" s="2">
        <f>IFERROR(__xludf.DUMMYFUNCTION("""COMPUTED_VALUE"""),69.0)</f>
        <v>69</v>
      </c>
      <c r="D1428" s="2">
        <f>IFERROR(__xludf.DUMMYFUNCTION("""COMPUTED_VALUE"""),66.61)</f>
        <v>66.61</v>
      </c>
      <c r="E1428" s="2">
        <f>IFERROR(__xludf.DUMMYFUNCTION("""COMPUTED_VALUE"""),68.72)</f>
        <v>68.72</v>
      </c>
      <c r="F1428" s="2">
        <f>IFERROR(__xludf.DUMMYFUNCTION("""COMPUTED_VALUE"""),417180.0)</f>
        <v>417180</v>
      </c>
    </row>
    <row r="1429">
      <c r="A1429" s="3">
        <f>IFERROR(__xludf.DUMMYFUNCTION("""COMPUTED_VALUE"""),38609.645833333336)</f>
        <v>38609.64583</v>
      </c>
      <c r="B1429" s="2">
        <f>IFERROR(__xludf.DUMMYFUNCTION("""COMPUTED_VALUE"""),68.3)</f>
        <v>68.3</v>
      </c>
      <c r="C1429" s="2">
        <f>IFERROR(__xludf.DUMMYFUNCTION("""COMPUTED_VALUE"""),69.2)</f>
        <v>69.2</v>
      </c>
      <c r="D1429" s="2">
        <f>IFERROR(__xludf.DUMMYFUNCTION("""COMPUTED_VALUE"""),67.62)</f>
        <v>67.62</v>
      </c>
      <c r="E1429" s="2">
        <f>IFERROR(__xludf.DUMMYFUNCTION("""COMPUTED_VALUE"""),68.8)</f>
        <v>68.8</v>
      </c>
      <c r="F1429" s="2">
        <f>IFERROR(__xludf.DUMMYFUNCTION("""COMPUTED_VALUE"""),454762.0)</f>
        <v>454762</v>
      </c>
    </row>
    <row r="1430">
      <c r="A1430" s="3">
        <f>IFERROR(__xludf.DUMMYFUNCTION("""COMPUTED_VALUE"""),38610.645833333336)</f>
        <v>38610.64583</v>
      </c>
      <c r="B1430" s="2">
        <f>IFERROR(__xludf.DUMMYFUNCTION("""COMPUTED_VALUE"""),68.8)</f>
        <v>68.8</v>
      </c>
      <c r="C1430" s="2">
        <f>IFERROR(__xludf.DUMMYFUNCTION("""COMPUTED_VALUE"""),69.3)</f>
        <v>69.3</v>
      </c>
      <c r="D1430" s="2">
        <f>IFERROR(__xludf.DUMMYFUNCTION("""COMPUTED_VALUE"""),68.62)</f>
        <v>68.62</v>
      </c>
      <c r="E1430" s="2">
        <f>IFERROR(__xludf.DUMMYFUNCTION("""COMPUTED_VALUE"""),69.22)</f>
        <v>69.22</v>
      </c>
      <c r="F1430" s="2">
        <f>IFERROR(__xludf.DUMMYFUNCTION("""COMPUTED_VALUE"""),448085.0)</f>
        <v>448085</v>
      </c>
    </row>
    <row r="1431">
      <c r="A1431" s="3">
        <f>IFERROR(__xludf.DUMMYFUNCTION("""COMPUTED_VALUE"""),38611.645833333336)</f>
        <v>38611.64583</v>
      </c>
      <c r="B1431" s="2">
        <f>IFERROR(__xludf.DUMMYFUNCTION("""COMPUTED_VALUE"""),69.8)</f>
        <v>69.8</v>
      </c>
      <c r="C1431" s="2">
        <f>IFERROR(__xludf.DUMMYFUNCTION("""COMPUTED_VALUE"""),69.8)</f>
        <v>69.8</v>
      </c>
      <c r="D1431" s="2">
        <f>IFERROR(__xludf.DUMMYFUNCTION("""COMPUTED_VALUE"""),68.63)</f>
        <v>68.63</v>
      </c>
      <c r="E1431" s="2">
        <f>IFERROR(__xludf.DUMMYFUNCTION("""COMPUTED_VALUE"""),69.23)</f>
        <v>69.23</v>
      </c>
      <c r="F1431" s="2">
        <f>IFERROR(__xludf.DUMMYFUNCTION("""COMPUTED_VALUE"""),399143.0)</f>
        <v>399143</v>
      </c>
    </row>
    <row r="1432">
      <c r="A1432" s="3">
        <f>IFERROR(__xludf.DUMMYFUNCTION("""COMPUTED_VALUE"""),38614.645833333336)</f>
        <v>38614.64583</v>
      </c>
      <c r="B1432" s="2">
        <f>IFERROR(__xludf.DUMMYFUNCTION("""COMPUTED_VALUE"""),69.7)</f>
        <v>69.7</v>
      </c>
      <c r="C1432" s="2">
        <f>IFERROR(__xludf.DUMMYFUNCTION("""COMPUTED_VALUE"""),71.48)</f>
        <v>71.48</v>
      </c>
      <c r="D1432" s="2">
        <f>IFERROR(__xludf.DUMMYFUNCTION("""COMPUTED_VALUE"""),69.7)</f>
        <v>69.7</v>
      </c>
      <c r="E1432" s="2">
        <f>IFERROR(__xludf.DUMMYFUNCTION("""COMPUTED_VALUE"""),70.84)</f>
        <v>70.84</v>
      </c>
      <c r="F1432" s="2">
        <f>IFERROR(__xludf.DUMMYFUNCTION("""COMPUTED_VALUE"""),402832.0)</f>
        <v>402832</v>
      </c>
    </row>
    <row r="1433">
      <c r="A1433" s="3">
        <f>IFERROR(__xludf.DUMMYFUNCTION("""COMPUTED_VALUE"""),38615.645833333336)</f>
        <v>38615.64583</v>
      </c>
      <c r="B1433" s="2">
        <f>IFERROR(__xludf.DUMMYFUNCTION("""COMPUTED_VALUE"""),70.3)</f>
        <v>70.3</v>
      </c>
      <c r="C1433" s="2">
        <f>IFERROR(__xludf.DUMMYFUNCTION("""COMPUTED_VALUE"""),74.0)</f>
        <v>74</v>
      </c>
      <c r="D1433" s="2">
        <f>IFERROR(__xludf.DUMMYFUNCTION("""COMPUTED_VALUE"""),70.3)</f>
        <v>70.3</v>
      </c>
      <c r="E1433" s="2">
        <f>IFERROR(__xludf.DUMMYFUNCTION("""COMPUTED_VALUE"""),73.23)</f>
        <v>73.23</v>
      </c>
      <c r="F1433" s="2">
        <f>IFERROR(__xludf.DUMMYFUNCTION("""COMPUTED_VALUE"""),670042.0)</f>
        <v>670042</v>
      </c>
    </row>
    <row r="1434">
      <c r="A1434" s="3">
        <f>IFERROR(__xludf.DUMMYFUNCTION("""COMPUTED_VALUE"""),38616.645833333336)</f>
        <v>38616.64583</v>
      </c>
      <c r="B1434" s="2">
        <f>IFERROR(__xludf.DUMMYFUNCTION("""COMPUTED_VALUE"""),73.03)</f>
        <v>73.03</v>
      </c>
      <c r="C1434" s="2">
        <f>IFERROR(__xludf.DUMMYFUNCTION("""COMPUTED_VALUE"""),73.56)</f>
        <v>73.56</v>
      </c>
      <c r="D1434" s="2">
        <f>IFERROR(__xludf.DUMMYFUNCTION("""COMPUTED_VALUE"""),71.11)</f>
        <v>71.11</v>
      </c>
      <c r="E1434" s="2">
        <f>IFERROR(__xludf.DUMMYFUNCTION("""COMPUTED_VALUE"""),72.46)</f>
        <v>72.46</v>
      </c>
      <c r="F1434" s="2">
        <f>IFERROR(__xludf.DUMMYFUNCTION("""COMPUTED_VALUE"""),636149.0)</f>
        <v>636149</v>
      </c>
    </row>
    <row r="1435">
      <c r="A1435" s="3">
        <f>IFERROR(__xludf.DUMMYFUNCTION("""COMPUTED_VALUE"""),38617.645833333336)</f>
        <v>38617.64583</v>
      </c>
      <c r="B1435" s="2">
        <f>IFERROR(__xludf.DUMMYFUNCTION("""COMPUTED_VALUE"""),72.0)</f>
        <v>72</v>
      </c>
      <c r="C1435" s="2">
        <f>IFERROR(__xludf.DUMMYFUNCTION("""COMPUTED_VALUE"""),72.05)</f>
        <v>72.05</v>
      </c>
      <c r="D1435" s="2">
        <f>IFERROR(__xludf.DUMMYFUNCTION("""COMPUTED_VALUE"""),68.45)</f>
        <v>68.45</v>
      </c>
      <c r="E1435" s="2">
        <f>IFERROR(__xludf.DUMMYFUNCTION("""COMPUTED_VALUE"""),69.18)</f>
        <v>69.18</v>
      </c>
      <c r="F1435" s="2">
        <f>IFERROR(__xludf.DUMMYFUNCTION("""COMPUTED_VALUE"""),507668.0)</f>
        <v>507668</v>
      </c>
    </row>
    <row r="1436">
      <c r="A1436" s="3">
        <f>IFERROR(__xludf.DUMMYFUNCTION("""COMPUTED_VALUE"""),38618.645833333336)</f>
        <v>38618.64583</v>
      </c>
      <c r="B1436" s="2">
        <f>IFERROR(__xludf.DUMMYFUNCTION("""COMPUTED_VALUE"""),69.19)</f>
        <v>69.19</v>
      </c>
      <c r="C1436" s="2">
        <f>IFERROR(__xludf.DUMMYFUNCTION("""COMPUTED_VALUE"""),69.19)</f>
        <v>69.19</v>
      </c>
      <c r="D1436" s="2">
        <f>IFERROR(__xludf.DUMMYFUNCTION("""COMPUTED_VALUE"""),66.1)</f>
        <v>66.1</v>
      </c>
      <c r="E1436" s="2">
        <f>IFERROR(__xludf.DUMMYFUNCTION("""COMPUTED_VALUE"""),67.0)</f>
        <v>67</v>
      </c>
      <c r="F1436" s="2">
        <f>IFERROR(__xludf.DUMMYFUNCTION("""COMPUTED_VALUE"""),637241.0)</f>
        <v>637241</v>
      </c>
    </row>
    <row r="1437">
      <c r="A1437" s="3">
        <f>IFERROR(__xludf.DUMMYFUNCTION("""COMPUTED_VALUE"""),38621.645833333336)</f>
        <v>38621.64583</v>
      </c>
      <c r="B1437" s="2">
        <f>IFERROR(__xludf.DUMMYFUNCTION("""COMPUTED_VALUE"""),67.0)</f>
        <v>67</v>
      </c>
      <c r="C1437" s="2">
        <f>IFERROR(__xludf.DUMMYFUNCTION("""COMPUTED_VALUE"""),68.01)</f>
        <v>68.01</v>
      </c>
      <c r="D1437" s="2">
        <f>IFERROR(__xludf.DUMMYFUNCTION("""COMPUTED_VALUE"""),66.54)</f>
        <v>66.54</v>
      </c>
      <c r="E1437" s="2">
        <f>IFERROR(__xludf.DUMMYFUNCTION("""COMPUTED_VALUE"""),67.92)</f>
        <v>67.92</v>
      </c>
      <c r="F1437" s="2">
        <f>IFERROR(__xludf.DUMMYFUNCTION("""COMPUTED_VALUE"""),390284.0)</f>
        <v>390284</v>
      </c>
    </row>
    <row r="1438">
      <c r="A1438" s="3">
        <f>IFERROR(__xludf.DUMMYFUNCTION("""COMPUTED_VALUE"""),38622.645833333336)</f>
        <v>38622.64583</v>
      </c>
      <c r="B1438" s="2">
        <f>IFERROR(__xludf.DUMMYFUNCTION("""COMPUTED_VALUE"""),68.0)</f>
        <v>68</v>
      </c>
      <c r="C1438" s="2">
        <f>IFERROR(__xludf.DUMMYFUNCTION("""COMPUTED_VALUE"""),69.6)</f>
        <v>69.6</v>
      </c>
      <c r="D1438" s="2">
        <f>IFERROR(__xludf.DUMMYFUNCTION("""COMPUTED_VALUE"""),67.52)</f>
        <v>67.52</v>
      </c>
      <c r="E1438" s="2">
        <f>IFERROR(__xludf.DUMMYFUNCTION("""COMPUTED_VALUE"""),68.22)</f>
        <v>68.22</v>
      </c>
      <c r="F1438" s="2">
        <f>IFERROR(__xludf.DUMMYFUNCTION("""COMPUTED_VALUE"""),425062.0)</f>
        <v>425062</v>
      </c>
    </row>
    <row r="1439">
      <c r="A1439" s="3">
        <f>IFERROR(__xludf.DUMMYFUNCTION("""COMPUTED_VALUE"""),38623.645833333336)</f>
        <v>38623.64583</v>
      </c>
      <c r="B1439" s="2">
        <f>IFERROR(__xludf.DUMMYFUNCTION("""COMPUTED_VALUE"""),69.0)</f>
        <v>69</v>
      </c>
      <c r="C1439" s="2">
        <f>IFERROR(__xludf.DUMMYFUNCTION("""COMPUTED_VALUE"""),70.4)</f>
        <v>70.4</v>
      </c>
      <c r="D1439" s="2">
        <f>IFERROR(__xludf.DUMMYFUNCTION("""COMPUTED_VALUE"""),68.3)</f>
        <v>68.3</v>
      </c>
      <c r="E1439" s="2">
        <f>IFERROR(__xludf.DUMMYFUNCTION("""COMPUTED_VALUE"""),69.6)</f>
        <v>69.6</v>
      </c>
      <c r="F1439" s="2">
        <f>IFERROR(__xludf.DUMMYFUNCTION("""COMPUTED_VALUE"""),778011.0)</f>
        <v>778011</v>
      </c>
    </row>
    <row r="1440">
      <c r="A1440" s="3">
        <f>IFERROR(__xludf.DUMMYFUNCTION("""COMPUTED_VALUE"""),38624.645833333336)</f>
        <v>38624.64583</v>
      </c>
      <c r="B1440" s="2">
        <f>IFERROR(__xludf.DUMMYFUNCTION("""COMPUTED_VALUE"""),69.79)</f>
        <v>69.79</v>
      </c>
      <c r="C1440" s="2">
        <f>IFERROR(__xludf.DUMMYFUNCTION("""COMPUTED_VALUE"""),70.7)</f>
        <v>70.7</v>
      </c>
      <c r="D1440" s="2">
        <f>IFERROR(__xludf.DUMMYFUNCTION("""COMPUTED_VALUE"""),68.02)</f>
        <v>68.02</v>
      </c>
      <c r="E1440" s="2">
        <f>IFERROR(__xludf.DUMMYFUNCTION("""COMPUTED_VALUE"""),69.6)</f>
        <v>69.6</v>
      </c>
      <c r="F1440" s="2">
        <f>IFERROR(__xludf.DUMMYFUNCTION("""COMPUTED_VALUE"""),1646959.0)</f>
        <v>1646959</v>
      </c>
    </row>
    <row r="1441">
      <c r="A1441" s="3">
        <f>IFERROR(__xludf.DUMMYFUNCTION("""COMPUTED_VALUE"""),38625.645833333336)</f>
        <v>38625.64583</v>
      </c>
      <c r="B1441" s="2">
        <f>IFERROR(__xludf.DUMMYFUNCTION("""COMPUTED_VALUE"""),69.97)</f>
        <v>69.97</v>
      </c>
      <c r="C1441" s="2">
        <f>IFERROR(__xludf.DUMMYFUNCTION("""COMPUTED_VALUE"""),69.97)</f>
        <v>69.97</v>
      </c>
      <c r="D1441" s="2">
        <f>IFERROR(__xludf.DUMMYFUNCTION("""COMPUTED_VALUE"""),63.23)</f>
        <v>63.23</v>
      </c>
      <c r="E1441" s="2">
        <f>IFERROR(__xludf.DUMMYFUNCTION("""COMPUTED_VALUE"""),68.52)</f>
        <v>68.52</v>
      </c>
      <c r="F1441" s="2">
        <f>IFERROR(__xludf.DUMMYFUNCTION("""COMPUTED_VALUE"""),407559.0)</f>
        <v>407559</v>
      </c>
    </row>
    <row r="1442">
      <c r="A1442" s="3">
        <f>IFERROR(__xludf.DUMMYFUNCTION("""COMPUTED_VALUE"""),38628.645833333336)</f>
        <v>38628.64583</v>
      </c>
      <c r="B1442" s="2">
        <f>IFERROR(__xludf.DUMMYFUNCTION("""COMPUTED_VALUE"""),68.52)</f>
        <v>68.52</v>
      </c>
      <c r="C1442" s="2">
        <f>IFERROR(__xludf.DUMMYFUNCTION("""COMPUTED_VALUE"""),69.48)</f>
        <v>69.48</v>
      </c>
      <c r="D1442" s="2">
        <f>IFERROR(__xludf.DUMMYFUNCTION("""COMPUTED_VALUE"""),67.43)</f>
        <v>67.43</v>
      </c>
      <c r="E1442" s="2">
        <f>IFERROR(__xludf.DUMMYFUNCTION("""COMPUTED_VALUE"""),67.67)</f>
        <v>67.67</v>
      </c>
      <c r="F1442" s="2">
        <f>IFERROR(__xludf.DUMMYFUNCTION("""COMPUTED_VALUE"""),510975.0)</f>
        <v>510975</v>
      </c>
    </row>
    <row r="1443">
      <c r="A1443" s="3">
        <f>IFERROR(__xludf.DUMMYFUNCTION("""COMPUTED_VALUE"""),38629.645833333336)</f>
        <v>38629.64583</v>
      </c>
      <c r="B1443" s="2">
        <f>IFERROR(__xludf.DUMMYFUNCTION("""COMPUTED_VALUE"""),69.0)</f>
        <v>69</v>
      </c>
      <c r="C1443" s="2">
        <f>IFERROR(__xludf.DUMMYFUNCTION("""COMPUTED_VALUE"""),71.5)</f>
        <v>71.5</v>
      </c>
      <c r="D1443" s="2">
        <f>IFERROR(__xludf.DUMMYFUNCTION("""COMPUTED_VALUE"""),69.0)</f>
        <v>69</v>
      </c>
      <c r="E1443" s="2">
        <f>IFERROR(__xludf.DUMMYFUNCTION("""COMPUTED_VALUE"""),70.99)</f>
        <v>70.99</v>
      </c>
      <c r="F1443" s="2">
        <f>IFERROR(__xludf.DUMMYFUNCTION("""COMPUTED_VALUE"""),845723.0)</f>
        <v>845723</v>
      </c>
    </row>
    <row r="1444">
      <c r="A1444" s="3">
        <f>IFERROR(__xludf.DUMMYFUNCTION("""COMPUTED_VALUE"""),38630.645833333336)</f>
        <v>38630.64583</v>
      </c>
      <c r="B1444" s="2">
        <f>IFERROR(__xludf.DUMMYFUNCTION("""COMPUTED_VALUE"""),70.11)</f>
        <v>70.11</v>
      </c>
      <c r="C1444" s="2">
        <f>IFERROR(__xludf.DUMMYFUNCTION("""COMPUTED_VALUE"""),71.45)</f>
        <v>71.45</v>
      </c>
      <c r="D1444" s="2">
        <f>IFERROR(__xludf.DUMMYFUNCTION("""COMPUTED_VALUE"""),69.72)</f>
        <v>69.72</v>
      </c>
      <c r="E1444" s="2">
        <f>IFERROR(__xludf.DUMMYFUNCTION("""COMPUTED_VALUE"""),70.27)</f>
        <v>70.27</v>
      </c>
      <c r="F1444" s="2">
        <f>IFERROR(__xludf.DUMMYFUNCTION("""COMPUTED_VALUE"""),287378.0)</f>
        <v>287378</v>
      </c>
    </row>
    <row r="1445">
      <c r="A1445" s="3">
        <f>IFERROR(__xludf.DUMMYFUNCTION("""COMPUTED_VALUE"""),38631.645833333336)</f>
        <v>38631.64583</v>
      </c>
      <c r="B1445" s="2">
        <f>IFERROR(__xludf.DUMMYFUNCTION("""COMPUTED_VALUE"""),69.48)</f>
        <v>69.48</v>
      </c>
      <c r="C1445" s="2">
        <f>IFERROR(__xludf.DUMMYFUNCTION("""COMPUTED_VALUE"""),69.48)</f>
        <v>69.48</v>
      </c>
      <c r="D1445" s="2">
        <f>IFERROR(__xludf.DUMMYFUNCTION("""COMPUTED_VALUE"""),67.0)</f>
        <v>67</v>
      </c>
      <c r="E1445" s="2">
        <f>IFERROR(__xludf.DUMMYFUNCTION("""COMPUTED_VALUE"""),68.21)</f>
        <v>68.21</v>
      </c>
      <c r="F1445" s="2">
        <f>IFERROR(__xludf.DUMMYFUNCTION("""COMPUTED_VALUE"""),431651.0)</f>
        <v>431651</v>
      </c>
    </row>
    <row r="1446">
      <c r="A1446" s="3">
        <f>IFERROR(__xludf.DUMMYFUNCTION("""COMPUTED_VALUE"""),38632.645833333336)</f>
        <v>38632.64583</v>
      </c>
      <c r="B1446" s="2">
        <f>IFERROR(__xludf.DUMMYFUNCTION("""COMPUTED_VALUE"""),67.9)</f>
        <v>67.9</v>
      </c>
      <c r="C1446" s="2">
        <f>IFERROR(__xludf.DUMMYFUNCTION("""COMPUTED_VALUE"""),68.34)</f>
        <v>68.34</v>
      </c>
      <c r="D1446" s="2">
        <f>IFERROR(__xludf.DUMMYFUNCTION("""COMPUTED_VALUE"""),66.5)</f>
        <v>66.5</v>
      </c>
      <c r="E1446" s="2">
        <f>IFERROR(__xludf.DUMMYFUNCTION("""COMPUTED_VALUE"""),67.86)</f>
        <v>67.86</v>
      </c>
      <c r="F1446" s="2">
        <f>IFERROR(__xludf.DUMMYFUNCTION("""COMPUTED_VALUE"""),365661.0)</f>
        <v>365661</v>
      </c>
    </row>
    <row r="1447">
      <c r="A1447" s="3">
        <f>IFERROR(__xludf.DUMMYFUNCTION("""COMPUTED_VALUE"""),38635.645833333336)</f>
        <v>38635.64583</v>
      </c>
      <c r="B1447" s="2">
        <f>IFERROR(__xludf.DUMMYFUNCTION("""COMPUTED_VALUE"""),69.25)</f>
        <v>69.25</v>
      </c>
      <c r="C1447" s="2">
        <f>IFERROR(__xludf.DUMMYFUNCTION("""COMPUTED_VALUE"""),69.25)</f>
        <v>69.25</v>
      </c>
      <c r="D1447" s="2">
        <f>IFERROR(__xludf.DUMMYFUNCTION("""COMPUTED_VALUE"""),68.0)</f>
        <v>68</v>
      </c>
      <c r="E1447" s="2">
        <f>IFERROR(__xludf.DUMMYFUNCTION("""COMPUTED_VALUE"""),68.83)</f>
        <v>68.83</v>
      </c>
      <c r="F1447" s="2">
        <f>IFERROR(__xludf.DUMMYFUNCTION("""COMPUTED_VALUE"""),210483.0)</f>
        <v>210483</v>
      </c>
    </row>
    <row r="1448">
      <c r="A1448" s="3">
        <f>IFERROR(__xludf.DUMMYFUNCTION("""COMPUTED_VALUE"""),38636.645833333336)</f>
        <v>38636.64583</v>
      </c>
      <c r="B1448" s="2">
        <f>IFERROR(__xludf.DUMMYFUNCTION("""COMPUTED_VALUE"""),69.79)</f>
        <v>69.79</v>
      </c>
      <c r="C1448" s="2">
        <f>IFERROR(__xludf.DUMMYFUNCTION("""COMPUTED_VALUE"""),69.79)</f>
        <v>69.79</v>
      </c>
      <c r="D1448" s="2">
        <f>IFERROR(__xludf.DUMMYFUNCTION("""COMPUTED_VALUE"""),67.13)</f>
        <v>67.13</v>
      </c>
      <c r="E1448" s="2">
        <f>IFERROR(__xludf.DUMMYFUNCTION("""COMPUTED_VALUE"""),68.98)</f>
        <v>68.98</v>
      </c>
      <c r="F1448" s="2">
        <f>IFERROR(__xludf.DUMMYFUNCTION("""COMPUTED_VALUE"""),234701.0)</f>
        <v>234701</v>
      </c>
    </row>
    <row r="1449">
      <c r="A1449" s="3">
        <f>IFERROR(__xludf.DUMMYFUNCTION("""COMPUTED_VALUE"""),38638.645833333336)</f>
        <v>38638.64583</v>
      </c>
      <c r="B1449" s="2">
        <f>IFERROR(__xludf.DUMMYFUNCTION("""COMPUTED_VALUE"""),68.15)</f>
        <v>68.15</v>
      </c>
      <c r="C1449" s="2">
        <f>IFERROR(__xludf.DUMMYFUNCTION("""COMPUTED_VALUE"""),68.79)</f>
        <v>68.79</v>
      </c>
      <c r="D1449" s="2">
        <f>IFERROR(__xludf.DUMMYFUNCTION("""COMPUTED_VALUE"""),67.51)</f>
        <v>67.51</v>
      </c>
      <c r="E1449" s="2">
        <f>IFERROR(__xludf.DUMMYFUNCTION("""COMPUTED_VALUE"""),67.79)</f>
        <v>67.79</v>
      </c>
      <c r="F1449" s="2">
        <f>IFERROR(__xludf.DUMMYFUNCTION("""COMPUTED_VALUE"""),300071.0)</f>
        <v>300071</v>
      </c>
    </row>
    <row r="1450">
      <c r="A1450" s="3">
        <f>IFERROR(__xludf.DUMMYFUNCTION("""COMPUTED_VALUE"""),38639.645833333336)</f>
        <v>38639.64583</v>
      </c>
      <c r="B1450" s="2">
        <f>IFERROR(__xludf.DUMMYFUNCTION("""COMPUTED_VALUE"""),67.2)</f>
        <v>67.2</v>
      </c>
      <c r="C1450" s="2">
        <f>IFERROR(__xludf.DUMMYFUNCTION("""COMPUTED_VALUE"""),67.2)</f>
        <v>67.2</v>
      </c>
      <c r="D1450" s="2">
        <f>IFERROR(__xludf.DUMMYFUNCTION("""COMPUTED_VALUE"""),65.5)</f>
        <v>65.5</v>
      </c>
      <c r="E1450" s="2">
        <f>IFERROR(__xludf.DUMMYFUNCTION("""COMPUTED_VALUE"""),65.94)</f>
        <v>65.94</v>
      </c>
      <c r="F1450" s="2">
        <f>IFERROR(__xludf.DUMMYFUNCTION("""COMPUTED_VALUE"""),395009.0)</f>
        <v>395009</v>
      </c>
    </row>
    <row r="1451">
      <c r="A1451" s="3">
        <f>IFERROR(__xludf.DUMMYFUNCTION("""COMPUTED_VALUE"""),38642.645833333336)</f>
        <v>38642.64583</v>
      </c>
      <c r="B1451" s="2">
        <f>IFERROR(__xludf.DUMMYFUNCTION("""COMPUTED_VALUE"""),66.5)</f>
        <v>66.5</v>
      </c>
      <c r="C1451" s="2">
        <f>IFERROR(__xludf.DUMMYFUNCTION("""COMPUTED_VALUE"""),66.5)</f>
        <v>66.5</v>
      </c>
      <c r="D1451" s="2">
        <f>IFERROR(__xludf.DUMMYFUNCTION("""COMPUTED_VALUE"""),64.1)</f>
        <v>64.1</v>
      </c>
      <c r="E1451" s="2">
        <f>IFERROR(__xludf.DUMMYFUNCTION("""COMPUTED_VALUE"""),65.44)</f>
        <v>65.44</v>
      </c>
      <c r="F1451" s="2">
        <f>IFERROR(__xludf.DUMMYFUNCTION("""COMPUTED_VALUE"""),465241.0)</f>
        <v>465241</v>
      </c>
    </row>
    <row r="1452">
      <c r="A1452" s="3">
        <f>IFERROR(__xludf.DUMMYFUNCTION("""COMPUTED_VALUE"""),38643.645833333336)</f>
        <v>38643.64583</v>
      </c>
      <c r="B1452" s="2">
        <f>IFERROR(__xludf.DUMMYFUNCTION("""COMPUTED_VALUE"""),65.9)</f>
        <v>65.9</v>
      </c>
      <c r="C1452" s="2">
        <f>IFERROR(__xludf.DUMMYFUNCTION("""COMPUTED_VALUE"""),66.97)</f>
        <v>66.97</v>
      </c>
      <c r="D1452" s="2">
        <f>IFERROR(__xludf.DUMMYFUNCTION("""COMPUTED_VALUE"""),65.5)</f>
        <v>65.5</v>
      </c>
      <c r="E1452" s="2">
        <f>IFERROR(__xludf.DUMMYFUNCTION("""COMPUTED_VALUE"""),65.78)</f>
        <v>65.78</v>
      </c>
      <c r="F1452" s="2">
        <f>IFERROR(__xludf.DUMMYFUNCTION("""COMPUTED_VALUE"""),459665.0)</f>
        <v>459665</v>
      </c>
    </row>
    <row r="1453">
      <c r="A1453" s="3">
        <f>IFERROR(__xludf.DUMMYFUNCTION("""COMPUTED_VALUE"""),38644.645833333336)</f>
        <v>38644.64583</v>
      </c>
      <c r="B1453" s="2">
        <f>IFERROR(__xludf.DUMMYFUNCTION("""COMPUTED_VALUE"""),64.35)</f>
        <v>64.35</v>
      </c>
      <c r="C1453" s="2">
        <f>IFERROR(__xludf.DUMMYFUNCTION("""COMPUTED_VALUE"""),66.0)</f>
        <v>66</v>
      </c>
      <c r="D1453" s="2">
        <f>IFERROR(__xludf.DUMMYFUNCTION("""COMPUTED_VALUE"""),63.2)</f>
        <v>63.2</v>
      </c>
      <c r="E1453" s="2">
        <f>IFERROR(__xludf.DUMMYFUNCTION("""COMPUTED_VALUE"""),64.77)</f>
        <v>64.77</v>
      </c>
      <c r="F1453" s="2">
        <f>IFERROR(__xludf.DUMMYFUNCTION("""COMPUTED_VALUE"""),290631.0)</f>
        <v>290631</v>
      </c>
    </row>
    <row r="1454">
      <c r="A1454" s="3">
        <f>IFERROR(__xludf.DUMMYFUNCTION("""COMPUTED_VALUE"""),38645.645833333336)</f>
        <v>38645.64583</v>
      </c>
      <c r="B1454" s="2">
        <f>IFERROR(__xludf.DUMMYFUNCTION("""COMPUTED_VALUE"""),65.1)</f>
        <v>65.1</v>
      </c>
      <c r="C1454" s="2">
        <f>IFERROR(__xludf.DUMMYFUNCTION("""COMPUTED_VALUE"""),65.3)</f>
        <v>65.3</v>
      </c>
      <c r="D1454" s="2">
        <f>IFERROR(__xludf.DUMMYFUNCTION("""COMPUTED_VALUE"""),64.01)</f>
        <v>64.01</v>
      </c>
      <c r="E1454" s="2">
        <f>IFERROR(__xludf.DUMMYFUNCTION("""COMPUTED_VALUE"""),64.39)</f>
        <v>64.39</v>
      </c>
      <c r="F1454" s="2">
        <f>IFERROR(__xludf.DUMMYFUNCTION("""COMPUTED_VALUE"""),359116.0)</f>
        <v>359116</v>
      </c>
    </row>
    <row r="1455">
      <c r="A1455" s="3">
        <f>IFERROR(__xludf.DUMMYFUNCTION("""COMPUTED_VALUE"""),38646.645833333336)</f>
        <v>38646.64583</v>
      </c>
      <c r="B1455" s="2">
        <f>IFERROR(__xludf.DUMMYFUNCTION("""COMPUTED_VALUE"""),66.0)</f>
        <v>66</v>
      </c>
      <c r="C1455" s="2">
        <f>IFERROR(__xludf.DUMMYFUNCTION("""COMPUTED_VALUE"""),66.0)</f>
        <v>66</v>
      </c>
      <c r="D1455" s="2">
        <f>IFERROR(__xludf.DUMMYFUNCTION("""COMPUTED_VALUE"""),64.2)</f>
        <v>64.2</v>
      </c>
      <c r="E1455" s="2">
        <f>IFERROR(__xludf.DUMMYFUNCTION("""COMPUTED_VALUE"""),64.77)</f>
        <v>64.77</v>
      </c>
      <c r="F1455" s="2">
        <f>IFERROR(__xludf.DUMMYFUNCTION("""COMPUTED_VALUE"""),356760.0)</f>
        <v>356760</v>
      </c>
    </row>
    <row r="1456">
      <c r="A1456" s="3">
        <f>IFERROR(__xludf.DUMMYFUNCTION("""COMPUTED_VALUE"""),38649.645833333336)</f>
        <v>38649.64583</v>
      </c>
      <c r="B1456" s="2">
        <f>IFERROR(__xludf.DUMMYFUNCTION("""COMPUTED_VALUE"""),65.27)</f>
        <v>65.27</v>
      </c>
      <c r="C1456" s="2">
        <f>IFERROR(__xludf.DUMMYFUNCTION("""COMPUTED_VALUE"""),65.27)</f>
        <v>65.27</v>
      </c>
      <c r="D1456" s="2">
        <f>IFERROR(__xludf.DUMMYFUNCTION("""COMPUTED_VALUE"""),62.83)</f>
        <v>62.83</v>
      </c>
      <c r="E1456" s="2">
        <f>IFERROR(__xludf.DUMMYFUNCTION("""COMPUTED_VALUE"""),63.55)</f>
        <v>63.55</v>
      </c>
      <c r="F1456" s="2">
        <f>IFERROR(__xludf.DUMMYFUNCTION("""COMPUTED_VALUE"""),269989.0)</f>
        <v>269989</v>
      </c>
    </row>
    <row r="1457">
      <c r="A1457" s="3">
        <f>IFERROR(__xludf.DUMMYFUNCTION("""COMPUTED_VALUE"""),38650.645833333336)</f>
        <v>38650.64583</v>
      </c>
      <c r="B1457" s="2">
        <f>IFERROR(__xludf.DUMMYFUNCTION("""COMPUTED_VALUE"""),64.45)</f>
        <v>64.45</v>
      </c>
      <c r="C1457" s="2">
        <f>IFERROR(__xludf.DUMMYFUNCTION("""COMPUTED_VALUE"""),64.45)</f>
        <v>64.45</v>
      </c>
      <c r="D1457" s="2">
        <f>IFERROR(__xludf.DUMMYFUNCTION("""COMPUTED_VALUE"""),62.23)</f>
        <v>62.23</v>
      </c>
      <c r="E1457" s="2">
        <f>IFERROR(__xludf.DUMMYFUNCTION("""COMPUTED_VALUE"""),63.07)</f>
        <v>63.07</v>
      </c>
      <c r="F1457" s="2">
        <f>IFERROR(__xludf.DUMMYFUNCTION("""COMPUTED_VALUE"""),531576.0)</f>
        <v>531576</v>
      </c>
    </row>
    <row r="1458">
      <c r="A1458" s="3">
        <f>IFERROR(__xludf.DUMMYFUNCTION("""COMPUTED_VALUE"""),38651.645833333336)</f>
        <v>38651.64583</v>
      </c>
      <c r="B1458" s="2">
        <f>IFERROR(__xludf.DUMMYFUNCTION("""COMPUTED_VALUE"""),64.0)</f>
        <v>64</v>
      </c>
      <c r="C1458" s="2">
        <f>IFERROR(__xludf.DUMMYFUNCTION("""COMPUTED_VALUE"""),64.0)</f>
        <v>64</v>
      </c>
      <c r="D1458" s="2">
        <f>IFERROR(__xludf.DUMMYFUNCTION("""COMPUTED_VALUE"""),62.7)</f>
        <v>62.7</v>
      </c>
      <c r="E1458" s="2">
        <f>IFERROR(__xludf.DUMMYFUNCTION("""COMPUTED_VALUE"""),63.01)</f>
        <v>63.01</v>
      </c>
      <c r="F1458" s="2">
        <f>IFERROR(__xludf.DUMMYFUNCTION("""COMPUTED_VALUE"""),382281.0)</f>
        <v>382281</v>
      </c>
    </row>
    <row r="1459">
      <c r="A1459" s="3">
        <f>IFERROR(__xludf.DUMMYFUNCTION("""COMPUTED_VALUE"""),38652.645833333336)</f>
        <v>38652.64583</v>
      </c>
      <c r="B1459" s="2">
        <f>IFERROR(__xludf.DUMMYFUNCTION("""COMPUTED_VALUE"""),63.1)</f>
        <v>63.1</v>
      </c>
      <c r="C1459" s="2">
        <f>IFERROR(__xludf.DUMMYFUNCTION("""COMPUTED_VALUE"""),63.29)</f>
        <v>63.29</v>
      </c>
      <c r="D1459" s="2">
        <f>IFERROR(__xludf.DUMMYFUNCTION("""COMPUTED_VALUE"""),62.02)</f>
        <v>62.02</v>
      </c>
      <c r="E1459" s="2">
        <f>IFERROR(__xludf.DUMMYFUNCTION("""COMPUTED_VALUE"""),62.46)</f>
        <v>62.46</v>
      </c>
      <c r="F1459" s="2">
        <f>IFERROR(__xludf.DUMMYFUNCTION("""COMPUTED_VALUE"""),734225.0)</f>
        <v>734225</v>
      </c>
    </row>
    <row r="1460">
      <c r="A1460" s="3">
        <f>IFERROR(__xludf.DUMMYFUNCTION("""COMPUTED_VALUE"""),38653.645833333336)</f>
        <v>38653.64583</v>
      </c>
      <c r="B1460" s="2">
        <f>IFERROR(__xludf.DUMMYFUNCTION("""COMPUTED_VALUE"""),62.2)</f>
        <v>62.2</v>
      </c>
      <c r="C1460" s="2">
        <f>IFERROR(__xludf.DUMMYFUNCTION("""COMPUTED_VALUE"""),62.2)</f>
        <v>62.2</v>
      </c>
      <c r="D1460" s="2">
        <f>IFERROR(__xludf.DUMMYFUNCTION("""COMPUTED_VALUE"""),60.3)</f>
        <v>60.3</v>
      </c>
      <c r="E1460" s="2">
        <f>IFERROR(__xludf.DUMMYFUNCTION("""COMPUTED_VALUE"""),61.1)</f>
        <v>61.1</v>
      </c>
      <c r="F1460" s="2">
        <f>IFERROR(__xludf.DUMMYFUNCTION("""COMPUTED_VALUE"""),398580.0)</f>
        <v>398580</v>
      </c>
    </row>
    <row r="1461">
      <c r="A1461" s="3">
        <f>IFERROR(__xludf.DUMMYFUNCTION("""COMPUTED_VALUE"""),38656.645833333336)</f>
        <v>38656.64583</v>
      </c>
      <c r="B1461" s="2">
        <f>IFERROR(__xludf.DUMMYFUNCTION("""COMPUTED_VALUE"""),61.23)</f>
        <v>61.23</v>
      </c>
      <c r="C1461" s="2">
        <f>IFERROR(__xludf.DUMMYFUNCTION("""COMPUTED_VALUE"""),62.6)</f>
        <v>62.6</v>
      </c>
      <c r="D1461" s="2">
        <f>IFERROR(__xludf.DUMMYFUNCTION("""COMPUTED_VALUE"""),60.4)</f>
        <v>60.4</v>
      </c>
      <c r="E1461" s="2">
        <f>IFERROR(__xludf.DUMMYFUNCTION("""COMPUTED_VALUE"""),60.67)</f>
        <v>60.67</v>
      </c>
      <c r="F1461" s="2">
        <f>IFERROR(__xludf.DUMMYFUNCTION("""COMPUTED_VALUE"""),437405.0)</f>
        <v>437405</v>
      </c>
    </row>
    <row r="1462">
      <c r="A1462" s="3">
        <f>IFERROR(__xludf.DUMMYFUNCTION("""COMPUTED_VALUE"""),38657.645833333336)</f>
        <v>38657.64583</v>
      </c>
      <c r="B1462" s="2">
        <f>IFERROR(__xludf.DUMMYFUNCTION("""COMPUTED_VALUE"""),62.4)</f>
        <v>62.4</v>
      </c>
      <c r="C1462" s="2">
        <f>IFERROR(__xludf.DUMMYFUNCTION("""COMPUTED_VALUE"""),63.48)</f>
        <v>63.48</v>
      </c>
      <c r="D1462" s="2">
        <f>IFERROR(__xludf.DUMMYFUNCTION("""COMPUTED_VALUE"""),62.01)</f>
        <v>62.01</v>
      </c>
      <c r="E1462" s="2">
        <f>IFERROR(__xludf.DUMMYFUNCTION("""COMPUTED_VALUE"""),62.95)</f>
        <v>62.95</v>
      </c>
      <c r="F1462" s="2">
        <f>IFERROR(__xludf.DUMMYFUNCTION("""COMPUTED_VALUE"""),51973.0)</f>
        <v>51973</v>
      </c>
    </row>
    <row r="1463">
      <c r="A1463" s="3">
        <f>IFERROR(__xludf.DUMMYFUNCTION("""COMPUTED_VALUE"""),38658.645833333336)</f>
        <v>38658.64583</v>
      </c>
      <c r="B1463" s="2">
        <f>IFERROR(__xludf.DUMMYFUNCTION("""COMPUTED_VALUE"""),61.55)</f>
        <v>61.55</v>
      </c>
      <c r="C1463" s="2">
        <f>IFERROR(__xludf.DUMMYFUNCTION("""COMPUTED_VALUE"""),64.98)</f>
        <v>64.98</v>
      </c>
      <c r="D1463" s="2">
        <f>IFERROR(__xludf.DUMMYFUNCTION("""COMPUTED_VALUE"""),61.55)</f>
        <v>61.55</v>
      </c>
      <c r="E1463" s="2">
        <f>IFERROR(__xludf.DUMMYFUNCTION("""COMPUTED_VALUE"""),62.07)</f>
        <v>62.07</v>
      </c>
      <c r="F1463" s="2">
        <f>IFERROR(__xludf.DUMMYFUNCTION("""COMPUTED_VALUE"""),571075.0)</f>
        <v>571075</v>
      </c>
    </row>
    <row r="1464">
      <c r="A1464" s="3">
        <f>IFERROR(__xludf.DUMMYFUNCTION("""COMPUTED_VALUE"""),38663.645833333336)</f>
        <v>38663.64583</v>
      </c>
      <c r="B1464" s="2">
        <f>IFERROR(__xludf.DUMMYFUNCTION("""COMPUTED_VALUE"""),62.5)</f>
        <v>62.5</v>
      </c>
      <c r="C1464" s="2">
        <f>IFERROR(__xludf.DUMMYFUNCTION("""COMPUTED_VALUE"""),63.5)</f>
        <v>63.5</v>
      </c>
      <c r="D1464" s="2">
        <f>IFERROR(__xludf.DUMMYFUNCTION("""COMPUTED_VALUE"""),61.61)</f>
        <v>61.61</v>
      </c>
      <c r="E1464" s="2">
        <f>IFERROR(__xludf.DUMMYFUNCTION("""COMPUTED_VALUE"""),62.53)</f>
        <v>62.53</v>
      </c>
      <c r="F1464" s="2">
        <f>IFERROR(__xludf.DUMMYFUNCTION("""COMPUTED_VALUE"""),4984646.0)</f>
        <v>4984646</v>
      </c>
    </row>
    <row r="1465">
      <c r="A1465" s="3">
        <f>IFERROR(__xludf.DUMMYFUNCTION("""COMPUTED_VALUE"""),38664.645833333336)</f>
        <v>38664.64583</v>
      </c>
      <c r="B1465" s="2">
        <f>IFERROR(__xludf.DUMMYFUNCTION("""COMPUTED_VALUE"""),63.5)</f>
        <v>63.5</v>
      </c>
      <c r="C1465" s="2">
        <f>IFERROR(__xludf.DUMMYFUNCTION("""COMPUTED_VALUE"""),64.1)</f>
        <v>64.1</v>
      </c>
      <c r="D1465" s="2">
        <f>IFERROR(__xludf.DUMMYFUNCTION("""COMPUTED_VALUE"""),62.83)</f>
        <v>62.83</v>
      </c>
      <c r="E1465" s="2">
        <f>IFERROR(__xludf.DUMMYFUNCTION("""COMPUTED_VALUE"""),63.8)</f>
        <v>63.8</v>
      </c>
      <c r="F1465" s="2">
        <f>IFERROR(__xludf.DUMMYFUNCTION("""COMPUTED_VALUE"""),659793.0)</f>
        <v>659793</v>
      </c>
    </row>
    <row r="1466">
      <c r="A1466" s="3">
        <f>IFERROR(__xludf.DUMMYFUNCTION("""COMPUTED_VALUE"""),38665.645833333336)</f>
        <v>38665.64583</v>
      </c>
      <c r="B1466" s="2">
        <f>IFERROR(__xludf.DUMMYFUNCTION("""COMPUTED_VALUE"""),64.3)</f>
        <v>64.3</v>
      </c>
      <c r="C1466" s="2">
        <f>IFERROR(__xludf.DUMMYFUNCTION("""COMPUTED_VALUE"""),64.8)</f>
        <v>64.8</v>
      </c>
      <c r="D1466" s="2">
        <f>IFERROR(__xludf.DUMMYFUNCTION("""COMPUTED_VALUE"""),62.4)</f>
        <v>62.4</v>
      </c>
      <c r="E1466" s="2">
        <f>IFERROR(__xludf.DUMMYFUNCTION("""COMPUTED_VALUE"""),63.19)</f>
        <v>63.19</v>
      </c>
      <c r="F1466" s="2">
        <f>IFERROR(__xludf.DUMMYFUNCTION("""COMPUTED_VALUE"""),831328.0)</f>
        <v>831328</v>
      </c>
    </row>
    <row r="1467">
      <c r="A1467" s="3">
        <f>IFERROR(__xludf.DUMMYFUNCTION("""COMPUTED_VALUE"""),38666.645833333336)</f>
        <v>38666.64583</v>
      </c>
      <c r="B1467" s="2">
        <f>IFERROR(__xludf.DUMMYFUNCTION("""COMPUTED_VALUE"""),63.1)</f>
        <v>63.1</v>
      </c>
      <c r="C1467" s="2">
        <f>IFERROR(__xludf.DUMMYFUNCTION("""COMPUTED_VALUE"""),63.5)</f>
        <v>63.5</v>
      </c>
      <c r="D1467" s="2">
        <f>IFERROR(__xludf.DUMMYFUNCTION("""COMPUTED_VALUE"""),62.41)</f>
        <v>62.41</v>
      </c>
      <c r="E1467" s="2">
        <f>IFERROR(__xludf.DUMMYFUNCTION("""COMPUTED_VALUE"""),63.08)</f>
        <v>63.08</v>
      </c>
      <c r="F1467" s="2">
        <f>IFERROR(__xludf.DUMMYFUNCTION("""COMPUTED_VALUE"""),670294.0)</f>
        <v>670294</v>
      </c>
    </row>
    <row r="1468">
      <c r="A1468" s="3">
        <f>IFERROR(__xludf.DUMMYFUNCTION("""COMPUTED_VALUE"""),38667.645833333336)</f>
        <v>38667.64583</v>
      </c>
      <c r="B1468" s="2">
        <f>IFERROR(__xludf.DUMMYFUNCTION("""COMPUTED_VALUE"""),63.08)</f>
        <v>63.08</v>
      </c>
      <c r="C1468" s="2">
        <f>IFERROR(__xludf.DUMMYFUNCTION("""COMPUTED_VALUE"""),64.0)</f>
        <v>64</v>
      </c>
      <c r="D1468" s="2">
        <f>IFERROR(__xludf.DUMMYFUNCTION("""COMPUTED_VALUE"""),62.73)</f>
        <v>62.73</v>
      </c>
      <c r="E1468" s="2">
        <f>IFERROR(__xludf.DUMMYFUNCTION("""COMPUTED_VALUE"""),63.52)</f>
        <v>63.52</v>
      </c>
      <c r="F1468" s="2">
        <f>IFERROR(__xludf.DUMMYFUNCTION("""COMPUTED_VALUE"""),781262.0)</f>
        <v>781262</v>
      </c>
    </row>
    <row r="1469">
      <c r="A1469" s="3">
        <f>IFERROR(__xludf.DUMMYFUNCTION("""COMPUTED_VALUE"""),38670.645833333336)</f>
        <v>38670.64583</v>
      </c>
      <c r="B1469" s="2">
        <f>IFERROR(__xludf.DUMMYFUNCTION("""COMPUTED_VALUE"""),64.7)</f>
        <v>64.7</v>
      </c>
      <c r="C1469" s="2">
        <f>IFERROR(__xludf.DUMMYFUNCTION("""COMPUTED_VALUE"""),68.2)</f>
        <v>68.2</v>
      </c>
      <c r="D1469" s="2">
        <f>IFERROR(__xludf.DUMMYFUNCTION("""COMPUTED_VALUE"""),64.2)</f>
        <v>64.2</v>
      </c>
      <c r="E1469" s="2">
        <f>IFERROR(__xludf.DUMMYFUNCTION("""COMPUTED_VALUE"""),67.58)</f>
        <v>67.58</v>
      </c>
      <c r="F1469" s="2">
        <f>IFERROR(__xludf.DUMMYFUNCTION("""COMPUTED_VALUE"""),919579.0)</f>
        <v>919579</v>
      </c>
    </row>
    <row r="1470">
      <c r="A1470" s="3">
        <f>IFERROR(__xludf.DUMMYFUNCTION("""COMPUTED_VALUE"""),38672.645833333336)</f>
        <v>38672.64583</v>
      </c>
      <c r="B1470" s="2">
        <f>IFERROR(__xludf.DUMMYFUNCTION("""COMPUTED_VALUE"""),67.5)</f>
        <v>67.5</v>
      </c>
      <c r="C1470" s="2">
        <f>IFERROR(__xludf.DUMMYFUNCTION("""COMPUTED_VALUE"""),70.0)</f>
        <v>70</v>
      </c>
      <c r="D1470" s="2">
        <f>IFERROR(__xludf.DUMMYFUNCTION("""COMPUTED_VALUE"""),67.21)</f>
        <v>67.21</v>
      </c>
      <c r="E1470" s="2">
        <f>IFERROR(__xludf.DUMMYFUNCTION("""COMPUTED_VALUE"""),69.0)</f>
        <v>69</v>
      </c>
      <c r="F1470" s="2">
        <f>IFERROR(__xludf.DUMMYFUNCTION("""COMPUTED_VALUE"""),578880.0)</f>
        <v>578880</v>
      </c>
    </row>
    <row r="1471">
      <c r="A1471" s="3">
        <f>IFERROR(__xludf.DUMMYFUNCTION("""COMPUTED_VALUE"""),38673.645833333336)</f>
        <v>38673.64583</v>
      </c>
      <c r="B1471" s="2">
        <f>IFERROR(__xludf.DUMMYFUNCTION("""COMPUTED_VALUE"""),69.5)</f>
        <v>69.5</v>
      </c>
      <c r="C1471" s="2">
        <f>IFERROR(__xludf.DUMMYFUNCTION("""COMPUTED_VALUE"""),70.01)</f>
        <v>70.01</v>
      </c>
      <c r="D1471" s="2">
        <f>IFERROR(__xludf.DUMMYFUNCTION("""COMPUTED_VALUE"""),69.03)</f>
        <v>69.03</v>
      </c>
      <c r="E1471" s="2">
        <f>IFERROR(__xludf.DUMMYFUNCTION("""COMPUTED_VALUE"""),69.88)</f>
        <v>69.88</v>
      </c>
      <c r="F1471" s="2">
        <f>IFERROR(__xludf.DUMMYFUNCTION("""COMPUTED_VALUE"""),408481.0)</f>
        <v>408481</v>
      </c>
    </row>
    <row r="1472">
      <c r="A1472" s="3">
        <f>IFERROR(__xludf.DUMMYFUNCTION("""COMPUTED_VALUE"""),38674.645833333336)</f>
        <v>38674.64583</v>
      </c>
      <c r="B1472" s="2">
        <f>IFERROR(__xludf.DUMMYFUNCTION("""COMPUTED_VALUE"""),70.0)</f>
        <v>70</v>
      </c>
      <c r="C1472" s="2">
        <f>IFERROR(__xludf.DUMMYFUNCTION("""COMPUTED_VALUE"""),70.7)</f>
        <v>70.7</v>
      </c>
      <c r="D1472" s="2">
        <f>IFERROR(__xludf.DUMMYFUNCTION("""COMPUTED_VALUE"""),69.61)</f>
        <v>69.61</v>
      </c>
      <c r="E1472" s="2">
        <f>IFERROR(__xludf.DUMMYFUNCTION("""COMPUTED_VALUE"""),69.93)</f>
        <v>69.93</v>
      </c>
      <c r="F1472" s="2">
        <f>IFERROR(__xludf.DUMMYFUNCTION("""COMPUTED_VALUE"""),177636.0)</f>
        <v>177636</v>
      </c>
    </row>
    <row r="1473">
      <c r="A1473" s="3">
        <f>IFERROR(__xludf.DUMMYFUNCTION("""COMPUTED_VALUE"""),38677.645833333336)</f>
        <v>38677.64583</v>
      </c>
      <c r="B1473" s="2">
        <f>IFERROR(__xludf.DUMMYFUNCTION("""COMPUTED_VALUE"""),69.93)</f>
        <v>69.93</v>
      </c>
      <c r="C1473" s="2">
        <f>IFERROR(__xludf.DUMMYFUNCTION("""COMPUTED_VALUE"""),69.93)</f>
        <v>69.93</v>
      </c>
      <c r="D1473" s="2">
        <f>IFERROR(__xludf.DUMMYFUNCTION("""COMPUTED_VALUE"""),67.6)</f>
        <v>67.6</v>
      </c>
      <c r="E1473" s="2">
        <f>IFERROR(__xludf.DUMMYFUNCTION("""COMPUTED_VALUE"""),67.97)</f>
        <v>67.97</v>
      </c>
      <c r="F1473" s="2">
        <f>IFERROR(__xludf.DUMMYFUNCTION("""COMPUTED_VALUE"""),392630.0)</f>
        <v>392630</v>
      </c>
    </row>
    <row r="1474">
      <c r="A1474" s="3">
        <f>IFERROR(__xludf.DUMMYFUNCTION("""COMPUTED_VALUE"""),38678.645833333336)</f>
        <v>38678.64583</v>
      </c>
      <c r="B1474" s="2">
        <f>IFERROR(__xludf.DUMMYFUNCTION("""COMPUTED_VALUE"""),68.3)</f>
        <v>68.3</v>
      </c>
      <c r="C1474" s="2">
        <f>IFERROR(__xludf.DUMMYFUNCTION("""COMPUTED_VALUE"""),69.19)</f>
        <v>69.19</v>
      </c>
      <c r="D1474" s="2">
        <f>IFERROR(__xludf.DUMMYFUNCTION("""COMPUTED_VALUE"""),67.42)</f>
        <v>67.42</v>
      </c>
      <c r="E1474" s="2">
        <f>IFERROR(__xludf.DUMMYFUNCTION("""COMPUTED_VALUE"""),67.75)</f>
        <v>67.75</v>
      </c>
      <c r="F1474" s="2">
        <f>IFERROR(__xludf.DUMMYFUNCTION("""COMPUTED_VALUE"""),420691.0)</f>
        <v>420691</v>
      </c>
    </row>
    <row r="1475">
      <c r="A1475" s="3">
        <f>IFERROR(__xludf.DUMMYFUNCTION("""COMPUTED_VALUE"""),38679.645833333336)</f>
        <v>38679.64583</v>
      </c>
      <c r="B1475" s="2">
        <f>IFERROR(__xludf.DUMMYFUNCTION("""COMPUTED_VALUE"""),67.9)</f>
        <v>67.9</v>
      </c>
      <c r="C1475" s="2">
        <f>IFERROR(__xludf.DUMMYFUNCTION("""COMPUTED_VALUE"""),69.5)</f>
        <v>69.5</v>
      </c>
      <c r="D1475" s="2">
        <f>IFERROR(__xludf.DUMMYFUNCTION("""COMPUTED_VALUE"""),67.6)</f>
        <v>67.6</v>
      </c>
      <c r="E1475" s="2">
        <f>IFERROR(__xludf.DUMMYFUNCTION("""COMPUTED_VALUE"""),68.95)</f>
        <v>68.95</v>
      </c>
      <c r="F1475" s="2">
        <f>IFERROR(__xludf.DUMMYFUNCTION("""COMPUTED_VALUE"""),237735.0)</f>
        <v>237735</v>
      </c>
    </row>
    <row r="1476">
      <c r="A1476" s="3">
        <f>IFERROR(__xludf.DUMMYFUNCTION("""COMPUTED_VALUE"""),38680.645833333336)</f>
        <v>38680.64583</v>
      </c>
      <c r="B1476" s="2">
        <f>IFERROR(__xludf.DUMMYFUNCTION("""COMPUTED_VALUE"""),70.4)</f>
        <v>70.4</v>
      </c>
      <c r="C1476" s="2">
        <f>IFERROR(__xludf.DUMMYFUNCTION("""COMPUTED_VALUE"""),70.4)</f>
        <v>70.4</v>
      </c>
      <c r="D1476" s="2">
        <f>IFERROR(__xludf.DUMMYFUNCTION("""COMPUTED_VALUE"""),68.6)</f>
        <v>68.6</v>
      </c>
      <c r="E1476" s="2">
        <f>IFERROR(__xludf.DUMMYFUNCTION("""COMPUTED_VALUE"""),69.11)</f>
        <v>69.11</v>
      </c>
      <c r="F1476" s="2">
        <f>IFERROR(__xludf.DUMMYFUNCTION("""COMPUTED_VALUE"""),398574.0)</f>
        <v>398574</v>
      </c>
    </row>
    <row r="1477">
      <c r="A1477" s="3">
        <f>IFERROR(__xludf.DUMMYFUNCTION("""COMPUTED_VALUE"""),38681.645833333336)</f>
        <v>38681.64583</v>
      </c>
      <c r="B1477" s="2">
        <f>IFERROR(__xludf.DUMMYFUNCTION("""COMPUTED_VALUE"""),69.3)</f>
        <v>69.3</v>
      </c>
      <c r="C1477" s="2">
        <f>IFERROR(__xludf.DUMMYFUNCTION("""COMPUTED_VALUE"""),69.88)</f>
        <v>69.88</v>
      </c>
      <c r="D1477" s="2">
        <f>IFERROR(__xludf.DUMMYFUNCTION("""COMPUTED_VALUE"""),69.13)</f>
        <v>69.13</v>
      </c>
      <c r="E1477" s="2">
        <f>IFERROR(__xludf.DUMMYFUNCTION("""COMPUTED_VALUE"""),69.77)</f>
        <v>69.77</v>
      </c>
      <c r="F1477" s="2">
        <f>IFERROR(__xludf.DUMMYFUNCTION("""COMPUTED_VALUE"""),279498.0)</f>
        <v>279498</v>
      </c>
    </row>
    <row r="1478">
      <c r="A1478" s="3">
        <f>IFERROR(__xludf.DUMMYFUNCTION("""COMPUTED_VALUE"""),38684.645833333336)</f>
        <v>38684.64583</v>
      </c>
      <c r="B1478" s="2">
        <f>IFERROR(__xludf.DUMMYFUNCTION("""COMPUTED_VALUE"""),69.9)</f>
        <v>69.9</v>
      </c>
      <c r="C1478" s="2">
        <f>IFERROR(__xludf.DUMMYFUNCTION("""COMPUTED_VALUE"""),70.4)</f>
        <v>70.4</v>
      </c>
      <c r="D1478" s="2">
        <f>IFERROR(__xludf.DUMMYFUNCTION("""COMPUTED_VALUE"""),69.2)</f>
        <v>69.2</v>
      </c>
      <c r="E1478" s="2">
        <f>IFERROR(__xludf.DUMMYFUNCTION("""COMPUTED_VALUE"""),69.57)</f>
        <v>69.57</v>
      </c>
      <c r="F1478" s="2">
        <f>IFERROR(__xludf.DUMMYFUNCTION("""COMPUTED_VALUE"""),238612.0)</f>
        <v>238612</v>
      </c>
    </row>
    <row r="1479">
      <c r="A1479" s="3">
        <f>IFERROR(__xludf.DUMMYFUNCTION("""COMPUTED_VALUE"""),38685.645833333336)</f>
        <v>38685.64583</v>
      </c>
      <c r="B1479" s="2">
        <f>IFERROR(__xludf.DUMMYFUNCTION("""COMPUTED_VALUE"""),69.68)</f>
        <v>69.68</v>
      </c>
      <c r="C1479" s="2">
        <f>IFERROR(__xludf.DUMMYFUNCTION("""COMPUTED_VALUE"""),69.68)</f>
        <v>69.68</v>
      </c>
      <c r="D1479" s="2">
        <f>IFERROR(__xludf.DUMMYFUNCTION("""COMPUTED_VALUE"""),68.03)</f>
        <v>68.03</v>
      </c>
      <c r="E1479" s="2">
        <f>IFERROR(__xludf.DUMMYFUNCTION("""COMPUTED_VALUE"""),68.49)</f>
        <v>68.49</v>
      </c>
      <c r="F1479" s="2">
        <f>IFERROR(__xludf.DUMMYFUNCTION("""COMPUTED_VALUE"""),214953.0)</f>
        <v>214953</v>
      </c>
    </row>
    <row r="1480">
      <c r="A1480" s="3">
        <f>IFERROR(__xludf.DUMMYFUNCTION("""COMPUTED_VALUE"""),38686.645833333336)</f>
        <v>38686.64583</v>
      </c>
      <c r="B1480" s="2">
        <f>IFERROR(__xludf.DUMMYFUNCTION("""COMPUTED_VALUE"""),68.6)</f>
        <v>68.6</v>
      </c>
      <c r="C1480" s="2">
        <f>IFERROR(__xludf.DUMMYFUNCTION("""COMPUTED_VALUE"""),70.2)</f>
        <v>70.2</v>
      </c>
      <c r="D1480" s="2">
        <f>IFERROR(__xludf.DUMMYFUNCTION("""COMPUTED_VALUE"""),68.11)</f>
        <v>68.11</v>
      </c>
      <c r="E1480" s="2">
        <f>IFERROR(__xludf.DUMMYFUNCTION("""COMPUTED_VALUE"""),68.69)</f>
        <v>68.69</v>
      </c>
      <c r="F1480" s="2">
        <f>IFERROR(__xludf.DUMMYFUNCTION("""COMPUTED_VALUE"""),385314.0)</f>
        <v>385314</v>
      </c>
    </row>
    <row r="1481">
      <c r="A1481" s="3">
        <f>IFERROR(__xludf.DUMMYFUNCTION("""COMPUTED_VALUE"""),38687.645833333336)</f>
        <v>38687.64583</v>
      </c>
      <c r="B1481" s="2">
        <f>IFERROR(__xludf.DUMMYFUNCTION("""COMPUTED_VALUE"""),68.71)</f>
        <v>68.71</v>
      </c>
      <c r="C1481" s="2">
        <f>IFERROR(__xludf.DUMMYFUNCTION("""COMPUTED_VALUE"""),70.01)</f>
        <v>70.01</v>
      </c>
      <c r="D1481" s="2">
        <f>IFERROR(__xludf.DUMMYFUNCTION("""COMPUTED_VALUE"""),67.65)</f>
        <v>67.65</v>
      </c>
      <c r="E1481" s="2">
        <f>IFERROR(__xludf.DUMMYFUNCTION("""COMPUTED_VALUE"""),69.68)</f>
        <v>69.68</v>
      </c>
      <c r="F1481" s="2">
        <f>IFERROR(__xludf.DUMMYFUNCTION("""COMPUTED_VALUE"""),236651.0)</f>
        <v>236651</v>
      </c>
    </row>
    <row r="1482">
      <c r="A1482" s="3">
        <f>IFERROR(__xludf.DUMMYFUNCTION("""COMPUTED_VALUE"""),38688.645833333336)</f>
        <v>38688.64583</v>
      </c>
      <c r="B1482" s="2">
        <f>IFERROR(__xludf.DUMMYFUNCTION("""COMPUTED_VALUE"""),70.0)</f>
        <v>70</v>
      </c>
      <c r="C1482" s="2">
        <f>IFERROR(__xludf.DUMMYFUNCTION("""COMPUTED_VALUE"""),71.39)</f>
        <v>71.39</v>
      </c>
      <c r="D1482" s="2">
        <f>IFERROR(__xludf.DUMMYFUNCTION("""COMPUTED_VALUE"""),69.5)</f>
        <v>69.5</v>
      </c>
      <c r="E1482" s="2">
        <f>IFERROR(__xludf.DUMMYFUNCTION("""COMPUTED_VALUE"""),69.87)</f>
        <v>69.87</v>
      </c>
      <c r="F1482" s="2">
        <f>IFERROR(__xludf.DUMMYFUNCTION("""COMPUTED_VALUE"""),336589.0)</f>
        <v>336589</v>
      </c>
    </row>
    <row r="1483">
      <c r="A1483" s="3">
        <f>IFERROR(__xludf.DUMMYFUNCTION("""COMPUTED_VALUE"""),38691.645833333336)</f>
        <v>38691.64583</v>
      </c>
      <c r="B1483" s="2">
        <f>IFERROR(__xludf.DUMMYFUNCTION("""COMPUTED_VALUE"""),70.0)</f>
        <v>70</v>
      </c>
      <c r="C1483" s="2">
        <f>IFERROR(__xludf.DUMMYFUNCTION("""COMPUTED_VALUE"""),70.1)</f>
        <v>70.1</v>
      </c>
      <c r="D1483" s="2">
        <f>IFERROR(__xludf.DUMMYFUNCTION("""COMPUTED_VALUE"""),68.5)</f>
        <v>68.5</v>
      </c>
      <c r="E1483" s="2">
        <f>IFERROR(__xludf.DUMMYFUNCTION("""COMPUTED_VALUE"""),68.74)</f>
        <v>68.74</v>
      </c>
      <c r="F1483" s="2">
        <f>IFERROR(__xludf.DUMMYFUNCTION("""COMPUTED_VALUE"""),152248.0)</f>
        <v>152248</v>
      </c>
    </row>
    <row r="1484">
      <c r="A1484" s="3">
        <f>IFERROR(__xludf.DUMMYFUNCTION("""COMPUTED_VALUE"""),38692.645833333336)</f>
        <v>38692.64583</v>
      </c>
      <c r="B1484" s="2">
        <f>IFERROR(__xludf.DUMMYFUNCTION("""COMPUTED_VALUE"""),68.2)</f>
        <v>68.2</v>
      </c>
      <c r="C1484" s="2">
        <f>IFERROR(__xludf.DUMMYFUNCTION("""COMPUTED_VALUE"""),69.39)</f>
        <v>69.39</v>
      </c>
      <c r="D1484" s="2">
        <f>IFERROR(__xludf.DUMMYFUNCTION("""COMPUTED_VALUE"""),67.71)</f>
        <v>67.71</v>
      </c>
      <c r="E1484" s="2">
        <f>IFERROR(__xludf.DUMMYFUNCTION("""COMPUTED_VALUE"""),68.1)</f>
        <v>68.1</v>
      </c>
      <c r="F1484" s="2">
        <f>IFERROR(__xludf.DUMMYFUNCTION("""COMPUTED_VALUE"""),150058.0)</f>
        <v>150058</v>
      </c>
    </row>
    <row r="1485">
      <c r="A1485" s="3">
        <f>IFERROR(__xludf.DUMMYFUNCTION("""COMPUTED_VALUE"""),38693.645833333336)</f>
        <v>38693.64583</v>
      </c>
      <c r="B1485" s="2">
        <f>IFERROR(__xludf.DUMMYFUNCTION("""COMPUTED_VALUE"""),68.11)</f>
        <v>68.11</v>
      </c>
      <c r="C1485" s="2">
        <f>IFERROR(__xludf.DUMMYFUNCTION("""COMPUTED_VALUE"""),69.78)</f>
        <v>69.78</v>
      </c>
      <c r="D1485" s="2">
        <f>IFERROR(__xludf.DUMMYFUNCTION("""COMPUTED_VALUE"""),68.1)</f>
        <v>68.1</v>
      </c>
      <c r="E1485" s="2">
        <f>IFERROR(__xludf.DUMMYFUNCTION("""COMPUTED_VALUE"""),69.4)</f>
        <v>69.4</v>
      </c>
      <c r="F1485" s="2">
        <f>IFERROR(__xludf.DUMMYFUNCTION("""COMPUTED_VALUE"""),194073.0)</f>
        <v>194073</v>
      </c>
    </row>
    <row r="1486">
      <c r="A1486" s="3">
        <f>IFERROR(__xludf.DUMMYFUNCTION("""COMPUTED_VALUE"""),38694.645833333336)</f>
        <v>38694.64583</v>
      </c>
      <c r="B1486" s="2">
        <f>IFERROR(__xludf.DUMMYFUNCTION("""COMPUTED_VALUE"""),69.4)</f>
        <v>69.4</v>
      </c>
      <c r="C1486" s="2">
        <f>IFERROR(__xludf.DUMMYFUNCTION("""COMPUTED_VALUE"""),69.65)</f>
        <v>69.65</v>
      </c>
      <c r="D1486" s="2">
        <f>IFERROR(__xludf.DUMMYFUNCTION("""COMPUTED_VALUE"""),68.66)</f>
        <v>68.66</v>
      </c>
      <c r="E1486" s="2">
        <f>IFERROR(__xludf.DUMMYFUNCTION("""COMPUTED_VALUE"""),68.83)</f>
        <v>68.83</v>
      </c>
      <c r="F1486" s="2">
        <f>IFERROR(__xludf.DUMMYFUNCTION("""COMPUTED_VALUE"""),353692.0)</f>
        <v>353692</v>
      </c>
    </row>
    <row r="1487">
      <c r="A1487" s="3">
        <f>IFERROR(__xludf.DUMMYFUNCTION("""COMPUTED_VALUE"""),38695.645833333336)</f>
        <v>38695.64583</v>
      </c>
      <c r="B1487" s="2">
        <f>IFERROR(__xludf.DUMMYFUNCTION("""COMPUTED_VALUE"""),69.0)</f>
        <v>69</v>
      </c>
      <c r="C1487" s="2">
        <f>IFERROR(__xludf.DUMMYFUNCTION("""COMPUTED_VALUE"""),69.48)</f>
        <v>69.48</v>
      </c>
      <c r="D1487" s="2">
        <f>IFERROR(__xludf.DUMMYFUNCTION("""COMPUTED_VALUE"""),68.0)</f>
        <v>68</v>
      </c>
      <c r="E1487" s="2">
        <f>IFERROR(__xludf.DUMMYFUNCTION("""COMPUTED_VALUE"""),68.8)</f>
        <v>68.8</v>
      </c>
      <c r="F1487" s="2">
        <f>IFERROR(__xludf.DUMMYFUNCTION("""COMPUTED_VALUE"""),177900.0)</f>
        <v>177900</v>
      </c>
    </row>
    <row r="1488">
      <c r="A1488" s="3">
        <f>IFERROR(__xludf.DUMMYFUNCTION("""COMPUTED_VALUE"""),38698.645833333336)</f>
        <v>38698.64583</v>
      </c>
      <c r="B1488" s="2">
        <f>IFERROR(__xludf.DUMMYFUNCTION("""COMPUTED_VALUE"""),69.3)</f>
        <v>69.3</v>
      </c>
      <c r="C1488" s="2">
        <f>IFERROR(__xludf.DUMMYFUNCTION("""COMPUTED_VALUE"""),70.1)</f>
        <v>70.1</v>
      </c>
      <c r="D1488" s="2">
        <f>IFERROR(__xludf.DUMMYFUNCTION("""COMPUTED_VALUE"""),68.41)</f>
        <v>68.41</v>
      </c>
      <c r="E1488" s="2">
        <f>IFERROR(__xludf.DUMMYFUNCTION("""COMPUTED_VALUE"""),68.76)</f>
        <v>68.76</v>
      </c>
      <c r="F1488" s="2">
        <f>IFERROR(__xludf.DUMMYFUNCTION("""COMPUTED_VALUE"""),330029.0)</f>
        <v>330029</v>
      </c>
    </row>
    <row r="1489">
      <c r="A1489" s="3">
        <f>IFERROR(__xludf.DUMMYFUNCTION("""COMPUTED_VALUE"""),38699.645833333336)</f>
        <v>38699.64583</v>
      </c>
      <c r="B1489" s="2">
        <f>IFERROR(__xludf.DUMMYFUNCTION("""COMPUTED_VALUE"""),69.4)</f>
        <v>69.4</v>
      </c>
      <c r="C1489" s="2">
        <f>IFERROR(__xludf.DUMMYFUNCTION("""COMPUTED_VALUE"""),70.4)</f>
        <v>70.4</v>
      </c>
      <c r="D1489" s="2">
        <f>IFERROR(__xludf.DUMMYFUNCTION("""COMPUTED_VALUE"""),68.53)</f>
        <v>68.53</v>
      </c>
      <c r="E1489" s="2">
        <f>IFERROR(__xludf.DUMMYFUNCTION("""COMPUTED_VALUE"""),69.48)</f>
        <v>69.48</v>
      </c>
      <c r="F1489" s="2">
        <f>IFERROR(__xludf.DUMMYFUNCTION("""COMPUTED_VALUE"""),572098.0)</f>
        <v>572098</v>
      </c>
    </row>
    <row r="1490">
      <c r="A1490" s="3">
        <f>IFERROR(__xludf.DUMMYFUNCTION("""COMPUTED_VALUE"""),38700.645833333336)</f>
        <v>38700.64583</v>
      </c>
      <c r="B1490" s="2">
        <f>IFERROR(__xludf.DUMMYFUNCTION("""COMPUTED_VALUE"""),69.7)</f>
        <v>69.7</v>
      </c>
      <c r="C1490" s="2">
        <f>IFERROR(__xludf.DUMMYFUNCTION("""COMPUTED_VALUE"""),72.3)</f>
        <v>72.3</v>
      </c>
      <c r="D1490" s="2">
        <f>IFERROR(__xludf.DUMMYFUNCTION("""COMPUTED_VALUE"""),69.63)</f>
        <v>69.63</v>
      </c>
      <c r="E1490" s="2">
        <f>IFERROR(__xludf.DUMMYFUNCTION("""COMPUTED_VALUE"""),71.86)</f>
        <v>71.86</v>
      </c>
      <c r="F1490" s="2">
        <f>IFERROR(__xludf.DUMMYFUNCTION("""COMPUTED_VALUE"""),829679.0)</f>
        <v>829679</v>
      </c>
    </row>
    <row r="1491">
      <c r="A1491" s="3">
        <f>IFERROR(__xludf.DUMMYFUNCTION("""COMPUTED_VALUE"""),38701.645833333336)</f>
        <v>38701.64583</v>
      </c>
      <c r="B1491" s="2">
        <f>IFERROR(__xludf.DUMMYFUNCTION("""COMPUTED_VALUE"""),72.4)</f>
        <v>72.4</v>
      </c>
      <c r="C1491" s="2">
        <f>IFERROR(__xludf.DUMMYFUNCTION("""COMPUTED_VALUE"""),73.4)</f>
        <v>73.4</v>
      </c>
      <c r="D1491" s="2">
        <f>IFERROR(__xludf.DUMMYFUNCTION("""COMPUTED_VALUE"""),70.09)</f>
        <v>70.09</v>
      </c>
      <c r="E1491" s="2">
        <f>IFERROR(__xludf.DUMMYFUNCTION("""COMPUTED_VALUE"""),70.39)</f>
        <v>70.39</v>
      </c>
      <c r="F1491" s="2">
        <f>IFERROR(__xludf.DUMMYFUNCTION("""COMPUTED_VALUE"""),299536.0)</f>
        <v>299536</v>
      </c>
    </row>
    <row r="1492">
      <c r="A1492" s="3">
        <f>IFERROR(__xludf.DUMMYFUNCTION("""COMPUTED_VALUE"""),38702.645833333336)</f>
        <v>38702.64583</v>
      </c>
      <c r="B1492" s="2">
        <f>IFERROR(__xludf.DUMMYFUNCTION("""COMPUTED_VALUE"""),70.15)</f>
        <v>70.15</v>
      </c>
      <c r="C1492" s="2">
        <f>IFERROR(__xludf.DUMMYFUNCTION("""COMPUTED_VALUE"""),70.97)</f>
        <v>70.97</v>
      </c>
      <c r="D1492" s="2">
        <f>IFERROR(__xludf.DUMMYFUNCTION("""COMPUTED_VALUE"""),68.81)</f>
        <v>68.81</v>
      </c>
      <c r="E1492" s="2">
        <f>IFERROR(__xludf.DUMMYFUNCTION("""COMPUTED_VALUE"""),70.08)</f>
        <v>70.08</v>
      </c>
      <c r="F1492" s="2">
        <f>IFERROR(__xludf.DUMMYFUNCTION("""COMPUTED_VALUE"""),508638.0)</f>
        <v>508638</v>
      </c>
    </row>
    <row r="1493">
      <c r="A1493" s="3">
        <f>IFERROR(__xludf.DUMMYFUNCTION("""COMPUTED_VALUE"""),38705.645833333336)</f>
        <v>38705.64583</v>
      </c>
      <c r="B1493" s="2">
        <f>IFERROR(__xludf.DUMMYFUNCTION("""COMPUTED_VALUE"""),70.7)</f>
        <v>70.7</v>
      </c>
      <c r="C1493" s="2">
        <f>IFERROR(__xludf.DUMMYFUNCTION("""COMPUTED_VALUE"""),71.5)</f>
        <v>71.5</v>
      </c>
      <c r="D1493" s="2">
        <f>IFERROR(__xludf.DUMMYFUNCTION("""COMPUTED_VALUE"""),69.7)</f>
        <v>69.7</v>
      </c>
      <c r="E1493" s="2">
        <f>IFERROR(__xludf.DUMMYFUNCTION("""COMPUTED_VALUE"""),71.16)</f>
        <v>71.16</v>
      </c>
      <c r="F1493" s="2">
        <f>IFERROR(__xludf.DUMMYFUNCTION("""COMPUTED_VALUE"""),316233.0)</f>
        <v>316233</v>
      </c>
    </row>
    <row r="1494">
      <c r="A1494" s="3">
        <f>IFERROR(__xludf.DUMMYFUNCTION("""COMPUTED_VALUE"""),38706.645833333336)</f>
        <v>38706.64583</v>
      </c>
      <c r="B1494" s="2">
        <f>IFERROR(__xludf.DUMMYFUNCTION("""COMPUTED_VALUE"""),71.25)</f>
        <v>71.25</v>
      </c>
      <c r="C1494" s="2">
        <f>IFERROR(__xludf.DUMMYFUNCTION("""COMPUTED_VALUE"""),74.1)</f>
        <v>74.1</v>
      </c>
      <c r="D1494" s="2">
        <f>IFERROR(__xludf.DUMMYFUNCTION("""COMPUTED_VALUE"""),71.1)</f>
        <v>71.1</v>
      </c>
      <c r="E1494" s="2">
        <f>IFERROR(__xludf.DUMMYFUNCTION("""COMPUTED_VALUE"""),73.55)</f>
        <v>73.55</v>
      </c>
      <c r="F1494" s="2">
        <f>IFERROR(__xludf.DUMMYFUNCTION("""COMPUTED_VALUE"""),645905.0)</f>
        <v>645905</v>
      </c>
    </row>
    <row r="1495">
      <c r="A1495" s="3">
        <f>IFERROR(__xludf.DUMMYFUNCTION("""COMPUTED_VALUE"""),38707.645833333336)</f>
        <v>38707.64583</v>
      </c>
      <c r="B1495" s="2">
        <f>IFERROR(__xludf.DUMMYFUNCTION("""COMPUTED_VALUE"""),74.44)</f>
        <v>74.44</v>
      </c>
      <c r="C1495" s="2">
        <f>IFERROR(__xludf.DUMMYFUNCTION("""COMPUTED_VALUE"""),74.8)</f>
        <v>74.8</v>
      </c>
      <c r="D1495" s="2">
        <f>IFERROR(__xludf.DUMMYFUNCTION("""COMPUTED_VALUE"""),72.12)</f>
        <v>72.12</v>
      </c>
      <c r="E1495" s="2">
        <f>IFERROR(__xludf.DUMMYFUNCTION("""COMPUTED_VALUE"""),72.7)</f>
        <v>72.7</v>
      </c>
      <c r="F1495" s="2">
        <f>IFERROR(__xludf.DUMMYFUNCTION("""COMPUTED_VALUE"""),426286.0)</f>
        <v>426286</v>
      </c>
    </row>
    <row r="1496">
      <c r="A1496" s="3">
        <f>IFERROR(__xludf.DUMMYFUNCTION("""COMPUTED_VALUE"""),38708.645833333336)</f>
        <v>38708.64583</v>
      </c>
      <c r="B1496" s="2">
        <f>IFERROR(__xludf.DUMMYFUNCTION("""COMPUTED_VALUE"""),73.0)</f>
        <v>73</v>
      </c>
      <c r="C1496" s="2">
        <f>IFERROR(__xludf.DUMMYFUNCTION("""COMPUTED_VALUE"""),74.7)</f>
        <v>74.7</v>
      </c>
      <c r="D1496" s="2">
        <f>IFERROR(__xludf.DUMMYFUNCTION("""COMPUTED_VALUE"""),72.5)</f>
        <v>72.5</v>
      </c>
      <c r="E1496" s="2">
        <f>IFERROR(__xludf.DUMMYFUNCTION("""COMPUTED_VALUE"""),74.22)</f>
        <v>74.22</v>
      </c>
      <c r="F1496" s="2">
        <f>IFERROR(__xludf.DUMMYFUNCTION("""COMPUTED_VALUE"""),290066.0)</f>
        <v>290066</v>
      </c>
    </row>
    <row r="1497">
      <c r="A1497" s="3">
        <f>IFERROR(__xludf.DUMMYFUNCTION("""COMPUTED_VALUE"""),38709.645833333336)</f>
        <v>38709.64583</v>
      </c>
      <c r="B1497" s="2">
        <f>IFERROR(__xludf.DUMMYFUNCTION("""COMPUTED_VALUE"""),74.1)</f>
        <v>74.1</v>
      </c>
      <c r="C1497" s="2">
        <f>IFERROR(__xludf.DUMMYFUNCTION("""COMPUTED_VALUE"""),74.85)</f>
        <v>74.85</v>
      </c>
      <c r="D1497" s="2">
        <f>IFERROR(__xludf.DUMMYFUNCTION("""COMPUTED_VALUE"""),71.5)</f>
        <v>71.5</v>
      </c>
      <c r="E1497" s="2">
        <f>IFERROR(__xludf.DUMMYFUNCTION("""COMPUTED_VALUE"""),72.03)</f>
        <v>72.03</v>
      </c>
      <c r="F1497" s="2">
        <f>IFERROR(__xludf.DUMMYFUNCTION("""COMPUTED_VALUE"""),234431.0)</f>
        <v>234431</v>
      </c>
    </row>
    <row r="1498">
      <c r="A1498" s="3">
        <f>IFERROR(__xludf.DUMMYFUNCTION("""COMPUTED_VALUE"""),38712.645833333336)</f>
        <v>38712.64583</v>
      </c>
      <c r="B1498" s="2">
        <f>IFERROR(__xludf.DUMMYFUNCTION("""COMPUTED_VALUE"""),71.8)</f>
        <v>71.8</v>
      </c>
      <c r="C1498" s="2">
        <f>IFERROR(__xludf.DUMMYFUNCTION("""COMPUTED_VALUE"""),72.48)</f>
        <v>72.48</v>
      </c>
      <c r="D1498" s="2">
        <f>IFERROR(__xludf.DUMMYFUNCTION("""COMPUTED_VALUE"""),70.0)</f>
        <v>70</v>
      </c>
      <c r="E1498" s="2">
        <f>IFERROR(__xludf.DUMMYFUNCTION("""COMPUTED_VALUE"""),70.84)</f>
        <v>70.84</v>
      </c>
      <c r="F1498" s="2">
        <f>IFERROR(__xludf.DUMMYFUNCTION("""COMPUTED_VALUE"""),239735.0)</f>
        <v>239735</v>
      </c>
    </row>
    <row r="1499">
      <c r="A1499" s="3">
        <f>IFERROR(__xludf.DUMMYFUNCTION("""COMPUTED_VALUE"""),38713.645833333336)</f>
        <v>38713.64583</v>
      </c>
      <c r="B1499" s="2">
        <f>IFERROR(__xludf.DUMMYFUNCTION("""COMPUTED_VALUE"""),70.2)</f>
        <v>70.2</v>
      </c>
      <c r="C1499" s="2">
        <f>IFERROR(__xludf.DUMMYFUNCTION("""COMPUTED_VALUE"""),71.49)</f>
        <v>71.49</v>
      </c>
      <c r="D1499" s="2">
        <f>IFERROR(__xludf.DUMMYFUNCTION("""COMPUTED_VALUE"""),70.01)</f>
        <v>70.01</v>
      </c>
      <c r="E1499" s="2">
        <f>IFERROR(__xludf.DUMMYFUNCTION("""COMPUTED_VALUE"""),70.84)</f>
        <v>70.84</v>
      </c>
      <c r="F1499" s="2">
        <f>IFERROR(__xludf.DUMMYFUNCTION("""COMPUTED_VALUE"""),235553.0)</f>
        <v>235553</v>
      </c>
    </row>
    <row r="1500">
      <c r="A1500" s="3">
        <f>IFERROR(__xludf.DUMMYFUNCTION("""COMPUTED_VALUE"""),38714.645833333336)</f>
        <v>38714.64583</v>
      </c>
      <c r="B1500" s="2">
        <f>IFERROR(__xludf.DUMMYFUNCTION("""COMPUTED_VALUE"""),71.8)</f>
        <v>71.8</v>
      </c>
      <c r="C1500" s="2">
        <f>IFERROR(__xludf.DUMMYFUNCTION("""COMPUTED_VALUE"""),72.7)</f>
        <v>72.7</v>
      </c>
      <c r="D1500" s="2">
        <f>IFERROR(__xludf.DUMMYFUNCTION("""COMPUTED_VALUE"""),70.03)</f>
        <v>70.03</v>
      </c>
      <c r="E1500" s="2">
        <f>IFERROR(__xludf.DUMMYFUNCTION("""COMPUTED_VALUE"""),70.27)</f>
        <v>70.27</v>
      </c>
      <c r="F1500" s="2">
        <f>IFERROR(__xludf.DUMMYFUNCTION("""COMPUTED_VALUE"""),325585.0)</f>
        <v>325585</v>
      </c>
    </row>
    <row r="1501">
      <c r="A1501" s="3">
        <f>IFERROR(__xludf.DUMMYFUNCTION("""COMPUTED_VALUE"""),38715.645833333336)</f>
        <v>38715.64583</v>
      </c>
      <c r="B1501" s="2">
        <f>IFERROR(__xludf.DUMMYFUNCTION("""COMPUTED_VALUE"""),71.0)</f>
        <v>71</v>
      </c>
      <c r="C1501" s="2">
        <f>IFERROR(__xludf.DUMMYFUNCTION("""COMPUTED_VALUE"""),71.25)</f>
        <v>71.25</v>
      </c>
      <c r="D1501" s="2">
        <f>IFERROR(__xludf.DUMMYFUNCTION("""COMPUTED_VALUE"""),70.4)</f>
        <v>70.4</v>
      </c>
      <c r="E1501" s="2">
        <f>IFERROR(__xludf.DUMMYFUNCTION("""COMPUTED_VALUE"""),70.65)</f>
        <v>70.65</v>
      </c>
      <c r="F1501" s="2">
        <f>IFERROR(__xludf.DUMMYFUNCTION("""COMPUTED_VALUE"""),237254.0)</f>
        <v>237254</v>
      </c>
    </row>
    <row r="1502">
      <c r="A1502" s="3">
        <f>IFERROR(__xludf.DUMMYFUNCTION("""COMPUTED_VALUE"""),38716.645833333336)</f>
        <v>38716.64583</v>
      </c>
      <c r="B1502" s="2">
        <f>IFERROR(__xludf.DUMMYFUNCTION("""COMPUTED_VALUE"""),71.3)</f>
        <v>71.3</v>
      </c>
      <c r="C1502" s="2">
        <f>IFERROR(__xludf.DUMMYFUNCTION("""COMPUTED_VALUE"""),71.3)</f>
        <v>71.3</v>
      </c>
      <c r="D1502" s="2">
        <f>IFERROR(__xludf.DUMMYFUNCTION("""COMPUTED_VALUE"""),70.33)</f>
        <v>70.33</v>
      </c>
      <c r="E1502" s="2">
        <f>IFERROR(__xludf.DUMMYFUNCTION("""COMPUTED_VALUE"""),70.88)</f>
        <v>70.88</v>
      </c>
      <c r="F1502" s="2">
        <f>IFERROR(__xludf.DUMMYFUNCTION("""COMPUTED_VALUE"""),212710.0)</f>
        <v>212710</v>
      </c>
    </row>
    <row r="1503">
      <c r="A1503" s="3">
        <f>IFERROR(__xludf.DUMMYFUNCTION("""COMPUTED_VALUE"""),38719.645833333336)</f>
        <v>38719.64583</v>
      </c>
      <c r="B1503" s="2">
        <f>IFERROR(__xludf.DUMMYFUNCTION("""COMPUTED_VALUE"""),70.88)</f>
        <v>70.88</v>
      </c>
      <c r="C1503" s="2">
        <f>IFERROR(__xludf.DUMMYFUNCTION("""COMPUTED_VALUE"""),72.0)</f>
        <v>72</v>
      </c>
      <c r="D1503" s="2">
        <f>IFERROR(__xludf.DUMMYFUNCTION("""COMPUTED_VALUE"""),70.7)</f>
        <v>70.7</v>
      </c>
      <c r="E1503" s="2">
        <f>IFERROR(__xludf.DUMMYFUNCTION("""COMPUTED_VALUE"""),71.35)</f>
        <v>71.35</v>
      </c>
      <c r="F1503" s="2">
        <f>IFERROR(__xludf.DUMMYFUNCTION("""COMPUTED_VALUE"""),268552.0)</f>
        <v>268552</v>
      </c>
    </row>
    <row r="1504">
      <c r="A1504" s="3">
        <f>IFERROR(__xludf.DUMMYFUNCTION("""COMPUTED_VALUE"""),38720.645833333336)</f>
        <v>38720.64583</v>
      </c>
      <c r="B1504" s="2">
        <f>IFERROR(__xludf.DUMMYFUNCTION("""COMPUTED_VALUE"""),68.0)</f>
        <v>68</v>
      </c>
      <c r="C1504" s="2">
        <f>IFERROR(__xludf.DUMMYFUNCTION("""COMPUTED_VALUE"""),71.8)</f>
        <v>71.8</v>
      </c>
      <c r="D1504" s="2">
        <f>IFERROR(__xludf.DUMMYFUNCTION("""COMPUTED_VALUE"""),68.0)</f>
        <v>68</v>
      </c>
      <c r="E1504" s="2">
        <f>IFERROR(__xludf.DUMMYFUNCTION("""COMPUTED_VALUE"""),71.33)</f>
        <v>71.33</v>
      </c>
      <c r="F1504" s="2">
        <f>IFERROR(__xludf.DUMMYFUNCTION("""COMPUTED_VALUE"""),128279.0)</f>
        <v>128279</v>
      </c>
    </row>
    <row r="1505">
      <c r="A1505" s="3">
        <f>IFERROR(__xludf.DUMMYFUNCTION("""COMPUTED_VALUE"""),38721.645833333336)</f>
        <v>38721.64583</v>
      </c>
      <c r="B1505" s="2">
        <f>IFERROR(__xludf.DUMMYFUNCTION("""COMPUTED_VALUE"""),72.0)</f>
        <v>72</v>
      </c>
      <c r="C1505" s="2">
        <f>IFERROR(__xludf.DUMMYFUNCTION("""COMPUTED_VALUE"""),73.51)</f>
        <v>73.51</v>
      </c>
      <c r="D1505" s="2">
        <f>IFERROR(__xludf.DUMMYFUNCTION("""COMPUTED_VALUE"""),71.4)</f>
        <v>71.4</v>
      </c>
      <c r="E1505" s="2">
        <f>IFERROR(__xludf.DUMMYFUNCTION("""COMPUTED_VALUE"""),73.21)</f>
        <v>73.21</v>
      </c>
      <c r="F1505" s="2">
        <f>IFERROR(__xludf.DUMMYFUNCTION("""COMPUTED_VALUE"""),536992.0)</f>
        <v>536992</v>
      </c>
    </row>
    <row r="1506">
      <c r="A1506" s="3">
        <f>IFERROR(__xludf.DUMMYFUNCTION("""COMPUTED_VALUE"""),38722.645833333336)</f>
        <v>38722.64583</v>
      </c>
      <c r="B1506" s="2">
        <f>IFERROR(__xludf.DUMMYFUNCTION("""COMPUTED_VALUE"""),73.2)</f>
        <v>73.2</v>
      </c>
      <c r="C1506" s="2">
        <f>IFERROR(__xludf.DUMMYFUNCTION("""COMPUTED_VALUE"""),74.3)</f>
        <v>74.3</v>
      </c>
      <c r="D1506" s="2">
        <f>IFERROR(__xludf.DUMMYFUNCTION("""COMPUTED_VALUE"""),72.53)</f>
        <v>72.53</v>
      </c>
      <c r="E1506" s="2">
        <f>IFERROR(__xludf.DUMMYFUNCTION("""COMPUTED_VALUE"""),73.95)</f>
        <v>73.95</v>
      </c>
      <c r="F1506" s="2">
        <f>IFERROR(__xludf.DUMMYFUNCTION("""COMPUTED_VALUE"""),385350.0)</f>
        <v>385350</v>
      </c>
    </row>
    <row r="1507">
      <c r="A1507" s="3">
        <f>IFERROR(__xludf.DUMMYFUNCTION("""COMPUTED_VALUE"""),38723.645833333336)</f>
        <v>38723.64583</v>
      </c>
      <c r="B1507" s="2">
        <f>IFERROR(__xludf.DUMMYFUNCTION("""COMPUTED_VALUE"""),74.0)</f>
        <v>74</v>
      </c>
      <c r="C1507" s="2">
        <f>IFERROR(__xludf.DUMMYFUNCTION("""COMPUTED_VALUE"""),77.5)</f>
        <v>77.5</v>
      </c>
      <c r="D1507" s="2">
        <f>IFERROR(__xludf.DUMMYFUNCTION("""COMPUTED_VALUE"""),73.0)</f>
        <v>73</v>
      </c>
      <c r="E1507" s="2">
        <f>IFERROR(__xludf.DUMMYFUNCTION("""COMPUTED_VALUE"""),76.9)</f>
        <v>76.9</v>
      </c>
      <c r="F1507" s="2">
        <f>IFERROR(__xludf.DUMMYFUNCTION("""COMPUTED_VALUE"""),861686.0)</f>
        <v>861686</v>
      </c>
    </row>
    <row r="1508">
      <c r="A1508" s="3">
        <f>IFERROR(__xludf.DUMMYFUNCTION("""COMPUTED_VALUE"""),38726.645833333336)</f>
        <v>38726.64583</v>
      </c>
      <c r="B1508" s="2">
        <f>IFERROR(__xludf.DUMMYFUNCTION("""COMPUTED_VALUE"""),75.82)</f>
        <v>75.82</v>
      </c>
      <c r="C1508" s="2">
        <f>IFERROR(__xludf.DUMMYFUNCTION("""COMPUTED_VALUE"""),77.3)</f>
        <v>77.3</v>
      </c>
      <c r="D1508" s="2">
        <f>IFERROR(__xludf.DUMMYFUNCTION("""COMPUTED_VALUE"""),74.0)</f>
        <v>74</v>
      </c>
      <c r="E1508" s="2">
        <f>IFERROR(__xludf.DUMMYFUNCTION("""COMPUTED_VALUE"""),76.48)</f>
        <v>76.48</v>
      </c>
      <c r="F1508" s="2">
        <f>IFERROR(__xludf.DUMMYFUNCTION("""COMPUTED_VALUE"""),551770.0)</f>
        <v>551770</v>
      </c>
    </row>
    <row r="1509">
      <c r="A1509" s="3">
        <f>IFERROR(__xludf.DUMMYFUNCTION("""COMPUTED_VALUE"""),38727.645833333336)</f>
        <v>38727.64583</v>
      </c>
      <c r="B1509" s="2">
        <f>IFERROR(__xludf.DUMMYFUNCTION("""COMPUTED_VALUE"""),76.49)</f>
        <v>76.49</v>
      </c>
      <c r="C1509" s="2">
        <f>IFERROR(__xludf.DUMMYFUNCTION("""COMPUTED_VALUE"""),77.0)</f>
        <v>77</v>
      </c>
      <c r="D1509" s="2">
        <f>IFERROR(__xludf.DUMMYFUNCTION("""COMPUTED_VALUE"""),74.53)</f>
        <v>74.53</v>
      </c>
      <c r="E1509" s="2">
        <f>IFERROR(__xludf.DUMMYFUNCTION("""COMPUTED_VALUE"""),74.83)</f>
        <v>74.83</v>
      </c>
      <c r="F1509" s="2">
        <f>IFERROR(__xludf.DUMMYFUNCTION("""COMPUTED_VALUE"""),679980.0)</f>
        <v>679980</v>
      </c>
    </row>
    <row r="1510">
      <c r="A1510" s="3">
        <f>IFERROR(__xludf.DUMMYFUNCTION("""COMPUTED_VALUE"""),38729.645833333336)</f>
        <v>38729.64583</v>
      </c>
      <c r="B1510" s="2">
        <f>IFERROR(__xludf.DUMMYFUNCTION("""COMPUTED_VALUE"""),74.83)</f>
        <v>74.83</v>
      </c>
      <c r="C1510" s="2">
        <f>IFERROR(__xludf.DUMMYFUNCTION("""COMPUTED_VALUE"""),75.88)</f>
        <v>75.88</v>
      </c>
      <c r="D1510" s="2">
        <f>IFERROR(__xludf.DUMMYFUNCTION("""COMPUTED_VALUE"""),74.0)</f>
        <v>74</v>
      </c>
      <c r="E1510" s="2">
        <f>IFERROR(__xludf.DUMMYFUNCTION("""COMPUTED_VALUE"""),74.67)</f>
        <v>74.67</v>
      </c>
      <c r="F1510" s="2">
        <f>IFERROR(__xludf.DUMMYFUNCTION("""COMPUTED_VALUE"""),394951.0)</f>
        <v>394951</v>
      </c>
    </row>
    <row r="1511">
      <c r="A1511" s="3">
        <f>IFERROR(__xludf.DUMMYFUNCTION("""COMPUTED_VALUE"""),38730.645833333336)</f>
        <v>38730.64583</v>
      </c>
      <c r="B1511" s="2">
        <f>IFERROR(__xludf.DUMMYFUNCTION("""COMPUTED_VALUE"""),75.28)</f>
        <v>75.28</v>
      </c>
      <c r="C1511" s="2">
        <f>IFERROR(__xludf.DUMMYFUNCTION("""COMPUTED_VALUE"""),75.28)</f>
        <v>75.28</v>
      </c>
      <c r="D1511" s="2">
        <f>IFERROR(__xludf.DUMMYFUNCTION("""COMPUTED_VALUE"""),72.6)</f>
        <v>72.6</v>
      </c>
      <c r="E1511" s="2">
        <f>IFERROR(__xludf.DUMMYFUNCTION("""COMPUTED_VALUE"""),72.99)</f>
        <v>72.99</v>
      </c>
      <c r="F1511" s="2">
        <f>IFERROR(__xludf.DUMMYFUNCTION("""COMPUTED_VALUE"""),338288.0)</f>
        <v>338288</v>
      </c>
    </row>
    <row r="1512">
      <c r="A1512" s="3">
        <f>IFERROR(__xludf.DUMMYFUNCTION("""COMPUTED_VALUE"""),38733.645833333336)</f>
        <v>38733.64583</v>
      </c>
      <c r="B1512" s="2">
        <f>IFERROR(__xludf.DUMMYFUNCTION("""COMPUTED_VALUE"""),73.9)</f>
        <v>73.9</v>
      </c>
      <c r="C1512" s="2">
        <f>IFERROR(__xludf.DUMMYFUNCTION("""COMPUTED_VALUE"""),74.71)</f>
        <v>74.71</v>
      </c>
      <c r="D1512" s="2">
        <f>IFERROR(__xludf.DUMMYFUNCTION("""COMPUTED_VALUE"""),72.7)</f>
        <v>72.7</v>
      </c>
      <c r="E1512" s="2">
        <f>IFERROR(__xludf.DUMMYFUNCTION("""COMPUTED_VALUE"""),74.14)</f>
        <v>74.14</v>
      </c>
      <c r="F1512" s="2">
        <f>IFERROR(__xludf.DUMMYFUNCTION("""COMPUTED_VALUE"""),342812.0)</f>
        <v>342812</v>
      </c>
    </row>
    <row r="1513">
      <c r="A1513" s="3">
        <f>IFERROR(__xludf.DUMMYFUNCTION("""COMPUTED_VALUE"""),38734.645833333336)</f>
        <v>38734.64583</v>
      </c>
      <c r="B1513" s="2">
        <f>IFERROR(__xludf.DUMMYFUNCTION("""COMPUTED_VALUE"""),74.1)</f>
        <v>74.1</v>
      </c>
      <c r="C1513" s="2">
        <f>IFERROR(__xludf.DUMMYFUNCTION("""COMPUTED_VALUE"""),75.3)</f>
        <v>75.3</v>
      </c>
      <c r="D1513" s="2">
        <f>IFERROR(__xludf.DUMMYFUNCTION("""COMPUTED_VALUE"""),74.1)</f>
        <v>74.1</v>
      </c>
      <c r="E1513" s="2">
        <f>IFERROR(__xludf.DUMMYFUNCTION("""COMPUTED_VALUE"""),74.9)</f>
        <v>74.9</v>
      </c>
      <c r="F1513" s="2">
        <f>IFERROR(__xludf.DUMMYFUNCTION("""COMPUTED_VALUE"""),261012.0)</f>
        <v>261012</v>
      </c>
    </row>
    <row r="1514">
      <c r="A1514" s="3">
        <f>IFERROR(__xludf.DUMMYFUNCTION("""COMPUTED_VALUE"""),38735.645833333336)</f>
        <v>38735.64583</v>
      </c>
      <c r="B1514" s="2">
        <f>IFERROR(__xludf.DUMMYFUNCTION("""COMPUTED_VALUE"""),74.4)</f>
        <v>74.4</v>
      </c>
      <c r="C1514" s="2">
        <f>IFERROR(__xludf.DUMMYFUNCTION("""COMPUTED_VALUE"""),75.25)</f>
        <v>75.25</v>
      </c>
      <c r="D1514" s="2">
        <f>IFERROR(__xludf.DUMMYFUNCTION("""COMPUTED_VALUE"""),72.01)</f>
        <v>72.01</v>
      </c>
      <c r="E1514" s="2">
        <f>IFERROR(__xludf.DUMMYFUNCTION("""COMPUTED_VALUE"""),74.47)</f>
        <v>74.47</v>
      </c>
      <c r="F1514" s="2">
        <f>IFERROR(__xludf.DUMMYFUNCTION("""COMPUTED_VALUE"""),624486.0)</f>
        <v>624486</v>
      </c>
    </row>
    <row r="1515">
      <c r="A1515" s="3">
        <f>IFERROR(__xludf.DUMMYFUNCTION("""COMPUTED_VALUE"""),38736.645833333336)</f>
        <v>38736.64583</v>
      </c>
      <c r="B1515" s="2">
        <f>IFERROR(__xludf.DUMMYFUNCTION("""COMPUTED_VALUE"""),74.47)</f>
        <v>74.47</v>
      </c>
      <c r="C1515" s="2">
        <f>IFERROR(__xludf.DUMMYFUNCTION("""COMPUTED_VALUE"""),74.47)</f>
        <v>74.47</v>
      </c>
      <c r="D1515" s="2">
        <f>IFERROR(__xludf.DUMMYFUNCTION("""COMPUTED_VALUE"""),72.03)</f>
        <v>72.03</v>
      </c>
      <c r="E1515" s="2">
        <f>IFERROR(__xludf.DUMMYFUNCTION("""COMPUTED_VALUE"""),72.85)</f>
        <v>72.85</v>
      </c>
      <c r="F1515" s="2">
        <f>IFERROR(__xludf.DUMMYFUNCTION("""COMPUTED_VALUE"""),643350.0)</f>
        <v>643350</v>
      </c>
    </row>
    <row r="1516">
      <c r="A1516" s="3">
        <f>IFERROR(__xludf.DUMMYFUNCTION("""COMPUTED_VALUE"""),38737.645833333336)</f>
        <v>38737.64583</v>
      </c>
      <c r="B1516" s="2">
        <f>IFERROR(__xludf.DUMMYFUNCTION("""COMPUTED_VALUE"""),73.05)</f>
        <v>73.05</v>
      </c>
      <c r="C1516" s="2">
        <f>IFERROR(__xludf.DUMMYFUNCTION("""COMPUTED_VALUE"""),74.4)</f>
        <v>74.4</v>
      </c>
      <c r="D1516" s="2">
        <f>IFERROR(__xludf.DUMMYFUNCTION("""COMPUTED_VALUE"""),72.21)</f>
        <v>72.21</v>
      </c>
      <c r="E1516" s="2">
        <f>IFERROR(__xludf.DUMMYFUNCTION("""COMPUTED_VALUE"""),72.52)</f>
        <v>72.52</v>
      </c>
      <c r="F1516" s="2">
        <f>IFERROR(__xludf.DUMMYFUNCTION("""COMPUTED_VALUE"""),485215.0)</f>
        <v>485215</v>
      </c>
    </row>
    <row r="1517">
      <c r="A1517" s="3">
        <f>IFERROR(__xludf.DUMMYFUNCTION("""COMPUTED_VALUE"""),38740.645833333336)</f>
        <v>38740.64583</v>
      </c>
      <c r="B1517" s="2">
        <f>IFERROR(__xludf.DUMMYFUNCTION("""COMPUTED_VALUE"""),72.55)</f>
        <v>72.55</v>
      </c>
      <c r="C1517" s="2">
        <f>IFERROR(__xludf.DUMMYFUNCTION("""COMPUTED_VALUE"""),72.98)</f>
        <v>72.98</v>
      </c>
      <c r="D1517" s="2">
        <f>IFERROR(__xludf.DUMMYFUNCTION("""COMPUTED_VALUE"""),70.1)</f>
        <v>70.1</v>
      </c>
      <c r="E1517" s="2">
        <f>IFERROR(__xludf.DUMMYFUNCTION("""COMPUTED_VALUE"""),71.95)</f>
        <v>71.95</v>
      </c>
      <c r="F1517" s="2">
        <f>IFERROR(__xludf.DUMMYFUNCTION("""COMPUTED_VALUE"""),417751.0)</f>
        <v>417751</v>
      </c>
    </row>
    <row r="1518">
      <c r="A1518" s="3">
        <f>IFERROR(__xludf.DUMMYFUNCTION("""COMPUTED_VALUE"""),38741.645833333336)</f>
        <v>38741.64583</v>
      </c>
      <c r="B1518" s="2">
        <f>IFERROR(__xludf.DUMMYFUNCTION("""COMPUTED_VALUE"""),72.2)</f>
        <v>72.2</v>
      </c>
      <c r="C1518" s="2">
        <f>IFERROR(__xludf.DUMMYFUNCTION("""COMPUTED_VALUE"""),72.9)</f>
        <v>72.9</v>
      </c>
      <c r="D1518" s="2">
        <f>IFERROR(__xludf.DUMMYFUNCTION("""COMPUTED_VALUE"""),71.36)</f>
        <v>71.36</v>
      </c>
      <c r="E1518" s="2">
        <f>IFERROR(__xludf.DUMMYFUNCTION("""COMPUTED_VALUE"""),71.59)</f>
        <v>71.59</v>
      </c>
      <c r="F1518" s="2">
        <f>IFERROR(__xludf.DUMMYFUNCTION("""COMPUTED_VALUE"""),634509.0)</f>
        <v>634509</v>
      </c>
    </row>
    <row r="1519">
      <c r="A1519" s="3">
        <f>IFERROR(__xludf.DUMMYFUNCTION("""COMPUTED_VALUE"""),38742.645833333336)</f>
        <v>38742.64583</v>
      </c>
      <c r="B1519" s="2">
        <f>IFERROR(__xludf.DUMMYFUNCTION("""COMPUTED_VALUE"""),71.63)</f>
        <v>71.63</v>
      </c>
      <c r="C1519" s="2">
        <f>IFERROR(__xludf.DUMMYFUNCTION("""COMPUTED_VALUE"""),72.9)</f>
        <v>72.9</v>
      </c>
      <c r="D1519" s="2">
        <f>IFERROR(__xludf.DUMMYFUNCTION("""COMPUTED_VALUE"""),71.32)</f>
        <v>71.32</v>
      </c>
      <c r="E1519" s="2">
        <f>IFERROR(__xludf.DUMMYFUNCTION("""COMPUTED_VALUE"""),71.89)</f>
        <v>71.89</v>
      </c>
      <c r="F1519" s="2">
        <f>IFERROR(__xludf.DUMMYFUNCTION("""COMPUTED_VALUE"""),877702.0)</f>
        <v>877702</v>
      </c>
    </row>
    <row r="1520">
      <c r="A1520" s="3">
        <f>IFERROR(__xludf.DUMMYFUNCTION("""COMPUTED_VALUE"""),38744.645833333336)</f>
        <v>38744.64583</v>
      </c>
      <c r="B1520" s="2">
        <f>IFERROR(__xludf.DUMMYFUNCTION("""COMPUTED_VALUE"""),74.48)</f>
        <v>74.48</v>
      </c>
      <c r="C1520" s="2">
        <f>IFERROR(__xludf.DUMMYFUNCTION("""COMPUTED_VALUE"""),75.0)</f>
        <v>75</v>
      </c>
      <c r="D1520" s="2">
        <f>IFERROR(__xludf.DUMMYFUNCTION("""COMPUTED_VALUE"""),73.11)</f>
        <v>73.11</v>
      </c>
      <c r="E1520" s="2">
        <f>IFERROR(__xludf.DUMMYFUNCTION("""COMPUTED_VALUE"""),73.71)</f>
        <v>73.71</v>
      </c>
      <c r="F1520" s="2">
        <f>IFERROR(__xludf.DUMMYFUNCTION("""COMPUTED_VALUE"""),665114.0)</f>
        <v>665114</v>
      </c>
    </row>
    <row r="1521">
      <c r="A1521" s="3">
        <f>IFERROR(__xludf.DUMMYFUNCTION("""COMPUTED_VALUE"""),38747.645833333336)</f>
        <v>38747.64583</v>
      </c>
      <c r="B1521" s="2">
        <f>IFERROR(__xludf.DUMMYFUNCTION("""COMPUTED_VALUE"""),73.71)</f>
        <v>73.71</v>
      </c>
      <c r="C1521" s="2">
        <f>IFERROR(__xludf.DUMMYFUNCTION("""COMPUTED_VALUE"""),74.9)</f>
        <v>74.9</v>
      </c>
      <c r="D1521" s="2">
        <f>IFERROR(__xludf.DUMMYFUNCTION("""COMPUTED_VALUE"""),73.41)</f>
        <v>73.41</v>
      </c>
      <c r="E1521" s="2">
        <f>IFERROR(__xludf.DUMMYFUNCTION("""COMPUTED_VALUE"""),74.36)</f>
        <v>74.36</v>
      </c>
      <c r="F1521" s="2">
        <f>IFERROR(__xludf.DUMMYFUNCTION("""COMPUTED_VALUE"""),331146.0)</f>
        <v>331146</v>
      </c>
    </row>
    <row r="1522">
      <c r="A1522" s="3">
        <f>IFERROR(__xludf.DUMMYFUNCTION("""COMPUTED_VALUE"""),38748.645833333336)</f>
        <v>38748.64583</v>
      </c>
      <c r="B1522" s="2">
        <f>IFERROR(__xludf.DUMMYFUNCTION("""COMPUTED_VALUE"""),73.62)</f>
        <v>73.62</v>
      </c>
      <c r="C1522" s="2">
        <f>IFERROR(__xludf.DUMMYFUNCTION("""COMPUTED_VALUE"""),76.64)</f>
        <v>76.64</v>
      </c>
      <c r="D1522" s="2">
        <f>IFERROR(__xludf.DUMMYFUNCTION("""COMPUTED_VALUE"""),73.0)</f>
        <v>73</v>
      </c>
      <c r="E1522" s="2">
        <f>IFERROR(__xludf.DUMMYFUNCTION("""COMPUTED_VALUE"""),76.25)</f>
        <v>76.25</v>
      </c>
      <c r="F1522" s="2">
        <f>IFERROR(__xludf.DUMMYFUNCTION("""COMPUTED_VALUE"""),615004.0)</f>
        <v>615004</v>
      </c>
    </row>
    <row r="1523">
      <c r="A1523" s="3">
        <f>IFERROR(__xludf.DUMMYFUNCTION("""COMPUTED_VALUE"""),38749.645833333336)</f>
        <v>38749.64583</v>
      </c>
      <c r="B1523" s="2">
        <f>IFERROR(__xludf.DUMMYFUNCTION("""COMPUTED_VALUE"""),76.5)</f>
        <v>76.5</v>
      </c>
      <c r="C1523" s="2">
        <f>IFERROR(__xludf.DUMMYFUNCTION("""COMPUTED_VALUE"""),77.4)</f>
        <v>77.4</v>
      </c>
      <c r="D1523" s="2">
        <f>IFERROR(__xludf.DUMMYFUNCTION("""COMPUTED_VALUE"""),73.5)</f>
        <v>73.5</v>
      </c>
      <c r="E1523" s="2">
        <f>IFERROR(__xludf.DUMMYFUNCTION("""COMPUTED_VALUE"""),73.88)</f>
        <v>73.88</v>
      </c>
      <c r="F1523" s="2">
        <f>IFERROR(__xludf.DUMMYFUNCTION("""COMPUTED_VALUE"""),637204.0)</f>
        <v>637204</v>
      </c>
    </row>
    <row r="1524">
      <c r="A1524" s="3">
        <f>IFERROR(__xludf.DUMMYFUNCTION("""COMPUTED_VALUE"""),38750.645833333336)</f>
        <v>38750.64583</v>
      </c>
      <c r="B1524" s="2">
        <f>IFERROR(__xludf.DUMMYFUNCTION("""COMPUTED_VALUE"""),73.88)</f>
        <v>73.88</v>
      </c>
      <c r="C1524" s="2">
        <f>IFERROR(__xludf.DUMMYFUNCTION("""COMPUTED_VALUE"""),75.2)</f>
        <v>75.2</v>
      </c>
      <c r="D1524" s="2">
        <f>IFERROR(__xludf.DUMMYFUNCTION("""COMPUTED_VALUE"""),73.61)</f>
        <v>73.61</v>
      </c>
      <c r="E1524" s="2">
        <f>IFERROR(__xludf.DUMMYFUNCTION("""COMPUTED_VALUE"""),73.95)</f>
        <v>73.95</v>
      </c>
      <c r="F1524" s="2">
        <f>IFERROR(__xludf.DUMMYFUNCTION("""COMPUTED_VALUE"""),477656.0)</f>
        <v>477656</v>
      </c>
    </row>
    <row r="1525">
      <c r="A1525" s="3">
        <f>IFERROR(__xludf.DUMMYFUNCTION("""COMPUTED_VALUE"""),38751.645833333336)</f>
        <v>38751.64583</v>
      </c>
      <c r="B1525" s="2">
        <f>IFERROR(__xludf.DUMMYFUNCTION("""COMPUTED_VALUE"""),73.4)</f>
        <v>73.4</v>
      </c>
      <c r="C1525" s="2">
        <f>IFERROR(__xludf.DUMMYFUNCTION("""COMPUTED_VALUE"""),73.97)</f>
        <v>73.97</v>
      </c>
      <c r="D1525" s="2">
        <f>IFERROR(__xludf.DUMMYFUNCTION("""COMPUTED_VALUE"""),72.45)</f>
        <v>72.45</v>
      </c>
      <c r="E1525" s="2">
        <f>IFERROR(__xludf.DUMMYFUNCTION("""COMPUTED_VALUE"""),73.18)</f>
        <v>73.18</v>
      </c>
      <c r="F1525" s="2">
        <f>IFERROR(__xludf.DUMMYFUNCTION("""COMPUTED_VALUE"""),276902.0)</f>
        <v>276902</v>
      </c>
    </row>
    <row r="1526">
      <c r="A1526" s="3">
        <f>IFERROR(__xludf.DUMMYFUNCTION("""COMPUTED_VALUE"""),38754.645833333336)</f>
        <v>38754.64583</v>
      </c>
      <c r="B1526" s="2">
        <f>IFERROR(__xludf.DUMMYFUNCTION("""COMPUTED_VALUE"""),73.18)</f>
        <v>73.18</v>
      </c>
      <c r="C1526" s="2">
        <f>IFERROR(__xludf.DUMMYFUNCTION("""COMPUTED_VALUE"""),75.0)</f>
        <v>75</v>
      </c>
      <c r="D1526" s="2">
        <f>IFERROR(__xludf.DUMMYFUNCTION("""COMPUTED_VALUE"""),72.6)</f>
        <v>72.6</v>
      </c>
      <c r="E1526" s="2">
        <f>IFERROR(__xludf.DUMMYFUNCTION("""COMPUTED_VALUE"""),74.48)</f>
        <v>74.48</v>
      </c>
      <c r="F1526" s="2">
        <f>IFERROR(__xludf.DUMMYFUNCTION("""COMPUTED_VALUE"""),574649.0)</f>
        <v>574649</v>
      </c>
    </row>
    <row r="1527">
      <c r="A1527" s="3">
        <f>IFERROR(__xludf.DUMMYFUNCTION("""COMPUTED_VALUE"""),38755.645833333336)</f>
        <v>38755.64583</v>
      </c>
      <c r="B1527" s="2">
        <f>IFERROR(__xludf.DUMMYFUNCTION("""COMPUTED_VALUE"""),73.6)</f>
        <v>73.6</v>
      </c>
      <c r="C1527" s="2">
        <f>IFERROR(__xludf.DUMMYFUNCTION("""COMPUTED_VALUE"""),77.5)</f>
        <v>77.5</v>
      </c>
      <c r="D1527" s="2">
        <f>IFERROR(__xludf.DUMMYFUNCTION("""COMPUTED_VALUE"""),73.52)</f>
        <v>73.52</v>
      </c>
      <c r="E1527" s="2">
        <f>IFERROR(__xludf.DUMMYFUNCTION("""COMPUTED_VALUE"""),77.08)</f>
        <v>77.08</v>
      </c>
      <c r="F1527" s="2">
        <f>IFERROR(__xludf.DUMMYFUNCTION("""COMPUTED_VALUE"""),874349.0)</f>
        <v>874349</v>
      </c>
    </row>
    <row r="1528">
      <c r="A1528" s="3">
        <f>IFERROR(__xludf.DUMMYFUNCTION("""COMPUTED_VALUE"""),38756.645833333336)</f>
        <v>38756.64583</v>
      </c>
      <c r="B1528" s="2">
        <f>IFERROR(__xludf.DUMMYFUNCTION("""COMPUTED_VALUE"""),77.2)</f>
        <v>77.2</v>
      </c>
      <c r="C1528" s="2">
        <f>IFERROR(__xludf.DUMMYFUNCTION("""COMPUTED_VALUE"""),77.2)</f>
        <v>77.2</v>
      </c>
      <c r="D1528" s="2">
        <f>IFERROR(__xludf.DUMMYFUNCTION("""COMPUTED_VALUE"""),75.0)</f>
        <v>75</v>
      </c>
      <c r="E1528" s="2">
        <f>IFERROR(__xludf.DUMMYFUNCTION("""COMPUTED_VALUE"""),76.25)</f>
        <v>76.25</v>
      </c>
      <c r="F1528" s="2">
        <f>IFERROR(__xludf.DUMMYFUNCTION("""COMPUTED_VALUE"""),335222.0)</f>
        <v>335222</v>
      </c>
    </row>
    <row r="1529">
      <c r="A1529" s="3">
        <f>IFERROR(__xludf.DUMMYFUNCTION("""COMPUTED_VALUE"""),38758.645833333336)</f>
        <v>38758.64583</v>
      </c>
      <c r="B1529" s="2">
        <f>IFERROR(__xludf.DUMMYFUNCTION("""COMPUTED_VALUE"""),76.89)</f>
        <v>76.89</v>
      </c>
      <c r="C1529" s="2">
        <f>IFERROR(__xludf.DUMMYFUNCTION("""COMPUTED_VALUE"""),77.2)</f>
        <v>77.2</v>
      </c>
      <c r="D1529" s="2">
        <f>IFERROR(__xludf.DUMMYFUNCTION("""COMPUTED_VALUE"""),75.22)</f>
        <v>75.22</v>
      </c>
      <c r="E1529" s="2">
        <f>IFERROR(__xludf.DUMMYFUNCTION("""COMPUTED_VALUE"""),76.21)</f>
        <v>76.21</v>
      </c>
      <c r="F1529" s="2">
        <f>IFERROR(__xludf.DUMMYFUNCTION("""COMPUTED_VALUE"""),606121.0)</f>
        <v>606121</v>
      </c>
    </row>
    <row r="1530">
      <c r="A1530" s="3">
        <f>IFERROR(__xludf.DUMMYFUNCTION("""COMPUTED_VALUE"""),38761.645833333336)</f>
        <v>38761.64583</v>
      </c>
      <c r="B1530" s="2">
        <f>IFERROR(__xludf.DUMMYFUNCTION("""COMPUTED_VALUE"""),75.1)</f>
        <v>75.1</v>
      </c>
      <c r="C1530" s="2">
        <f>IFERROR(__xludf.DUMMYFUNCTION("""COMPUTED_VALUE"""),76.2)</f>
        <v>76.2</v>
      </c>
      <c r="D1530" s="2">
        <f>IFERROR(__xludf.DUMMYFUNCTION("""COMPUTED_VALUE"""),74.31)</f>
        <v>74.31</v>
      </c>
      <c r="E1530" s="2">
        <f>IFERROR(__xludf.DUMMYFUNCTION("""COMPUTED_VALUE"""),74.65)</f>
        <v>74.65</v>
      </c>
      <c r="F1530" s="2">
        <f>IFERROR(__xludf.DUMMYFUNCTION("""COMPUTED_VALUE"""),290988.0)</f>
        <v>290988</v>
      </c>
    </row>
    <row r="1531">
      <c r="A1531" s="3">
        <f>IFERROR(__xludf.DUMMYFUNCTION("""COMPUTED_VALUE"""),38762.645833333336)</f>
        <v>38762.64583</v>
      </c>
      <c r="B1531" s="2">
        <f>IFERROR(__xludf.DUMMYFUNCTION("""COMPUTED_VALUE"""),75.1)</f>
        <v>75.1</v>
      </c>
      <c r="C1531" s="2">
        <f>IFERROR(__xludf.DUMMYFUNCTION("""COMPUTED_VALUE"""),76.0)</f>
        <v>76</v>
      </c>
      <c r="D1531" s="2">
        <f>IFERROR(__xludf.DUMMYFUNCTION("""COMPUTED_VALUE"""),73.92)</f>
        <v>73.92</v>
      </c>
      <c r="E1531" s="2">
        <f>IFERROR(__xludf.DUMMYFUNCTION("""COMPUTED_VALUE"""),74.79)</f>
        <v>74.79</v>
      </c>
      <c r="F1531" s="2">
        <f>IFERROR(__xludf.DUMMYFUNCTION("""COMPUTED_VALUE"""),598994.0)</f>
        <v>598994</v>
      </c>
    </row>
    <row r="1532">
      <c r="A1532" s="3">
        <f>IFERROR(__xludf.DUMMYFUNCTION("""COMPUTED_VALUE"""),38763.645833333336)</f>
        <v>38763.64583</v>
      </c>
      <c r="B1532" s="2">
        <f>IFERROR(__xludf.DUMMYFUNCTION("""COMPUTED_VALUE"""),74.9)</f>
        <v>74.9</v>
      </c>
      <c r="C1532" s="2">
        <f>IFERROR(__xludf.DUMMYFUNCTION("""COMPUTED_VALUE"""),75.5)</f>
        <v>75.5</v>
      </c>
      <c r="D1532" s="2">
        <f>IFERROR(__xludf.DUMMYFUNCTION("""COMPUTED_VALUE"""),73.7)</f>
        <v>73.7</v>
      </c>
      <c r="E1532" s="2">
        <f>IFERROR(__xludf.DUMMYFUNCTION("""COMPUTED_VALUE"""),74.38)</f>
        <v>74.38</v>
      </c>
      <c r="F1532" s="2">
        <f>IFERROR(__xludf.DUMMYFUNCTION("""COMPUTED_VALUE"""),406091.0)</f>
        <v>406091</v>
      </c>
    </row>
    <row r="1533">
      <c r="A1533" s="3">
        <f>IFERROR(__xludf.DUMMYFUNCTION("""COMPUTED_VALUE"""),38764.645833333336)</f>
        <v>38764.64583</v>
      </c>
      <c r="B1533" s="2">
        <f>IFERROR(__xludf.DUMMYFUNCTION("""COMPUTED_VALUE"""),74.38)</f>
        <v>74.38</v>
      </c>
      <c r="C1533" s="2">
        <f>IFERROR(__xludf.DUMMYFUNCTION("""COMPUTED_VALUE"""),76.89)</f>
        <v>76.89</v>
      </c>
      <c r="D1533" s="2">
        <f>IFERROR(__xludf.DUMMYFUNCTION("""COMPUTED_VALUE"""),73.63)</f>
        <v>73.63</v>
      </c>
      <c r="E1533" s="2">
        <f>IFERROR(__xludf.DUMMYFUNCTION("""COMPUTED_VALUE"""),76.0)</f>
        <v>76</v>
      </c>
      <c r="F1533" s="2">
        <f>IFERROR(__xludf.DUMMYFUNCTION("""COMPUTED_VALUE"""),474465.0)</f>
        <v>474465</v>
      </c>
    </row>
    <row r="1534">
      <c r="A1534" s="3">
        <f>IFERROR(__xludf.DUMMYFUNCTION("""COMPUTED_VALUE"""),38765.645833333336)</f>
        <v>38765.64583</v>
      </c>
      <c r="B1534" s="2">
        <f>IFERROR(__xludf.DUMMYFUNCTION("""COMPUTED_VALUE"""),76.75)</f>
        <v>76.75</v>
      </c>
      <c r="C1534" s="2">
        <f>IFERROR(__xludf.DUMMYFUNCTION("""COMPUTED_VALUE"""),76.75)</f>
        <v>76.75</v>
      </c>
      <c r="D1534" s="2">
        <f>IFERROR(__xludf.DUMMYFUNCTION("""COMPUTED_VALUE"""),73.65)</f>
        <v>73.65</v>
      </c>
      <c r="E1534" s="2">
        <f>IFERROR(__xludf.DUMMYFUNCTION("""COMPUTED_VALUE"""),74.23)</f>
        <v>74.23</v>
      </c>
      <c r="F1534" s="2">
        <f>IFERROR(__xludf.DUMMYFUNCTION("""COMPUTED_VALUE"""),479132.0)</f>
        <v>479132</v>
      </c>
    </row>
    <row r="1535">
      <c r="A1535" s="3">
        <f>IFERROR(__xludf.DUMMYFUNCTION("""COMPUTED_VALUE"""),38768.645833333336)</f>
        <v>38768.64583</v>
      </c>
      <c r="B1535" s="2">
        <f>IFERROR(__xludf.DUMMYFUNCTION("""COMPUTED_VALUE"""),74.0)</f>
        <v>74</v>
      </c>
      <c r="C1535" s="2">
        <f>IFERROR(__xludf.DUMMYFUNCTION("""COMPUTED_VALUE"""),74.49)</f>
        <v>74.49</v>
      </c>
      <c r="D1535" s="2">
        <f>IFERROR(__xludf.DUMMYFUNCTION("""COMPUTED_VALUE"""),72.0)</f>
        <v>72</v>
      </c>
      <c r="E1535" s="2">
        <f>IFERROR(__xludf.DUMMYFUNCTION("""COMPUTED_VALUE"""),72.22)</f>
        <v>72.22</v>
      </c>
      <c r="F1535" s="2">
        <f>IFERROR(__xludf.DUMMYFUNCTION("""COMPUTED_VALUE"""),509248.0)</f>
        <v>509248</v>
      </c>
    </row>
    <row r="1536">
      <c r="A1536" s="3">
        <f>IFERROR(__xludf.DUMMYFUNCTION("""COMPUTED_VALUE"""),38769.645833333336)</f>
        <v>38769.64583</v>
      </c>
      <c r="B1536" s="2">
        <f>IFERROR(__xludf.DUMMYFUNCTION("""COMPUTED_VALUE"""),73.0)</f>
        <v>73</v>
      </c>
      <c r="C1536" s="2">
        <f>IFERROR(__xludf.DUMMYFUNCTION("""COMPUTED_VALUE"""),73.0)</f>
        <v>73</v>
      </c>
      <c r="D1536" s="2">
        <f>IFERROR(__xludf.DUMMYFUNCTION("""COMPUTED_VALUE"""),72.25)</f>
        <v>72.25</v>
      </c>
      <c r="E1536" s="2">
        <f>IFERROR(__xludf.DUMMYFUNCTION("""COMPUTED_VALUE"""),72.48)</f>
        <v>72.48</v>
      </c>
      <c r="F1536" s="2">
        <f>IFERROR(__xludf.DUMMYFUNCTION("""COMPUTED_VALUE"""),375557.0)</f>
        <v>375557</v>
      </c>
    </row>
    <row r="1537">
      <c r="A1537" s="3">
        <f>IFERROR(__xludf.DUMMYFUNCTION("""COMPUTED_VALUE"""),38770.645833333336)</f>
        <v>38770.64583</v>
      </c>
      <c r="B1537" s="2">
        <f>IFERROR(__xludf.DUMMYFUNCTION("""COMPUTED_VALUE"""),72.48)</f>
        <v>72.48</v>
      </c>
      <c r="C1537" s="2">
        <f>IFERROR(__xludf.DUMMYFUNCTION("""COMPUTED_VALUE"""),72.97)</f>
        <v>72.97</v>
      </c>
      <c r="D1537" s="2">
        <f>IFERROR(__xludf.DUMMYFUNCTION("""COMPUTED_VALUE"""),72.16)</f>
        <v>72.16</v>
      </c>
      <c r="E1537" s="2">
        <f>IFERROR(__xludf.DUMMYFUNCTION("""COMPUTED_VALUE"""),72.67)</f>
        <v>72.67</v>
      </c>
      <c r="F1537" s="2">
        <f>IFERROR(__xludf.DUMMYFUNCTION("""COMPUTED_VALUE"""),319447.0)</f>
        <v>319447</v>
      </c>
    </row>
    <row r="1538">
      <c r="A1538" s="3">
        <f>IFERROR(__xludf.DUMMYFUNCTION("""COMPUTED_VALUE"""),38771.645833333336)</f>
        <v>38771.64583</v>
      </c>
      <c r="B1538" s="2">
        <f>IFERROR(__xludf.DUMMYFUNCTION("""COMPUTED_VALUE"""),72.2)</f>
        <v>72.2</v>
      </c>
      <c r="C1538" s="2">
        <f>IFERROR(__xludf.DUMMYFUNCTION("""COMPUTED_VALUE"""),72.88)</f>
        <v>72.88</v>
      </c>
      <c r="D1538" s="2">
        <f>IFERROR(__xludf.DUMMYFUNCTION("""COMPUTED_VALUE"""),71.2)</f>
        <v>71.2</v>
      </c>
      <c r="E1538" s="2">
        <f>IFERROR(__xludf.DUMMYFUNCTION("""COMPUTED_VALUE"""),72.2)</f>
        <v>72.2</v>
      </c>
      <c r="F1538" s="2">
        <f>IFERROR(__xludf.DUMMYFUNCTION("""COMPUTED_VALUE"""),1105457.0)</f>
        <v>1105457</v>
      </c>
    </row>
    <row r="1539">
      <c r="A1539" s="3">
        <f>IFERROR(__xludf.DUMMYFUNCTION("""COMPUTED_VALUE"""),38772.645833333336)</f>
        <v>38772.64583</v>
      </c>
      <c r="B1539" s="2">
        <f>IFERROR(__xludf.DUMMYFUNCTION("""COMPUTED_VALUE"""),72.22)</f>
        <v>72.22</v>
      </c>
      <c r="C1539" s="2">
        <f>IFERROR(__xludf.DUMMYFUNCTION("""COMPUTED_VALUE"""),72.22)</f>
        <v>72.22</v>
      </c>
      <c r="D1539" s="2">
        <f>IFERROR(__xludf.DUMMYFUNCTION("""COMPUTED_VALUE"""),70.6)</f>
        <v>70.6</v>
      </c>
      <c r="E1539" s="2">
        <f>IFERROR(__xludf.DUMMYFUNCTION("""COMPUTED_VALUE"""),71.15)</f>
        <v>71.15</v>
      </c>
      <c r="F1539" s="2">
        <f>IFERROR(__xludf.DUMMYFUNCTION("""COMPUTED_VALUE"""),963765.0)</f>
        <v>963765</v>
      </c>
    </row>
    <row r="1540">
      <c r="A1540" s="3">
        <f>IFERROR(__xludf.DUMMYFUNCTION("""COMPUTED_VALUE"""),38775.645833333336)</f>
        <v>38775.64583</v>
      </c>
      <c r="B1540" s="2">
        <f>IFERROR(__xludf.DUMMYFUNCTION("""COMPUTED_VALUE"""),72.01)</f>
        <v>72.01</v>
      </c>
      <c r="C1540" s="2">
        <f>IFERROR(__xludf.DUMMYFUNCTION("""COMPUTED_VALUE"""),73.17)</f>
        <v>73.17</v>
      </c>
      <c r="D1540" s="2">
        <f>IFERROR(__xludf.DUMMYFUNCTION("""COMPUTED_VALUE"""),71.61)</f>
        <v>71.61</v>
      </c>
      <c r="E1540" s="2">
        <f>IFERROR(__xludf.DUMMYFUNCTION("""COMPUTED_VALUE"""),72.82)</f>
        <v>72.82</v>
      </c>
      <c r="F1540" s="2">
        <f>IFERROR(__xludf.DUMMYFUNCTION("""COMPUTED_VALUE"""),314785.0)</f>
        <v>314785</v>
      </c>
    </row>
    <row r="1541">
      <c r="A1541" s="3">
        <f>IFERROR(__xludf.DUMMYFUNCTION("""COMPUTED_VALUE"""),38776.645833333336)</f>
        <v>38776.64583</v>
      </c>
      <c r="B1541" s="2">
        <f>IFERROR(__xludf.DUMMYFUNCTION("""COMPUTED_VALUE"""),73.43)</f>
        <v>73.43</v>
      </c>
      <c r="C1541" s="2">
        <f>IFERROR(__xludf.DUMMYFUNCTION("""COMPUTED_VALUE"""),74.4)</f>
        <v>74.4</v>
      </c>
      <c r="D1541" s="2">
        <f>IFERROR(__xludf.DUMMYFUNCTION("""COMPUTED_VALUE"""),72.38)</f>
        <v>72.38</v>
      </c>
      <c r="E1541" s="2">
        <f>IFERROR(__xludf.DUMMYFUNCTION("""COMPUTED_VALUE"""),73.72)</f>
        <v>73.72</v>
      </c>
      <c r="F1541" s="2">
        <f>IFERROR(__xludf.DUMMYFUNCTION("""COMPUTED_VALUE"""),492707.0)</f>
        <v>492707</v>
      </c>
    </row>
    <row r="1542">
      <c r="A1542" s="3">
        <f>IFERROR(__xludf.DUMMYFUNCTION("""COMPUTED_VALUE"""),38777.645833333336)</f>
        <v>38777.64583</v>
      </c>
      <c r="B1542" s="2">
        <f>IFERROR(__xludf.DUMMYFUNCTION("""COMPUTED_VALUE"""),73.5)</f>
        <v>73.5</v>
      </c>
      <c r="C1542" s="2">
        <f>IFERROR(__xludf.DUMMYFUNCTION("""COMPUTED_VALUE"""),75.0)</f>
        <v>75</v>
      </c>
      <c r="D1542" s="2">
        <f>IFERROR(__xludf.DUMMYFUNCTION("""COMPUTED_VALUE"""),72.5)</f>
        <v>72.5</v>
      </c>
      <c r="E1542" s="2">
        <f>IFERROR(__xludf.DUMMYFUNCTION("""COMPUTED_VALUE"""),74.68)</f>
        <v>74.68</v>
      </c>
      <c r="F1542" s="2">
        <f>IFERROR(__xludf.DUMMYFUNCTION("""COMPUTED_VALUE"""),484399.0)</f>
        <v>484399</v>
      </c>
    </row>
    <row r="1543">
      <c r="A1543" s="3">
        <f>IFERROR(__xludf.DUMMYFUNCTION("""COMPUTED_VALUE"""),38778.645833333336)</f>
        <v>38778.64583</v>
      </c>
      <c r="B1543" s="2">
        <f>IFERROR(__xludf.DUMMYFUNCTION("""COMPUTED_VALUE"""),74.99)</f>
        <v>74.99</v>
      </c>
      <c r="C1543" s="2">
        <f>IFERROR(__xludf.DUMMYFUNCTION("""COMPUTED_VALUE"""),76.0)</f>
        <v>76</v>
      </c>
      <c r="D1543" s="2">
        <f>IFERROR(__xludf.DUMMYFUNCTION("""COMPUTED_VALUE"""),73.51)</f>
        <v>73.51</v>
      </c>
      <c r="E1543" s="2">
        <f>IFERROR(__xludf.DUMMYFUNCTION("""COMPUTED_VALUE"""),75.83)</f>
        <v>75.83</v>
      </c>
      <c r="F1543" s="2">
        <f>IFERROR(__xludf.DUMMYFUNCTION("""COMPUTED_VALUE"""),504291.0)</f>
        <v>504291</v>
      </c>
    </row>
    <row r="1544">
      <c r="A1544" s="3">
        <f>IFERROR(__xludf.DUMMYFUNCTION("""COMPUTED_VALUE"""),38779.645833333336)</f>
        <v>38779.64583</v>
      </c>
      <c r="B1544" s="2">
        <f>IFERROR(__xludf.DUMMYFUNCTION("""COMPUTED_VALUE"""),76.0)</f>
        <v>76</v>
      </c>
      <c r="C1544" s="2">
        <f>IFERROR(__xludf.DUMMYFUNCTION("""COMPUTED_VALUE"""),76.22)</f>
        <v>76.22</v>
      </c>
      <c r="D1544" s="2">
        <f>IFERROR(__xludf.DUMMYFUNCTION("""COMPUTED_VALUE"""),74.71)</f>
        <v>74.71</v>
      </c>
      <c r="E1544" s="2">
        <f>IFERROR(__xludf.DUMMYFUNCTION("""COMPUTED_VALUE"""),75.97)</f>
        <v>75.97</v>
      </c>
      <c r="F1544" s="2">
        <f>IFERROR(__xludf.DUMMYFUNCTION("""COMPUTED_VALUE"""),490972.0)</f>
        <v>490972</v>
      </c>
    </row>
    <row r="1545">
      <c r="A1545" s="3">
        <f>IFERROR(__xludf.DUMMYFUNCTION("""COMPUTED_VALUE"""),38782.645833333336)</f>
        <v>38782.64583</v>
      </c>
      <c r="B1545" s="2">
        <f>IFERROR(__xludf.DUMMYFUNCTION("""COMPUTED_VALUE"""),76.0)</f>
        <v>76</v>
      </c>
      <c r="C1545" s="2">
        <f>IFERROR(__xludf.DUMMYFUNCTION("""COMPUTED_VALUE"""),76.4)</f>
        <v>76.4</v>
      </c>
      <c r="D1545" s="2">
        <f>IFERROR(__xludf.DUMMYFUNCTION("""COMPUTED_VALUE"""),75.6)</f>
        <v>75.6</v>
      </c>
      <c r="E1545" s="2">
        <f>IFERROR(__xludf.DUMMYFUNCTION("""COMPUTED_VALUE"""),76.01)</f>
        <v>76.01</v>
      </c>
      <c r="F1545" s="2">
        <f>IFERROR(__xludf.DUMMYFUNCTION("""COMPUTED_VALUE"""),316876.0)</f>
        <v>316876</v>
      </c>
    </row>
    <row r="1546">
      <c r="A1546" s="3">
        <f>IFERROR(__xludf.DUMMYFUNCTION("""COMPUTED_VALUE"""),38783.645833333336)</f>
        <v>38783.64583</v>
      </c>
      <c r="B1546" s="2">
        <f>IFERROR(__xludf.DUMMYFUNCTION("""COMPUTED_VALUE"""),74.93)</f>
        <v>74.93</v>
      </c>
      <c r="C1546" s="2">
        <f>IFERROR(__xludf.DUMMYFUNCTION("""COMPUTED_VALUE"""),76.4)</f>
        <v>76.4</v>
      </c>
      <c r="D1546" s="2">
        <f>IFERROR(__xludf.DUMMYFUNCTION("""COMPUTED_VALUE"""),74.93)</f>
        <v>74.93</v>
      </c>
      <c r="E1546" s="2">
        <f>IFERROR(__xludf.DUMMYFUNCTION("""COMPUTED_VALUE"""),75.78)</f>
        <v>75.78</v>
      </c>
      <c r="F1546" s="2">
        <f>IFERROR(__xludf.DUMMYFUNCTION("""COMPUTED_VALUE"""),551268.0)</f>
        <v>551268</v>
      </c>
    </row>
    <row r="1547">
      <c r="A1547" s="3">
        <f>IFERROR(__xludf.DUMMYFUNCTION("""COMPUTED_VALUE"""),38784.645833333336)</f>
        <v>38784.64583</v>
      </c>
      <c r="B1547" s="2">
        <f>IFERROR(__xludf.DUMMYFUNCTION("""COMPUTED_VALUE"""),75.5)</f>
        <v>75.5</v>
      </c>
      <c r="C1547" s="2">
        <f>IFERROR(__xludf.DUMMYFUNCTION("""COMPUTED_VALUE"""),76.97)</f>
        <v>76.97</v>
      </c>
      <c r="D1547" s="2">
        <f>IFERROR(__xludf.DUMMYFUNCTION("""COMPUTED_VALUE"""),74.0)</f>
        <v>74</v>
      </c>
      <c r="E1547" s="2">
        <f>IFERROR(__xludf.DUMMYFUNCTION("""COMPUTED_VALUE"""),76.01)</f>
        <v>76.01</v>
      </c>
      <c r="F1547" s="2">
        <f>IFERROR(__xludf.DUMMYFUNCTION("""COMPUTED_VALUE"""),810113.0)</f>
        <v>810113</v>
      </c>
    </row>
    <row r="1548">
      <c r="A1548" s="3">
        <f>IFERROR(__xludf.DUMMYFUNCTION("""COMPUTED_VALUE"""),38785.645833333336)</f>
        <v>38785.64583</v>
      </c>
      <c r="B1548" s="2">
        <f>IFERROR(__xludf.DUMMYFUNCTION("""COMPUTED_VALUE"""),74.53)</f>
        <v>74.53</v>
      </c>
      <c r="C1548" s="2">
        <f>IFERROR(__xludf.DUMMYFUNCTION("""COMPUTED_VALUE"""),75.95)</f>
        <v>75.95</v>
      </c>
      <c r="D1548" s="2">
        <f>IFERROR(__xludf.DUMMYFUNCTION("""COMPUTED_VALUE"""),73.9)</f>
        <v>73.9</v>
      </c>
      <c r="E1548" s="2">
        <f>IFERROR(__xludf.DUMMYFUNCTION("""COMPUTED_VALUE"""),75.02)</f>
        <v>75.02</v>
      </c>
      <c r="F1548" s="2">
        <f>IFERROR(__xludf.DUMMYFUNCTION("""COMPUTED_VALUE"""),726598.0)</f>
        <v>726598</v>
      </c>
    </row>
    <row r="1549">
      <c r="A1549" s="3">
        <f>IFERROR(__xludf.DUMMYFUNCTION("""COMPUTED_VALUE"""),38786.645833333336)</f>
        <v>38786.64583</v>
      </c>
      <c r="B1549" s="2">
        <f>IFERROR(__xludf.DUMMYFUNCTION("""COMPUTED_VALUE"""),75.2)</f>
        <v>75.2</v>
      </c>
      <c r="C1549" s="2">
        <f>IFERROR(__xludf.DUMMYFUNCTION("""COMPUTED_VALUE"""),76.44)</f>
        <v>76.44</v>
      </c>
      <c r="D1549" s="2">
        <f>IFERROR(__xludf.DUMMYFUNCTION("""COMPUTED_VALUE"""),74.52)</f>
        <v>74.52</v>
      </c>
      <c r="E1549" s="2">
        <f>IFERROR(__xludf.DUMMYFUNCTION("""COMPUTED_VALUE"""),74.9)</f>
        <v>74.9</v>
      </c>
      <c r="F1549" s="2">
        <f>IFERROR(__xludf.DUMMYFUNCTION("""COMPUTED_VALUE"""),792811.0)</f>
        <v>792811</v>
      </c>
    </row>
    <row r="1550">
      <c r="A1550" s="3">
        <f>IFERROR(__xludf.DUMMYFUNCTION("""COMPUTED_VALUE"""),38789.645833333336)</f>
        <v>38789.64583</v>
      </c>
      <c r="B1550" s="2">
        <f>IFERROR(__xludf.DUMMYFUNCTION("""COMPUTED_VALUE"""),75.5)</f>
        <v>75.5</v>
      </c>
      <c r="C1550" s="2">
        <f>IFERROR(__xludf.DUMMYFUNCTION("""COMPUTED_VALUE"""),77.5)</f>
        <v>77.5</v>
      </c>
      <c r="D1550" s="2">
        <f>IFERROR(__xludf.DUMMYFUNCTION("""COMPUTED_VALUE"""),73.1)</f>
        <v>73.1</v>
      </c>
      <c r="E1550" s="2">
        <f>IFERROR(__xludf.DUMMYFUNCTION("""COMPUTED_VALUE"""),76.93)</f>
        <v>76.93</v>
      </c>
      <c r="F1550" s="2">
        <f>IFERROR(__xludf.DUMMYFUNCTION("""COMPUTED_VALUE"""),549483.0)</f>
        <v>549483</v>
      </c>
    </row>
    <row r="1551">
      <c r="A1551" s="3">
        <f>IFERROR(__xludf.DUMMYFUNCTION("""COMPUTED_VALUE"""),38790.645833333336)</f>
        <v>38790.64583</v>
      </c>
      <c r="B1551" s="2">
        <f>IFERROR(__xludf.DUMMYFUNCTION("""COMPUTED_VALUE"""),77.6)</f>
        <v>77.6</v>
      </c>
      <c r="C1551" s="2">
        <f>IFERROR(__xludf.DUMMYFUNCTION("""COMPUTED_VALUE"""),77.6)</f>
        <v>77.6</v>
      </c>
      <c r="D1551" s="2">
        <f>IFERROR(__xludf.DUMMYFUNCTION("""COMPUTED_VALUE"""),75.03)</f>
        <v>75.03</v>
      </c>
      <c r="E1551" s="2">
        <f>IFERROR(__xludf.DUMMYFUNCTION("""COMPUTED_VALUE"""),76.2)</f>
        <v>76.2</v>
      </c>
      <c r="F1551" s="2">
        <f>IFERROR(__xludf.DUMMYFUNCTION("""COMPUTED_VALUE"""),366599.0)</f>
        <v>366599</v>
      </c>
    </row>
    <row r="1552">
      <c r="A1552" s="3">
        <f>IFERROR(__xludf.DUMMYFUNCTION("""COMPUTED_VALUE"""),38792.645833333336)</f>
        <v>38792.64583</v>
      </c>
      <c r="B1552" s="2">
        <f>IFERROR(__xludf.DUMMYFUNCTION("""COMPUTED_VALUE"""),75.51)</f>
        <v>75.51</v>
      </c>
      <c r="C1552" s="2">
        <f>IFERROR(__xludf.DUMMYFUNCTION("""COMPUTED_VALUE"""),77.2)</f>
        <v>77.2</v>
      </c>
      <c r="D1552" s="2">
        <f>IFERROR(__xludf.DUMMYFUNCTION("""COMPUTED_VALUE"""),75.51)</f>
        <v>75.51</v>
      </c>
      <c r="E1552" s="2">
        <f>IFERROR(__xludf.DUMMYFUNCTION("""COMPUTED_VALUE"""),76.76)</f>
        <v>76.76</v>
      </c>
      <c r="F1552" s="2">
        <f>IFERROR(__xludf.DUMMYFUNCTION("""COMPUTED_VALUE"""),605925.0)</f>
        <v>605925</v>
      </c>
    </row>
    <row r="1553">
      <c r="A1553" s="3">
        <f>IFERROR(__xludf.DUMMYFUNCTION("""COMPUTED_VALUE"""),38793.645833333336)</f>
        <v>38793.64583</v>
      </c>
      <c r="B1553" s="2">
        <f>IFERROR(__xludf.DUMMYFUNCTION("""COMPUTED_VALUE"""),77.2)</f>
        <v>77.2</v>
      </c>
      <c r="C1553" s="2">
        <f>IFERROR(__xludf.DUMMYFUNCTION("""COMPUTED_VALUE"""),77.2)</f>
        <v>77.2</v>
      </c>
      <c r="D1553" s="2">
        <f>IFERROR(__xludf.DUMMYFUNCTION("""COMPUTED_VALUE"""),75.33)</f>
        <v>75.33</v>
      </c>
      <c r="E1553" s="2">
        <f>IFERROR(__xludf.DUMMYFUNCTION("""COMPUTED_VALUE"""),76.43)</f>
        <v>76.43</v>
      </c>
      <c r="F1553" s="2">
        <f>IFERROR(__xludf.DUMMYFUNCTION("""COMPUTED_VALUE"""),240351.0)</f>
        <v>240351</v>
      </c>
    </row>
    <row r="1554">
      <c r="A1554" s="3">
        <f>IFERROR(__xludf.DUMMYFUNCTION("""COMPUTED_VALUE"""),38796.645833333336)</f>
        <v>38796.64583</v>
      </c>
      <c r="B1554" s="2">
        <f>IFERROR(__xludf.DUMMYFUNCTION("""COMPUTED_VALUE"""),76.5)</f>
        <v>76.5</v>
      </c>
      <c r="C1554" s="2">
        <f>IFERROR(__xludf.DUMMYFUNCTION("""COMPUTED_VALUE"""),77.5)</f>
        <v>77.5</v>
      </c>
      <c r="D1554" s="2">
        <f>IFERROR(__xludf.DUMMYFUNCTION("""COMPUTED_VALUE"""),75.9)</f>
        <v>75.9</v>
      </c>
      <c r="E1554" s="2">
        <f>IFERROR(__xludf.DUMMYFUNCTION("""COMPUTED_VALUE"""),76.56)</f>
        <v>76.56</v>
      </c>
      <c r="F1554" s="2">
        <f>IFERROR(__xludf.DUMMYFUNCTION("""COMPUTED_VALUE"""),527988.0)</f>
        <v>527988</v>
      </c>
    </row>
    <row r="1555">
      <c r="A1555" s="3">
        <f>IFERROR(__xludf.DUMMYFUNCTION("""COMPUTED_VALUE"""),38797.645833333336)</f>
        <v>38797.64583</v>
      </c>
      <c r="B1555" s="2">
        <f>IFERROR(__xludf.DUMMYFUNCTION("""COMPUTED_VALUE"""),77.3)</f>
        <v>77.3</v>
      </c>
      <c r="C1555" s="2">
        <f>IFERROR(__xludf.DUMMYFUNCTION("""COMPUTED_VALUE"""),77.3)</f>
        <v>77.3</v>
      </c>
      <c r="D1555" s="2">
        <f>IFERROR(__xludf.DUMMYFUNCTION("""COMPUTED_VALUE"""),75.1)</f>
        <v>75.1</v>
      </c>
      <c r="E1555" s="2">
        <f>IFERROR(__xludf.DUMMYFUNCTION("""COMPUTED_VALUE"""),75.48)</f>
        <v>75.48</v>
      </c>
      <c r="F1555" s="2">
        <f>IFERROR(__xludf.DUMMYFUNCTION("""COMPUTED_VALUE"""),332576.0)</f>
        <v>332576</v>
      </c>
    </row>
    <row r="1556">
      <c r="A1556" s="3">
        <f>IFERROR(__xludf.DUMMYFUNCTION("""COMPUTED_VALUE"""),38798.645833333336)</f>
        <v>38798.64583</v>
      </c>
      <c r="B1556" s="2">
        <f>IFERROR(__xludf.DUMMYFUNCTION("""COMPUTED_VALUE"""),75.19)</f>
        <v>75.19</v>
      </c>
      <c r="C1556" s="2">
        <f>IFERROR(__xludf.DUMMYFUNCTION("""COMPUTED_VALUE"""),76.5)</f>
        <v>76.5</v>
      </c>
      <c r="D1556" s="2">
        <f>IFERROR(__xludf.DUMMYFUNCTION("""COMPUTED_VALUE"""),75.01)</f>
        <v>75.01</v>
      </c>
      <c r="E1556" s="2">
        <f>IFERROR(__xludf.DUMMYFUNCTION("""COMPUTED_VALUE"""),75.73)</f>
        <v>75.73</v>
      </c>
      <c r="F1556" s="2">
        <f>IFERROR(__xludf.DUMMYFUNCTION("""COMPUTED_VALUE"""),430518.0)</f>
        <v>430518</v>
      </c>
    </row>
    <row r="1557">
      <c r="A1557" s="3">
        <f>IFERROR(__xludf.DUMMYFUNCTION("""COMPUTED_VALUE"""),38799.645833333336)</f>
        <v>38799.64583</v>
      </c>
      <c r="B1557" s="2">
        <f>IFERROR(__xludf.DUMMYFUNCTION("""COMPUTED_VALUE"""),74.92)</f>
        <v>74.92</v>
      </c>
      <c r="C1557" s="2">
        <f>IFERROR(__xludf.DUMMYFUNCTION("""COMPUTED_VALUE"""),75.9)</f>
        <v>75.9</v>
      </c>
      <c r="D1557" s="2">
        <f>IFERROR(__xludf.DUMMYFUNCTION("""COMPUTED_VALUE"""),73.83)</f>
        <v>73.83</v>
      </c>
      <c r="E1557" s="2">
        <f>IFERROR(__xludf.DUMMYFUNCTION("""COMPUTED_VALUE"""),74.2)</f>
        <v>74.2</v>
      </c>
      <c r="F1557" s="2">
        <f>IFERROR(__xludf.DUMMYFUNCTION("""COMPUTED_VALUE"""),284251.0)</f>
        <v>284251</v>
      </c>
    </row>
    <row r="1558">
      <c r="A1558" s="3">
        <f>IFERROR(__xludf.DUMMYFUNCTION("""COMPUTED_VALUE"""),38800.645833333336)</f>
        <v>38800.64583</v>
      </c>
      <c r="B1558" s="2">
        <f>IFERROR(__xludf.DUMMYFUNCTION("""COMPUTED_VALUE"""),74.99)</f>
        <v>74.99</v>
      </c>
      <c r="C1558" s="2">
        <f>IFERROR(__xludf.DUMMYFUNCTION("""COMPUTED_VALUE"""),74.99)</f>
        <v>74.99</v>
      </c>
      <c r="D1558" s="2">
        <f>IFERROR(__xludf.DUMMYFUNCTION("""COMPUTED_VALUE"""),73.01)</f>
        <v>73.01</v>
      </c>
      <c r="E1558" s="2">
        <f>IFERROR(__xludf.DUMMYFUNCTION("""COMPUTED_VALUE"""),73.48)</f>
        <v>73.48</v>
      </c>
      <c r="F1558" s="2">
        <f>IFERROR(__xludf.DUMMYFUNCTION("""COMPUTED_VALUE"""),338369.0)</f>
        <v>338369</v>
      </c>
    </row>
    <row r="1559">
      <c r="A1559" s="3">
        <f>IFERROR(__xludf.DUMMYFUNCTION("""COMPUTED_VALUE"""),38803.645833333336)</f>
        <v>38803.64583</v>
      </c>
      <c r="B1559" s="2">
        <f>IFERROR(__xludf.DUMMYFUNCTION("""COMPUTED_VALUE"""),76.88)</f>
        <v>76.88</v>
      </c>
      <c r="C1559" s="2">
        <f>IFERROR(__xludf.DUMMYFUNCTION("""COMPUTED_VALUE"""),76.88)</f>
        <v>76.88</v>
      </c>
      <c r="D1559" s="2">
        <f>IFERROR(__xludf.DUMMYFUNCTION("""COMPUTED_VALUE"""),73.5)</f>
        <v>73.5</v>
      </c>
      <c r="E1559" s="2">
        <f>IFERROR(__xludf.DUMMYFUNCTION("""COMPUTED_VALUE"""),73.83)</f>
        <v>73.83</v>
      </c>
      <c r="F1559" s="2">
        <f>IFERROR(__xludf.DUMMYFUNCTION("""COMPUTED_VALUE"""),1829716.0)</f>
        <v>1829716</v>
      </c>
    </row>
    <row r="1560">
      <c r="A1560" s="3">
        <f>IFERROR(__xludf.DUMMYFUNCTION("""COMPUTED_VALUE"""),38804.645833333336)</f>
        <v>38804.64583</v>
      </c>
      <c r="B1560" s="2">
        <f>IFERROR(__xludf.DUMMYFUNCTION("""COMPUTED_VALUE"""),73.11)</f>
        <v>73.11</v>
      </c>
      <c r="C1560" s="2">
        <f>IFERROR(__xludf.DUMMYFUNCTION("""COMPUTED_VALUE"""),74.7)</f>
        <v>74.7</v>
      </c>
      <c r="D1560" s="2">
        <f>IFERROR(__xludf.DUMMYFUNCTION("""COMPUTED_VALUE"""),72.1)</f>
        <v>72.1</v>
      </c>
      <c r="E1560" s="2">
        <f>IFERROR(__xludf.DUMMYFUNCTION("""COMPUTED_VALUE"""),74.27)</f>
        <v>74.27</v>
      </c>
      <c r="F1560" s="2">
        <f>IFERROR(__xludf.DUMMYFUNCTION("""COMPUTED_VALUE"""),309348.0)</f>
        <v>309348</v>
      </c>
    </row>
    <row r="1561">
      <c r="A1561" s="3">
        <f>IFERROR(__xludf.DUMMYFUNCTION("""COMPUTED_VALUE"""),38805.645833333336)</f>
        <v>38805.64583</v>
      </c>
      <c r="B1561" s="2">
        <f>IFERROR(__xludf.DUMMYFUNCTION("""COMPUTED_VALUE"""),74.2)</f>
        <v>74.2</v>
      </c>
      <c r="C1561" s="2">
        <f>IFERROR(__xludf.DUMMYFUNCTION("""COMPUTED_VALUE"""),75.0)</f>
        <v>75</v>
      </c>
      <c r="D1561" s="2">
        <f>IFERROR(__xludf.DUMMYFUNCTION("""COMPUTED_VALUE"""),73.65)</f>
        <v>73.65</v>
      </c>
      <c r="E1561" s="2">
        <f>IFERROR(__xludf.DUMMYFUNCTION("""COMPUTED_VALUE"""),74.63)</f>
        <v>74.63</v>
      </c>
      <c r="F1561" s="2">
        <f>IFERROR(__xludf.DUMMYFUNCTION("""COMPUTED_VALUE"""),330433.0)</f>
        <v>330433</v>
      </c>
    </row>
    <row r="1562">
      <c r="A1562" s="3">
        <f>IFERROR(__xludf.DUMMYFUNCTION("""COMPUTED_VALUE"""),38806.645833333336)</f>
        <v>38806.64583</v>
      </c>
      <c r="B1562" s="2">
        <f>IFERROR(__xludf.DUMMYFUNCTION("""COMPUTED_VALUE"""),74.2)</f>
        <v>74.2</v>
      </c>
      <c r="C1562" s="2">
        <f>IFERROR(__xludf.DUMMYFUNCTION("""COMPUTED_VALUE"""),81.2)</f>
        <v>81.2</v>
      </c>
      <c r="D1562" s="2">
        <f>IFERROR(__xludf.DUMMYFUNCTION("""COMPUTED_VALUE"""),74.2)</f>
        <v>74.2</v>
      </c>
      <c r="E1562" s="2">
        <f>IFERROR(__xludf.DUMMYFUNCTION("""COMPUTED_VALUE"""),77.95)</f>
        <v>77.95</v>
      </c>
      <c r="F1562" s="2">
        <f>IFERROR(__xludf.DUMMYFUNCTION("""COMPUTED_VALUE"""),626978.0)</f>
        <v>626978</v>
      </c>
    </row>
    <row r="1563">
      <c r="A1563" s="3">
        <f>IFERROR(__xludf.DUMMYFUNCTION("""COMPUTED_VALUE"""),38807.645833333336)</f>
        <v>38807.64583</v>
      </c>
      <c r="B1563" s="2">
        <f>IFERROR(__xludf.DUMMYFUNCTION("""COMPUTED_VALUE"""),77.5)</f>
        <v>77.5</v>
      </c>
      <c r="C1563" s="2">
        <f>IFERROR(__xludf.DUMMYFUNCTION("""COMPUTED_VALUE"""),78.5)</f>
        <v>78.5</v>
      </c>
      <c r="D1563" s="2">
        <f>IFERROR(__xludf.DUMMYFUNCTION("""COMPUTED_VALUE"""),76.0)</f>
        <v>76</v>
      </c>
      <c r="E1563" s="2">
        <f>IFERROR(__xludf.DUMMYFUNCTION("""COMPUTED_VALUE"""),77.43)</f>
        <v>77.43</v>
      </c>
      <c r="F1563" s="2">
        <f>IFERROR(__xludf.DUMMYFUNCTION("""COMPUTED_VALUE"""),494340.0)</f>
        <v>494340</v>
      </c>
    </row>
    <row r="1564">
      <c r="A1564" s="3">
        <f>IFERROR(__xludf.DUMMYFUNCTION("""COMPUTED_VALUE"""),38810.645833333336)</f>
        <v>38810.64583</v>
      </c>
      <c r="B1564" s="2">
        <f>IFERROR(__xludf.DUMMYFUNCTION("""COMPUTED_VALUE"""),77.43)</f>
        <v>77.43</v>
      </c>
      <c r="C1564" s="2">
        <f>IFERROR(__xludf.DUMMYFUNCTION("""COMPUTED_VALUE"""),78.09)</f>
        <v>78.09</v>
      </c>
      <c r="D1564" s="2">
        <f>IFERROR(__xludf.DUMMYFUNCTION("""COMPUTED_VALUE"""),76.2)</f>
        <v>76.2</v>
      </c>
      <c r="E1564" s="2">
        <f>IFERROR(__xludf.DUMMYFUNCTION("""COMPUTED_VALUE"""),77.38)</f>
        <v>77.38</v>
      </c>
      <c r="F1564" s="2">
        <f>IFERROR(__xludf.DUMMYFUNCTION("""COMPUTED_VALUE"""),318287.0)</f>
        <v>318287</v>
      </c>
    </row>
    <row r="1565">
      <c r="A1565" s="3">
        <f>IFERROR(__xludf.DUMMYFUNCTION("""COMPUTED_VALUE"""),38811.645833333336)</f>
        <v>38811.64583</v>
      </c>
      <c r="B1565" s="2">
        <f>IFERROR(__xludf.DUMMYFUNCTION("""COMPUTED_VALUE"""),77.8)</f>
        <v>77.8</v>
      </c>
      <c r="C1565" s="2">
        <f>IFERROR(__xludf.DUMMYFUNCTION("""COMPUTED_VALUE"""),83.9)</f>
        <v>83.9</v>
      </c>
      <c r="D1565" s="2">
        <f>IFERROR(__xludf.DUMMYFUNCTION("""COMPUTED_VALUE"""),77.8)</f>
        <v>77.8</v>
      </c>
      <c r="E1565" s="2">
        <f>IFERROR(__xludf.DUMMYFUNCTION("""COMPUTED_VALUE"""),83.28)</f>
        <v>83.28</v>
      </c>
      <c r="F1565" s="2">
        <f>IFERROR(__xludf.DUMMYFUNCTION("""COMPUTED_VALUE"""),694152.0)</f>
        <v>694152</v>
      </c>
    </row>
    <row r="1566">
      <c r="A1566" s="3">
        <f>IFERROR(__xludf.DUMMYFUNCTION("""COMPUTED_VALUE"""),38812.645833333336)</f>
        <v>38812.64583</v>
      </c>
      <c r="B1566" s="2">
        <f>IFERROR(__xludf.DUMMYFUNCTION("""COMPUTED_VALUE"""),83.9)</f>
        <v>83.9</v>
      </c>
      <c r="C1566" s="2">
        <f>IFERROR(__xludf.DUMMYFUNCTION("""COMPUTED_VALUE"""),84.6)</f>
        <v>84.6</v>
      </c>
      <c r="D1566" s="2">
        <f>IFERROR(__xludf.DUMMYFUNCTION("""COMPUTED_VALUE"""),83.2)</f>
        <v>83.2</v>
      </c>
      <c r="E1566" s="2">
        <f>IFERROR(__xludf.DUMMYFUNCTION("""COMPUTED_VALUE"""),84.1)</f>
        <v>84.1</v>
      </c>
      <c r="F1566" s="2">
        <f>IFERROR(__xludf.DUMMYFUNCTION("""COMPUTED_VALUE"""),388582.0)</f>
        <v>388582</v>
      </c>
    </row>
    <row r="1567">
      <c r="A1567" s="3">
        <f>IFERROR(__xludf.DUMMYFUNCTION("""COMPUTED_VALUE"""),38814.645833333336)</f>
        <v>38814.64583</v>
      </c>
      <c r="B1567" s="2">
        <f>IFERROR(__xludf.DUMMYFUNCTION("""COMPUTED_VALUE"""),83.74)</f>
        <v>83.74</v>
      </c>
      <c r="C1567" s="2">
        <f>IFERROR(__xludf.DUMMYFUNCTION("""COMPUTED_VALUE"""),85.4)</f>
        <v>85.4</v>
      </c>
      <c r="D1567" s="2">
        <f>IFERROR(__xludf.DUMMYFUNCTION("""COMPUTED_VALUE"""),80.1)</f>
        <v>80.1</v>
      </c>
      <c r="E1567" s="2">
        <f>IFERROR(__xludf.DUMMYFUNCTION("""COMPUTED_VALUE"""),81.77)</f>
        <v>81.77</v>
      </c>
      <c r="F1567" s="2">
        <f>IFERROR(__xludf.DUMMYFUNCTION("""COMPUTED_VALUE"""),366237.0)</f>
        <v>366237</v>
      </c>
    </row>
    <row r="1568">
      <c r="A1568" s="3">
        <f>IFERROR(__xludf.DUMMYFUNCTION("""COMPUTED_VALUE"""),38817.645833333336)</f>
        <v>38817.64583</v>
      </c>
      <c r="B1568" s="2">
        <f>IFERROR(__xludf.DUMMYFUNCTION("""COMPUTED_VALUE"""),81.9)</f>
        <v>81.9</v>
      </c>
      <c r="C1568" s="2">
        <f>IFERROR(__xludf.DUMMYFUNCTION("""COMPUTED_VALUE"""),83.99)</f>
        <v>83.99</v>
      </c>
      <c r="D1568" s="2">
        <f>IFERROR(__xludf.DUMMYFUNCTION("""COMPUTED_VALUE"""),81.0)</f>
        <v>81</v>
      </c>
      <c r="E1568" s="2">
        <f>IFERROR(__xludf.DUMMYFUNCTION("""COMPUTED_VALUE"""),82.53)</f>
        <v>82.53</v>
      </c>
      <c r="F1568" s="2">
        <f>IFERROR(__xludf.DUMMYFUNCTION("""COMPUTED_VALUE"""),211932.0)</f>
        <v>211932</v>
      </c>
    </row>
    <row r="1569">
      <c r="A1569" s="3">
        <f>IFERROR(__xludf.DUMMYFUNCTION("""COMPUTED_VALUE"""),38819.645833333336)</f>
        <v>38819.64583</v>
      </c>
      <c r="B1569" s="2">
        <f>IFERROR(__xludf.DUMMYFUNCTION("""COMPUTED_VALUE"""),82.4)</f>
        <v>82.4</v>
      </c>
      <c r="C1569" s="2">
        <f>IFERROR(__xludf.DUMMYFUNCTION("""COMPUTED_VALUE"""),82.5)</f>
        <v>82.5</v>
      </c>
      <c r="D1569" s="2">
        <f>IFERROR(__xludf.DUMMYFUNCTION("""COMPUTED_VALUE"""),80.22)</f>
        <v>80.22</v>
      </c>
      <c r="E1569" s="2">
        <f>IFERROR(__xludf.DUMMYFUNCTION("""COMPUTED_VALUE"""),80.9)</f>
        <v>80.9</v>
      </c>
      <c r="F1569" s="2">
        <f>IFERROR(__xludf.DUMMYFUNCTION("""COMPUTED_VALUE"""),289575.0)</f>
        <v>289575</v>
      </c>
    </row>
    <row r="1570">
      <c r="A1570" s="3">
        <f>IFERROR(__xludf.DUMMYFUNCTION("""COMPUTED_VALUE"""),38820.645833333336)</f>
        <v>38820.64583</v>
      </c>
      <c r="B1570" s="2">
        <f>IFERROR(__xludf.DUMMYFUNCTION("""COMPUTED_VALUE"""),80.9)</f>
        <v>80.9</v>
      </c>
      <c r="C1570" s="2">
        <f>IFERROR(__xludf.DUMMYFUNCTION("""COMPUTED_VALUE"""),81.7)</f>
        <v>81.7</v>
      </c>
      <c r="D1570" s="2">
        <f>IFERROR(__xludf.DUMMYFUNCTION("""COMPUTED_VALUE"""),79.03)</f>
        <v>79.03</v>
      </c>
      <c r="E1570" s="2">
        <f>IFERROR(__xludf.DUMMYFUNCTION("""COMPUTED_VALUE"""),80.4)</f>
        <v>80.4</v>
      </c>
      <c r="F1570" s="2">
        <f>IFERROR(__xludf.DUMMYFUNCTION("""COMPUTED_VALUE"""),394680.0)</f>
        <v>394680</v>
      </c>
    </row>
    <row r="1571">
      <c r="A1571" s="3">
        <f>IFERROR(__xludf.DUMMYFUNCTION("""COMPUTED_VALUE"""),38824.645833333336)</f>
        <v>38824.64583</v>
      </c>
      <c r="B1571" s="2">
        <f>IFERROR(__xludf.DUMMYFUNCTION("""COMPUTED_VALUE"""),80.52)</f>
        <v>80.52</v>
      </c>
      <c r="C1571" s="2">
        <f>IFERROR(__xludf.DUMMYFUNCTION("""COMPUTED_VALUE"""),82.21)</f>
        <v>82.21</v>
      </c>
      <c r="D1571" s="2">
        <f>IFERROR(__xludf.DUMMYFUNCTION("""COMPUTED_VALUE"""),79.53)</f>
        <v>79.53</v>
      </c>
      <c r="E1571" s="2">
        <f>IFERROR(__xludf.DUMMYFUNCTION("""COMPUTED_VALUE"""),81.46)</f>
        <v>81.46</v>
      </c>
      <c r="F1571" s="2">
        <f>IFERROR(__xludf.DUMMYFUNCTION("""COMPUTED_VALUE"""),386840.0)</f>
        <v>386840</v>
      </c>
    </row>
    <row r="1572">
      <c r="A1572" s="3">
        <f>IFERROR(__xludf.DUMMYFUNCTION("""COMPUTED_VALUE"""),38825.645833333336)</f>
        <v>38825.64583</v>
      </c>
      <c r="B1572" s="2">
        <f>IFERROR(__xludf.DUMMYFUNCTION("""COMPUTED_VALUE"""),82.4)</f>
        <v>82.4</v>
      </c>
      <c r="C1572" s="2">
        <f>IFERROR(__xludf.DUMMYFUNCTION("""COMPUTED_VALUE"""),84.2)</f>
        <v>84.2</v>
      </c>
      <c r="D1572" s="2">
        <f>IFERROR(__xludf.DUMMYFUNCTION("""COMPUTED_VALUE"""),82.4)</f>
        <v>82.4</v>
      </c>
      <c r="E1572" s="2">
        <f>IFERROR(__xludf.DUMMYFUNCTION("""COMPUTED_VALUE"""),83.45)</f>
        <v>83.45</v>
      </c>
      <c r="F1572" s="2">
        <f>IFERROR(__xludf.DUMMYFUNCTION("""COMPUTED_VALUE"""),305143.0)</f>
        <v>305143</v>
      </c>
    </row>
    <row r="1573">
      <c r="A1573" s="3">
        <f>IFERROR(__xludf.DUMMYFUNCTION("""COMPUTED_VALUE"""),38826.645833333336)</f>
        <v>38826.64583</v>
      </c>
      <c r="B1573" s="2">
        <f>IFERROR(__xludf.DUMMYFUNCTION("""COMPUTED_VALUE"""),84.02)</f>
        <v>84.02</v>
      </c>
      <c r="C1573" s="2">
        <f>IFERROR(__xludf.DUMMYFUNCTION("""COMPUTED_VALUE"""),85.77)</f>
        <v>85.77</v>
      </c>
      <c r="D1573" s="2">
        <f>IFERROR(__xludf.DUMMYFUNCTION("""COMPUTED_VALUE"""),84.0)</f>
        <v>84</v>
      </c>
      <c r="E1573" s="2">
        <f>IFERROR(__xludf.DUMMYFUNCTION("""COMPUTED_VALUE"""),84.85)</f>
        <v>84.85</v>
      </c>
      <c r="F1573" s="2">
        <f>IFERROR(__xludf.DUMMYFUNCTION("""COMPUTED_VALUE"""),491128.0)</f>
        <v>491128</v>
      </c>
    </row>
    <row r="1574">
      <c r="A1574" s="3">
        <f>IFERROR(__xludf.DUMMYFUNCTION("""COMPUTED_VALUE"""),38827.645833333336)</f>
        <v>38827.64583</v>
      </c>
      <c r="B1574" s="2">
        <f>IFERROR(__xludf.DUMMYFUNCTION("""COMPUTED_VALUE"""),84.95)</f>
        <v>84.95</v>
      </c>
      <c r="C1574" s="2">
        <f>IFERROR(__xludf.DUMMYFUNCTION("""COMPUTED_VALUE"""),85.5)</f>
        <v>85.5</v>
      </c>
      <c r="D1574" s="2">
        <f>IFERROR(__xludf.DUMMYFUNCTION("""COMPUTED_VALUE"""),83.03)</f>
        <v>83.03</v>
      </c>
      <c r="E1574" s="2">
        <f>IFERROR(__xludf.DUMMYFUNCTION("""COMPUTED_VALUE"""),85.0)</f>
        <v>85</v>
      </c>
      <c r="F1574" s="2">
        <f>IFERROR(__xludf.DUMMYFUNCTION("""COMPUTED_VALUE"""),381005.0)</f>
        <v>381005</v>
      </c>
    </row>
    <row r="1575">
      <c r="A1575" s="3">
        <f>IFERROR(__xludf.DUMMYFUNCTION("""COMPUTED_VALUE"""),38828.645833333336)</f>
        <v>38828.64583</v>
      </c>
      <c r="B1575" s="2">
        <f>IFERROR(__xludf.DUMMYFUNCTION("""COMPUTED_VALUE"""),83.75)</f>
        <v>83.75</v>
      </c>
      <c r="C1575" s="2">
        <f>IFERROR(__xludf.DUMMYFUNCTION("""COMPUTED_VALUE"""),86.5)</f>
        <v>86.5</v>
      </c>
      <c r="D1575" s="2">
        <f>IFERROR(__xludf.DUMMYFUNCTION("""COMPUTED_VALUE"""),83.75)</f>
        <v>83.75</v>
      </c>
      <c r="E1575" s="2">
        <f>IFERROR(__xludf.DUMMYFUNCTION("""COMPUTED_VALUE"""),84.87)</f>
        <v>84.87</v>
      </c>
      <c r="F1575" s="2">
        <f>IFERROR(__xludf.DUMMYFUNCTION("""COMPUTED_VALUE"""),1400446.0)</f>
        <v>1400446</v>
      </c>
    </row>
    <row r="1576">
      <c r="A1576" s="3">
        <f>IFERROR(__xludf.DUMMYFUNCTION("""COMPUTED_VALUE"""),38831.645833333336)</f>
        <v>38831.64583</v>
      </c>
      <c r="B1576" s="2">
        <f>IFERROR(__xludf.DUMMYFUNCTION("""COMPUTED_VALUE"""),84.25)</f>
        <v>84.25</v>
      </c>
      <c r="C1576" s="2">
        <f>IFERROR(__xludf.DUMMYFUNCTION("""COMPUTED_VALUE"""),84.77)</f>
        <v>84.77</v>
      </c>
      <c r="D1576" s="2">
        <f>IFERROR(__xludf.DUMMYFUNCTION("""COMPUTED_VALUE"""),80.9)</f>
        <v>80.9</v>
      </c>
      <c r="E1576" s="2">
        <f>IFERROR(__xludf.DUMMYFUNCTION("""COMPUTED_VALUE"""),82.24)</f>
        <v>82.24</v>
      </c>
      <c r="F1576" s="2">
        <f>IFERROR(__xludf.DUMMYFUNCTION("""COMPUTED_VALUE"""),593436.0)</f>
        <v>593436</v>
      </c>
    </row>
    <row r="1577">
      <c r="A1577" s="3">
        <f>IFERROR(__xludf.DUMMYFUNCTION("""COMPUTED_VALUE"""),38832.645833333336)</f>
        <v>38832.64583</v>
      </c>
      <c r="B1577" s="2">
        <f>IFERROR(__xludf.DUMMYFUNCTION("""COMPUTED_VALUE"""),82.31)</f>
        <v>82.31</v>
      </c>
      <c r="C1577" s="2">
        <f>IFERROR(__xludf.DUMMYFUNCTION("""COMPUTED_VALUE"""),83.5)</f>
        <v>83.5</v>
      </c>
      <c r="D1577" s="2">
        <f>IFERROR(__xludf.DUMMYFUNCTION("""COMPUTED_VALUE"""),82.0)</f>
        <v>82</v>
      </c>
      <c r="E1577" s="2">
        <f>IFERROR(__xludf.DUMMYFUNCTION("""COMPUTED_VALUE"""),82.47)</f>
        <v>82.47</v>
      </c>
      <c r="F1577" s="2">
        <f>IFERROR(__xludf.DUMMYFUNCTION("""COMPUTED_VALUE"""),889338.0)</f>
        <v>889338</v>
      </c>
    </row>
    <row r="1578">
      <c r="A1578" s="3">
        <f>IFERROR(__xludf.DUMMYFUNCTION("""COMPUTED_VALUE"""),38833.645833333336)</f>
        <v>38833.64583</v>
      </c>
      <c r="B1578" s="2">
        <f>IFERROR(__xludf.DUMMYFUNCTION("""COMPUTED_VALUE"""),82.5)</f>
        <v>82.5</v>
      </c>
      <c r="C1578" s="2">
        <f>IFERROR(__xludf.DUMMYFUNCTION("""COMPUTED_VALUE"""),85.2)</f>
        <v>85.2</v>
      </c>
      <c r="D1578" s="2">
        <f>IFERROR(__xludf.DUMMYFUNCTION("""COMPUTED_VALUE"""),82.15)</f>
        <v>82.15</v>
      </c>
      <c r="E1578" s="2">
        <f>IFERROR(__xludf.DUMMYFUNCTION("""COMPUTED_VALUE"""),83.71)</f>
        <v>83.71</v>
      </c>
      <c r="F1578" s="2">
        <f>IFERROR(__xludf.DUMMYFUNCTION("""COMPUTED_VALUE"""),914988.0)</f>
        <v>914988</v>
      </c>
    </row>
    <row r="1579">
      <c r="A1579" s="3">
        <f>IFERROR(__xludf.DUMMYFUNCTION("""COMPUTED_VALUE"""),38834.645833333336)</f>
        <v>38834.64583</v>
      </c>
      <c r="B1579" s="2">
        <f>IFERROR(__xludf.DUMMYFUNCTION("""COMPUTED_VALUE"""),83.7)</f>
        <v>83.7</v>
      </c>
      <c r="C1579" s="2">
        <f>IFERROR(__xludf.DUMMYFUNCTION("""COMPUTED_VALUE"""),85.4)</f>
        <v>85.4</v>
      </c>
      <c r="D1579" s="2">
        <f>IFERROR(__xludf.DUMMYFUNCTION("""COMPUTED_VALUE"""),80.63)</f>
        <v>80.63</v>
      </c>
      <c r="E1579" s="2">
        <f>IFERROR(__xludf.DUMMYFUNCTION("""COMPUTED_VALUE"""),82.42)</f>
        <v>82.42</v>
      </c>
      <c r="F1579" s="2">
        <f>IFERROR(__xludf.DUMMYFUNCTION("""COMPUTED_VALUE"""),942507.0)</f>
        <v>942507</v>
      </c>
    </row>
    <row r="1580">
      <c r="A1580" s="3">
        <f>IFERROR(__xludf.DUMMYFUNCTION("""COMPUTED_VALUE"""),38835.645833333336)</f>
        <v>38835.64583</v>
      </c>
      <c r="B1580" s="2">
        <f>IFERROR(__xludf.DUMMYFUNCTION("""COMPUTED_VALUE"""),79.9)</f>
        <v>79.9</v>
      </c>
      <c r="C1580" s="2">
        <f>IFERROR(__xludf.DUMMYFUNCTION("""COMPUTED_VALUE"""),82.1)</f>
        <v>82.1</v>
      </c>
      <c r="D1580" s="2">
        <f>IFERROR(__xludf.DUMMYFUNCTION("""COMPUTED_VALUE"""),74.09)</f>
        <v>74.09</v>
      </c>
      <c r="E1580" s="2">
        <f>IFERROR(__xludf.DUMMYFUNCTION("""COMPUTED_VALUE"""),81.73)</f>
        <v>81.73</v>
      </c>
      <c r="F1580" s="2">
        <f>IFERROR(__xludf.DUMMYFUNCTION("""COMPUTED_VALUE"""),964505.0)</f>
        <v>964505</v>
      </c>
    </row>
    <row r="1581">
      <c r="A1581" s="3">
        <f>IFERROR(__xludf.DUMMYFUNCTION("""COMPUTED_VALUE"""),38839.645833333336)</f>
        <v>38839.64583</v>
      </c>
      <c r="B1581" s="2">
        <f>IFERROR(__xludf.DUMMYFUNCTION("""COMPUTED_VALUE"""),83.9)</f>
        <v>83.9</v>
      </c>
      <c r="C1581" s="2">
        <f>IFERROR(__xludf.DUMMYFUNCTION("""COMPUTED_VALUE"""),87.1)</f>
        <v>87.1</v>
      </c>
      <c r="D1581" s="2">
        <f>IFERROR(__xludf.DUMMYFUNCTION("""COMPUTED_VALUE"""),83.1)</f>
        <v>83.1</v>
      </c>
      <c r="E1581" s="2">
        <f>IFERROR(__xludf.DUMMYFUNCTION("""COMPUTED_VALUE"""),85.13)</f>
        <v>85.13</v>
      </c>
      <c r="F1581" s="2">
        <f>IFERROR(__xludf.DUMMYFUNCTION("""COMPUTED_VALUE"""),852249.0)</f>
        <v>852249</v>
      </c>
    </row>
    <row r="1582">
      <c r="A1582" s="3">
        <f>IFERROR(__xludf.DUMMYFUNCTION("""COMPUTED_VALUE"""),38840.645833333336)</f>
        <v>38840.64583</v>
      </c>
      <c r="B1582" s="2">
        <f>IFERROR(__xludf.DUMMYFUNCTION("""COMPUTED_VALUE"""),85.3)</f>
        <v>85.3</v>
      </c>
      <c r="C1582" s="2">
        <f>IFERROR(__xludf.DUMMYFUNCTION("""COMPUTED_VALUE"""),87.4)</f>
        <v>87.4</v>
      </c>
      <c r="D1582" s="2">
        <f>IFERROR(__xludf.DUMMYFUNCTION("""COMPUTED_VALUE"""),85.01)</f>
        <v>85.01</v>
      </c>
      <c r="E1582" s="2">
        <f>IFERROR(__xludf.DUMMYFUNCTION("""COMPUTED_VALUE"""),86.32)</f>
        <v>86.32</v>
      </c>
      <c r="F1582" s="2">
        <f>IFERROR(__xludf.DUMMYFUNCTION("""COMPUTED_VALUE"""),400833.0)</f>
        <v>400833</v>
      </c>
    </row>
    <row r="1583">
      <c r="A1583" s="3">
        <f>IFERROR(__xludf.DUMMYFUNCTION("""COMPUTED_VALUE"""),38841.645833333336)</f>
        <v>38841.64583</v>
      </c>
      <c r="B1583" s="2">
        <f>IFERROR(__xludf.DUMMYFUNCTION("""COMPUTED_VALUE"""),85.0)</f>
        <v>85</v>
      </c>
      <c r="C1583" s="2">
        <f>IFERROR(__xludf.DUMMYFUNCTION("""COMPUTED_VALUE"""),89.49)</f>
        <v>89.49</v>
      </c>
      <c r="D1583" s="2">
        <f>IFERROR(__xludf.DUMMYFUNCTION("""COMPUTED_VALUE"""),84.61)</f>
        <v>84.61</v>
      </c>
      <c r="E1583" s="2">
        <f>IFERROR(__xludf.DUMMYFUNCTION("""COMPUTED_VALUE"""),88.38)</f>
        <v>88.38</v>
      </c>
      <c r="F1583" s="2">
        <f>IFERROR(__xludf.DUMMYFUNCTION("""COMPUTED_VALUE"""),476374.0)</f>
        <v>476374</v>
      </c>
    </row>
    <row r="1584">
      <c r="A1584" s="3">
        <f>IFERROR(__xludf.DUMMYFUNCTION("""COMPUTED_VALUE"""),38842.645833333336)</f>
        <v>38842.64583</v>
      </c>
      <c r="B1584" s="2">
        <f>IFERROR(__xludf.DUMMYFUNCTION("""COMPUTED_VALUE"""),88.0)</f>
        <v>88</v>
      </c>
      <c r="C1584" s="2">
        <f>IFERROR(__xludf.DUMMYFUNCTION("""COMPUTED_VALUE"""),89.1)</f>
        <v>89.1</v>
      </c>
      <c r="D1584" s="2">
        <f>IFERROR(__xludf.DUMMYFUNCTION("""COMPUTED_VALUE"""),86.11)</f>
        <v>86.11</v>
      </c>
      <c r="E1584" s="2">
        <f>IFERROR(__xludf.DUMMYFUNCTION("""COMPUTED_VALUE"""),87.87)</f>
        <v>87.87</v>
      </c>
      <c r="F1584" s="2">
        <f>IFERROR(__xludf.DUMMYFUNCTION("""COMPUTED_VALUE"""),467602.0)</f>
        <v>467602</v>
      </c>
    </row>
    <row r="1585">
      <c r="A1585" s="3">
        <f>IFERROR(__xludf.DUMMYFUNCTION("""COMPUTED_VALUE"""),38845.645833333336)</f>
        <v>38845.64583</v>
      </c>
      <c r="B1585" s="2">
        <f>IFERROR(__xludf.DUMMYFUNCTION("""COMPUTED_VALUE"""),88.8)</f>
        <v>88.8</v>
      </c>
      <c r="C1585" s="2">
        <f>IFERROR(__xludf.DUMMYFUNCTION("""COMPUTED_VALUE"""),89.5)</f>
        <v>89.5</v>
      </c>
      <c r="D1585" s="2">
        <f>IFERROR(__xludf.DUMMYFUNCTION("""COMPUTED_VALUE"""),86.5)</f>
        <v>86.5</v>
      </c>
      <c r="E1585" s="2">
        <f>IFERROR(__xludf.DUMMYFUNCTION("""COMPUTED_VALUE"""),87.61)</f>
        <v>87.61</v>
      </c>
      <c r="F1585" s="2">
        <f>IFERROR(__xludf.DUMMYFUNCTION("""COMPUTED_VALUE"""),1608836.0)</f>
        <v>1608836</v>
      </c>
    </row>
    <row r="1586">
      <c r="A1586" s="3">
        <f>IFERROR(__xludf.DUMMYFUNCTION("""COMPUTED_VALUE"""),38846.645833333336)</f>
        <v>38846.64583</v>
      </c>
      <c r="B1586" s="2">
        <f>IFERROR(__xludf.DUMMYFUNCTION("""COMPUTED_VALUE"""),88.11)</f>
        <v>88.11</v>
      </c>
      <c r="C1586" s="2">
        <f>IFERROR(__xludf.DUMMYFUNCTION("""COMPUTED_VALUE"""),89.39)</f>
        <v>89.39</v>
      </c>
      <c r="D1586" s="2">
        <f>IFERROR(__xludf.DUMMYFUNCTION("""COMPUTED_VALUE"""),84.8)</f>
        <v>84.8</v>
      </c>
      <c r="E1586" s="2">
        <f>IFERROR(__xludf.DUMMYFUNCTION("""COMPUTED_VALUE"""),85.27)</f>
        <v>85.27</v>
      </c>
      <c r="F1586" s="2">
        <f>IFERROR(__xludf.DUMMYFUNCTION("""COMPUTED_VALUE"""),734742.0)</f>
        <v>734742</v>
      </c>
    </row>
    <row r="1587">
      <c r="A1587" s="3">
        <f>IFERROR(__xludf.DUMMYFUNCTION("""COMPUTED_VALUE"""),38847.645833333336)</f>
        <v>38847.64583</v>
      </c>
      <c r="B1587" s="2">
        <f>IFERROR(__xludf.DUMMYFUNCTION("""COMPUTED_VALUE"""),85.5)</f>
        <v>85.5</v>
      </c>
      <c r="C1587" s="2">
        <f>IFERROR(__xludf.DUMMYFUNCTION("""COMPUTED_VALUE"""),87.98)</f>
        <v>87.98</v>
      </c>
      <c r="D1587" s="2">
        <f>IFERROR(__xludf.DUMMYFUNCTION("""COMPUTED_VALUE"""),85.35)</f>
        <v>85.35</v>
      </c>
      <c r="E1587" s="2">
        <f>IFERROR(__xludf.DUMMYFUNCTION("""COMPUTED_VALUE"""),87.11)</f>
        <v>87.11</v>
      </c>
      <c r="F1587" s="2">
        <f>IFERROR(__xludf.DUMMYFUNCTION("""COMPUTED_VALUE"""),930034.0)</f>
        <v>930034</v>
      </c>
    </row>
    <row r="1588">
      <c r="A1588" s="3">
        <f>IFERROR(__xludf.DUMMYFUNCTION("""COMPUTED_VALUE"""),38848.645833333336)</f>
        <v>38848.64583</v>
      </c>
      <c r="B1588" s="2">
        <f>IFERROR(__xludf.DUMMYFUNCTION("""COMPUTED_VALUE"""),86.9)</f>
        <v>86.9</v>
      </c>
      <c r="C1588" s="2">
        <f>IFERROR(__xludf.DUMMYFUNCTION("""COMPUTED_VALUE"""),87.88)</f>
        <v>87.88</v>
      </c>
      <c r="D1588" s="2">
        <f>IFERROR(__xludf.DUMMYFUNCTION("""COMPUTED_VALUE"""),83.5)</f>
        <v>83.5</v>
      </c>
      <c r="E1588" s="2">
        <f>IFERROR(__xludf.DUMMYFUNCTION("""COMPUTED_VALUE"""),87.05)</f>
        <v>87.05</v>
      </c>
      <c r="F1588" s="2">
        <f>IFERROR(__xludf.DUMMYFUNCTION("""COMPUTED_VALUE"""),336036.0)</f>
        <v>336036</v>
      </c>
    </row>
    <row r="1589">
      <c r="A1589" s="3">
        <f>IFERROR(__xludf.DUMMYFUNCTION("""COMPUTED_VALUE"""),38849.645833333336)</f>
        <v>38849.64583</v>
      </c>
      <c r="B1589" s="2">
        <f>IFERROR(__xludf.DUMMYFUNCTION("""COMPUTED_VALUE"""),86.0)</f>
        <v>86</v>
      </c>
      <c r="C1589" s="2">
        <f>IFERROR(__xludf.DUMMYFUNCTION("""COMPUTED_VALUE"""),87.89)</f>
        <v>87.89</v>
      </c>
      <c r="D1589" s="2">
        <f>IFERROR(__xludf.DUMMYFUNCTION("""COMPUTED_VALUE"""),85.13)</f>
        <v>85.13</v>
      </c>
      <c r="E1589" s="2">
        <f>IFERROR(__xludf.DUMMYFUNCTION("""COMPUTED_VALUE"""),87.53)</f>
        <v>87.53</v>
      </c>
      <c r="F1589" s="2">
        <f>IFERROR(__xludf.DUMMYFUNCTION("""COMPUTED_VALUE"""),217146.0)</f>
        <v>217146</v>
      </c>
    </row>
    <row r="1590">
      <c r="A1590" s="3">
        <f>IFERROR(__xludf.DUMMYFUNCTION("""COMPUTED_VALUE"""),38852.645833333336)</f>
        <v>38852.64583</v>
      </c>
      <c r="B1590" s="2">
        <f>IFERROR(__xludf.DUMMYFUNCTION("""COMPUTED_VALUE"""),86.7)</f>
        <v>86.7</v>
      </c>
      <c r="C1590" s="2">
        <f>IFERROR(__xludf.DUMMYFUNCTION("""COMPUTED_VALUE"""),87.5)</f>
        <v>87.5</v>
      </c>
      <c r="D1590" s="2">
        <f>IFERROR(__xludf.DUMMYFUNCTION("""COMPUTED_VALUE"""),83.11)</f>
        <v>83.11</v>
      </c>
      <c r="E1590" s="2">
        <f>IFERROR(__xludf.DUMMYFUNCTION("""COMPUTED_VALUE"""),84.36)</f>
        <v>84.36</v>
      </c>
      <c r="F1590" s="2">
        <f>IFERROR(__xludf.DUMMYFUNCTION("""COMPUTED_VALUE"""),381716.0)</f>
        <v>381716</v>
      </c>
    </row>
    <row r="1591">
      <c r="A1591" s="3">
        <f>IFERROR(__xludf.DUMMYFUNCTION("""COMPUTED_VALUE"""),38853.645833333336)</f>
        <v>38853.64583</v>
      </c>
      <c r="B1591" s="2">
        <f>IFERROR(__xludf.DUMMYFUNCTION("""COMPUTED_VALUE"""),84.0)</f>
        <v>84</v>
      </c>
      <c r="C1591" s="2">
        <f>IFERROR(__xludf.DUMMYFUNCTION("""COMPUTED_VALUE"""),85.0)</f>
        <v>85</v>
      </c>
      <c r="D1591" s="2">
        <f>IFERROR(__xludf.DUMMYFUNCTION("""COMPUTED_VALUE"""),82.1)</f>
        <v>82.1</v>
      </c>
      <c r="E1591" s="2">
        <f>IFERROR(__xludf.DUMMYFUNCTION("""COMPUTED_VALUE"""),84.77)</f>
        <v>84.77</v>
      </c>
      <c r="F1591" s="2">
        <f>IFERROR(__xludf.DUMMYFUNCTION("""COMPUTED_VALUE"""),381010.0)</f>
        <v>381010</v>
      </c>
    </row>
    <row r="1592">
      <c r="A1592" s="3">
        <f>IFERROR(__xludf.DUMMYFUNCTION("""COMPUTED_VALUE"""),38854.645833333336)</f>
        <v>38854.64583</v>
      </c>
      <c r="B1592" s="2">
        <f>IFERROR(__xludf.DUMMYFUNCTION("""COMPUTED_VALUE"""),86.5)</f>
        <v>86.5</v>
      </c>
      <c r="C1592" s="2">
        <f>IFERROR(__xludf.DUMMYFUNCTION("""COMPUTED_VALUE"""),86.5)</f>
        <v>86.5</v>
      </c>
      <c r="D1592" s="2">
        <f>IFERROR(__xludf.DUMMYFUNCTION("""COMPUTED_VALUE"""),82.7)</f>
        <v>82.7</v>
      </c>
      <c r="E1592" s="2">
        <f>IFERROR(__xludf.DUMMYFUNCTION("""COMPUTED_VALUE"""),84.43)</f>
        <v>84.43</v>
      </c>
      <c r="F1592" s="2">
        <f>IFERROR(__xludf.DUMMYFUNCTION("""COMPUTED_VALUE"""),348761.0)</f>
        <v>348761</v>
      </c>
    </row>
    <row r="1593">
      <c r="A1593" s="3">
        <f>IFERROR(__xludf.DUMMYFUNCTION("""COMPUTED_VALUE"""),38855.645833333336)</f>
        <v>38855.64583</v>
      </c>
      <c r="B1593" s="2">
        <f>IFERROR(__xludf.DUMMYFUNCTION("""COMPUTED_VALUE"""),83.7)</f>
        <v>83.7</v>
      </c>
      <c r="C1593" s="2">
        <f>IFERROR(__xludf.DUMMYFUNCTION("""COMPUTED_VALUE"""),84.4)</f>
        <v>84.4</v>
      </c>
      <c r="D1593" s="2">
        <f>IFERROR(__xludf.DUMMYFUNCTION("""COMPUTED_VALUE"""),80.4)</f>
        <v>80.4</v>
      </c>
      <c r="E1593" s="2">
        <f>IFERROR(__xludf.DUMMYFUNCTION("""COMPUTED_VALUE"""),81.97)</f>
        <v>81.97</v>
      </c>
      <c r="F1593" s="2">
        <f>IFERROR(__xludf.DUMMYFUNCTION("""COMPUTED_VALUE"""),534499.0)</f>
        <v>534499</v>
      </c>
    </row>
    <row r="1594">
      <c r="A1594" s="3">
        <f>IFERROR(__xludf.DUMMYFUNCTION("""COMPUTED_VALUE"""),38856.645833333336)</f>
        <v>38856.64583</v>
      </c>
      <c r="B1594" s="2">
        <f>IFERROR(__xludf.DUMMYFUNCTION("""COMPUTED_VALUE"""),83.4)</f>
        <v>83.4</v>
      </c>
      <c r="C1594" s="2">
        <f>IFERROR(__xludf.DUMMYFUNCTION("""COMPUTED_VALUE"""),83.5)</f>
        <v>83.5</v>
      </c>
      <c r="D1594" s="2">
        <f>IFERROR(__xludf.DUMMYFUNCTION("""COMPUTED_VALUE"""),76.52)</f>
        <v>76.52</v>
      </c>
      <c r="E1594" s="2">
        <f>IFERROR(__xludf.DUMMYFUNCTION("""COMPUTED_VALUE"""),80.97)</f>
        <v>80.97</v>
      </c>
      <c r="F1594" s="2">
        <f>IFERROR(__xludf.DUMMYFUNCTION("""COMPUTED_VALUE"""),459709.0)</f>
        <v>459709</v>
      </c>
    </row>
    <row r="1595">
      <c r="A1595" s="3">
        <f>IFERROR(__xludf.DUMMYFUNCTION("""COMPUTED_VALUE"""),38859.645833333336)</f>
        <v>38859.64583</v>
      </c>
      <c r="B1595" s="2">
        <f>IFERROR(__xludf.DUMMYFUNCTION("""COMPUTED_VALUE"""),81.0)</f>
        <v>81</v>
      </c>
      <c r="C1595" s="2">
        <f>IFERROR(__xludf.DUMMYFUNCTION("""COMPUTED_VALUE"""),83.4)</f>
        <v>83.4</v>
      </c>
      <c r="D1595" s="2">
        <f>IFERROR(__xludf.DUMMYFUNCTION("""COMPUTED_VALUE"""),71.0)</f>
        <v>71</v>
      </c>
      <c r="E1595" s="2">
        <f>IFERROR(__xludf.DUMMYFUNCTION("""COMPUTED_VALUE"""),78.7)</f>
        <v>78.7</v>
      </c>
      <c r="F1595" s="2">
        <f>IFERROR(__xludf.DUMMYFUNCTION("""COMPUTED_VALUE"""),382825.0)</f>
        <v>382825</v>
      </c>
    </row>
    <row r="1596">
      <c r="A1596" s="3">
        <f>IFERROR(__xludf.DUMMYFUNCTION("""COMPUTED_VALUE"""),38860.645833333336)</f>
        <v>38860.64583</v>
      </c>
      <c r="B1596" s="2">
        <f>IFERROR(__xludf.DUMMYFUNCTION("""COMPUTED_VALUE"""),79.5)</f>
        <v>79.5</v>
      </c>
      <c r="C1596" s="2">
        <f>IFERROR(__xludf.DUMMYFUNCTION("""COMPUTED_VALUE"""),80.0)</f>
        <v>80</v>
      </c>
      <c r="D1596" s="2">
        <f>IFERROR(__xludf.DUMMYFUNCTION("""COMPUTED_VALUE"""),74.3)</f>
        <v>74.3</v>
      </c>
      <c r="E1596" s="2">
        <f>IFERROR(__xludf.DUMMYFUNCTION("""COMPUTED_VALUE"""),78.12)</f>
        <v>78.12</v>
      </c>
      <c r="F1596" s="2">
        <f>IFERROR(__xludf.DUMMYFUNCTION("""COMPUTED_VALUE"""),532684.0)</f>
        <v>532684</v>
      </c>
    </row>
    <row r="1597">
      <c r="A1597" s="3">
        <f>IFERROR(__xludf.DUMMYFUNCTION("""COMPUTED_VALUE"""),38861.645833333336)</f>
        <v>38861.64583</v>
      </c>
      <c r="B1597" s="2">
        <f>IFERROR(__xludf.DUMMYFUNCTION("""COMPUTED_VALUE"""),79.1)</f>
        <v>79.1</v>
      </c>
      <c r="C1597" s="2">
        <f>IFERROR(__xludf.DUMMYFUNCTION("""COMPUTED_VALUE"""),79.9)</f>
        <v>79.9</v>
      </c>
      <c r="D1597" s="2">
        <f>IFERROR(__xludf.DUMMYFUNCTION("""COMPUTED_VALUE"""),74.7)</f>
        <v>74.7</v>
      </c>
      <c r="E1597" s="2">
        <f>IFERROR(__xludf.DUMMYFUNCTION("""COMPUTED_VALUE"""),76.86)</f>
        <v>76.86</v>
      </c>
      <c r="F1597" s="2">
        <f>IFERROR(__xludf.DUMMYFUNCTION("""COMPUTED_VALUE"""),1213298.0)</f>
        <v>1213298</v>
      </c>
    </row>
    <row r="1598">
      <c r="A1598" s="3">
        <f>IFERROR(__xludf.DUMMYFUNCTION("""COMPUTED_VALUE"""),38862.645833333336)</f>
        <v>38862.64583</v>
      </c>
      <c r="B1598" s="2">
        <f>IFERROR(__xludf.DUMMYFUNCTION("""COMPUTED_VALUE"""),75.11)</f>
        <v>75.11</v>
      </c>
      <c r="C1598" s="2">
        <f>IFERROR(__xludf.DUMMYFUNCTION("""COMPUTED_VALUE"""),79.0)</f>
        <v>79</v>
      </c>
      <c r="D1598" s="2">
        <f>IFERROR(__xludf.DUMMYFUNCTION("""COMPUTED_VALUE"""),72.82)</f>
        <v>72.82</v>
      </c>
      <c r="E1598" s="2">
        <f>IFERROR(__xludf.DUMMYFUNCTION("""COMPUTED_VALUE"""),75.82)</f>
        <v>75.82</v>
      </c>
      <c r="F1598" s="2">
        <f>IFERROR(__xludf.DUMMYFUNCTION("""COMPUTED_VALUE"""),872796.0)</f>
        <v>872796</v>
      </c>
    </row>
    <row r="1599">
      <c r="A1599" s="3">
        <f>IFERROR(__xludf.DUMMYFUNCTION("""COMPUTED_VALUE"""),38863.645833333336)</f>
        <v>38863.64583</v>
      </c>
      <c r="B1599" s="2">
        <f>IFERROR(__xludf.DUMMYFUNCTION("""COMPUTED_VALUE"""),76.0)</f>
        <v>76</v>
      </c>
      <c r="C1599" s="2">
        <f>IFERROR(__xludf.DUMMYFUNCTION("""COMPUTED_VALUE"""),78.9)</f>
        <v>78.9</v>
      </c>
      <c r="D1599" s="2">
        <f>IFERROR(__xludf.DUMMYFUNCTION("""COMPUTED_VALUE"""),75.0)</f>
        <v>75</v>
      </c>
      <c r="E1599" s="2">
        <f>IFERROR(__xludf.DUMMYFUNCTION("""COMPUTED_VALUE"""),77.4)</f>
        <v>77.4</v>
      </c>
      <c r="F1599" s="2">
        <f>IFERROR(__xludf.DUMMYFUNCTION("""COMPUTED_VALUE"""),301993.0)</f>
        <v>301993</v>
      </c>
    </row>
    <row r="1600">
      <c r="A1600" s="3">
        <f>IFERROR(__xludf.DUMMYFUNCTION("""COMPUTED_VALUE"""),38866.645833333336)</f>
        <v>38866.64583</v>
      </c>
      <c r="B1600" s="2">
        <f>IFERROR(__xludf.DUMMYFUNCTION("""COMPUTED_VALUE"""),78.0)</f>
        <v>78</v>
      </c>
      <c r="C1600" s="2">
        <f>IFERROR(__xludf.DUMMYFUNCTION("""COMPUTED_VALUE"""),78.8)</f>
        <v>78.8</v>
      </c>
      <c r="D1600" s="2">
        <f>IFERROR(__xludf.DUMMYFUNCTION("""COMPUTED_VALUE"""),75.81)</f>
        <v>75.81</v>
      </c>
      <c r="E1600" s="2">
        <f>IFERROR(__xludf.DUMMYFUNCTION("""COMPUTED_VALUE"""),76.43)</f>
        <v>76.43</v>
      </c>
      <c r="F1600" s="2">
        <f>IFERROR(__xludf.DUMMYFUNCTION("""COMPUTED_VALUE"""),241634.0)</f>
        <v>241634</v>
      </c>
    </row>
    <row r="1601">
      <c r="A1601" s="3">
        <f>IFERROR(__xludf.DUMMYFUNCTION("""COMPUTED_VALUE"""),38867.645833333336)</f>
        <v>38867.64583</v>
      </c>
      <c r="B1601" s="2">
        <f>IFERROR(__xludf.DUMMYFUNCTION("""COMPUTED_VALUE"""),76.82)</f>
        <v>76.82</v>
      </c>
      <c r="C1601" s="2">
        <f>IFERROR(__xludf.DUMMYFUNCTION("""COMPUTED_VALUE"""),76.82)</f>
        <v>76.82</v>
      </c>
      <c r="D1601" s="2">
        <f>IFERROR(__xludf.DUMMYFUNCTION("""COMPUTED_VALUE"""),72.61)</f>
        <v>72.61</v>
      </c>
      <c r="E1601" s="2">
        <f>IFERROR(__xludf.DUMMYFUNCTION("""COMPUTED_VALUE"""),75.01)</f>
        <v>75.01</v>
      </c>
      <c r="F1601" s="2">
        <f>IFERROR(__xludf.DUMMYFUNCTION("""COMPUTED_VALUE"""),278936.0)</f>
        <v>278936</v>
      </c>
    </row>
    <row r="1602">
      <c r="A1602" s="3">
        <f>IFERROR(__xludf.DUMMYFUNCTION("""COMPUTED_VALUE"""),38868.645833333336)</f>
        <v>38868.64583</v>
      </c>
      <c r="B1602" s="2">
        <f>IFERROR(__xludf.DUMMYFUNCTION("""COMPUTED_VALUE"""),73.22)</f>
        <v>73.22</v>
      </c>
      <c r="C1602" s="2">
        <f>IFERROR(__xludf.DUMMYFUNCTION("""COMPUTED_VALUE"""),77.5)</f>
        <v>77.5</v>
      </c>
      <c r="D1602" s="2">
        <f>IFERROR(__xludf.DUMMYFUNCTION("""COMPUTED_VALUE"""),71.53)</f>
        <v>71.53</v>
      </c>
      <c r="E1602" s="2">
        <f>IFERROR(__xludf.DUMMYFUNCTION("""COMPUTED_VALUE"""),74.52)</f>
        <v>74.52</v>
      </c>
      <c r="F1602" s="2">
        <f>IFERROR(__xludf.DUMMYFUNCTION("""COMPUTED_VALUE"""),622865.0)</f>
        <v>622865</v>
      </c>
    </row>
    <row r="1603">
      <c r="A1603" s="3">
        <f>IFERROR(__xludf.DUMMYFUNCTION("""COMPUTED_VALUE"""),38869.645833333336)</f>
        <v>38869.64583</v>
      </c>
      <c r="B1603" s="2">
        <f>IFERROR(__xludf.DUMMYFUNCTION("""COMPUTED_VALUE"""),76.0)</f>
        <v>76</v>
      </c>
      <c r="C1603" s="2">
        <f>IFERROR(__xludf.DUMMYFUNCTION("""COMPUTED_VALUE"""),77.25)</f>
        <v>77.25</v>
      </c>
      <c r="D1603" s="2">
        <f>IFERROR(__xludf.DUMMYFUNCTION("""COMPUTED_VALUE"""),73.3)</f>
        <v>73.3</v>
      </c>
      <c r="E1603" s="2">
        <f>IFERROR(__xludf.DUMMYFUNCTION("""COMPUTED_VALUE"""),73.87)</f>
        <v>73.87</v>
      </c>
      <c r="F1603" s="2">
        <f>IFERROR(__xludf.DUMMYFUNCTION("""COMPUTED_VALUE"""),529496.0)</f>
        <v>529496</v>
      </c>
    </row>
    <row r="1604">
      <c r="A1604" s="3">
        <f>IFERROR(__xludf.DUMMYFUNCTION("""COMPUTED_VALUE"""),38870.645833333336)</f>
        <v>38870.64583</v>
      </c>
      <c r="B1604" s="2">
        <f>IFERROR(__xludf.DUMMYFUNCTION("""COMPUTED_VALUE"""),74.0)</f>
        <v>74</v>
      </c>
      <c r="C1604" s="2">
        <f>IFERROR(__xludf.DUMMYFUNCTION("""COMPUTED_VALUE"""),77.5)</f>
        <v>77.5</v>
      </c>
      <c r="D1604" s="2">
        <f>IFERROR(__xludf.DUMMYFUNCTION("""COMPUTED_VALUE"""),73.4)</f>
        <v>73.4</v>
      </c>
      <c r="E1604" s="2">
        <f>IFERROR(__xludf.DUMMYFUNCTION("""COMPUTED_VALUE"""),76.51)</f>
        <v>76.51</v>
      </c>
      <c r="F1604" s="2">
        <f>IFERROR(__xludf.DUMMYFUNCTION("""COMPUTED_VALUE"""),440687.0)</f>
        <v>440687</v>
      </c>
    </row>
    <row r="1605">
      <c r="A1605" s="3">
        <f>IFERROR(__xludf.DUMMYFUNCTION("""COMPUTED_VALUE"""),38873.645833333336)</f>
        <v>38873.64583</v>
      </c>
      <c r="B1605" s="2">
        <f>IFERROR(__xludf.DUMMYFUNCTION("""COMPUTED_VALUE"""),76.3)</f>
        <v>76.3</v>
      </c>
      <c r="C1605" s="2">
        <f>IFERROR(__xludf.DUMMYFUNCTION("""COMPUTED_VALUE"""),77.4)</f>
        <v>77.4</v>
      </c>
      <c r="D1605" s="2">
        <f>IFERROR(__xludf.DUMMYFUNCTION("""COMPUTED_VALUE"""),73.01)</f>
        <v>73.01</v>
      </c>
      <c r="E1605" s="2">
        <f>IFERROR(__xludf.DUMMYFUNCTION("""COMPUTED_VALUE"""),73.94)</f>
        <v>73.94</v>
      </c>
      <c r="F1605" s="2">
        <f>IFERROR(__xludf.DUMMYFUNCTION("""COMPUTED_VALUE"""),336165.0)</f>
        <v>336165</v>
      </c>
    </row>
    <row r="1606">
      <c r="A1606" s="3">
        <f>IFERROR(__xludf.DUMMYFUNCTION("""COMPUTED_VALUE"""),38874.645833333336)</f>
        <v>38874.64583</v>
      </c>
      <c r="B1606" s="2">
        <f>IFERROR(__xludf.DUMMYFUNCTION("""COMPUTED_VALUE"""),73.5)</f>
        <v>73.5</v>
      </c>
      <c r="C1606" s="2">
        <f>IFERROR(__xludf.DUMMYFUNCTION("""COMPUTED_VALUE"""),73.5)</f>
        <v>73.5</v>
      </c>
      <c r="D1606" s="2">
        <f>IFERROR(__xludf.DUMMYFUNCTION("""COMPUTED_VALUE"""),71.53)</f>
        <v>71.53</v>
      </c>
      <c r="E1606" s="2">
        <f>IFERROR(__xludf.DUMMYFUNCTION("""COMPUTED_VALUE"""),72.26)</f>
        <v>72.26</v>
      </c>
      <c r="F1606" s="2">
        <f>IFERROR(__xludf.DUMMYFUNCTION("""COMPUTED_VALUE"""),188536.0)</f>
        <v>188536</v>
      </c>
    </row>
    <row r="1607">
      <c r="A1607" s="3">
        <f>IFERROR(__xludf.DUMMYFUNCTION("""COMPUTED_VALUE"""),38875.645833333336)</f>
        <v>38875.64583</v>
      </c>
      <c r="B1607" s="2">
        <f>IFERROR(__xludf.DUMMYFUNCTION("""COMPUTED_VALUE"""),72.17)</f>
        <v>72.17</v>
      </c>
      <c r="C1607" s="2">
        <f>IFERROR(__xludf.DUMMYFUNCTION("""COMPUTED_VALUE"""),72.97)</f>
        <v>72.97</v>
      </c>
      <c r="D1607" s="2">
        <f>IFERROR(__xludf.DUMMYFUNCTION("""COMPUTED_VALUE"""),71.0)</f>
        <v>71</v>
      </c>
      <c r="E1607" s="2">
        <f>IFERROR(__xludf.DUMMYFUNCTION("""COMPUTED_VALUE"""),72.08)</f>
        <v>72.08</v>
      </c>
      <c r="F1607" s="2">
        <f>IFERROR(__xludf.DUMMYFUNCTION("""COMPUTED_VALUE"""),231780.0)</f>
        <v>231780</v>
      </c>
    </row>
    <row r="1608">
      <c r="A1608" s="3">
        <f>IFERROR(__xludf.DUMMYFUNCTION("""COMPUTED_VALUE"""),38876.645833333336)</f>
        <v>38876.64583</v>
      </c>
      <c r="B1608" s="2">
        <f>IFERROR(__xludf.DUMMYFUNCTION("""COMPUTED_VALUE"""),71.1)</f>
        <v>71.1</v>
      </c>
      <c r="C1608" s="2">
        <f>IFERROR(__xludf.DUMMYFUNCTION("""COMPUTED_VALUE"""),72.5)</f>
        <v>72.5</v>
      </c>
      <c r="D1608" s="2">
        <f>IFERROR(__xludf.DUMMYFUNCTION("""COMPUTED_VALUE"""),64.0)</f>
        <v>64</v>
      </c>
      <c r="E1608" s="2">
        <f>IFERROR(__xludf.DUMMYFUNCTION("""COMPUTED_VALUE"""),69.27)</f>
        <v>69.27</v>
      </c>
      <c r="F1608" s="2">
        <f>IFERROR(__xludf.DUMMYFUNCTION("""COMPUTED_VALUE"""),725318.0)</f>
        <v>725318</v>
      </c>
    </row>
    <row r="1609">
      <c r="A1609" s="3">
        <f>IFERROR(__xludf.DUMMYFUNCTION("""COMPUTED_VALUE"""),38877.645833333336)</f>
        <v>38877.64583</v>
      </c>
      <c r="B1609" s="2">
        <f>IFERROR(__xludf.DUMMYFUNCTION("""COMPUTED_VALUE"""),68.7)</f>
        <v>68.7</v>
      </c>
      <c r="C1609" s="2">
        <f>IFERROR(__xludf.DUMMYFUNCTION("""COMPUTED_VALUE"""),72.0)</f>
        <v>72</v>
      </c>
      <c r="D1609" s="2">
        <f>IFERROR(__xludf.DUMMYFUNCTION("""COMPUTED_VALUE"""),66.13)</f>
        <v>66.13</v>
      </c>
      <c r="E1609" s="2">
        <f>IFERROR(__xludf.DUMMYFUNCTION("""COMPUTED_VALUE"""),71.27)</f>
        <v>71.27</v>
      </c>
      <c r="F1609" s="2">
        <f>IFERROR(__xludf.DUMMYFUNCTION("""COMPUTED_VALUE"""),372056.0)</f>
        <v>372056</v>
      </c>
    </row>
    <row r="1610">
      <c r="A1610" s="3">
        <f>IFERROR(__xludf.DUMMYFUNCTION("""COMPUTED_VALUE"""),38880.645833333336)</f>
        <v>38880.64583</v>
      </c>
      <c r="B1610" s="2">
        <f>IFERROR(__xludf.DUMMYFUNCTION("""COMPUTED_VALUE"""),71.79)</f>
        <v>71.79</v>
      </c>
      <c r="C1610" s="2">
        <f>IFERROR(__xludf.DUMMYFUNCTION("""COMPUTED_VALUE"""),72.78)</f>
        <v>72.78</v>
      </c>
      <c r="D1610" s="2">
        <f>IFERROR(__xludf.DUMMYFUNCTION("""COMPUTED_VALUE"""),66.52)</f>
        <v>66.52</v>
      </c>
      <c r="E1610" s="2">
        <f>IFERROR(__xludf.DUMMYFUNCTION("""COMPUTED_VALUE"""),69.22)</f>
        <v>69.22</v>
      </c>
      <c r="F1610" s="2">
        <f>IFERROR(__xludf.DUMMYFUNCTION("""COMPUTED_VALUE"""),357490.0)</f>
        <v>357490</v>
      </c>
    </row>
    <row r="1611">
      <c r="A1611" s="3">
        <f>IFERROR(__xludf.DUMMYFUNCTION("""COMPUTED_VALUE"""),38881.645833333336)</f>
        <v>38881.64583</v>
      </c>
      <c r="B1611" s="2">
        <f>IFERROR(__xludf.DUMMYFUNCTION("""COMPUTED_VALUE"""),67.1)</f>
        <v>67.1</v>
      </c>
      <c r="C1611" s="2">
        <f>IFERROR(__xludf.DUMMYFUNCTION("""COMPUTED_VALUE"""),67.78)</f>
        <v>67.78</v>
      </c>
      <c r="D1611" s="2">
        <f>IFERROR(__xludf.DUMMYFUNCTION("""COMPUTED_VALUE"""),64.0)</f>
        <v>64</v>
      </c>
      <c r="E1611" s="2">
        <f>IFERROR(__xludf.DUMMYFUNCTION("""COMPUTED_VALUE"""),65.17)</f>
        <v>65.17</v>
      </c>
      <c r="F1611" s="2">
        <f>IFERROR(__xludf.DUMMYFUNCTION("""COMPUTED_VALUE"""),389665.0)</f>
        <v>389665</v>
      </c>
    </row>
    <row r="1612">
      <c r="A1612" s="3">
        <f>IFERROR(__xludf.DUMMYFUNCTION("""COMPUTED_VALUE"""),38882.645833333336)</f>
        <v>38882.64583</v>
      </c>
      <c r="B1612" s="2">
        <f>IFERROR(__xludf.DUMMYFUNCTION("""COMPUTED_VALUE"""),64.8)</f>
        <v>64.8</v>
      </c>
      <c r="C1612" s="2">
        <f>IFERROR(__xludf.DUMMYFUNCTION("""COMPUTED_VALUE"""),67.28)</f>
        <v>67.28</v>
      </c>
      <c r="D1612" s="2">
        <f>IFERROR(__xludf.DUMMYFUNCTION("""COMPUTED_VALUE"""),61.52)</f>
        <v>61.52</v>
      </c>
      <c r="E1612" s="2">
        <f>IFERROR(__xludf.DUMMYFUNCTION("""COMPUTED_VALUE"""),63.9)</f>
        <v>63.9</v>
      </c>
      <c r="F1612" s="2">
        <f>IFERROR(__xludf.DUMMYFUNCTION("""COMPUTED_VALUE"""),977627.0)</f>
        <v>977627</v>
      </c>
    </row>
    <row r="1613">
      <c r="A1613" s="3">
        <f>IFERROR(__xludf.DUMMYFUNCTION("""COMPUTED_VALUE"""),38883.645833333336)</f>
        <v>38883.64583</v>
      </c>
      <c r="B1613" s="2">
        <f>IFERROR(__xludf.DUMMYFUNCTION("""COMPUTED_VALUE"""),64.4)</f>
        <v>64.4</v>
      </c>
      <c r="C1613" s="2">
        <f>IFERROR(__xludf.DUMMYFUNCTION("""COMPUTED_VALUE"""),72.48)</f>
        <v>72.48</v>
      </c>
      <c r="D1613" s="2">
        <f>IFERROR(__xludf.DUMMYFUNCTION("""COMPUTED_VALUE"""),64.4)</f>
        <v>64.4</v>
      </c>
      <c r="E1613" s="2">
        <f>IFERROR(__xludf.DUMMYFUNCTION("""COMPUTED_VALUE"""),69.77)</f>
        <v>69.77</v>
      </c>
      <c r="F1613" s="2">
        <f>IFERROR(__xludf.DUMMYFUNCTION("""COMPUTED_VALUE"""),777248.0)</f>
        <v>777248</v>
      </c>
    </row>
    <row r="1614">
      <c r="A1614" s="3">
        <f>IFERROR(__xludf.DUMMYFUNCTION("""COMPUTED_VALUE"""),38884.645833333336)</f>
        <v>38884.64583</v>
      </c>
      <c r="B1614" s="2">
        <f>IFERROR(__xludf.DUMMYFUNCTION("""COMPUTED_VALUE"""),71.0)</f>
        <v>71</v>
      </c>
      <c r="C1614" s="2">
        <f>IFERROR(__xludf.DUMMYFUNCTION("""COMPUTED_VALUE"""),76.65)</f>
        <v>76.65</v>
      </c>
      <c r="D1614" s="2">
        <f>IFERROR(__xludf.DUMMYFUNCTION("""COMPUTED_VALUE"""),71.0)</f>
        <v>71</v>
      </c>
      <c r="E1614" s="2">
        <f>IFERROR(__xludf.DUMMYFUNCTION("""COMPUTED_VALUE"""),73.45)</f>
        <v>73.45</v>
      </c>
      <c r="F1614" s="2">
        <f>IFERROR(__xludf.DUMMYFUNCTION("""COMPUTED_VALUE"""),1229253.0)</f>
        <v>1229253</v>
      </c>
    </row>
    <row r="1615">
      <c r="A1615" s="3">
        <f>IFERROR(__xludf.DUMMYFUNCTION("""COMPUTED_VALUE"""),38887.645833333336)</f>
        <v>38887.64583</v>
      </c>
      <c r="B1615" s="2">
        <f>IFERROR(__xludf.DUMMYFUNCTION("""COMPUTED_VALUE"""),70.45)</f>
        <v>70.45</v>
      </c>
      <c r="C1615" s="2">
        <f>IFERROR(__xludf.DUMMYFUNCTION("""COMPUTED_VALUE"""),74.01)</f>
        <v>74.01</v>
      </c>
      <c r="D1615" s="2">
        <f>IFERROR(__xludf.DUMMYFUNCTION("""COMPUTED_VALUE"""),70.45)</f>
        <v>70.45</v>
      </c>
      <c r="E1615" s="2">
        <f>IFERROR(__xludf.DUMMYFUNCTION("""COMPUTED_VALUE"""),73.63)</f>
        <v>73.63</v>
      </c>
      <c r="F1615" s="2">
        <f>IFERROR(__xludf.DUMMYFUNCTION("""COMPUTED_VALUE"""),188481.0)</f>
        <v>188481</v>
      </c>
    </row>
    <row r="1616">
      <c r="A1616" s="3">
        <f>IFERROR(__xludf.DUMMYFUNCTION("""COMPUTED_VALUE"""),38888.645833333336)</f>
        <v>38888.64583</v>
      </c>
      <c r="B1616" s="2">
        <f>IFERROR(__xludf.DUMMYFUNCTION("""COMPUTED_VALUE"""),72.0)</f>
        <v>72</v>
      </c>
      <c r="C1616" s="2">
        <f>IFERROR(__xludf.DUMMYFUNCTION("""COMPUTED_VALUE"""),72.7)</f>
        <v>72.7</v>
      </c>
      <c r="D1616" s="2">
        <f>IFERROR(__xludf.DUMMYFUNCTION("""COMPUTED_VALUE"""),70.03)</f>
        <v>70.03</v>
      </c>
      <c r="E1616" s="2">
        <f>IFERROR(__xludf.DUMMYFUNCTION("""COMPUTED_VALUE"""),70.9)</f>
        <v>70.9</v>
      </c>
      <c r="F1616" s="2">
        <f>IFERROR(__xludf.DUMMYFUNCTION("""COMPUTED_VALUE"""),268131.0)</f>
        <v>268131</v>
      </c>
    </row>
    <row r="1617">
      <c r="A1617" s="3">
        <f>IFERROR(__xludf.DUMMYFUNCTION("""COMPUTED_VALUE"""),38889.645833333336)</f>
        <v>38889.64583</v>
      </c>
      <c r="B1617" s="2">
        <f>IFERROR(__xludf.DUMMYFUNCTION("""COMPUTED_VALUE"""),71.5)</f>
        <v>71.5</v>
      </c>
      <c r="C1617" s="2">
        <f>IFERROR(__xludf.DUMMYFUNCTION("""COMPUTED_VALUE"""),71.71)</f>
        <v>71.71</v>
      </c>
      <c r="D1617" s="2">
        <f>IFERROR(__xludf.DUMMYFUNCTION("""COMPUTED_VALUE"""),70.2)</f>
        <v>70.2</v>
      </c>
      <c r="E1617" s="2">
        <f>IFERROR(__xludf.DUMMYFUNCTION("""COMPUTED_VALUE"""),70.91)</f>
        <v>70.91</v>
      </c>
      <c r="F1617" s="2">
        <f>IFERROR(__xludf.DUMMYFUNCTION("""COMPUTED_VALUE"""),222526.0)</f>
        <v>222526</v>
      </c>
    </row>
    <row r="1618">
      <c r="A1618" s="3">
        <f>IFERROR(__xludf.DUMMYFUNCTION("""COMPUTED_VALUE"""),38890.645833333336)</f>
        <v>38890.64583</v>
      </c>
      <c r="B1618" s="2">
        <f>IFERROR(__xludf.DUMMYFUNCTION("""COMPUTED_VALUE"""),74.48)</f>
        <v>74.48</v>
      </c>
      <c r="C1618" s="2">
        <f>IFERROR(__xludf.DUMMYFUNCTION("""COMPUTED_VALUE"""),76.0)</f>
        <v>76</v>
      </c>
      <c r="D1618" s="2">
        <f>IFERROR(__xludf.DUMMYFUNCTION("""COMPUTED_VALUE"""),72.5)</f>
        <v>72.5</v>
      </c>
      <c r="E1618" s="2">
        <f>IFERROR(__xludf.DUMMYFUNCTION("""COMPUTED_VALUE"""),73.1)</f>
        <v>73.1</v>
      </c>
      <c r="F1618" s="2">
        <f>IFERROR(__xludf.DUMMYFUNCTION("""COMPUTED_VALUE"""),194327.0)</f>
        <v>194327</v>
      </c>
    </row>
    <row r="1619">
      <c r="A1619" s="3">
        <f>IFERROR(__xludf.DUMMYFUNCTION("""COMPUTED_VALUE"""),38891.645833333336)</f>
        <v>38891.64583</v>
      </c>
      <c r="B1619" s="2">
        <f>IFERROR(__xludf.DUMMYFUNCTION("""COMPUTED_VALUE"""),70.48)</f>
        <v>70.48</v>
      </c>
      <c r="C1619" s="2">
        <f>IFERROR(__xludf.DUMMYFUNCTION("""COMPUTED_VALUE"""),75.05)</f>
        <v>75.05</v>
      </c>
      <c r="D1619" s="2">
        <f>IFERROR(__xludf.DUMMYFUNCTION("""COMPUTED_VALUE"""),70.26)</f>
        <v>70.26</v>
      </c>
      <c r="E1619" s="2">
        <f>IFERROR(__xludf.DUMMYFUNCTION("""COMPUTED_VALUE"""),74.94)</f>
        <v>74.94</v>
      </c>
      <c r="F1619" s="2">
        <f>IFERROR(__xludf.DUMMYFUNCTION("""COMPUTED_VALUE"""),275736.0)</f>
        <v>275736</v>
      </c>
    </row>
    <row r="1620">
      <c r="A1620" s="3">
        <f>IFERROR(__xludf.DUMMYFUNCTION("""COMPUTED_VALUE"""),38894.645833333336)</f>
        <v>38894.64583</v>
      </c>
      <c r="B1620" s="2">
        <f>IFERROR(__xludf.DUMMYFUNCTION("""COMPUTED_VALUE"""),72.53)</f>
        <v>72.53</v>
      </c>
      <c r="C1620" s="2">
        <f>IFERROR(__xludf.DUMMYFUNCTION("""COMPUTED_VALUE"""),77.2)</f>
        <v>77.2</v>
      </c>
      <c r="D1620" s="2">
        <f>IFERROR(__xludf.DUMMYFUNCTION("""COMPUTED_VALUE"""),72.53)</f>
        <v>72.53</v>
      </c>
      <c r="E1620" s="2">
        <f>IFERROR(__xludf.DUMMYFUNCTION("""COMPUTED_VALUE"""),76.16)</f>
        <v>76.16</v>
      </c>
      <c r="F1620" s="2">
        <f>IFERROR(__xludf.DUMMYFUNCTION("""COMPUTED_VALUE"""),767056.0)</f>
        <v>767056</v>
      </c>
    </row>
    <row r="1621">
      <c r="A1621" s="3">
        <f>IFERROR(__xludf.DUMMYFUNCTION("""COMPUTED_VALUE"""),38895.645833333336)</f>
        <v>38895.64583</v>
      </c>
      <c r="B1621" s="2">
        <f>IFERROR(__xludf.DUMMYFUNCTION("""COMPUTED_VALUE"""),75.0)</f>
        <v>75</v>
      </c>
      <c r="C1621" s="2">
        <f>IFERROR(__xludf.DUMMYFUNCTION("""COMPUTED_VALUE"""),75.99)</f>
        <v>75.99</v>
      </c>
      <c r="D1621" s="2">
        <f>IFERROR(__xludf.DUMMYFUNCTION("""COMPUTED_VALUE"""),73.1)</f>
        <v>73.1</v>
      </c>
      <c r="E1621" s="2">
        <f>IFERROR(__xludf.DUMMYFUNCTION("""COMPUTED_VALUE"""),74.11)</f>
        <v>74.11</v>
      </c>
      <c r="F1621" s="2">
        <f>IFERROR(__xludf.DUMMYFUNCTION("""COMPUTED_VALUE"""),376170.0)</f>
        <v>376170</v>
      </c>
    </row>
    <row r="1622">
      <c r="A1622" s="3">
        <f>IFERROR(__xludf.DUMMYFUNCTION("""COMPUTED_VALUE"""),38896.645833333336)</f>
        <v>38896.64583</v>
      </c>
      <c r="B1622" s="2">
        <f>IFERROR(__xludf.DUMMYFUNCTION("""COMPUTED_VALUE"""),77.5)</f>
        <v>77.5</v>
      </c>
      <c r="C1622" s="2">
        <f>IFERROR(__xludf.DUMMYFUNCTION("""COMPUTED_VALUE"""),77.5)</f>
        <v>77.5</v>
      </c>
      <c r="D1622" s="2">
        <f>IFERROR(__xludf.DUMMYFUNCTION("""COMPUTED_VALUE"""),72.21)</f>
        <v>72.21</v>
      </c>
      <c r="E1622" s="2">
        <f>IFERROR(__xludf.DUMMYFUNCTION("""COMPUTED_VALUE"""),72.67)</f>
        <v>72.67</v>
      </c>
      <c r="F1622" s="2">
        <f>IFERROR(__xludf.DUMMYFUNCTION("""COMPUTED_VALUE"""),527592.0)</f>
        <v>527592</v>
      </c>
    </row>
    <row r="1623">
      <c r="A1623" s="3">
        <f>IFERROR(__xludf.DUMMYFUNCTION("""COMPUTED_VALUE"""),38897.645833333336)</f>
        <v>38897.64583</v>
      </c>
      <c r="B1623" s="2">
        <f>IFERROR(__xludf.DUMMYFUNCTION("""COMPUTED_VALUE"""),74.0)</f>
        <v>74</v>
      </c>
      <c r="C1623" s="2">
        <f>IFERROR(__xludf.DUMMYFUNCTION("""COMPUTED_VALUE"""),76.1)</f>
        <v>76.1</v>
      </c>
      <c r="D1623" s="2">
        <f>IFERROR(__xludf.DUMMYFUNCTION("""COMPUTED_VALUE"""),73.12)</f>
        <v>73.12</v>
      </c>
      <c r="E1623" s="2">
        <f>IFERROR(__xludf.DUMMYFUNCTION("""COMPUTED_VALUE"""),74.93)</f>
        <v>74.93</v>
      </c>
      <c r="F1623" s="2">
        <f>IFERROR(__xludf.DUMMYFUNCTION("""COMPUTED_VALUE"""),1077001.0)</f>
        <v>1077001</v>
      </c>
    </row>
    <row r="1624">
      <c r="A1624" s="3">
        <f>IFERROR(__xludf.DUMMYFUNCTION("""COMPUTED_VALUE"""),38898.645833333336)</f>
        <v>38898.64583</v>
      </c>
      <c r="B1624" s="2">
        <f>IFERROR(__xludf.DUMMYFUNCTION("""COMPUTED_VALUE"""),75.51)</f>
        <v>75.51</v>
      </c>
      <c r="C1624" s="2">
        <f>IFERROR(__xludf.DUMMYFUNCTION("""COMPUTED_VALUE"""),81.48)</f>
        <v>81.48</v>
      </c>
      <c r="D1624" s="2">
        <f>IFERROR(__xludf.DUMMYFUNCTION("""COMPUTED_VALUE"""),75.51)</f>
        <v>75.51</v>
      </c>
      <c r="E1624" s="2">
        <f>IFERROR(__xludf.DUMMYFUNCTION("""COMPUTED_VALUE"""),79.6)</f>
        <v>79.6</v>
      </c>
      <c r="F1624" s="2">
        <f>IFERROR(__xludf.DUMMYFUNCTION("""COMPUTED_VALUE"""),601990.0)</f>
        <v>601990</v>
      </c>
    </row>
    <row r="1625">
      <c r="A1625" s="3">
        <f>IFERROR(__xludf.DUMMYFUNCTION("""COMPUTED_VALUE"""),38901.645833333336)</f>
        <v>38901.64583</v>
      </c>
      <c r="B1625" s="2">
        <f>IFERROR(__xludf.DUMMYFUNCTION("""COMPUTED_VALUE"""),80.0)</f>
        <v>80</v>
      </c>
      <c r="C1625" s="2">
        <f>IFERROR(__xludf.DUMMYFUNCTION("""COMPUTED_VALUE"""),80.0)</f>
        <v>80</v>
      </c>
      <c r="D1625" s="2">
        <f>IFERROR(__xludf.DUMMYFUNCTION("""COMPUTED_VALUE"""),77.1)</f>
        <v>77.1</v>
      </c>
      <c r="E1625" s="2">
        <f>IFERROR(__xludf.DUMMYFUNCTION("""COMPUTED_VALUE"""),77.85)</f>
        <v>77.85</v>
      </c>
      <c r="F1625" s="2">
        <f>IFERROR(__xludf.DUMMYFUNCTION("""COMPUTED_VALUE"""),502022.0)</f>
        <v>502022</v>
      </c>
    </row>
    <row r="1626">
      <c r="A1626" s="3">
        <f>IFERROR(__xludf.DUMMYFUNCTION("""COMPUTED_VALUE"""),38902.645833333336)</f>
        <v>38902.64583</v>
      </c>
      <c r="B1626" s="2">
        <f>IFERROR(__xludf.DUMMYFUNCTION("""COMPUTED_VALUE"""),78.0)</f>
        <v>78</v>
      </c>
      <c r="C1626" s="2">
        <f>IFERROR(__xludf.DUMMYFUNCTION("""COMPUTED_VALUE"""),79.0)</f>
        <v>79</v>
      </c>
      <c r="D1626" s="2">
        <f>IFERROR(__xludf.DUMMYFUNCTION("""COMPUTED_VALUE"""),78.0)</f>
        <v>78</v>
      </c>
      <c r="E1626" s="2">
        <f>IFERROR(__xludf.DUMMYFUNCTION("""COMPUTED_VALUE"""),78.72)</f>
        <v>78.72</v>
      </c>
      <c r="F1626" s="2">
        <f>IFERROR(__xludf.DUMMYFUNCTION("""COMPUTED_VALUE"""),208645.0)</f>
        <v>208645</v>
      </c>
    </row>
    <row r="1627">
      <c r="A1627" s="3">
        <f>IFERROR(__xludf.DUMMYFUNCTION("""COMPUTED_VALUE"""),38903.645833333336)</f>
        <v>38903.64583</v>
      </c>
      <c r="B1627" s="2">
        <f>IFERROR(__xludf.DUMMYFUNCTION("""COMPUTED_VALUE"""),78.0)</f>
        <v>78</v>
      </c>
      <c r="C1627" s="2">
        <f>IFERROR(__xludf.DUMMYFUNCTION("""COMPUTED_VALUE"""),81.6)</f>
        <v>81.6</v>
      </c>
      <c r="D1627" s="2">
        <f>IFERROR(__xludf.DUMMYFUNCTION("""COMPUTED_VALUE"""),77.81)</f>
        <v>77.81</v>
      </c>
      <c r="E1627" s="2">
        <f>IFERROR(__xludf.DUMMYFUNCTION("""COMPUTED_VALUE"""),80.74)</f>
        <v>80.74</v>
      </c>
      <c r="F1627" s="2">
        <f>IFERROR(__xludf.DUMMYFUNCTION("""COMPUTED_VALUE"""),641005.0)</f>
        <v>641005</v>
      </c>
    </row>
    <row r="1628">
      <c r="A1628" s="3">
        <f>IFERROR(__xludf.DUMMYFUNCTION("""COMPUTED_VALUE"""),38904.645833333336)</f>
        <v>38904.64583</v>
      </c>
      <c r="B1628" s="2">
        <f>IFERROR(__xludf.DUMMYFUNCTION("""COMPUTED_VALUE"""),80.05)</f>
        <v>80.05</v>
      </c>
      <c r="C1628" s="2">
        <f>IFERROR(__xludf.DUMMYFUNCTION("""COMPUTED_VALUE"""),80.5)</f>
        <v>80.5</v>
      </c>
      <c r="D1628" s="2">
        <f>IFERROR(__xludf.DUMMYFUNCTION("""COMPUTED_VALUE"""),78.7)</f>
        <v>78.7</v>
      </c>
      <c r="E1628" s="2">
        <f>IFERROR(__xludf.DUMMYFUNCTION("""COMPUTED_VALUE"""),80.0)</f>
        <v>80</v>
      </c>
      <c r="F1628" s="2">
        <f>IFERROR(__xludf.DUMMYFUNCTION("""COMPUTED_VALUE"""),385242.0)</f>
        <v>385242</v>
      </c>
    </row>
    <row r="1629">
      <c r="A1629" s="3">
        <f>IFERROR(__xludf.DUMMYFUNCTION("""COMPUTED_VALUE"""),38905.645833333336)</f>
        <v>38905.64583</v>
      </c>
      <c r="B1629" s="2">
        <f>IFERROR(__xludf.DUMMYFUNCTION("""COMPUTED_VALUE"""),80.2)</f>
        <v>80.2</v>
      </c>
      <c r="C1629" s="2">
        <f>IFERROR(__xludf.DUMMYFUNCTION("""COMPUTED_VALUE"""),81.0)</f>
        <v>81</v>
      </c>
      <c r="D1629" s="2">
        <f>IFERROR(__xludf.DUMMYFUNCTION("""COMPUTED_VALUE"""),75.1)</f>
        <v>75.1</v>
      </c>
      <c r="E1629" s="2">
        <f>IFERROR(__xludf.DUMMYFUNCTION("""COMPUTED_VALUE"""),77.93)</f>
        <v>77.93</v>
      </c>
      <c r="F1629" s="2">
        <f>IFERROR(__xludf.DUMMYFUNCTION("""COMPUTED_VALUE"""),189555.0)</f>
        <v>189555</v>
      </c>
    </row>
    <row r="1630">
      <c r="A1630" s="3">
        <f>IFERROR(__xludf.DUMMYFUNCTION("""COMPUTED_VALUE"""),38908.645833333336)</f>
        <v>38908.64583</v>
      </c>
      <c r="B1630" s="2">
        <f>IFERROR(__xludf.DUMMYFUNCTION("""COMPUTED_VALUE"""),77.11)</f>
        <v>77.11</v>
      </c>
      <c r="C1630" s="2">
        <f>IFERROR(__xludf.DUMMYFUNCTION("""COMPUTED_VALUE"""),78.0)</f>
        <v>78</v>
      </c>
      <c r="D1630" s="2">
        <f>IFERROR(__xludf.DUMMYFUNCTION("""COMPUTED_VALUE"""),76.3)</f>
        <v>76.3</v>
      </c>
      <c r="E1630" s="2">
        <f>IFERROR(__xludf.DUMMYFUNCTION("""COMPUTED_VALUE"""),77.86)</f>
        <v>77.86</v>
      </c>
      <c r="F1630" s="2">
        <f>IFERROR(__xludf.DUMMYFUNCTION("""COMPUTED_VALUE"""),139779.0)</f>
        <v>139779</v>
      </c>
    </row>
    <row r="1631">
      <c r="A1631" s="3">
        <f>IFERROR(__xludf.DUMMYFUNCTION("""COMPUTED_VALUE"""),38909.645833333336)</f>
        <v>38909.64583</v>
      </c>
      <c r="B1631" s="2">
        <f>IFERROR(__xludf.DUMMYFUNCTION("""COMPUTED_VALUE"""),77.51)</f>
        <v>77.51</v>
      </c>
      <c r="C1631" s="2">
        <f>IFERROR(__xludf.DUMMYFUNCTION("""COMPUTED_VALUE"""),77.51)</f>
        <v>77.51</v>
      </c>
      <c r="D1631" s="2">
        <f>IFERROR(__xludf.DUMMYFUNCTION("""COMPUTED_VALUE"""),75.51)</f>
        <v>75.51</v>
      </c>
      <c r="E1631" s="2">
        <f>IFERROR(__xludf.DUMMYFUNCTION("""COMPUTED_VALUE"""),76.16)</f>
        <v>76.16</v>
      </c>
      <c r="F1631" s="2">
        <f>IFERROR(__xludf.DUMMYFUNCTION("""COMPUTED_VALUE"""),113684.0)</f>
        <v>113684</v>
      </c>
    </row>
    <row r="1632">
      <c r="A1632" s="3">
        <f>IFERROR(__xludf.DUMMYFUNCTION("""COMPUTED_VALUE"""),38910.645833333336)</f>
        <v>38910.64583</v>
      </c>
      <c r="B1632" s="2">
        <f>IFERROR(__xludf.DUMMYFUNCTION("""COMPUTED_VALUE"""),68.0)</f>
        <v>68</v>
      </c>
      <c r="C1632" s="2">
        <f>IFERROR(__xludf.DUMMYFUNCTION("""COMPUTED_VALUE"""),77.2)</f>
        <v>77.2</v>
      </c>
      <c r="D1632" s="2">
        <f>IFERROR(__xludf.DUMMYFUNCTION("""COMPUTED_VALUE"""),68.0)</f>
        <v>68</v>
      </c>
      <c r="E1632" s="2">
        <f>IFERROR(__xludf.DUMMYFUNCTION("""COMPUTED_VALUE"""),76.12)</f>
        <v>76.12</v>
      </c>
      <c r="F1632" s="2">
        <f>IFERROR(__xludf.DUMMYFUNCTION("""COMPUTED_VALUE"""),308310.0)</f>
        <v>308310</v>
      </c>
    </row>
    <row r="1633">
      <c r="A1633" s="3">
        <f>IFERROR(__xludf.DUMMYFUNCTION("""COMPUTED_VALUE"""),38911.645833333336)</f>
        <v>38911.64583</v>
      </c>
      <c r="B1633" s="2">
        <f>IFERROR(__xludf.DUMMYFUNCTION("""COMPUTED_VALUE"""),75.6)</f>
        <v>75.6</v>
      </c>
      <c r="C1633" s="2">
        <f>IFERROR(__xludf.DUMMYFUNCTION("""COMPUTED_VALUE"""),76.5)</f>
        <v>76.5</v>
      </c>
      <c r="D1633" s="2">
        <f>IFERROR(__xludf.DUMMYFUNCTION("""COMPUTED_VALUE"""),74.27)</f>
        <v>74.27</v>
      </c>
      <c r="E1633" s="2">
        <f>IFERROR(__xludf.DUMMYFUNCTION("""COMPUTED_VALUE"""),74.63)</f>
        <v>74.63</v>
      </c>
      <c r="F1633" s="2">
        <f>IFERROR(__xludf.DUMMYFUNCTION("""COMPUTED_VALUE"""),209205.0)</f>
        <v>209205</v>
      </c>
    </row>
    <row r="1634">
      <c r="A1634" s="3">
        <f>IFERROR(__xludf.DUMMYFUNCTION("""COMPUTED_VALUE"""),38912.645833333336)</f>
        <v>38912.64583</v>
      </c>
      <c r="B1634" s="2">
        <f>IFERROR(__xludf.DUMMYFUNCTION("""COMPUTED_VALUE"""),74.6)</f>
        <v>74.6</v>
      </c>
      <c r="C1634" s="2">
        <f>IFERROR(__xludf.DUMMYFUNCTION("""COMPUTED_VALUE"""),74.6)</f>
        <v>74.6</v>
      </c>
      <c r="D1634" s="2">
        <f>IFERROR(__xludf.DUMMYFUNCTION("""COMPUTED_VALUE"""),71.56)</f>
        <v>71.56</v>
      </c>
      <c r="E1634" s="2">
        <f>IFERROR(__xludf.DUMMYFUNCTION("""COMPUTED_VALUE"""),72.93)</f>
        <v>72.93</v>
      </c>
      <c r="F1634" s="2">
        <f>IFERROR(__xludf.DUMMYFUNCTION("""COMPUTED_VALUE"""),472450.0)</f>
        <v>472450</v>
      </c>
    </row>
    <row r="1635">
      <c r="A1635" s="3">
        <f>IFERROR(__xludf.DUMMYFUNCTION("""COMPUTED_VALUE"""),38915.645833333336)</f>
        <v>38915.64583</v>
      </c>
      <c r="B1635" s="2">
        <f>IFERROR(__xludf.DUMMYFUNCTION("""COMPUTED_VALUE"""),73.0)</f>
        <v>73</v>
      </c>
      <c r="C1635" s="2">
        <f>IFERROR(__xludf.DUMMYFUNCTION("""COMPUTED_VALUE"""),73.0)</f>
        <v>73</v>
      </c>
      <c r="D1635" s="2">
        <f>IFERROR(__xludf.DUMMYFUNCTION("""COMPUTED_VALUE"""),70.22)</f>
        <v>70.22</v>
      </c>
      <c r="E1635" s="2">
        <f>IFERROR(__xludf.DUMMYFUNCTION("""COMPUTED_VALUE"""),70.75)</f>
        <v>70.75</v>
      </c>
      <c r="F1635" s="2">
        <f>IFERROR(__xludf.DUMMYFUNCTION("""COMPUTED_VALUE"""),539177.0)</f>
        <v>539177</v>
      </c>
    </row>
    <row r="1636">
      <c r="A1636" s="3">
        <f>IFERROR(__xludf.DUMMYFUNCTION("""COMPUTED_VALUE"""),38916.645833333336)</f>
        <v>38916.64583</v>
      </c>
      <c r="B1636" s="2">
        <f>IFERROR(__xludf.DUMMYFUNCTION("""COMPUTED_VALUE"""),70.5)</f>
        <v>70.5</v>
      </c>
      <c r="C1636" s="2">
        <f>IFERROR(__xludf.DUMMYFUNCTION("""COMPUTED_VALUE"""),71.4)</f>
        <v>71.4</v>
      </c>
      <c r="D1636" s="2">
        <f>IFERROR(__xludf.DUMMYFUNCTION("""COMPUTED_VALUE"""),70.1)</f>
        <v>70.1</v>
      </c>
      <c r="E1636" s="2">
        <f>IFERROR(__xludf.DUMMYFUNCTION("""COMPUTED_VALUE"""),71.03)</f>
        <v>71.03</v>
      </c>
      <c r="F1636" s="2">
        <f>IFERROR(__xludf.DUMMYFUNCTION("""COMPUTED_VALUE"""),407670.0)</f>
        <v>407670</v>
      </c>
    </row>
    <row r="1637">
      <c r="A1637" s="3">
        <f>IFERROR(__xludf.DUMMYFUNCTION("""COMPUTED_VALUE"""),38917.645833333336)</f>
        <v>38917.64583</v>
      </c>
      <c r="B1637" s="2">
        <f>IFERROR(__xludf.DUMMYFUNCTION("""COMPUTED_VALUE"""),71.2)</f>
        <v>71.2</v>
      </c>
      <c r="C1637" s="2">
        <f>IFERROR(__xludf.DUMMYFUNCTION("""COMPUTED_VALUE"""),71.9)</f>
        <v>71.9</v>
      </c>
      <c r="D1637" s="2">
        <f>IFERROR(__xludf.DUMMYFUNCTION("""COMPUTED_VALUE"""),69.21)</f>
        <v>69.21</v>
      </c>
      <c r="E1637" s="2">
        <f>IFERROR(__xludf.DUMMYFUNCTION("""COMPUTED_VALUE"""),69.72)</f>
        <v>69.72</v>
      </c>
      <c r="F1637" s="2">
        <f>IFERROR(__xludf.DUMMYFUNCTION("""COMPUTED_VALUE"""),260238.0)</f>
        <v>260238</v>
      </c>
    </row>
    <row r="1638">
      <c r="A1638" s="3">
        <f>IFERROR(__xludf.DUMMYFUNCTION("""COMPUTED_VALUE"""),38918.645833333336)</f>
        <v>38918.64583</v>
      </c>
      <c r="B1638" s="2">
        <f>IFERROR(__xludf.DUMMYFUNCTION("""COMPUTED_VALUE"""),71.1)</f>
        <v>71.1</v>
      </c>
      <c r="C1638" s="2">
        <f>IFERROR(__xludf.DUMMYFUNCTION("""COMPUTED_VALUE"""),74.0)</f>
        <v>74</v>
      </c>
      <c r="D1638" s="2">
        <f>IFERROR(__xludf.DUMMYFUNCTION("""COMPUTED_VALUE"""),71.1)</f>
        <v>71.1</v>
      </c>
      <c r="E1638" s="2">
        <f>IFERROR(__xludf.DUMMYFUNCTION("""COMPUTED_VALUE"""),72.65)</f>
        <v>72.65</v>
      </c>
      <c r="F1638" s="2">
        <f>IFERROR(__xludf.DUMMYFUNCTION("""COMPUTED_VALUE"""),445858.0)</f>
        <v>445858</v>
      </c>
    </row>
    <row r="1639">
      <c r="A1639" s="3">
        <f>IFERROR(__xludf.DUMMYFUNCTION("""COMPUTED_VALUE"""),38919.645833333336)</f>
        <v>38919.64583</v>
      </c>
      <c r="B1639" s="2">
        <f>IFERROR(__xludf.DUMMYFUNCTION("""COMPUTED_VALUE"""),71.5)</f>
        <v>71.5</v>
      </c>
      <c r="C1639" s="2">
        <f>IFERROR(__xludf.DUMMYFUNCTION("""COMPUTED_VALUE"""),72.7)</f>
        <v>72.7</v>
      </c>
      <c r="D1639" s="2">
        <f>IFERROR(__xludf.DUMMYFUNCTION("""COMPUTED_VALUE"""),70.5)</f>
        <v>70.5</v>
      </c>
      <c r="E1639" s="2">
        <f>IFERROR(__xludf.DUMMYFUNCTION("""COMPUTED_VALUE"""),70.98)</f>
        <v>70.98</v>
      </c>
      <c r="F1639" s="2">
        <f>IFERROR(__xludf.DUMMYFUNCTION("""COMPUTED_VALUE"""),303771.0)</f>
        <v>303771</v>
      </c>
    </row>
    <row r="1640">
      <c r="A1640" s="3">
        <f>IFERROR(__xludf.DUMMYFUNCTION("""COMPUTED_VALUE"""),38922.645833333336)</f>
        <v>38922.64583</v>
      </c>
      <c r="B1640" s="2">
        <f>IFERROR(__xludf.DUMMYFUNCTION("""COMPUTED_VALUE"""),70.5)</f>
        <v>70.5</v>
      </c>
      <c r="C1640" s="2">
        <f>IFERROR(__xludf.DUMMYFUNCTION("""COMPUTED_VALUE"""),73.73)</f>
        <v>73.73</v>
      </c>
      <c r="D1640" s="2">
        <f>IFERROR(__xludf.DUMMYFUNCTION("""COMPUTED_VALUE"""),69.23)</f>
        <v>69.23</v>
      </c>
      <c r="E1640" s="2">
        <f>IFERROR(__xludf.DUMMYFUNCTION("""COMPUTED_VALUE"""),72.95)</f>
        <v>72.95</v>
      </c>
      <c r="F1640" s="2">
        <f>IFERROR(__xludf.DUMMYFUNCTION("""COMPUTED_VALUE"""),283230.0)</f>
        <v>283230</v>
      </c>
    </row>
    <row r="1641">
      <c r="A1641" s="3">
        <f>IFERROR(__xludf.DUMMYFUNCTION("""COMPUTED_VALUE"""),38923.645833333336)</f>
        <v>38923.64583</v>
      </c>
      <c r="B1641" s="2">
        <f>IFERROR(__xludf.DUMMYFUNCTION("""COMPUTED_VALUE"""),74.0)</f>
        <v>74</v>
      </c>
      <c r="C1641" s="2">
        <f>IFERROR(__xludf.DUMMYFUNCTION("""COMPUTED_VALUE"""),76.99)</f>
        <v>76.99</v>
      </c>
      <c r="D1641" s="2">
        <f>IFERROR(__xludf.DUMMYFUNCTION("""COMPUTED_VALUE"""),74.0)</f>
        <v>74</v>
      </c>
      <c r="E1641" s="2">
        <f>IFERROR(__xludf.DUMMYFUNCTION("""COMPUTED_VALUE"""),76.6)</f>
        <v>76.6</v>
      </c>
      <c r="F1641" s="2">
        <f>IFERROR(__xludf.DUMMYFUNCTION("""COMPUTED_VALUE"""),482862.0)</f>
        <v>482862</v>
      </c>
    </row>
    <row r="1642">
      <c r="A1642" s="3">
        <f>IFERROR(__xludf.DUMMYFUNCTION("""COMPUTED_VALUE"""),38924.645833333336)</f>
        <v>38924.64583</v>
      </c>
      <c r="B1642" s="2">
        <f>IFERROR(__xludf.DUMMYFUNCTION("""COMPUTED_VALUE"""),75.51)</f>
        <v>75.51</v>
      </c>
      <c r="C1642" s="2">
        <f>IFERROR(__xludf.DUMMYFUNCTION("""COMPUTED_VALUE"""),78.4)</f>
        <v>78.4</v>
      </c>
      <c r="D1642" s="2">
        <f>IFERROR(__xludf.DUMMYFUNCTION("""COMPUTED_VALUE"""),75.11)</f>
        <v>75.11</v>
      </c>
      <c r="E1642" s="2">
        <f>IFERROR(__xludf.DUMMYFUNCTION("""COMPUTED_VALUE"""),78.11)</f>
        <v>78.11</v>
      </c>
      <c r="F1642" s="2">
        <f>IFERROR(__xludf.DUMMYFUNCTION("""COMPUTED_VALUE"""),354458.0)</f>
        <v>354458</v>
      </c>
    </row>
    <row r="1643">
      <c r="A1643" s="3">
        <f>IFERROR(__xludf.DUMMYFUNCTION("""COMPUTED_VALUE"""),38925.645833333336)</f>
        <v>38925.64583</v>
      </c>
      <c r="B1643" s="2">
        <f>IFERROR(__xludf.DUMMYFUNCTION("""COMPUTED_VALUE"""),78.5)</f>
        <v>78.5</v>
      </c>
      <c r="C1643" s="2">
        <f>IFERROR(__xludf.DUMMYFUNCTION("""COMPUTED_VALUE"""),79.5)</f>
        <v>79.5</v>
      </c>
      <c r="D1643" s="2">
        <f>IFERROR(__xludf.DUMMYFUNCTION("""COMPUTED_VALUE"""),77.03)</f>
        <v>77.03</v>
      </c>
      <c r="E1643" s="2">
        <f>IFERROR(__xludf.DUMMYFUNCTION("""COMPUTED_VALUE"""),78.82)</f>
        <v>78.82</v>
      </c>
      <c r="F1643" s="2">
        <f>IFERROR(__xludf.DUMMYFUNCTION("""COMPUTED_VALUE"""),897812.0)</f>
        <v>897812</v>
      </c>
    </row>
    <row r="1644">
      <c r="A1644" s="3">
        <f>IFERROR(__xludf.DUMMYFUNCTION("""COMPUTED_VALUE"""),38926.645833333336)</f>
        <v>38926.64583</v>
      </c>
      <c r="B1644" s="2">
        <f>IFERROR(__xludf.DUMMYFUNCTION("""COMPUTED_VALUE"""),77.9)</f>
        <v>77.9</v>
      </c>
      <c r="C1644" s="2">
        <f>IFERROR(__xludf.DUMMYFUNCTION("""COMPUTED_VALUE"""),80.13)</f>
        <v>80.13</v>
      </c>
      <c r="D1644" s="2">
        <f>IFERROR(__xludf.DUMMYFUNCTION("""COMPUTED_VALUE"""),77.5)</f>
        <v>77.5</v>
      </c>
      <c r="E1644" s="2">
        <f>IFERROR(__xludf.DUMMYFUNCTION("""COMPUTED_VALUE"""),79.55)</f>
        <v>79.55</v>
      </c>
      <c r="F1644" s="2">
        <f>IFERROR(__xludf.DUMMYFUNCTION("""COMPUTED_VALUE"""),649851.0)</f>
        <v>649851</v>
      </c>
    </row>
    <row r="1645">
      <c r="A1645" s="3">
        <f>IFERROR(__xludf.DUMMYFUNCTION("""COMPUTED_VALUE"""),38929.645833333336)</f>
        <v>38929.64583</v>
      </c>
      <c r="B1645" s="2">
        <f>IFERROR(__xludf.DUMMYFUNCTION("""COMPUTED_VALUE"""),79.5)</f>
        <v>79.5</v>
      </c>
      <c r="C1645" s="2">
        <f>IFERROR(__xludf.DUMMYFUNCTION("""COMPUTED_VALUE"""),80.5)</f>
        <v>80.5</v>
      </c>
      <c r="D1645" s="2">
        <f>IFERROR(__xludf.DUMMYFUNCTION("""COMPUTED_VALUE"""),79.09)</f>
        <v>79.09</v>
      </c>
      <c r="E1645" s="2">
        <f>IFERROR(__xludf.DUMMYFUNCTION("""COMPUTED_VALUE"""),79.5)</f>
        <v>79.5</v>
      </c>
      <c r="F1645" s="2">
        <f>IFERROR(__xludf.DUMMYFUNCTION("""COMPUTED_VALUE"""),357476.0)</f>
        <v>357476</v>
      </c>
    </row>
    <row r="1646">
      <c r="A1646" s="3">
        <f>IFERROR(__xludf.DUMMYFUNCTION("""COMPUTED_VALUE"""),38930.645833333336)</f>
        <v>38930.64583</v>
      </c>
      <c r="B1646" s="2">
        <f>IFERROR(__xludf.DUMMYFUNCTION("""COMPUTED_VALUE"""),79.6)</f>
        <v>79.6</v>
      </c>
      <c r="C1646" s="2">
        <f>IFERROR(__xludf.DUMMYFUNCTION("""COMPUTED_VALUE"""),79.6)</f>
        <v>79.6</v>
      </c>
      <c r="D1646" s="2">
        <f>IFERROR(__xludf.DUMMYFUNCTION("""COMPUTED_VALUE"""),77.51)</f>
        <v>77.51</v>
      </c>
      <c r="E1646" s="2">
        <f>IFERROR(__xludf.DUMMYFUNCTION("""COMPUTED_VALUE"""),78.12)</f>
        <v>78.12</v>
      </c>
      <c r="F1646" s="2">
        <f>IFERROR(__xludf.DUMMYFUNCTION("""COMPUTED_VALUE"""),236354.0)</f>
        <v>236354</v>
      </c>
    </row>
    <row r="1647">
      <c r="A1647" s="3">
        <f>IFERROR(__xludf.DUMMYFUNCTION("""COMPUTED_VALUE"""),38931.645833333336)</f>
        <v>38931.64583</v>
      </c>
      <c r="B1647" s="2">
        <f>IFERROR(__xludf.DUMMYFUNCTION("""COMPUTED_VALUE"""),77.71)</f>
        <v>77.71</v>
      </c>
      <c r="C1647" s="2">
        <f>IFERROR(__xludf.DUMMYFUNCTION("""COMPUTED_VALUE"""),78.7)</f>
        <v>78.7</v>
      </c>
      <c r="D1647" s="2">
        <f>IFERROR(__xludf.DUMMYFUNCTION("""COMPUTED_VALUE"""),76.41)</f>
        <v>76.41</v>
      </c>
      <c r="E1647" s="2">
        <f>IFERROR(__xludf.DUMMYFUNCTION("""COMPUTED_VALUE"""),77.97)</f>
        <v>77.97</v>
      </c>
      <c r="F1647" s="2">
        <f>IFERROR(__xludf.DUMMYFUNCTION("""COMPUTED_VALUE"""),634789.0)</f>
        <v>634789</v>
      </c>
    </row>
    <row r="1648">
      <c r="A1648" s="3">
        <f>IFERROR(__xludf.DUMMYFUNCTION("""COMPUTED_VALUE"""),38932.645833333336)</f>
        <v>38932.64583</v>
      </c>
      <c r="B1648" s="2">
        <f>IFERROR(__xludf.DUMMYFUNCTION("""COMPUTED_VALUE"""),78.01)</f>
        <v>78.01</v>
      </c>
      <c r="C1648" s="2">
        <f>IFERROR(__xludf.DUMMYFUNCTION("""COMPUTED_VALUE"""),80.5)</f>
        <v>80.5</v>
      </c>
      <c r="D1648" s="2">
        <f>IFERROR(__xludf.DUMMYFUNCTION("""COMPUTED_VALUE"""),78.01)</f>
        <v>78.01</v>
      </c>
      <c r="E1648" s="2">
        <f>IFERROR(__xludf.DUMMYFUNCTION("""COMPUTED_VALUE"""),79.78)</f>
        <v>79.78</v>
      </c>
      <c r="F1648" s="2">
        <f>IFERROR(__xludf.DUMMYFUNCTION("""COMPUTED_VALUE"""),366237.0)</f>
        <v>366237</v>
      </c>
    </row>
    <row r="1649">
      <c r="A1649" s="3">
        <f>IFERROR(__xludf.DUMMYFUNCTION("""COMPUTED_VALUE"""),38933.645833333336)</f>
        <v>38933.64583</v>
      </c>
      <c r="B1649" s="2">
        <f>IFERROR(__xludf.DUMMYFUNCTION("""COMPUTED_VALUE"""),79.8)</f>
        <v>79.8</v>
      </c>
      <c r="C1649" s="2">
        <f>IFERROR(__xludf.DUMMYFUNCTION("""COMPUTED_VALUE"""),80.29)</f>
        <v>80.29</v>
      </c>
      <c r="D1649" s="2">
        <f>IFERROR(__xludf.DUMMYFUNCTION("""COMPUTED_VALUE"""),78.7)</f>
        <v>78.7</v>
      </c>
      <c r="E1649" s="2">
        <f>IFERROR(__xludf.DUMMYFUNCTION("""COMPUTED_VALUE"""),80.04)</f>
        <v>80.04</v>
      </c>
      <c r="F1649" s="2">
        <f>IFERROR(__xludf.DUMMYFUNCTION("""COMPUTED_VALUE"""),235243.0)</f>
        <v>235243</v>
      </c>
    </row>
    <row r="1650">
      <c r="A1650" s="3">
        <f>IFERROR(__xludf.DUMMYFUNCTION("""COMPUTED_VALUE"""),38936.645833333336)</f>
        <v>38936.64583</v>
      </c>
      <c r="B1650" s="2">
        <f>IFERROR(__xludf.DUMMYFUNCTION("""COMPUTED_VALUE"""),79.13)</f>
        <v>79.13</v>
      </c>
      <c r="C1650" s="2">
        <f>IFERROR(__xludf.DUMMYFUNCTION("""COMPUTED_VALUE"""),80.5)</f>
        <v>80.5</v>
      </c>
      <c r="D1650" s="2">
        <f>IFERROR(__xludf.DUMMYFUNCTION("""COMPUTED_VALUE"""),79.13)</f>
        <v>79.13</v>
      </c>
      <c r="E1650" s="2">
        <f>IFERROR(__xludf.DUMMYFUNCTION("""COMPUTED_VALUE"""),80.35)</f>
        <v>80.35</v>
      </c>
      <c r="F1650" s="2">
        <f>IFERROR(__xludf.DUMMYFUNCTION("""COMPUTED_VALUE"""),722255.0)</f>
        <v>722255</v>
      </c>
    </row>
    <row r="1651">
      <c r="A1651" s="3">
        <f>IFERROR(__xludf.DUMMYFUNCTION("""COMPUTED_VALUE"""),38937.645833333336)</f>
        <v>38937.64583</v>
      </c>
      <c r="B1651" s="2">
        <f>IFERROR(__xludf.DUMMYFUNCTION("""COMPUTED_VALUE"""),80.9)</f>
        <v>80.9</v>
      </c>
      <c r="C1651" s="2">
        <f>IFERROR(__xludf.DUMMYFUNCTION("""COMPUTED_VALUE"""),81.59)</f>
        <v>81.59</v>
      </c>
      <c r="D1651" s="2">
        <f>IFERROR(__xludf.DUMMYFUNCTION("""COMPUTED_VALUE"""),80.4)</f>
        <v>80.4</v>
      </c>
      <c r="E1651" s="2">
        <f>IFERROR(__xludf.DUMMYFUNCTION("""COMPUTED_VALUE"""),81.36)</f>
        <v>81.36</v>
      </c>
      <c r="F1651" s="2">
        <f>IFERROR(__xludf.DUMMYFUNCTION("""COMPUTED_VALUE"""),171927.0)</f>
        <v>171927</v>
      </c>
    </row>
    <row r="1652">
      <c r="A1652" s="3">
        <f>IFERROR(__xludf.DUMMYFUNCTION("""COMPUTED_VALUE"""),38938.645833333336)</f>
        <v>38938.64583</v>
      </c>
      <c r="B1652" s="2">
        <f>IFERROR(__xludf.DUMMYFUNCTION("""COMPUTED_VALUE"""),81.9)</f>
        <v>81.9</v>
      </c>
      <c r="C1652" s="2">
        <f>IFERROR(__xludf.DUMMYFUNCTION("""COMPUTED_VALUE"""),81.9)</f>
        <v>81.9</v>
      </c>
      <c r="D1652" s="2">
        <f>IFERROR(__xludf.DUMMYFUNCTION("""COMPUTED_VALUE"""),80.31)</f>
        <v>80.31</v>
      </c>
      <c r="E1652" s="2">
        <f>IFERROR(__xludf.DUMMYFUNCTION("""COMPUTED_VALUE"""),80.88)</f>
        <v>80.88</v>
      </c>
      <c r="F1652" s="2">
        <f>IFERROR(__xludf.DUMMYFUNCTION("""COMPUTED_VALUE"""),326092.0)</f>
        <v>326092</v>
      </c>
    </row>
    <row r="1653">
      <c r="A1653" s="3">
        <f>IFERROR(__xludf.DUMMYFUNCTION("""COMPUTED_VALUE"""),38939.645833333336)</f>
        <v>38939.64583</v>
      </c>
      <c r="B1653" s="2">
        <f>IFERROR(__xludf.DUMMYFUNCTION("""COMPUTED_VALUE"""),81.77)</f>
        <v>81.77</v>
      </c>
      <c r="C1653" s="2">
        <f>IFERROR(__xludf.DUMMYFUNCTION("""COMPUTED_VALUE"""),81.77)</f>
        <v>81.77</v>
      </c>
      <c r="D1653" s="2">
        <f>IFERROR(__xludf.DUMMYFUNCTION("""COMPUTED_VALUE"""),79.81)</f>
        <v>79.81</v>
      </c>
      <c r="E1653" s="2">
        <f>IFERROR(__xludf.DUMMYFUNCTION("""COMPUTED_VALUE"""),80.55)</f>
        <v>80.55</v>
      </c>
      <c r="F1653" s="2">
        <f>IFERROR(__xludf.DUMMYFUNCTION("""COMPUTED_VALUE"""),205098.0)</f>
        <v>205098</v>
      </c>
    </row>
    <row r="1654">
      <c r="A1654" s="3">
        <f>IFERROR(__xludf.DUMMYFUNCTION("""COMPUTED_VALUE"""),38940.645833333336)</f>
        <v>38940.64583</v>
      </c>
      <c r="B1654" s="2">
        <f>IFERROR(__xludf.DUMMYFUNCTION("""COMPUTED_VALUE"""),81.03)</f>
        <v>81.03</v>
      </c>
      <c r="C1654" s="2">
        <f>IFERROR(__xludf.DUMMYFUNCTION("""COMPUTED_VALUE"""),81.6)</f>
        <v>81.6</v>
      </c>
      <c r="D1654" s="2">
        <f>IFERROR(__xludf.DUMMYFUNCTION("""COMPUTED_VALUE"""),80.32)</f>
        <v>80.32</v>
      </c>
      <c r="E1654" s="2">
        <f>IFERROR(__xludf.DUMMYFUNCTION("""COMPUTED_VALUE"""),81.07)</f>
        <v>81.07</v>
      </c>
      <c r="F1654" s="2">
        <f>IFERROR(__xludf.DUMMYFUNCTION("""COMPUTED_VALUE"""),134970.0)</f>
        <v>134970</v>
      </c>
    </row>
    <row r="1655">
      <c r="A1655" s="3">
        <f>IFERROR(__xludf.DUMMYFUNCTION("""COMPUTED_VALUE"""),38943.645833333336)</f>
        <v>38943.64583</v>
      </c>
      <c r="B1655" s="2">
        <f>IFERROR(__xludf.DUMMYFUNCTION("""COMPUTED_VALUE"""),80.81)</f>
        <v>80.81</v>
      </c>
      <c r="C1655" s="2">
        <f>IFERROR(__xludf.DUMMYFUNCTION("""COMPUTED_VALUE"""),81.4)</f>
        <v>81.4</v>
      </c>
      <c r="D1655" s="2">
        <f>IFERROR(__xludf.DUMMYFUNCTION("""COMPUTED_VALUE"""),80.13)</f>
        <v>80.13</v>
      </c>
      <c r="E1655" s="2">
        <f>IFERROR(__xludf.DUMMYFUNCTION("""COMPUTED_VALUE"""),80.75)</f>
        <v>80.75</v>
      </c>
      <c r="F1655" s="2">
        <f>IFERROR(__xludf.DUMMYFUNCTION("""COMPUTED_VALUE"""),87753.0)</f>
        <v>87753</v>
      </c>
    </row>
    <row r="1656">
      <c r="A1656" s="3">
        <f>IFERROR(__xludf.DUMMYFUNCTION("""COMPUTED_VALUE"""),38945.645833333336)</f>
        <v>38945.64583</v>
      </c>
      <c r="B1656" s="2">
        <f>IFERROR(__xludf.DUMMYFUNCTION("""COMPUTED_VALUE"""),82.8)</f>
        <v>82.8</v>
      </c>
      <c r="C1656" s="2">
        <f>IFERROR(__xludf.DUMMYFUNCTION("""COMPUTED_VALUE"""),86.94)</f>
        <v>86.94</v>
      </c>
      <c r="D1656" s="2">
        <f>IFERROR(__xludf.DUMMYFUNCTION("""COMPUTED_VALUE"""),81.82)</f>
        <v>81.82</v>
      </c>
      <c r="E1656" s="2">
        <f>IFERROR(__xludf.DUMMYFUNCTION("""COMPUTED_VALUE"""),84.62)</f>
        <v>84.62</v>
      </c>
      <c r="F1656" s="2">
        <f>IFERROR(__xludf.DUMMYFUNCTION("""COMPUTED_VALUE"""),653555.0)</f>
        <v>653555</v>
      </c>
    </row>
    <row r="1657">
      <c r="A1657" s="3">
        <f>IFERROR(__xludf.DUMMYFUNCTION("""COMPUTED_VALUE"""),38946.645833333336)</f>
        <v>38946.64583</v>
      </c>
      <c r="B1657" s="2">
        <f>IFERROR(__xludf.DUMMYFUNCTION("""COMPUTED_VALUE"""),84.99)</f>
        <v>84.99</v>
      </c>
      <c r="C1657" s="2">
        <f>IFERROR(__xludf.DUMMYFUNCTION("""COMPUTED_VALUE"""),85.5)</f>
        <v>85.5</v>
      </c>
      <c r="D1657" s="2">
        <f>IFERROR(__xludf.DUMMYFUNCTION("""COMPUTED_VALUE"""),83.5)</f>
        <v>83.5</v>
      </c>
      <c r="E1657" s="2">
        <f>IFERROR(__xludf.DUMMYFUNCTION("""COMPUTED_VALUE"""),84.87)</f>
        <v>84.87</v>
      </c>
      <c r="F1657" s="2">
        <f>IFERROR(__xludf.DUMMYFUNCTION("""COMPUTED_VALUE"""),493343.0)</f>
        <v>493343</v>
      </c>
    </row>
    <row r="1658">
      <c r="A1658" s="3">
        <f>IFERROR(__xludf.DUMMYFUNCTION("""COMPUTED_VALUE"""),38947.645833333336)</f>
        <v>38947.64583</v>
      </c>
      <c r="B1658" s="2">
        <f>IFERROR(__xludf.DUMMYFUNCTION("""COMPUTED_VALUE"""),84.2)</f>
        <v>84.2</v>
      </c>
      <c r="C1658" s="2">
        <f>IFERROR(__xludf.DUMMYFUNCTION("""COMPUTED_VALUE"""),84.87)</f>
        <v>84.87</v>
      </c>
      <c r="D1658" s="2">
        <f>IFERROR(__xludf.DUMMYFUNCTION("""COMPUTED_VALUE"""),83.12)</f>
        <v>83.12</v>
      </c>
      <c r="E1658" s="2">
        <f>IFERROR(__xludf.DUMMYFUNCTION("""COMPUTED_VALUE"""),84.11)</f>
        <v>84.11</v>
      </c>
      <c r="F1658" s="2">
        <f>IFERROR(__xludf.DUMMYFUNCTION("""COMPUTED_VALUE"""),204528.0)</f>
        <v>204528</v>
      </c>
    </row>
    <row r="1659">
      <c r="A1659" s="3">
        <f>IFERROR(__xludf.DUMMYFUNCTION("""COMPUTED_VALUE"""),38950.645833333336)</f>
        <v>38950.64583</v>
      </c>
      <c r="B1659" s="2">
        <f>IFERROR(__xludf.DUMMYFUNCTION("""COMPUTED_VALUE"""),81.92)</f>
        <v>81.92</v>
      </c>
      <c r="C1659" s="2">
        <f>IFERROR(__xludf.DUMMYFUNCTION("""COMPUTED_VALUE"""),84.1)</f>
        <v>84.1</v>
      </c>
      <c r="D1659" s="2">
        <f>IFERROR(__xludf.DUMMYFUNCTION("""COMPUTED_VALUE"""),81.92)</f>
        <v>81.92</v>
      </c>
      <c r="E1659" s="2">
        <f>IFERROR(__xludf.DUMMYFUNCTION("""COMPUTED_VALUE"""),83.76)</f>
        <v>83.76</v>
      </c>
      <c r="F1659" s="2">
        <f>IFERROR(__xludf.DUMMYFUNCTION("""COMPUTED_VALUE"""),183563.0)</f>
        <v>183563</v>
      </c>
    </row>
    <row r="1660">
      <c r="A1660" s="3">
        <f>IFERROR(__xludf.DUMMYFUNCTION("""COMPUTED_VALUE"""),38951.645833333336)</f>
        <v>38951.64583</v>
      </c>
      <c r="B1660" s="2">
        <f>IFERROR(__xludf.DUMMYFUNCTION("""COMPUTED_VALUE"""),84.3)</f>
        <v>84.3</v>
      </c>
      <c r="C1660" s="2">
        <f>IFERROR(__xludf.DUMMYFUNCTION("""COMPUTED_VALUE"""),87.0)</f>
        <v>87</v>
      </c>
      <c r="D1660" s="2">
        <f>IFERROR(__xludf.DUMMYFUNCTION("""COMPUTED_VALUE"""),83.02)</f>
        <v>83.02</v>
      </c>
      <c r="E1660" s="2">
        <f>IFERROR(__xludf.DUMMYFUNCTION("""COMPUTED_VALUE"""),85.87)</f>
        <v>85.87</v>
      </c>
      <c r="F1660" s="2">
        <f>IFERROR(__xludf.DUMMYFUNCTION("""COMPUTED_VALUE"""),401960.0)</f>
        <v>401960</v>
      </c>
    </row>
    <row r="1661">
      <c r="A1661" s="3">
        <f>IFERROR(__xludf.DUMMYFUNCTION("""COMPUTED_VALUE"""),38952.645833333336)</f>
        <v>38952.64583</v>
      </c>
      <c r="B1661" s="2">
        <f>IFERROR(__xludf.DUMMYFUNCTION("""COMPUTED_VALUE"""),86.0)</f>
        <v>86</v>
      </c>
      <c r="C1661" s="2">
        <f>IFERROR(__xludf.DUMMYFUNCTION("""COMPUTED_VALUE"""),87.0)</f>
        <v>87</v>
      </c>
      <c r="D1661" s="2">
        <f>IFERROR(__xludf.DUMMYFUNCTION("""COMPUTED_VALUE"""),84.42)</f>
        <v>84.42</v>
      </c>
      <c r="E1661" s="2">
        <f>IFERROR(__xludf.DUMMYFUNCTION("""COMPUTED_VALUE"""),85.3)</f>
        <v>85.3</v>
      </c>
      <c r="F1661" s="2">
        <f>IFERROR(__xludf.DUMMYFUNCTION("""COMPUTED_VALUE"""),189598.0)</f>
        <v>189598</v>
      </c>
    </row>
    <row r="1662">
      <c r="A1662" s="3">
        <f>IFERROR(__xludf.DUMMYFUNCTION("""COMPUTED_VALUE"""),38953.645833333336)</f>
        <v>38953.64583</v>
      </c>
      <c r="B1662" s="2">
        <f>IFERROR(__xludf.DUMMYFUNCTION("""COMPUTED_VALUE"""),84.5)</f>
        <v>84.5</v>
      </c>
      <c r="C1662" s="2">
        <f>IFERROR(__xludf.DUMMYFUNCTION("""COMPUTED_VALUE"""),85.77)</f>
        <v>85.77</v>
      </c>
      <c r="D1662" s="2">
        <f>IFERROR(__xludf.DUMMYFUNCTION("""COMPUTED_VALUE"""),83.5)</f>
        <v>83.5</v>
      </c>
      <c r="E1662" s="2">
        <f>IFERROR(__xludf.DUMMYFUNCTION("""COMPUTED_VALUE"""),85.33)</f>
        <v>85.33</v>
      </c>
      <c r="F1662" s="2">
        <f>IFERROR(__xludf.DUMMYFUNCTION("""COMPUTED_VALUE"""),222640.0)</f>
        <v>222640</v>
      </c>
    </row>
    <row r="1663">
      <c r="A1663" s="3">
        <f>IFERROR(__xludf.DUMMYFUNCTION("""COMPUTED_VALUE"""),38954.645833333336)</f>
        <v>38954.64583</v>
      </c>
      <c r="B1663" s="2">
        <f>IFERROR(__xludf.DUMMYFUNCTION("""COMPUTED_VALUE"""),85.55)</f>
        <v>85.55</v>
      </c>
      <c r="C1663" s="2">
        <f>IFERROR(__xludf.DUMMYFUNCTION("""COMPUTED_VALUE"""),85.55)</f>
        <v>85.55</v>
      </c>
      <c r="D1663" s="2">
        <f>IFERROR(__xludf.DUMMYFUNCTION("""COMPUTED_VALUE"""),84.15)</f>
        <v>84.15</v>
      </c>
      <c r="E1663" s="2">
        <f>IFERROR(__xludf.DUMMYFUNCTION("""COMPUTED_VALUE"""),85.0)</f>
        <v>85</v>
      </c>
      <c r="F1663" s="2">
        <f>IFERROR(__xludf.DUMMYFUNCTION("""COMPUTED_VALUE"""),269866.0)</f>
        <v>269866</v>
      </c>
    </row>
    <row r="1664">
      <c r="A1664" s="3">
        <f>IFERROR(__xludf.DUMMYFUNCTION("""COMPUTED_VALUE"""),38957.645833333336)</f>
        <v>38957.64583</v>
      </c>
      <c r="B1664" s="2">
        <f>IFERROR(__xludf.DUMMYFUNCTION("""COMPUTED_VALUE"""),84.99)</f>
        <v>84.99</v>
      </c>
      <c r="C1664" s="2">
        <f>IFERROR(__xludf.DUMMYFUNCTION("""COMPUTED_VALUE"""),85.0)</f>
        <v>85</v>
      </c>
      <c r="D1664" s="2">
        <f>IFERROR(__xludf.DUMMYFUNCTION("""COMPUTED_VALUE"""),84.0)</f>
        <v>84</v>
      </c>
      <c r="E1664" s="2">
        <f>IFERROR(__xludf.DUMMYFUNCTION("""COMPUTED_VALUE"""),84.55)</f>
        <v>84.55</v>
      </c>
      <c r="F1664" s="2">
        <f>IFERROR(__xludf.DUMMYFUNCTION("""COMPUTED_VALUE"""),169031.0)</f>
        <v>169031</v>
      </c>
    </row>
    <row r="1665">
      <c r="A1665" s="3">
        <f>IFERROR(__xludf.DUMMYFUNCTION("""COMPUTED_VALUE"""),38958.645833333336)</f>
        <v>38958.64583</v>
      </c>
      <c r="B1665" s="2">
        <f>IFERROR(__xludf.DUMMYFUNCTION("""COMPUTED_VALUE"""),84.79)</f>
        <v>84.79</v>
      </c>
      <c r="C1665" s="2">
        <f>IFERROR(__xludf.DUMMYFUNCTION("""COMPUTED_VALUE"""),86.01)</f>
        <v>86.01</v>
      </c>
      <c r="D1665" s="2">
        <f>IFERROR(__xludf.DUMMYFUNCTION("""COMPUTED_VALUE"""),84.11)</f>
        <v>84.11</v>
      </c>
      <c r="E1665" s="2">
        <f>IFERROR(__xludf.DUMMYFUNCTION("""COMPUTED_VALUE"""),84.55)</f>
        <v>84.55</v>
      </c>
      <c r="F1665" s="2">
        <f>IFERROR(__xludf.DUMMYFUNCTION("""COMPUTED_VALUE"""),219077.0)</f>
        <v>219077</v>
      </c>
    </row>
    <row r="1666">
      <c r="A1666" s="3">
        <f>IFERROR(__xludf.DUMMYFUNCTION("""COMPUTED_VALUE"""),38959.645833333336)</f>
        <v>38959.64583</v>
      </c>
      <c r="B1666" s="2">
        <f>IFERROR(__xludf.DUMMYFUNCTION("""COMPUTED_VALUE"""),84.0)</f>
        <v>84</v>
      </c>
      <c r="C1666" s="2">
        <f>IFERROR(__xludf.DUMMYFUNCTION("""COMPUTED_VALUE"""),85.65)</f>
        <v>85.65</v>
      </c>
      <c r="D1666" s="2">
        <f>IFERROR(__xludf.DUMMYFUNCTION("""COMPUTED_VALUE"""),83.62)</f>
        <v>83.62</v>
      </c>
      <c r="E1666" s="2">
        <f>IFERROR(__xludf.DUMMYFUNCTION("""COMPUTED_VALUE"""),84.0)</f>
        <v>84</v>
      </c>
      <c r="F1666" s="2">
        <f>IFERROR(__xludf.DUMMYFUNCTION("""COMPUTED_VALUE"""),198117.0)</f>
        <v>198117</v>
      </c>
    </row>
    <row r="1667">
      <c r="A1667" s="3">
        <f>IFERROR(__xludf.DUMMYFUNCTION("""COMPUTED_VALUE"""),38960.645833333336)</f>
        <v>38960.64583</v>
      </c>
      <c r="B1667" s="2">
        <f>IFERROR(__xludf.DUMMYFUNCTION("""COMPUTED_VALUE"""),84.2)</f>
        <v>84.2</v>
      </c>
      <c r="C1667" s="2">
        <f>IFERROR(__xludf.DUMMYFUNCTION("""COMPUTED_VALUE"""),85.9)</f>
        <v>85.9</v>
      </c>
      <c r="D1667" s="2">
        <f>IFERROR(__xludf.DUMMYFUNCTION("""COMPUTED_VALUE"""),83.81)</f>
        <v>83.81</v>
      </c>
      <c r="E1667" s="2">
        <f>IFERROR(__xludf.DUMMYFUNCTION("""COMPUTED_VALUE"""),85.21)</f>
        <v>85.21</v>
      </c>
      <c r="F1667" s="2">
        <f>IFERROR(__xludf.DUMMYFUNCTION("""COMPUTED_VALUE"""),518637.0)</f>
        <v>518637</v>
      </c>
    </row>
    <row r="1668">
      <c r="A1668" s="3">
        <f>IFERROR(__xludf.DUMMYFUNCTION("""COMPUTED_VALUE"""),38961.645833333336)</f>
        <v>38961.64583</v>
      </c>
      <c r="B1668" s="2">
        <f>IFERROR(__xludf.DUMMYFUNCTION("""COMPUTED_VALUE"""),85.25)</f>
        <v>85.25</v>
      </c>
      <c r="C1668" s="2">
        <f>IFERROR(__xludf.DUMMYFUNCTION("""COMPUTED_VALUE"""),88.0)</f>
        <v>88</v>
      </c>
      <c r="D1668" s="2">
        <f>IFERROR(__xludf.DUMMYFUNCTION("""COMPUTED_VALUE"""),85.2)</f>
        <v>85.2</v>
      </c>
      <c r="E1668" s="2">
        <f>IFERROR(__xludf.DUMMYFUNCTION("""COMPUTED_VALUE"""),87.63)</f>
        <v>87.63</v>
      </c>
      <c r="F1668" s="2">
        <f>IFERROR(__xludf.DUMMYFUNCTION("""COMPUTED_VALUE"""),373256.0)</f>
        <v>373256</v>
      </c>
    </row>
    <row r="1669">
      <c r="A1669" s="3">
        <f>IFERROR(__xludf.DUMMYFUNCTION("""COMPUTED_VALUE"""),38964.645833333336)</f>
        <v>38964.64583</v>
      </c>
      <c r="B1669" s="2">
        <f>IFERROR(__xludf.DUMMYFUNCTION("""COMPUTED_VALUE"""),87.75)</f>
        <v>87.75</v>
      </c>
      <c r="C1669" s="2">
        <f>IFERROR(__xludf.DUMMYFUNCTION("""COMPUTED_VALUE"""),88.68)</f>
        <v>88.68</v>
      </c>
      <c r="D1669" s="2">
        <f>IFERROR(__xludf.DUMMYFUNCTION("""COMPUTED_VALUE"""),87.63)</f>
        <v>87.63</v>
      </c>
      <c r="E1669" s="2">
        <f>IFERROR(__xludf.DUMMYFUNCTION("""COMPUTED_VALUE"""),88.03)</f>
        <v>88.03</v>
      </c>
      <c r="F1669" s="2">
        <f>IFERROR(__xludf.DUMMYFUNCTION("""COMPUTED_VALUE"""),134639.0)</f>
        <v>134639</v>
      </c>
    </row>
    <row r="1670">
      <c r="A1670" s="3">
        <f>IFERROR(__xludf.DUMMYFUNCTION("""COMPUTED_VALUE"""),38965.645833333336)</f>
        <v>38965.64583</v>
      </c>
      <c r="B1670" s="2">
        <f>IFERROR(__xludf.DUMMYFUNCTION("""COMPUTED_VALUE"""),87.0)</f>
        <v>87</v>
      </c>
      <c r="C1670" s="2">
        <f>IFERROR(__xludf.DUMMYFUNCTION("""COMPUTED_VALUE"""),88.1)</f>
        <v>88.1</v>
      </c>
      <c r="D1670" s="2">
        <f>IFERROR(__xludf.DUMMYFUNCTION("""COMPUTED_VALUE"""),87.0)</f>
        <v>87</v>
      </c>
      <c r="E1670" s="2">
        <f>IFERROR(__xludf.DUMMYFUNCTION("""COMPUTED_VALUE"""),87.47)</f>
        <v>87.47</v>
      </c>
      <c r="F1670" s="2">
        <f>IFERROR(__xludf.DUMMYFUNCTION("""COMPUTED_VALUE"""),116381.0)</f>
        <v>116381</v>
      </c>
    </row>
    <row r="1671">
      <c r="A1671" s="3">
        <f>IFERROR(__xludf.DUMMYFUNCTION("""COMPUTED_VALUE"""),38966.645833333336)</f>
        <v>38966.64583</v>
      </c>
      <c r="B1671" s="2">
        <f>IFERROR(__xludf.DUMMYFUNCTION("""COMPUTED_VALUE"""),88.0)</f>
        <v>88</v>
      </c>
      <c r="C1671" s="2">
        <f>IFERROR(__xludf.DUMMYFUNCTION("""COMPUTED_VALUE"""),88.39)</f>
        <v>88.39</v>
      </c>
      <c r="D1671" s="2">
        <f>IFERROR(__xludf.DUMMYFUNCTION("""COMPUTED_VALUE"""),86.03)</f>
        <v>86.03</v>
      </c>
      <c r="E1671" s="2">
        <f>IFERROR(__xludf.DUMMYFUNCTION("""COMPUTED_VALUE"""),86.4)</f>
        <v>86.4</v>
      </c>
      <c r="F1671" s="2">
        <f>IFERROR(__xludf.DUMMYFUNCTION("""COMPUTED_VALUE"""),291632.0)</f>
        <v>291632</v>
      </c>
    </row>
    <row r="1672">
      <c r="A1672" s="3">
        <f>IFERROR(__xludf.DUMMYFUNCTION("""COMPUTED_VALUE"""),38967.645833333336)</f>
        <v>38967.64583</v>
      </c>
      <c r="B1672" s="2">
        <f>IFERROR(__xludf.DUMMYFUNCTION("""COMPUTED_VALUE"""),85.66)</f>
        <v>85.66</v>
      </c>
      <c r="C1672" s="2">
        <f>IFERROR(__xludf.DUMMYFUNCTION("""COMPUTED_VALUE"""),85.8)</f>
        <v>85.8</v>
      </c>
      <c r="D1672" s="2">
        <f>IFERROR(__xludf.DUMMYFUNCTION("""COMPUTED_VALUE"""),84.22)</f>
        <v>84.22</v>
      </c>
      <c r="E1672" s="2">
        <f>IFERROR(__xludf.DUMMYFUNCTION("""COMPUTED_VALUE"""),84.88)</f>
        <v>84.88</v>
      </c>
      <c r="F1672" s="2">
        <f>IFERROR(__xludf.DUMMYFUNCTION("""COMPUTED_VALUE"""),576691.0)</f>
        <v>576691</v>
      </c>
    </row>
    <row r="1673">
      <c r="A1673" s="3">
        <f>IFERROR(__xludf.DUMMYFUNCTION("""COMPUTED_VALUE"""),38968.645833333336)</f>
        <v>38968.64583</v>
      </c>
      <c r="B1673" s="2">
        <f>IFERROR(__xludf.DUMMYFUNCTION("""COMPUTED_VALUE"""),85.2)</f>
        <v>85.2</v>
      </c>
      <c r="C1673" s="2">
        <f>IFERROR(__xludf.DUMMYFUNCTION("""COMPUTED_VALUE"""),85.25)</f>
        <v>85.25</v>
      </c>
      <c r="D1673" s="2">
        <f>IFERROR(__xludf.DUMMYFUNCTION("""COMPUTED_VALUE"""),84.16)</f>
        <v>84.16</v>
      </c>
      <c r="E1673" s="2">
        <f>IFERROR(__xludf.DUMMYFUNCTION("""COMPUTED_VALUE"""),84.92)</f>
        <v>84.92</v>
      </c>
      <c r="F1673" s="2">
        <f>IFERROR(__xludf.DUMMYFUNCTION("""COMPUTED_VALUE"""),354701.0)</f>
        <v>354701</v>
      </c>
    </row>
    <row r="1674">
      <c r="A1674" s="3">
        <f>IFERROR(__xludf.DUMMYFUNCTION("""COMPUTED_VALUE"""),38971.645833333336)</f>
        <v>38971.64583</v>
      </c>
      <c r="B1674" s="2">
        <f>IFERROR(__xludf.DUMMYFUNCTION("""COMPUTED_VALUE"""),85.4)</f>
        <v>85.4</v>
      </c>
      <c r="C1674" s="2">
        <f>IFERROR(__xludf.DUMMYFUNCTION("""COMPUTED_VALUE"""),85.5)</f>
        <v>85.5</v>
      </c>
      <c r="D1674" s="2">
        <f>IFERROR(__xludf.DUMMYFUNCTION("""COMPUTED_VALUE"""),81.6)</f>
        <v>81.6</v>
      </c>
      <c r="E1674" s="2">
        <f>IFERROR(__xludf.DUMMYFUNCTION("""COMPUTED_VALUE"""),82.28)</f>
        <v>82.28</v>
      </c>
      <c r="F1674" s="2">
        <f>IFERROR(__xludf.DUMMYFUNCTION("""COMPUTED_VALUE"""),806202.0)</f>
        <v>806202</v>
      </c>
    </row>
    <row r="1675">
      <c r="A1675" s="3">
        <f>IFERROR(__xludf.DUMMYFUNCTION("""COMPUTED_VALUE"""),38972.645833333336)</f>
        <v>38972.64583</v>
      </c>
      <c r="B1675" s="2">
        <f>IFERROR(__xludf.DUMMYFUNCTION("""COMPUTED_VALUE"""),83.48)</f>
        <v>83.48</v>
      </c>
      <c r="C1675" s="2">
        <f>IFERROR(__xludf.DUMMYFUNCTION("""COMPUTED_VALUE"""),84.98)</f>
        <v>84.98</v>
      </c>
      <c r="D1675" s="2">
        <f>IFERROR(__xludf.DUMMYFUNCTION("""COMPUTED_VALUE"""),81.52)</f>
        <v>81.52</v>
      </c>
      <c r="E1675" s="2">
        <f>IFERROR(__xludf.DUMMYFUNCTION("""COMPUTED_VALUE"""),84.06)</f>
        <v>84.06</v>
      </c>
      <c r="F1675" s="2">
        <f>IFERROR(__xludf.DUMMYFUNCTION("""COMPUTED_VALUE"""),653147.0)</f>
        <v>653147</v>
      </c>
    </row>
    <row r="1676">
      <c r="A1676" s="3">
        <f>IFERROR(__xludf.DUMMYFUNCTION("""COMPUTED_VALUE"""),38973.645833333336)</f>
        <v>38973.64583</v>
      </c>
      <c r="B1676" s="2">
        <f>IFERROR(__xludf.DUMMYFUNCTION("""COMPUTED_VALUE"""),85.1)</f>
        <v>85.1</v>
      </c>
      <c r="C1676" s="2">
        <f>IFERROR(__xludf.DUMMYFUNCTION("""COMPUTED_VALUE"""),88.9)</f>
        <v>88.9</v>
      </c>
      <c r="D1676" s="2">
        <f>IFERROR(__xludf.DUMMYFUNCTION("""COMPUTED_VALUE"""),84.72)</f>
        <v>84.72</v>
      </c>
      <c r="E1676" s="2">
        <f>IFERROR(__xludf.DUMMYFUNCTION("""COMPUTED_VALUE"""),87.38)</f>
        <v>87.38</v>
      </c>
      <c r="F1676" s="2">
        <f>IFERROR(__xludf.DUMMYFUNCTION("""COMPUTED_VALUE"""),520825.0)</f>
        <v>520825</v>
      </c>
    </row>
    <row r="1677">
      <c r="A1677" s="3">
        <f>IFERROR(__xludf.DUMMYFUNCTION("""COMPUTED_VALUE"""),38974.645833333336)</f>
        <v>38974.64583</v>
      </c>
      <c r="B1677" s="2">
        <f>IFERROR(__xludf.DUMMYFUNCTION("""COMPUTED_VALUE"""),87.5)</f>
        <v>87.5</v>
      </c>
      <c r="C1677" s="2">
        <f>IFERROR(__xludf.DUMMYFUNCTION("""COMPUTED_VALUE"""),87.8)</f>
        <v>87.8</v>
      </c>
      <c r="D1677" s="2">
        <f>IFERROR(__xludf.DUMMYFUNCTION("""COMPUTED_VALUE"""),86.11)</f>
        <v>86.11</v>
      </c>
      <c r="E1677" s="2">
        <f>IFERROR(__xludf.DUMMYFUNCTION("""COMPUTED_VALUE"""),86.55)</f>
        <v>86.55</v>
      </c>
      <c r="F1677" s="2">
        <f>IFERROR(__xludf.DUMMYFUNCTION("""COMPUTED_VALUE"""),207656.0)</f>
        <v>207656</v>
      </c>
    </row>
    <row r="1678">
      <c r="A1678" s="3">
        <f>IFERROR(__xludf.DUMMYFUNCTION("""COMPUTED_VALUE"""),38975.645833333336)</f>
        <v>38975.64583</v>
      </c>
      <c r="B1678" s="2">
        <f>IFERROR(__xludf.DUMMYFUNCTION("""COMPUTED_VALUE"""),87.3)</f>
        <v>87.3</v>
      </c>
      <c r="C1678" s="2">
        <f>IFERROR(__xludf.DUMMYFUNCTION("""COMPUTED_VALUE"""),88.7)</f>
        <v>88.7</v>
      </c>
      <c r="D1678" s="2">
        <f>IFERROR(__xludf.DUMMYFUNCTION("""COMPUTED_VALUE"""),86.83)</f>
        <v>86.83</v>
      </c>
      <c r="E1678" s="2">
        <f>IFERROR(__xludf.DUMMYFUNCTION("""COMPUTED_VALUE"""),87.79)</f>
        <v>87.79</v>
      </c>
      <c r="F1678" s="2">
        <f>IFERROR(__xludf.DUMMYFUNCTION("""COMPUTED_VALUE"""),322603.0)</f>
        <v>322603</v>
      </c>
    </row>
    <row r="1679">
      <c r="A1679" s="3">
        <f>IFERROR(__xludf.DUMMYFUNCTION("""COMPUTED_VALUE"""),38978.645833333336)</f>
        <v>38978.64583</v>
      </c>
      <c r="B1679" s="2">
        <f>IFERROR(__xludf.DUMMYFUNCTION("""COMPUTED_VALUE"""),87.14)</f>
        <v>87.14</v>
      </c>
      <c r="C1679" s="2">
        <f>IFERROR(__xludf.DUMMYFUNCTION("""COMPUTED_VALUE"""),88.7)</f>
        <v>88.7</v>
      </c>
      <c r="D1679" s="2">
        <f>IFERROR(__xludf.DUMMYFUNCTION("""COMPUTED_VALUE"""),87.13)</f>
        <v>87.13</v>
      </c>
      <c r="E1679" s="2">
        <f>IFERROR(__xludf.DUMMYFUNCTION("""COMPUTED_VALUE"""),88.31)</f>
        <v>88.31</v>
      </c>
      <c r="F1679" s="2">
        <f>IFERROR(__xludf.DUMMYFUNCTION("""COMPUTED_VALUE"""),154441.0)</f>
        <v>154441</v>
      </c>
    </row>
    <row r="1680">
      <c r="A1680" s="3">
        <f>IFERROR(__xludf.DUMMYFUNCTION("""COMPUTED_VALUE"""),38979.645833333336)</f>
        <v>38979.64583</v>
      </c>
      <c r="B1680" s="2">
        <f>IFERROR(__xludf.DUMMYFUNCTION("""COMPUTED_VALUE"""),88.0)</f>
        <v>88</v>
      </c>
      <c r="C1680" s="2">
        <f>IFERROR(__xludf.DUMMYFUNCTION("""COMPUTED_VALUE"""),88.7)</f>
        <v>88.7</v>
      </c>
      <c r="D1680" s="2">
        <f>IFERROR(__xludf.DUMMYFUNCTION("""COMPUTED_VALUE"""),87.53)</f>
        <v>87.53</v>
      </c>
      <c r="E1680" s="2">
        <f>IFERROR(__xludf.DUMMYFUNCTION("""COMPUTED_VALUE"""),88.11)</f>
        <v>88.11</v>
      </c>
      <c r="F1680" s="2">
        <f>IFERROR(__xludf.DUMMYFUNCTION("""COMPUTED_VALUE"""),282832.0)</f>
        <v>282832</v>
      </c>
    </row>
    <row r="1681">
      <c r="A1681" s="3">
        <f>IFERROR(__xludf.DUMMYFUNCTION("""COMPUTED_VALUE"""),38980.645833333336)</f>
        <v>38980.64583</v>
      </c>
      <c r="B1681" s="2">
        <f>IFERROR(__xludf.DUMMYFUNCTION("""COMPUTED_VALUE"""),87.5)</f>
        <v>87.5</v>
      </c>
      <c r="C1681" s="2">
        <f>IFERROR(__xludf.DUMMYFUNCTION("""COMPUTED_VALUE"""),88.07)</f>
        <v>88.07</v>
      </c>
      <c r="D1681" s="2">
        <f>IFERROR(__xludf.DUMMYFUNCTION("""COMPUTED_VALUE"""),85.31)</f>
        <v>85.31</v>
      </c>
      <c r="E1681" s="2">
        <f>IFERROR(__xludf.DUMMYFUNCTION("""COMPUTED_VALUE"""),87.57)</f>
        <v>87.57</v>
      </c>
      <c r="F1681" s="2">
        <f>IFERROR(__xludf.DUMMYFUNCTION("""COMPUTED_VALUE"""),244605.0)</f>
        <v>244605</v>
      </c>
    </row>
    <row r="1682">
      <c r="A1682" s="3">
        <f>IFERROR(__xludf.DUMMYFUNCTION("""COMPUTED_VALUE"""),38981.645833333336)</f>
        <v>38981.64583</v>
      </c>
      <c r="B1682" s="2">
        <f>IFERROR(__xludf.DUMMYFUNCTION("""COMPUTED_VALUE"""),88.4)</f>
        <v>88.4</v>
      </c>
      <c r="C1682" s="2">
        <f>IFERROR(__xludf.DUMMYFUNCTION("""COMPUTED_VALUE"""),88.47)</f>
        <v>88.47</v>
      </c>
      <c r="D1682" s="2">
        <f>IFERROR(__xludf.DUMMYFUNCTION("""COMPUTED_VALUE"""),87.3)</f>
        <v>87.3</v>
      </c>
      <c r="E1682" s="2">
        <f>IFERROR(__xludf.DUMMYFUNCTION("""COMPUTED_VALUE"""),88.35)</f>
        <v>88.35</v>
      </c>
      <c r="F1682" s="2">
        <f>IFERROR(__xludf.DUMMYFUNCTION("""COMPUTED_VALUE"""),228399.0)</f>
        <v>228399</v>
      </c>
    </row>
    <row r="1683">
      <c r="A1683" s="3">
        <f>IFERROR(__xludf.DUMMYFUNCTION("""COMPUTED_VALUE"""),38982.645833333336)</f>
        <v>38982.64583</v>
      </c>
      <c r="B1683" s="2">
        <f>IFERROR(__xludf.DUMMYFUNCTION("""COMPUTED_VALUE"""),88.01)</f>
        <v>88.01</v>
      </c>
      <c r="C1683" s="2">
        <f>IFERROR(__xludf.DUMMYFUNCTION("""COMPUTED_VALUE"""),89.4)</f>
        <v>89.4</v>
      </c>
      <c r="D1683" s="2">
        <f>IFERROR(__xludf.DUMMYFUNCTION("""COMPUTED_VALUE"""),86.3)</f>
        <v>86.3</v>
      </c>
      <c r="E1683" s="2">
        <f>IFERROR(__xludf.DUMMYFUNCTION("""COMPUTED_VALUE"""),87.58)</f>
        <v>87.58</v>
      </c>
      <c r="F1683" s="2">
        <f>IFERROR(__xludf.DUMMYFUNCTION("""COMPUTED_VALUE"""),250053.0)</f>
        <v>250053</v>
      </c>
    </row>
    <row r="1684">
      <c r="A1684" s="3">
        <f>IFERROR(__xludf.DUMMYFUNCTION("""COMPUTED_VALUE"""),38985.645833333336)</f>
        <v>38985.64583</v>
      </c>
      <c r="B1684" s="2">
        <f>IFERROR(__xludf.DUMMYFUNCTION("""COMPUTED_VALUE"""),86.0)</f>
        <v>86</v>
      </c>
      <c r="C1684" s="2">
        <f>IFERROR(__xludf.DUMMYFUNCTION("""COMPUTED_VALUE"""),88.59)</f>
        <v>88.59</v>
      </c>
      <c r="D1684" s="2">
        <f>IFERROR(__xludf.DUMMYFUNCTION("""COMPUTED_VALUE"""),85.63)</f>
        <v>85.63</v>
      </c>
      <c r="E1684" s="2">
        <f>IFERROR(__xludf.DUMMYFUNCTION("""COMPUTED_VALUE"""),87.83)</f>
        <v>87.83</v>
      </c>
      <c r="F1684" s="2">
        <f>IFERROR(__xludf.DUMMYFUNCTION("""COMPUTED_VALUE"""),268824.0)</f>
        <v>268824</v>
      </c>
    </row>
    <row r="1685">
      <c r="A1685" s="3">
        <f>IFERROR(__xludf.DUMMYFUNCTION("""COMPUTED_VALUE"""),38986.645833333336)</f>
        <v>38986.64583</v>
      </c>
      <c r="B1685" s="2">
        <f>IFERROR(__xludf.DUMMYFUNCTION("""COMPUTED_VALUE"""),88.0)</f>
        <v>88</v>
      </c>
      <c r="C1685" s="2">
        <f>IFERROR(__xludf.DUMMYFUNCTION("""COMPUTED_VALUE"""),89.3)</f>
        <v>89.3</v>
      </c>
      <c r="D1685" s="2">
        <f>IFERROR(__xludf.DUMMYFUNCTION("""COMPUTED_VALUE"""),87.12)</f>
        <v>87.12</v>
      </c>
      <c r="E1685" s="2">
        <f>IFERROR(__xludf.DUMMYFUNCTION("""COMPUTED_VALUE"""),88.87)</f>
        <v>88.87</v>
      </c>
      <c r="F1685" s="2">
        <f>IFERROR(__xludf.DUMMYFUNCTION("""COMPUTED_VALUE"""),354983.0)</f>
        <v>354983</v>
      </c>
    </row>
    <row r="1686">
      <c r="A1686" s="3">
        <f>IFERROR(__xludf.DUMMYFUNCTION("""COMPUTED_VALUE"""),38987.645833333336)</f>
        <v>38987.64583</v>
      </c>
      <c r="B1686" s="2">
        <f>IFERROR(__xludf.DUMMYFUNCTION("""COMPUTED_VALUE"""),89.5)</f>
        <v>89.5</v>
      </c>
      <c r="C1686" s="2">
        <f>IFERROR(__xludf.DUMMYFUNCTION("""COMPUTED_VALUE"""),90.5)</f>
        <v>90.5</v>
      </c>
      <c r="D1686" s="2">
        <f>IFERROR(__xludf.DUMMYFUNCTION("""COMPUTED_VALUE"""),89.21)</f>
        <v>89.21</v>
      </c>
      <c r="E1686" s="2">
        <f>IFERROR(__xludf.DUMMYFUNCTION("""COMPUTED_VALUE"""),89.93)</f>
        <v>89.93</v>
      </c>
      <c r="F1686" s="2">
        <f>IFERROR(__xludf.DUMMYFUNCTION("""COMPUTED_VALUE"""),440267.0)</f>
        <v>440267</v>
      </c>
    </row>
    <row r="1687">
      <c r="A1687" s="3">
        <f>IFERROR(__xludf.DUMMYFUNCTION("""COMPUTED_VALUE"""),38988.645833333336)</f>
        <v>38988.64583</v>
      </c>
      <c r="B1687" s="2">
        <f>IFERROR(__xludf.DUMMYFUNCTION("""COMPUTED_VALUE"""),90.4)</f>
        <v>90.4</v>
      </c>
      <c r="C1687" s="2">
        <f>IFERROR(__xludf.DUMMYFUNCTION("""COMPUTED_VALUE"""),95.47)</f>
        <v>95.47</v>
      </c>
      <c r="D1687" s="2">
        <f>IFERROR(__xludf.DUMMYFUNCTION("""COMPUTED_VALUE"""),90.11)</f>
        <v>90.11</v>
      </c>
      <c r="E1687" s="2">
        <f>IFERROR(__xludf.DUMMYFUNCTION("""COMPUTED_VALUE"""),92.91)</f>
        <v>92.91</v>
      </c>
      <c r="F1687" s="2">
        <f>IFERROR(__xludf.DUMMYFUNCTION("""COMPUTED_VALUE"""),869511.0)</f>
        <v>869511</v>
      </c>
    </row>
    <row r="1688">
      <c r="A1688" s="3">
        <f>IFERROR(__xludf.DUMMYFUNCTION("""COMPUTED_VALUE"""),38989.645833333336)</f>
        <v>38989.64583</v>
      </c>
      <c r="B1688" s="2">
        <f>IFERROR(__xludf.DUMMYFUNCTION("""COMPUTED_VALUE"""),93.5)</f>
        <v>93.5</v>
      </c>
      <c r="C1688" s="2">
        <f>IFERROR(__xludf.DUMMYFUNCTION("""COMPUTED_VALUE"""),94.1)</f>
        <v>94.1</v>
      </c>
      <c r="D1688" s="2">
        <f>IFERROR(__xludf.DUMMYFUNCTION("""COMPUTED_VALUE"""),91.5)</f>
        <v>91.5</v>
      </c>
      <c r="E1688" s="2">
        <f>IFERROR(__xludf.DUMMYFUNCTION("""COMPUTED_VALUE"""),92.53)</f>
        <v>92.53</v>
      </c>
      <c r="F1688" s="2">
        <f>IFERROR(__xludf.DUMMYFUNCTION("""COMPUTED_VALUE"""),264527.0)</f>
        <v>264527</v>
      </c>
    </row>
    <row r="1689">
      <c r="A1689" s="3">
        <f>IFERROR(__xludf.DUMMYFUNCTION("""COMPUTED_VALUE"""),38993.645833333336)</f>
        <v>38993.64583</v>
      </c>
      <c r="B1689" s="2">
        <f>IFERROR(__xludf.DUMMYFUNCTION("""COMPUTED_VALUE"""),93.0)</f>
        <v>93</v>
      </c>
      <c r="C1689" s="2">
        <f>IFERROR(__xludf.DUMMYFUNCTION("""COMPUTED_VALUE"""),93.0)</f>
        <v>93</v>
      </c>
      <c r="D1689" s="2">
        <f>IFERROR(__xludf.DUMMYFUNCTION("""COMPUTED_VALUE"""),91.65)</f>
        <v>91.65</v>
      </c>
      <c r="E1689" s="2">
        <f>IFERROR(__xludf.DUMMYFUNCTION("""COMPUTED_VALUE"""),91.98)</f>
        <v>91.98</v>
      </c>
      <c r="F1689" s="2">
        <f>IFERROR(__xludf.DUMMYFUNCTION("""COMPUTED_VALUE"""),222408.0)</f>
        <v>222408</v>
      </c>
    </row>
    <row r="1690">
      <c r="A1690" s="3">
        <f>IFERROR(__xludf.DUMMYFUNCTION("""COMPUTED_VALUE"""),38994.645833333336)</f>
        <v>38994.64583</v>
      </c>
      <c r="B1690" s="2">
        <f>IFERROR(__xludf.DUMMYFUNCTION("""COMPUTED_VALUE"""),91.7)</f>
        <v>91.7</v>
      </c>
      <c r="C1690" s="2">
        <f>IFERROR(__xludf.DUMMYFUNCTION("""COMPUTED_VALUE"""),91.99)</f>
        <v>91.99</v>
      </c>
      <c r="D1690" s="2">
        <f>IFERROR(__xludf.DUMMYFUNCTION("""COMPUTED_VALUE"""),88.63)</f>
        <v>88.63</v>
      </c>
      <c r="E1690" s="2">
        <f>IFERROR(__xludf.DUMMYFUNCTION("""COMPUTED_VALUE"""),89.02)</f>
        <v>89.02</v>
      </c>
      <c r="F1690" s="2">
        <f>IFERROR(__xludf.DUMMYFUNCTION("""COMPUTED_VALUE"""),429062.0)</f>
        <v>429062</v>
      </c>
    </row>
    <row r="1691">
      <c r="A1691" s="3">
        <f>IFERROR(__xludf.DUMMYFUNCTION("""COMPUTED_VALUE"""),38995.645833333336)</f>
        <v>38995.64583</v>
      </c>
      <c r="B1691" s="2">
        <f>IFERROR(__xludf.DUMMYFUNCTION("""COMPUTED_VALUE"""),90.03)</f>
        <v>90.03</v>
      </c>
      <c r="C1691" s="2">
        <f>IFERROR(__xludf.DUMMYFUNCTION("""COMPUTED_VALUE"""),93.6)</f>
        <v>93.6</v>
      </c>
      <c r="D1691" s="2">
        <f>IFERROR(__xludf.DUMMYFUNCTION("""COMPUTED_VALUE"""),89.8)</f>
        <v>89.8</v>
      </c>
      <c r="E1691" s="2">
        <f>IFERROR(__xludf.DUMMYFUNCTION("""COMPUTED_VALUE"""),93.1)</f>
        <v>93.1</v>
      </c>
      <c r="F1691" s="2">
        <f>IFERROR(__xludf.DUMMYFUNCTION("""COMPUTED_VALUE"""),428296.0)</f>
        <v>428296</v>
      </c>
    </row>
    <row r="1692">
      <c r="A1692" s="3">
        <f>IFERROR(__xludf.DUMMYFUNCTION("""COMPUTED_VALUE"""),38996.645833333336)</f>
        <v>38996.64583</v>
      </c>
      <c r="B1692" s="2">
        <f>IFERROR(__xludf.DUMMYFUNCTION("""COMPUTED_VALUE"""),93.9)</f>
        <v>93.9</v>
      </c>
      <c r="C1692" s="2">
        <f>IFERROR(__xludf.DUMMYFUNCTION("""COMPUTED_VALUE"""),94.5)</f>
        <v>94.5</v>
      </c>
      <c r="D1692" s="2">
        <f>IFERROR(__xludf.DUMMYFUNCTION("""COMPUTED_VALUE"""),93.12)</f>
        <v>93.12</v>
      </c>
      <c r="E1692" s="2">
        <f>IFERROR(__xludf.DUMMYFUNCTION("""COMPUTED_VALUE"""),93.38)</f>
        <v>93.38</v>
      </c>
      <c r="F1692" s="2">
        <f>IFERROR(__xludf.DUMMYFUNCTION("""COMPUTED_VALUE"""),219746.0)</f>
        <v>219746</v>
      </c>
    </row>
    <row r="1693">
      <c r="A1693" s="3">
        <f>IFERROR(__xludf.DUMMYFUNCTION("""COMPUTED_VALUE"""),38999.645833333336)</f>
        <v>38999.64583</v>
      </c>
      <c r="B1693" s="2">
        <f>IFERROR(__xludf.DUMMYFUNCTION("""COMPUTED_VALUE"""),92.5)</f>
        <v>92.5</v>
      </c>
      <c r="C1693" s="2">
        <f>IFERROR(__xludf.DUMMYFUNCTION("""COMPUTED_VALUE"""),93.5)</f>
        <v>93.5</v>
      </c>
      <c r="D1693" s="2">
        <f>IFERROR(__xludf.DUMMYFUNCTION("""COMPUTED_VALUE"""),92.5)</f>
        <v>92.5</v>
      </c>
      <c r="E1693" s="2">
        <f>IFERROR(__xludf.DUMMYFUNCTION("""COMPUTED_VALUE"""),92.99)</f>
        <v>92.99</v>
      </c>
      <c r="F1693" s="2">
        <f>IFERROR(__xludf.DUMMYFUNCTION("""COMPUTED_VALUE"""),153598.0)</f>
        <v>153598</v>
      </c>
    </row>
    <row r="1694">
      <c r="A1694" s="3">
        <f>IFERROR(__xludf.DUMMYFUNCTION("""COMPUTED_VALUE"""),39000.645833333336)</f>
        <v>39000.64583</v>
      </c>
      <c r="B1694" s="2">
        <f>IFERROR(__xludf.DUMMYFUNCTION("""COMPUTED_VALUE"""),93.0)</f>
        <v>93</v>
      </c>
      <c r="C1694" s="2">
        <f>IFERROR(__xludf.DUMMYFUNCTION("""COMPUTED_VALUE"""),94.5)</f>
        <v>94.5</v>
      </c>
      <c r="D1694" s="2">
        <f>IFERROR(__xludf.DUMMYFUNCTION("""COMPUTED_VALUE"""),93.0)</f>
        <v>93</v>
      </c>
      <c r="E1694" s="2">
        <f>IFERROR(__xludf.DUMMYFUNCTION("""COMPUTED_VALUE"""),93.8)</f>
        <v>93.8</v>
      </c>
      <c r="F1694" s="2">
        <f>IFERROR(__xludf.DUMMYFUNCTION("""COMPUTED_VALUE"""),144851.0)</f>
        <v>144851</v>
      </c>
    </row>
    <row r="1695">
      <c r="A1695" s="3">
        <f>IFERROR(__xludf.DUMMYFUNCTION("""COMPUTED_VALUE"""),39001.645833333336)</f>
        <v>39001.64583</v>
      </c>
      <c r="B1695" s="2">
        <f>IFERROR(__xludf.DUMMYFUNCTION("""COMPUTED_VALUE"""),94.47)</f>
        <v>94.47</v>
      </c>
      <c r="C1695" s="2">
        <f>IFERROR(__xludf.DUMMYFUNCTION("""COMPUTED_VALUE"""),97.2)</f>
        <v>97.2</v>
      </c>
      <c r="D1695" s="2">
        <f>IFERROR(__xludf.DUMMYFUNCTION("""COMPUTED_VALUE"""),94.21)</f>
        <v>94.21</v>
      </c>
      <c r="E1695" s="2">
        <f>IFERROR(__xludf.DUMMYFUNCTION("""COMPUTED_VALUE"""),96.58)</f>
        <v>96.58</v>
      </c>
      <c r="F1695" s="2">
        <f>IFERROR(__xludf.DUMMYFUNCTION("""COMPUTED_VALUE"""),342744.0)</f>
        <v>342744</v>
      </c>
    </row>
    <row r="1696">
      <c r="A1696" s="3">
        <f>IFERROR(__xludf.DUMMYFUNCTION("""COMPUTED_VALUE"""),39002.645833333336)</f>
        <v>39002.64583</v>
      </c>
      <c r="B1696" s="2">
        <f>IFERROR(__xludf.DUMMYFUNCTION("""COMPUTED_VALUE"""),96.73)</f>
        <v>96.73</v>
      </c>
      <c r="C1696" s="2">
        <f>IFERROR(__xludf.DUMMYFUNCTION("""COMPUTED_VALUE"""),96.73)</f>
        <v>96.73</v>
      </c>
      <c r="D1696" s="2">
        <f>IFERROR(__xludf.DUMMYFUNCTION("""COMPUTED_VALUE"""),94.8)</f>
        <v>94.8</v>
      </c>
      <c r="E1696" s="2">
        <f>IFERROR(__xludf.DUMMYFUNCTION("""COMPUTED_VALUE"""),95.92)</f>
        <v>95.92</v>
      </c>
      <c r="F1696" s="2">
        <f>IFERROR(__xludf.DUMMYFUNCTION("""COMPUTED_VALUE"""),475613.0)</f>
        <v>475613</v>
      </c>
    </row>
    <row r="1697">
      <c r="A1697" s="3">
        <f>IFERROR(__xludf.DUMMYFUNCTION("""COMPUTED_VALUE"""),39003.645833333336)</f>
        <v>39003.64583</v>
      </c>
      <c r="B1697" s="2">
        <f>IFERROR(__xludf.DUMMYFUNCTION("""COMPUTED_VALUE"""),97.77)</f>
        <v>97.77</v>
      </c>
      <c r="C1697" s="2">
        <f>IFERROR(__xludf.DUMMYFUNCTION("""COMPUTED_VALUE"""),100.0)</f>
        <v>100</v>
      </c>
      <c r="D1697" s="2">
        <f>IFERROR(__xludf.DUMMYFUNCTION("""COMPUTED_VALUE"""),97.7)</f>
        <v>97.7</v>
      </c>
      <c r="E1697" s="2">
        <f>IFERROR(__xludf.DUMMYFUNCTION("""COMPUTED_VALUE"""),98.78)</f>
        <v>98.78</v>
      </c>
      <c r="F1697" s="2">
        <f>IFERROR(__xludf.DUMMYFUNCTION("""COMPUTED_VALUE"""),345017.0)</f>
        <v>345017</v>
      </c>
    </row>
    <row r="1698">
      <c r="A1698" s="3">
        <f>IFERROR(__xludf.DUMMYFUNCTION("""COMPUTED_VALUE"""),39006.645833333336)</f>
        <v>39006.64583</v>
      </c>
      <c r="B1698" s="2">
        <f>IFERROR(__xludf.DUMMYFUNCTION("""COMPUTED_VALUE"""),99.9)</f>
        <v>99.9</v>
      </c>
      <c r="C1698" s="2">
        <f>IFERROR(__xludf.DUMMYFUNCTION("""COMPUTED_VALUE"""),106.5)</f>
        <v>106.5</v>
      </c>
      <c r="D1698" s="2">
        <f>IFERROR(__xludf.DUMMYFUNCTION("""COMPUTED_VALUE"""),99.2)</f>
        <v>99.2</v>
      </c>
      <c r="E1698" s="2">
        <f>IFERROR(__xludf.DUMMYFUNCTION("""COMPUTED_VALUE"""),104.88)</f>
        <v>104.88</v>
      </c>
      <c r="F1698" s="2">
        <f>IFERROR(__xludf.DUMMYFUNCTION("""COMPUTED_VALUE"""),985505.0)</f>
        <v>985505</v>
      </c>
    </row>
    <row r="1699">
      <c r="A1699" s="3">
        <f>IFERROR(__xludf.DUMMYFUNCTION("""COMPUTED_VALUE"""),39007.645833333336)</f>
        <v>39007.64583</v>
      </c>
      <c r="B1699" s="2">
        <f>IFERROR(__xludf.DUMMYFUNCTION("""COMPUTED_VALUE"""),104.9)</f>
        <v>104.9</v>
      </c>
      <c r="C1699" s="2">
        <f>IFERROR(__xludf.DUMMYFUNCTION("""COMPUTED_VALUE"""),106.2)</f>
        <v>106.2</v>
      </c>
      <c r="D1699" s="2">
        <f>IFERROR(__xludf.DUMMYFUNCTION("""COMPUTED_VALUE"""),99.56)</f>
        <v>99.56</v>
      </c>
      <c r="E1699" s="2">
        <f>IFERROR(__xludf.DUMMYFUNCTION("""COMPUTED_VALUE"""),100.78)</f>
        <v>100.78</v>
      </c>
      <c r="F1699" s="2">
        <f>IFERROR(__xludf.DUMMYFUNCTION("""COMPUTED_VALUE"""),1530097.0)</f>
        <v>1530097</v>
      </c>
    </row>
    <row r="1700">
      <c r="A1700" s="3">
        <f>IFERROR(__xludf.DUMMYFUNCTION("""COMPUTED_VALUE"""),39008.645833333336)</f>
        <v>39008.64583</v>
      </c>
      <c r="B1700" s="2">
        <f>IFERROR(__xludf.DUMMYFUNCTION("""COMPUTED_VALUE"""),102.9)</f>
        <v>102.9</v>
      </c>
      <c r="C1700" s="2">
        <f>IFERROR(__xludf.DUMMYFUNCTION("""COMPUTED_VALUE"""),102.9)</f>
        <v>102.9</v>
      </c>
      <c r="D1700" s="2">
        <f>IFERROR(__xludf.DUMMYFUNCTION("""COMPUTED_VALUE"""),97.56)</f>
        <v>97.56</v>
      </c>
      <c r="E1700" s="2">
        <f>IFERROR(__xludf.DUMMYFUNCTION("""COMPUTED_VALUE"""),97.98)</f>
        <v>97.98</v>
      </c>
      <c r="F1700" s="2">
        <f>IFERROR(__xludf.DUMMYFUNCTION("""COMPUTED_VALUE"""),1380575.0)</f>
        <v>1380575</v>
      </c>
    </row>
    <row r="1701">
      <c r="A1701" s="3">
        <f>IFERROR(__xludf.DUMMYFUNCTION("""COMPUTED_VALUE"""),39009.645833333336)</f>
        <v>39009.64583</v>
      </c>
      <c r="B1701" s="2">
        <f>IFERROR(__xludf.DUMMYFUNCTION("""COMPUTED_VALUE"""),98.4)</f>
        <v>98.4</v>
      </c>
      <c r="C1701" s="2">
        <f>IFERROR(__xludf.DUMMYFUNCTION("""COMPUTED_VALUE"""),99.8)</f>
        <v>99.8</v>
      </c>
      <c r="D1701" s="2">
        <f>IFERROR(__xludf.DUMMYFUNCTION("""COMPUTED_VALUE"""),95.5)</f>
        <v>95.5</v>
      </c>
      <c r="E1701" s="2">
        <f>IFERROR(__xludf.DUMMYFUNCTION("""COMPUTED_VALUE"""),96.35)</f>
        <v>96.35</v>
      </c>
      <c r="F1701" s="2">
        <f>IFERROR(__xludf.DUMMYFUNCTION("""COMPUTED_VALUE"""),574036.0)</f>
        <v>574036</v>
      </c>
    </row>
    <row r="1702">
      <c r="A1702" s="3">
        <f>IFERROR(__xludf.DUMMYFUNCTION("""COMPUTED_VALUE"""),39010.645833333336)</f>
        <v>39010.64583</v>
      </c>
      <c r="B1702" s="2">
        <f>IFERROR(__xludf.DUMMYFUNCTION("""COMPUTED_VALUE"""),97.6)</f>
        <v>97.6</v>
      </c>
      <c r="C1702" s="2">
        <f>IFERROR(__xludf.DUMMYFUNCTION("""COMPUTED_VALUE"""),97.88)</f>
        <v>97.88</v>
      </c>
      <c r="D1702" s="2">
        <f>IFERROR(__xludf.DUMMYFUNCTION("""COMPUTED_VALUE"""),95.33)</f>
        <v>95.33</v>
      </c>
      <c r="E1702" s="2">
        <f>IFERROR(__xludf.DUMMYFUNCTION("""COMPUTED_VALUE"""),96.02)</f>
        <v>96.02</v>
      </c>
      <c r="F1702" s="2">
        <f>IFERROR(__xludf.DUMMYFUNCTION("""COMPUTED_VALUE"""),497730.0)</f>
        <v>497730</v>
      </c>
    </row>
    <row r="1703">
      <c r="A1703" s="3">
        <f>IFERROR(__xludf.DUMMYFUNCTION("""COMPUTED_VALUE"""),39013.645833333336)</f>
        <v>39013.64583</v>
      </c>
      <c r="B1703" s="2">
        <f>IFERROR(__xludf.DUMMYFUNCTION("""COMPUTED_VALUE"""),96.03)</f>
        <v>96.03</v>
      </c>
      <c r="C1703" s="2">
        <f>IFERROR(__xludf.DUMMYFUNCTION("""COMPUTED_VALUE"""),97.28)</f>
        <v>97.28</v>
      </c>
      <c r="D1703" s="2">
        <f>IFERROR(__xludf.DUMMYFUNCTION("""COMPUTED_VALUE"""),95.53)</f>
        <v>95.53</v>
      </c>
      <c r="E1703" s="2">
        <f>IFERROR(__xludf.DUMMYFUNCTION("""COMPUTED_VALUE"""),96.95)</f>
        <v>96.95</v>
      </c>
      <c r="F1703" s="2">
        <f>IFERROR(__xludf.DUMMYFUNCTION("""COMPUTED_VALUE"""),174371.0)</f>
        <v>174371</v>
      </c>
    </row>
    <row r="1704">
      <c r="A1704" s="3">
        <f>IFERROR(__xludf.DUMMYFUNCTION("""COMPUTED_VALUE"""),39016.645833333336)</f>
        <v>39016.64583</v>
      </c>
      <c r="B1704" s="2">
        <f>IFERROR(__xludf.DUMMYFUNCTION("""COMPUTED_VALUE"""),96.5)</f>
        <v>96.5</v>
      </c>
      <c r="C1704" s="2">
        <f>IFERROR(__xludf.DUMMYFUNCTION("""COMPUTED_VALUE"""),100.5)</f>
        <v>100.5</v>
      </c>
      <c r="D1704" s="2">
        <f>IFERROR(__xludf.DUMMYFUNCTION("""COMPUTED_VALUE"""),96.5)</f>
        <v>96.5</v>
      </c>
      <c r="E1704" s="2">
        <f>IFERROR(__xludf.DUMMYFUNCTION("""COMPUTED_VALUE"""),99.98)</f>
        <v>99.98</v>
      </c>
      <c r="F1704" s="2">
        <f>IFERROR(__xludf.DUMMYFUNCTION("""COMPUTED_VALUE"""),1105749.0)</f>
        <v>1105749</v>
      </c>
    </row>
    <row r="1705">
      <c r="A1705" s="3">
        <f>IFERROR(__xludf.DUMMYFUNCTION("""COMPUTED_VALUE"""),39017.645833333336)</f>
        <v>39017.64583</v>
      </c>
      <c r="B1705" s="2">
        <f>IFERROR(__xludf.DUMMYFUNCTION("""COMPUTED_VALUE"""),100.5)</f>
        <v>100.5</v>
      </c>
      <c r="C1705" s="2">
        <f>IFERROR(__xludf.DUMMYFUNCTION("""COMPUTED_VALUE"""),101.3)</f>
        <v>101.3</v>
      </c>
      <c r="D1705" s="2">
        <f>IFERROR(__xludf.DUMMYFUNCTION("""COMPUTED_VALUE"""),99.22)</f>
        <v>99.22</v>
      </c>
      <c r="E1705" s="2">
        <f>IFERROR(__xludf.DUMMYFUNCTION("""COMPUTED_VALUE"""),99.93)</f>
        <v>99.93</v>
      </c>
      <c r="F1705" s="2">
        <f>IFERROR(__xludf.DUMMYFUNCTION("""COMPUTED_VALUE"""),453083.0)</f>
        <v>453083</v>
      </c>
    </row>
    <row r="1706">
      <c r="A1706" s="3">
        <f>IFERROR(__xludf.DUMMYFUNCTION("""COMPUTED_VALUE"""),39020.645833333336)</f>
        <v>39020.64583</v>
      </c>
      <c r="B1706" s="2">
        <f>IFERROR(__xludf.DUMMYFUNCTION("""COMPUTED_VALUE"""),99.03)</f>
        <v>99.03</v>
      </c>
      <c r="C1706" s="2">
        <f>IFERROR(__xludf.DUMMYFUNCTION("""COMPUTED_VALUE"""),103.7)</f>
        <v>103.7</v>
      </c>
      <c r="D1706" s="2">
        <f>IFERROR(__xludf.DUMMYFUNCTION("""COMPUTED_VALUE"""),97.93)</f>
        <v>97.93</v>
      </c>
      <c r="E1706" s="2">
        <f>IFERROR(__xludf.DUMMYFUNCTION("""COMPUTED_VALUE"""),102.94)</f>
        <v>102.94</v>
      </c>
      <c r="F1706" s="2">
        <f>IFERROR(__xludf.DUMMYFUNCTION("""COMPUTED_VALUE"""),494409.0)</f>
        <v>494409</v>
      </c>
    </row>
    <row r="1707">
      <c r="A1707" s="3">
        <f>IFERROR(__xludf.DUMMYFUNCTION("""COMPUTED_VALUE"""),39021.645833333336)</f>
        <v>39021.64583</v>
      </c>
      <c r="B1707" s="2">
        <f>IFERROR(__xludf.DUMMYFUNCTION("""COMPUTED_VALUE"""),103.79)</f>
        <v>103.79</v>
      </c>
      <c r="C1707" s="2">
        <f>IFERROR(__xludf.DUMMYFUNCTION("""COMPUTED_VALUE"""),103.79)</f>
        <v>103.79</v>
      </c>
      <c r="D1707" s="2">
        <f>IFERROR(__xludf.DUMMYFUNCTION("""COMPUTED_VALUE"""),100.1)</f>
        <v>100.1</v>
      </c>
      <c r="E1707" s="2">
        <f>IFERROR(__xludf.DUMMYFUNCTION("""COMPUTED_VALUE"""),100.46)</f>
        <v>100.46</v>
      </c>
      <c r="F1707" s="2">
        <f>IFERROR(__xludf.DUMMYFUNCTION("""COMPUTED_VALUE"""),433773.0)</f>
        <v>433773</v>
      </c>
    </row>
    <row r="1708">
      <c r="A1708" s="3">
        <f>IFERROR(__xludf.DUMMYFUNCTION("""COMPUTED_VALUE"""),39022.645833333336)</f>
        <v>39022.64583</v>
      </c>
      <c r="B1708" s="2">
        <f>IFERROR(__xludf.DUMMYFUNCTION("""COMPUTED_VALUE"""),101.44)</f>
        <v>101.44</v>
      </c>
      <c r="C1708" s="2">
        <f>IFERROR(__xludf.DUMMYFUNCTION("""COMPUTED_VALUE"""),101.8)</f>
        <v>101.8</v>
      </c>
      <c r="D1708" s="2">
        <f>IFERROR(__xludf.DUMMYFUNCTION("""COMPUTED_VALUE"""),99.42)</f>
        <v>99.42</v>
      </c>
      <c r="E1708" s="2">
        <f>IFERROR(__xludf.DUMMYFUNCTION("""COMPUTED_VALUE"""),99.9)</f>
        <v>99.9</v>
      </c>
      <c r="F1708" s="2">
        <f>IFERROR(__xludf.DUMMYFUNCTION("""COMPUTED_VALUE"""),204763.0)</f>
        <v>204763</v>
      </c>
    </row>
    <row r="1709">
      <c r="A1709" s="3">
        <f>IFERROR(__xludf.DUMMYFUNCTION("""COMPUTED_VALUE"""),39023.645833333336)</f>
        <v>39023.64583</v>
      </c>
      <c r="B1709" s="2">
        <f>IFERROR(__xludf.DUMMYFUNCTION("""COMPUTED_VALUE"""),99.6)</f>
        <v>99.6</v>
      </c>
      <c r="C1709" s="2">
        <f>IFERROR(__xludf.DUMMYFUNCTION("""COMPUTED_VALUE"""),101.79)</f>
        <v>101.79</v>
      </c>
      <c r="D1709" s="2">
        <f>IFERROR(__xludf.DUMMYFUNCTION("""COMPUTED_VALUE"""),98.6)</f>
        <v>98.6</v>
      </c>
      <c r="E1709" s="2">
        <f>IFERROR(__xludf.DUMMYFUNCTION("""COMPUTED_VALUE"""),101.06)</f>
        <v>101.06</v>
      </c>
      <c r="F1709" s="2">
        <f>IFERROR(__xludf.DUMMYFUNCTION("""COMPUTED_VALUE"""),282094.0)</f>
        <v>282094</v>
      </c>
    </row>
    <row r="1710">
      <c r="A1710" s="3">
        <f>IFERROR(__xludf.DUMMYFUNCTION("""COMPUTED_VALUE"""),39024.645833333336)</f>
        <v>39024.64583</v>
      </c>
      <c r="B1710" s="2">
        <f>IFERROR(__xludf.DUMMYFUNCTION("""COMPUTED_VALUE"""),100.68)</f>
        <v>100.68</v>
      </c>
      <c r="C1710" s="2">
        <f>IFERROR(__xludf.DUMMYFUNCTION("""COMPUTED_VALUE"""),101.2)</f>
        <v>101.2</v>
      </c>
      <c r="D1710" s="2">
        <f>IFERROR(__xludf.DUMMYFUNCTION("""COMPUTED_VALUE"""),99.6)</f>
        <v>99.6</v>
      </c>
      <c r="E1710" s="2">
        <f>IFERROR(__xludf.DUMMYFUNCTION("""COMPUTED_VALUE"""),100.16)</f>
        <v>100.16</v>
      </c>
      <c r="F1710" s="2">
        <f>IFERROR(__xludf.DUMMYFUNCTION("""COMPUTED_VALUE"""),216088.0)</f>
        <v>216088</v>
      </c>
    </row>
    <row r="1711">
      <c r="A1711" s="3">
        <f>IFERROR(__xludf.DUMMYFUNCTION("""COMPUTED_VALUE"""),39027.645833333336)</f>
        <v>39027.64583</v>
      </c>
      <c r="B1711" s="2">
        <f>IFERROR(__xludf.DUMMYFUNCTION("""COMPUTED_VALUE"""),101.0)</f>
        <v>101</v>
      </c>
      <c r="C1711" s="2">
        <f>IFERROR(__xludf.DUMMYFUNCTION("""COMPUTED_VALUE"""),101.07)</f>
        <v>101.07</v>
      </c>
      <c r="D1711" s="2">
        <f>IFERROR(__xludf.DUMMYFUNCTION("""COMPUTED_VALUE"""),99.53)</f>
        <v>99.53</v>
      </c>
      <c r="E1711" s="2">
        <f>IFERROR(__xludf.DUMMYFUNCTION("""COMPUTED_VALUE"""),99.89)</f>
        <v>99.89</v>
      </c>
      <c r="F1711" s="2">
        <f>IFERROR(__xludf.DUMMYFUNCTION("""COMPUTED_VALUE"""),111156.0)</f>
        <v>111156</v>
      </c>
    </row>
    <row r="1712">
      <c r="A1712" s="3">
        <f>IFERROR(__xludf.DUMMYFUNCTION("""COMPUTED_VALUE"""),39028.645833333336)</f>
        <v>39028.64583</v>
      </c>
      <c r="B1712" s="2">
        <f>IFERROR(__xludf.DUMMYFUNCTION("""COMPUTED_VALUE"""),100.5)</f>
        <v>100.5</v>
      </c>
      <c r="C1712" s="2">
        <f>IFERROR(__xludf.DUMMYFUNCTION("""COMPUTED_VALUE"""),101.97)</f>
        <v>101.97</v>
      </c>
      <c r="D1712" s="2">
        <f>IFERROR(__xludf.DUMMYFUNCTION("""COMPUTED_VALUE"""),99.2)</f>
        <v>99.2</v>
      </c>
      <c r="E1712" s="2">
        <f>IFERROR(__xludf.DUMMYFUNCTION("""COMPUTED_VALUE"""),99.48)</f>
        <v>99.48</v>
      </c>
      <c r="F1712" s="2">
        <f>IFERROR(__xludf.DUMMYFUNCTION("""COMPUTED_VALUE"""),276727.0)</f>
        <v>276727</v>
      </c>
    </row>
    <row r="1713">
      <c r="A1713" s="3">
        <f>IFERROR(__xludf.DUMMYFUNCTION("""COMPUTED_VALUE"""),39029.645833333336)</f>
        <v>39029.64583</v>
      </c>
      <c r="B1713" s="2">
        <f>IFERROR(__xludf.DUMMYFUNCTION("""COMPUTED_VALUE"""),99.95)</f>
        <v>99.95</v>
      </c>
      <c r="C1713" s="2">
        <f>IFERROR(__xludf.DUMMYFUNCTION("""COMPUTED_VALUE"""),101.18)</f>
        <v>101.18</v>
      </c>
      <c r="D1713" s="2">
        <f>IFERROR(__xludf.DUMMYFUNCTION("""COMPUTED_VALUE"""),98.52)</f>
        <v>98.52</v>
      </c>
      <c r="E1713" s="2">
        <f>IFERROR(__xludf.DUMMYFUNCTION("""COMPUTED_VALUE"""),100.26)</f>
        <v>100.26</v>
      </c>
      <c r="F1713" s="2">
        <f>IFERROR(__xludf.DUMMYFUNCTION("""COMPUTED_VALUE"""),472178.0)</f>
        <v>472178</v>
      </c>
    </row>
    <row r="1714">
      <c r="A1714" s="3">
        <f>IFERROR(__xludf.DUMMYFUNCTION("""COMPUTED_VALUE"""),39030.645833333336)</f>
        <v>39030.64583</v>
      </c>
      <c r="B1714" s="2">
        <f>IFERROR(__xludf.DUMMYFUNCTION("""COMPUTED_VALUE"""),100.6)</f>
        <v>100.6</v>
      </c>
      <c r="C1714" s="2">
        <f>IFERROR(__xludf.DUMMYFUNCTION("""COMPUTED_VALUE"""),102.28)</f>
        <v>102.28</v>
      </c>
      <c r="D1714" s="2">
        <f>IFERROR(__xludf.DUMMYFUNCTION("""COMPUTED_VALUE"""),100.5)</f>
        <v>100.5</v>
      </c>
      <c r="E1714" s="2">
        <f>IFERROR(__xludf.DUMMYFUNCTION("""COMPUTED_VALUE"""),101.78)</f>
        <v>101.78</v>
      </c>
      <c r="F1714" s="2">
        <f>IFERROR(__xludf.DUMMYFUNCTION("""COMPUTED_VALUE"""),334922.0)</f>
        <v>334922</v>
      </c>
    </row>
    <row r="1715">
      <c r="A1715" s="3">
        <f>IFERROR(__xludf.DUMMYFUNCTION("""COMPUTED_VALUE"""),39031.645833333336)</f>
        <v>39031.64583</v>
      </c>
      <c r="B1715" s="2">
        <f>IFERROR(__xludf.DUMMYFUNCTION("""COMPUTED_VALUE"""),102.74)</f>
        <v>102.74</v>
      </c>
      <c r="C1715" s="2">
        <f>IFERROR(__xludf.DUMMYFUNCTION("""COMPUTED_VALUE"""),105.0)</f>
        <v>105</v>
      </c>
      <c r="D1715" s="2">
        <f>IFERROR(__xludf.DUMMYFUNCTION("""COMPUTED_VALUE"""),102.0)</f>
        <v>102</v>
      </c>
      <c r="E1715" s="2">
        <f>IFERROR(__xludf.DUMMYFUNCTION("""COMPUTED_VALUE"""),104.45)</f>
        <v>104.45</v>
      </c>
      <c r="F1715" s="2">
        <f>IFERROR(__xludf.DUMMYFUNCTION("""COMPUTED_VALUE"""),630788.0)</f>
        <v>630788</v>
      </c>
    </row>
    <row r="1716">
      <c r="A1716" s="3">
        <f>IFERROR(__xludf.DUMMYFUNCTION("""COMPUTED_VALUE"""),39034.645833333336)</f>
        <v>39034.64583</v>
      </c>
      <c r="B1716" s="2">
        <f>IFERROR(__xludf.DUMMYFUNCTION("""COMPUTED_VALUE"""),104.99)</f>
        <v>104.99</v>
      </c>
      <c r="C1716" s="2">
        <f>IFERROR(__xludf.DUMMYFUNCTION("""COMPUTED_VALUE"""),106.5)</f>
        <v>106.5</v>
      </c>
      <c r="D1716" s="2">
        <f>IFERROR(__xludf.DUMMYFUNCTION("""COMPUTED_VALUE"""),104.55)</f>
        <v>104.55</v>
      </c>
      <c r="E1716" s="2">
        <f>IFERROR(__xludf.DUMMYFUNCTION("""COMPUTED_VALUE"""),105.58)</f>
        <v>105.58</v>
      </c>
      <c r="F1716" s="2">
        <f>IFERROR(__xludf.DUMMYFUNCTION("""COMPUTED_VALUE"""),402913.0)</f>
        <v>402913</v>
      </c>
    </row>
    <row r="1717">
      <c r="A1717" s="3">
        <f>IFERROR(__xludf.DUMMYFUNCTION("""COMPUTED_VALUE"""),39035.645833333336)</f>
        <v>39035.64583</v>
      </c>
      <c r="B1717" s="2">
        <f>IFERROR(__xludf.DUMMYFUNCTION("""COMPUTED_VALUE"""),105.97)</f>
        <v>105.97</v>
      </c>
      <c r="C1717" s="2">
        <f>IFERROR(__xludf.DUMMYFUNCTION("""COMPUTED_VALUE"""),107.48)</f>
        <v>107.48</v>
      </c>
      <c r="D1717" s="2">
        <f>IFERROR(__xludf.DUMMYFUNCTION("""COMPUTED_VALUE"""),104.03)</f>
        <v>104.03</v>
      </c>
      <c r="E1717" s="2">
        <f>IFERROR(__xludf.DUMMYFUNCTION("""COMPUTED_VALUE"""),106.57)</f>
        <v>106.57</v>
      </c>
      <c r="F1717" s="2">
        <f>IFERROR(__xludf.DUMMYFUNCTION("""COMPUTED_VALUE"""),567768.0)</f>
        <v>567768</v>
      </c>
    </row>
    <row r="1718">
      <c r="A1718" s="3">
        <f>IFERROR(__xludf.DUMMYFUNCTION("""COMPUTED_VALUE"""),39036.645833333336)</f>
        <v>39036.64583</v>
      </c>
      <c r="B1718" s="2">
        <f>IFERROR(__xludf.DUMMYFUNCTION("""COMPUTED_VALUE"""),107.0)</f>
        <v>107</v>
      </c>
      <c r="C1718" s="2">
        <f>IFERROR(__xludf.DUMMYFUNCTION("""COMPUTED_VALUE"""),108.0)</f>
        <v>108</v>
      </c>
      <c r="D1718" s="2">
        <f>IFERROR(__xludf.DUMMYFUNCTION("""COMPUTED_VALUE"""),106.6)</f>
        <v>106.6</v>
      </c>
      <c r="E1718" s="2">
        <f>IFERROR(__xludf.DUMMYFUNCTION("""COMPUTED_VALUE"""),107.65)</f>
        <v>107.65</v>
      </c>
      <c r="F1718" s="2">
        <f>IFERROR(__xludf.DUMMYFUNCTION("""COMPUTED_VALUE"""),836654.0)</f>
        <v>836654</v>
      </c>
    </row>
    <row r="1719">
      <c r="A1719" s="3">
        <f>IFERROR(__xludf.DUMMYFUNCTION("""COMPUTED_VALUE"""),39037.645833333336)</f>
        <v>39037.64583</v>
      </c>
      <c r="B1719" s="2">
        <f>IFERROR(__xludf.DUMMYFUNCTION("""COMPUTED_VALUE"""),108.9)</f>
        <v>108.9</v>
      </c>
      <c r="C1719" s="2">
        <f>IFERROR(__xludf.DUMMYFUNCTION("""COMPUTED_VALUE"""),115.0)</f>
        <v>115</v>
      </c>
      <c r="D1719" s="2">
        <f>IFERROR(__xludf.DUMMYFUNCTION("""COMPUTED_VALUE"""),107.99)</f>
        <v>107.99</v>
      </c>
      <c r="E1719" s="2">
        <f>IFERROR(__xludf.DUMMYFUNCTION("""COMPUTED_VALUE"""),114.44)</f>
        <v>114.44</v>
      </c>
      <c r="F1719" s="2">
        <f>IFERROR(__xludf.DUMMYFUNCTION("""COMPUTED_VALUE"""),1789927.0)</f>
        <v>1789927</v>
      </c>
    </row>
    <row r="1720">
      <c r="A1720" s="3">
        <f>IFERROR(__xludf.DUMMYFUNCTION("""COMPUTED_VALUE"""),39038.645833333336)</f>
        <v>39038.64583</v>
      </c>
      <c r="B1720" s="2">
        <f>IFERROR(__xludf.DUMMYFUNCTION("""COMPUTED_VALUE"""),114.7)</f>
        <v>114.7</v>
      </c>
      <c r="C1720" s="2">
        <f>IFERROR(__xludf.DUMMYFUNCTION("""COMPUTED_VALUE"""),114.87)</f>
        <v>114.87</v>
      </c>
      <c r="D1720" s="2">
        <f>IFERROR(__xludf.DUMMYFUNCTION("""COMPUTED_VALUE"""),111.81)</f>
        <v>111.81</v>
      </c>
      <c r="E1720" s="2">
        <f>IFERROR(__xludf.DUMMYFUNCTION("""COMPUTED_VALUE"""),112.66)</f>
        <v>112.66</v>
      </c>
      <c r="F1720" s="2">
        <f>IFERROR(__xludf.DUMMYFUNCTION("""COMPUTED_VALUE"""),867712.0)</f>
        <v>867712</v>
      </c>
    </row>
    <row r="1721">
      <c r="A1721" s="3">
        <f>IFERROR(__xludf.DUMMYFUNCTION("""COMPUTED_VALUE"""),39041.645833333336)</f>
        <v>39041.64583</v>
      </c>
      <c r="B1721" s="2">
        <f>IFERROR(__xludf.DUMMYFUNCTION("""COMPUTED_VALUE"""),111.6)</f>
        <v>111.6</v>
      </c>
      <c r="C1721" s="2">
        <f>IFERROR(__xludf.DUMMYFUNCTION("""COMPUTED_VALUE"""),111.98)</f>
        <v>111.98</v>
      </c>
      <c r="D1721" s="2">
        <f>IFERROR(__xludf.DUMMYFUNCTION("""COMPUTED_VALUE"""),106.8)</f>
        <v>106.8</v>
      </c>
      <c r="E1721" s="2">
        <f>IFERROR(__xludf.DUMMYFUNCTION("""COMPUTED_VALUE"""),108.65)</f>
        <v>108.65</v>
      </c>
      <c r="F1721" s="2">
        <f>IFERROR(__xludf.DUMMYFUNCTION("""COMPUTED_VALUE"""),737328.0)</f>
        <v>737328</v>
      </c>
    </row>
    <row r="1722">
      <c r="A1722" s="3">
        <f>IFERROR(__xludf.DUMMYFUNCTION("""COMPUTED_VALUE"""),39042.645833333336)</f>
        <v>39042.64583</v>
      </c>
      <c r="B1722" s="2">
        <f>IFERROR(__xludf.DUMMYFUNCTION("""COMPUTED_VALUE"""),108.87)</f>
        <v>108.87</v>
      </c>
      <c r="C1722" s="2">
        <f>IFERROR(__xludf.DUMMYFUNCTION("""COMPUTED_VALUE"""),111.3)</f>
        <v>111.3</v>
      </c>
      <c r="D1722" s="2">
        <f>IFERROR(__xludf.DUMMYFUNCTION("""COMPUTED_VALUE"""),107.0)</f>
        <v>107</v>
      </c>
      <c r="E1722" s="2">
        <f>IFERROR(__xludf.DUMMYFUNCTION("""COMPUTED_VALUE"""),109.24)</f>
        <v>109.24</v>
      </c>
      <c r="F1722" s="2">
        <f>IFERROR(__xludf.DUMMYFUNCTION("""COMPUTED_VALUE"""),623072.0)</f>
        <v>623072</v>
      </c>
    </row>
    <row r="1723">
      <c r="A1723" s="3">
        <f>IFERROR(__xludf.DUMMYFUNCTION("""COMPUTED_VALUE"""),39043.645833333336)</f>
        <v>39043.64583</v>
      </c>
      <c r="B1723" s="2">
        <f>IFERROR(__xludf.DUMMYFUNCTION("""COMPUTED_VALUE"""),110.4)</f>
        <v>110.4</v>
      </c>
      <c r="C1723" s="2">
        <f>IFERROR(__xludf.DUMMYFUNCTION("""COMPUTED_VALUE"""),110.46)</f>
        <v>110.46</v>
      </c>
      <c r="D1723" s="2">
        <f>IFERROR(__xludf.DUMMYFUNCTION("""COMPUTED_VALUE"""),106.51)</f>
        <v>106.51</v>
      </c>
      <c r="E1723" s="2">
        <f>IFERROR(__xludf.DUMMYFUNCTION("""COMPUTED_VALUE"""),107.75)</f>
        <v>107.75</v>
      </c>
      <c r="F1723" s="2">
        <f>IFERROR(__xludf.DUMMYFUNCTION("""COMPUTED_VALUE"""),877330.0)</f>
        <v>877330</v>
      </c>
    </row>
    <row r="1724">
      <c r="A1724" s="3">
        <f>IFERROR(__xludf.DUMMYFUNCTION("""COMPUTED_VALUE"""),39044.645833333336)</f>
        <v>39044.64583</v>
      </c>
      <c r="B1724" s="2">
        <f>IFERROR(__xludf.DUMMYFUNCTION("""COMPUTED_VALUE"""),109.8)</f>
        <v>109.8</v>
      </c>
      <c r="C1724" s="2">
        <f>IFERROR(__xludf.DUMMYFUNCTION("""COMPUTED_VALUE"""),112.26)</f>
        <v>112.26</v>
      </c>
      <c r="D1724" s="2">
        <f>IFERROR(__xludf.DUMMYFUNCTION("""COMPUTED_VALUE"""),108.0)</f>
        <v>108</v>
      </c>
      <c r="E1724" s="2">
        <f>IFERROR(__xludf.DUMMYFUNCTION("""COMPUTED_VALUE"""),111.31)</f>
        <v>111.31</v>
      </c>
      <c r="F1724" s="2">
        <f>IFERROR(__xludf.DUMMYFUNCTION("""COMPUTED_VALUE"""),350569.0)</f>
        <v>350569</v>
      </c>
    </row>
    <row r="1725">
      <c r="A1725" s="3">
        <f>IFERROR(__xludf.DUMMYFUNCTION("""COMPUTED_VALUE"""),39045.645833333336)</f>
        <v>39045.64583</v>
      </c>
      <c r="B1725" s="2">
        <f>IFERROR(__xludf.DUMMYFUNCTION("""COMPUTED_VALUE"""),111.5)</f>
        <v>111.5</v>
      </c>
      <c r="C1725" s="2">
        <f>IFERROR(__xludf.DUMMYFUNCTION("""COMPUTED_VALUE"""),112.69)</f>
        <v>112.69</v>
      </c>
      <c r="D1725" s="2">
        <f>IFERROR(__xludf.DUMMYFUNCTION("""COMPUTED_VALUE"""),109.8)</f>
        <v>109.8</v>
      </c>
      <c r="E1725" s="2">
        <f>IFERROR(__xludf.DUMMYFUNCTION("""COMPUTED_VALUE"""),110.6)</f>
        <v>110.6</v>
      </c>
      <c r="F1725" s="2">
        <f>IFERROR(__xludf.DUMMYFUNCTION("""COMPUTED_VALUE"""),444752.0)</f>
        <v>444752</v>
      </c>
    </row>
    <row r="1726">
      <c r="A1726" s="3">
        <f>IFERROR(__xludf.DUMMYFUNCTION("""COMPUTED_VALUE"""),39048.645833333336)</f>
        <v>39048.64583</v>
      </c>
      <c r="B1726" s="2">
        <f>IFERROR(__xludf.DUMMYFUNCTION("""COMPUTED_VALUE"""),108.63)</f>
        <v>108.63</v>
      </c>
      <c r="C1726" s="2">
        <f>IFERROR(__xludf.DUMMYFUNCTION("""COMPUTED_VALUE"""),111.86)</f>
        <v>111.86</v>
      </c>
      <c r="D1726" s="2">
        <f>IFERROR(__xludf.DUMMYFUNCTION("""COMPUTED_VALUE"""),106.03)</f>
        <v>106.03</v>
      </c>
      <c r="E1726" s="2">
        <f>IFERROR(__xludf.DUMMYFUNCTION("""COMPUTED_VALUE"""),111.1)</f>
        <v>111.1</v>
      </c>
      <c r="F1726" s="2">
        <f>IFERROR(__xludf.DUMMYFUNCTION("""COMPUTED_VALUE"""),115843.0)</f>
        <v>115843</v>
      </c>
    </row>
    <row r="1727">
      <c r="A1727" s="3">
        <f>IFERROR(__xludf.DUMMYFUNCTION("""COMPUTED_VALUE"""),39049.645833333336)</f>
        <v>39049.64583</v>
      </c>
      <c r="B1727" s="2">
        <f>IFERROR(__xludf.DUMMYFUNCTION("""COMPUTED_VALUE"""),110.5)</f>
        <v>110.5</v>
      </c>
      <c r="C1727" s="2">
        <f>IFERROR(__xludf.DUMMYFUNCTION("""COMPUTED_VALUE"""),110.9)</f>
        <v>110.9</v>
      </c>
      <c r="D1727" s="2">
        <f>IFERROR(__xludf.DUMMYFUNCTION("""COMPUTED_VALUE"""),108.18)</f>
        <v>108.18</v>
      </c>
      <c r="E1727" s="2">
        <f>IFERROR(__xludf.DUMMYFUNCTION("""COMPUTED_VALUE"""),108.72)</f>
        <v>108.72</v>
      </c>
      <c r="F1727" s="2">
        <f>IFERROR(__xludf.DUMMYFUNCTION("""COMPUTED_VALUE"""),232284.0)</f>
        <v>232284</v>
      </c>
    </row>
    <row r="1728">
      <c r="A1728" s="3">
        <f>IFERROR(__xludf.DUMMYFUNCTION("""COMPUTED_VALUE"""),39050.645833333336)</f>
        <v>39050.64583</v>
      </c>
      <c r="B1728" s="2">
        <f>IFERROR(__xludf.DUMMYFUNCTION("""COMPUTED_VALUE"""),108.1)</f>
        <v>108.1</v>
      </c>
      <c r="C1728" s="2">
        <f>IFERROR(__xludf.DUMMYFUNCTION("""COMPUTED_VALUE"""),110.47)</f>
        <v>110.47</v>
      </c>
      <c r="D1728" s="2">
        <f>IFERROR(__xludf.DUMMYFUNCTION("""COMPUTED_VALUE"""),108.0)</f>
        <v>108</v>
      </c>
      <c r="E1728" s="2">
        <f>IFERROR(__xludf.DUMMYFUNCTION("""COMPUTED_VALUE"""),108.74)</f>
        <v>108.74</v>
      </c>
      <c r="F1728" s="2">
        <f>IFERROR(__xludf.DUMMYFUNCTION("""COMPUTED_VALUE"""),387289.0)</f>
        <v>387289</v>
      </c>
    </row>
    <row r="1729">
      <c r="A1729" s="3">
        <f>IFERROR(__xludf.DUMMYFUNCTION("""COMPUTED_VALUE"""),39051.645833333336)</f>
        <v>39051.64583</v>
      </c>
      <c r="B1729" s="2">
        <f>IFERROR(__xludf.DUMMYFUNCTION("""COMPUTED_VALUE"""),109.41)</f>
        <v>109.41</v>
      </c>
      <c r="C1729" s="2">
        <f>IFERROR(__xludf.DUMMYFUNCTION("""COMPUTED_VALUE"""),112.64)</f>
        <v>112.64</v>
      </c>
      <c r="D1729" s="2">
        <f>IFERROR(__xludf.DUMMYFUNCTION("""COMPUTED_VALUE"""),109.41)</f>
        <v>109.41</v>
      </c>
      <c r="E1729" s="2">
        <f>IFERROR(__xludf.DUMMYFUNCTION("""COMPUTED_VALUE"""),112.18)</f>
        <v>112.18</v>
      </c>
      <c r="F1729" s="2">
        <f>IFERROR(__xludf.DUMMYFUNCTION("""COMPUTED_VALUE"""),917802.0)</f>
        <v>917802</v>
      </c>
    </row>
    <row r="1730">
      <c r="A1730" s="3">
        <f>IFERROR(__xludf.DUMMYFUNCTION("""COMPUTED_VALUE"""),39052.645833333336)</f>
        <v>39052.64583</v>
      </c>
      <c r="B1730" s="2">
        <f>IFERROR(__xludf.DUMMYFUNCTION("""COMPUTED_VALUE"""),112.5)</f>
        <v>112.5</v>
      </c>
      <c r="C1730" s="2">
        <f>IFERROR(__xludf.DUMMYFUNCTION("""COMPUTED_VALUE"""),113.48)</f>
        <v>113.48</v>
      </c>
      <c r="D1730" s="2">
        <f>IFERROR(__xludf.DUMMYFUNCTION("""COMPUTED_VALUE"""),111.53)</f>
        <v>111.53</v>
      </c>
      <c r="E1730" s="2">
        <f>IFERROR(__xludf.DUMMYFUNCTION("""COMPUTED_VALUE"""),112.37)</f>
        <v>112.37</v>
      </c>
      <c r="F1730" s="2">
        <f>IFERROR(__xludf.DUMMYFUNCTION("""COMPUTED_VALUE"""),457185.0)</f>
        <v>457185</v>
      </c>
    </row>
    <row r="1731">
      <c r="A1731" s="3">
        <f>IFERROR(__xludf.DUMMYFUNCTION("""COMPUTED_VALUE"""),39055.645833333336)</f>
        <v>39055.64583</v>
      </c>
      <c r="B1731" s="2">
        <f>IFERROR(__xludf.DUMMYFUNCTION("""COMPUTED_VALUE"""),112.3)</f>
        <v>112.3</v>
      </c>
      <c r="C1731" s="2">
        <f>IFERROR(__xludf.DUMMYFUNCTION("""COMPUTED_VALUE"""),113.4)</f>
        <v>113.4</v>
      </c>
      <c r="D1731" s="2">
        <f>IFERROR(__xludf.DUMMYFUNCTION("""COMPUTED_VALUE"""),109.81)</f>
        <v>109.81</v>
      </c>
      <c r="E1731" s="2">
        <f>IFERROR(__xludf.DUMMYFUNCTION("""COMPUTED_VALUE"""),110.04)</f>
        <v>110.04</v>
      </c>
      <c r="F1731" s="2">
        <f>IFERROR(__xludf.DUMMYFUNCTION("""COMPUTED_VALUE"""),319799.0)</f>
        <v>319799</v>
      </c>
    </row>
    <row r="1732">
      <c r="A1732" s="3">
        <f>IFERROR(__xludf.DUMMYFUNCTION("""COMPUTED_VALUE"""),39056.645833333336)</f>
        <v>39056.64583</v>
      </c>
      <c r="B1732" s="2">
        <f>IFERROR(__xludf.DUMMYFUNCTION("""COMPUTED_VALUE"""),110.6)</f>
        <v>110.6</v>
      </c>
      <c r="C1732" s="2">
        <f>IFERROR(__xludf.DUMMYFUNCTION("""COMPUTED_VALUE"""),112.0)</f>
        <v>112</v>
      </c>
      <c r="D1732" s="2">
        <f>IFERROR(__xludf.DUMMYFUNCTION("""COMPUTED_VALUE"""),108.01)</f>
        <v>108.01</v>
      </c>
      <c r="E1732" s="2">
        <f>IFERROR(__xludf.DUMMYFUNCTION("""COMPUTED_VALUE"""),108.57)</f>
        <v>108.57</v>
      </c>
      <c r="F1732" s="2">
        <f>IFERROR(__xludf.DUMMYFUNCTION("""COMPUTED_VALUE"""),273465.0)</f>
        <v>273465</v>
      </c>
    </row>
    <row r="1733">
      <c r="A1733" s="3">
        <f>IFERROR(__xludf.DUMMYFUNCTION("""COMPUTED_VALUE"""),39057.645833333336)</f>
        <v>39057.64583</v>
      </c>
      <c r="B1733" s="2">
        <f>IFERROR(__xludf.DUMMYFUNCTION("""COMPUTED_VALUE"""),110.47)</f>
        <v>110.47</v>
      </c>
      <c r="C1733" s="2">
        <f>IFERROR(__xludf.DUMMYFUNCTION("""COMPUTED_VALUE"""),110.8)</f>
        <v>110.8</v>
      </c>
      <c r="D1733" s="2">
        <f>IFERROR(__xludf.DUMMYFUNCTION("""COMPUTED_VALUE"""),108.2)</f>
        <v>108.2</v>
      </c>
      <c r="E1733" s="2">
        <f>IFERROR(__xludf.DUMMYFUNCTION("""COMPUTED_VALUE"""),108.73)</f>
        <v>108.73</v>
      </c>
      <c r="F1733" s="2">
        <f>IFERROR(__xludf.DUMMYFUNCTION("""COMPUTED_VALUE"""),252556.0)</f>
        <v>252556</v>
      </c>
    </row>
    <row r="1734">
      <c r="A1734" s="3">
        <f>IFERROR(__xludf.DUMMYFUNCTION("""COMPUTED_VALUE"""),39058.645833333336)</f>
        <v>39058.64583</v>
      </c>
      <c r="B1734" s="2">
        <f>IFERROR(__xludf.DUMMYFUNCTION("""COMPUTED_VALUE"""),109.77)</f>
        <v>109.77</v>
      </c>
      <c r="C1734" s="2">
        <f>IFERROR(__xludf.DUMMYFUNCTION("""COMPUTED_VALUE"""),111.49)</f>
        <v>111.49</v>
      </c>
      <c r="D1734" s="2">
        <f>IFERROR(__xludf.DUMMYFUNCTION("""COMPUTED_VALUE"""),108.8)</f>
        <v>108.8</v>
      </c>
      <c r="E1734" s="2">
        <f>IFERROR(__xludf.DUMMYFUNCTION("""COMPUTED_VALUE"""),110.62)</f>
        <v>110.62</v>
      </c>
      <c r="F1734" s="2">
        <f>IFERROR(__xludf.DUMMYFUNCTION("""COMPUTED_VALUE"""),306318.0)</f>
        <v>306318</v>
      </c>
    </row>
    <row r="1735">
      <c r="A1735" s="3">
        <f>IFERROR(__xludf.DUMMYFUNCTION("""COMPUTED_VALUE"""),39059.645833333336)</f>
        <v>39059.64583</v>
      </c>
      <c r="B1735" s="2">
        <f>IFERROR(__xludf.DUMMYFUNCTION("""COMPUTED_VALUE"""),110.35)</f>
        <v>110.35</v>
      </c>
      <c r="C1735" s="2">
        <f>IFERROR(__xludf.DUMMYFUNCTION("""COMPUTED_VALUE"""),110.6)</f>
        <v>110.6</v>
      </c>
      <c r="D1735" s="2">
        <f>IFERROR(__xludf.DUMMYFUNCTION("""COMPUTED_VALUE"""),108.4)</f>
        <v>108.4</v>
      </c>
      <c r="E1735" s="2">
        <f>IFERROR(__xludf.DUMMYFUNCTION("""COMPUTED_VALUE"""),108.59)</f>
        <v>108.59</v>
      </c>
      <c r="F1735" s="2">
        <f>IFERROR(__xludf.DUMMYFUNCTION("""COMPUTED_VALUE"""),185050.0)</f>
        <v>185050</v>
      </c>
    </row>
    <row r="1736">
      <c r="A1736" s="3">
        <f>IFERROR(__xludf.DUMMYFUNCTION("""COMPUTED_VALUE"""),39062.645833333336)</f>
        <v>39062.64583</v>
      </c>
      <c r="B1736" s="2">
        <f>IFERROR(__xludf.DUMMYFUNCTION("""COMPUTED_VALUE"""),108.95)</f>
        <v>108.95</v>
      </c>
      <c r="C1736" s="2">
        <f>IFERROR(__xludf.DUMMYFUNCTION("""COMPUTED_VALUE"""),108.95)</f>
        <v>108.95</v>
      </c>
      <c r="D1736" s="2">
        <f>IFERROR(__xludf.DUMMYFUNCTION("""COMPUTED_VALUE"""),99.13)</f>
        <v>99.13</v>
      </c>
      <c r="E1736" s="2">
        <f>IFERROR(__xludf.DUMMYFUNCTION("""COMPUTED_VALUE"""),103.27)</f>
        <v>103.27</v>
      </c>
      <c r="F1736" s="2">
        <f>IFERROR(__xludf.DUMMYFUNCTION("""COMPUTED_VALUE"""),666767.0)</f>
        <v>666767</v>
      </c>
    </row>
    <row r="1737">
      <c r="A1737" s="3">
        <f>IFERROR(__xludf.DUMMYFUNCTION("""COMPUTED_VALUE"""),39063.645833333336)</f>
        <v>39063.64583</v>
      </c>
      <c r="B1737" s="2">
        <f>IFERROR(__xludf.DUMMYFUNCTION("""COMPUTED_VALUE"""),102.5)</f>
        <v>102.5</v>
      </c>
      <c r="C1737" s="2">
        <f>IFERROR(__xludf.DUMMYFUNCTION("""COMPUTED_VALUE"""),106.7)</f>
        <v>106.7</v>
      </c>
      <c r="D1737" s="2">
        <f>IFERROR(__xludf.DUMMYFUNCTION("""COMPUTED_VALUE"""),100.1)</f>
        <v>100.1</v>
      </c>
      <c r="E1737" s="2">
        <f>IFERROR(__xludf.DUMMYFUNCTION("""COMPUTED_VALUE"""),102.82)</f>
        <v>102.82</v>
      </c>
      <c r="F1737" s="2">
        <f>IFERROR(__xludf.DUMMYFUNCTION("""COMPUTED_VALUE"""),632358.0)</f>
        <v>632358</v>
      </c>
    </row>
    <row r="1738">
      <c r="A1738" s="3">
        <f>IFERROR(__xludf.DUMMYFUNCTION("""COMPUTED_VALUE"""),39064.645833333336)</f>
        <v>39064.64583</v>
      </c>
      <c r="B1738" s="2">
        <f>IFERROR(__xludf.DUMMYFUNCTION("""COMPUTED_VALUE"""),103.49)</f>
        <v>103.49</v>
      </c>
      <c r="C1738" s="2">
        <f>IFERROR(__xludf.DUMMYFUNCTION("""COMPUTED_VALUE"""),107.0)</f>
        <v>107</v>
      </c>
      <c r="D1738" s="2">
        <f>IFERROR(__xludf.DUMMYFUNCTION("""COMPUTED_VALUE"""),101.03)</f>
        <v>101.03</v>
      </c>
      <c r="E1738" s="2">
        <f>IFERROR(__xludf.DUMMYFUNCTION("""COMPUTED_VALUE"""),103.91)</f>
        <v>103.91</v>
      </c>
      <c r="F1738" s="2">
        <f>IFERROR(__xludf.DUMMYFUNCTION("""COMPUTED_VALUE"""),435430.0)</f>
        <v>435430</v>
      </c>
    </row>
    <row r="1739">
      <c r="A1739" s="3">
        <f>IFERROR(__xludf.DUMMYFUNCTION("""COMPUTED_VALUE"""),39065.645833333336)</f>
        <v>39065.64583</v>
      </c>
      <c r="B1739" s="2">
        <f>IFERROR(__xludf.DUMMYFUNCTION("""COMPUTED_VALUE"""),105.0)</f>
        <v>105</v>
      </c>
      <c r="C1739" s="2">
        <f>IFERROR(__xludf.DUMMYFUNCTION("""COMPUTED_VALUE"""),105.79)</f>
        <v>105.79</v>
      </c>
      <c r="D1739" s="2">
        <f>IFERROR(__xludf.DUMMYFUNCTION("""COMPUTED_VALUE"""),103.03)</f>
        <v>103.03</v>
      </c>
      <c r="E1739" s="2">
        <f>IFERROR(__xludf.DUMMYFUNCTION("""COMPUTED_VALUE"""),104.58)</f>
        <v>104.58</v>
      </c>
      <c r="F1739" s="2">
        <f>IFERROR(__xludf.DUMMYFUNCTION("""COMPUTED_VALUE"""),459879.0)</f>
        <v>459879</v>
      </c>
    </row>
    <row r="1740">
      <c r="A1740" s="3">
        <f>IFERROR(__xludf.DUMMYFUNCTION("""COMPUTED_VALUE"""),39066.645833333336)</f>
        <v>39066.64583</v>
      </c>
      <c r="B1740" s="2">
        <f>IFERROR(__xludf.DUMMYFUNCTION("""COMPUTED_VALUE"""),106.1)</f>
        <v>106.1</v>
      </c>
      <c r="C1740" s="2">
        <f>IFERROR(__xludf.DUMMYFUNCTION("""COMPUTED_VALUE"""),107.49)</f>
        <v>107.49</v>
      </c>
      <c r="D1740" s="2">
        <f>IFERROR(__xludf.DUMMYFUNCTION("""COMPUTED_VALUE"""),105.01)</f>
        <v>105.01</v>
      </c>
      <c r="E1740" s="2">
        <f>IFERROR(__xludf.DUMMYFUNCTION("""COMPUTED_VALUE"""),105.64)</f>
        <v>105.64</v>
      </c>
      <c r="F1740" s="2">
        <f>IFERROR(__xludf.DUMMYFUNCTION("""COMPUTED_VALUE"""),307780.0)</f>
        <v>307780</v>
      </c>
    </row>
    <row r="1741">
      <c r="A1741" s="3">
        <f>IFERROR(__xludf.DUMMYFUNCTION("""COMPUTED_VALUE"""),39069.645833333336)</f>
        <v>39069.64583</v>
      </c>
      <c r="B1741" s="2">
        <f>IFERROR(__xludf.DUMMYFUNCTION("""COMPUTED_VALUE"""),105.99)</f>
        <v>105.99</v>
      </c>
      <c r="C1741" s="2">
        <f>IFERROR(__xludf.DUMMYFUNCTION("""COMPUTED_VALUE"""),107.57)</f>
        <v>107.57</v>
      </c>
      <c r="D1741" s="2">
        <f>IFERROR(__xludf.DUMMYFUNCTION("""COMPUTED_VALUE"""),103.2)</f>
        <v>103.2</v>
      </c>
      <c r="E1741" s="2">
        <f>IFERROR(__xludf.DUMMYFUNCTION("""COMPUTED_VALUE"""),106.67)</f>
        <v>106.67</v>
      </c>
      <c r="F1741" s="2">
        <f>IFERROR(__xludf.DUMMYFUNCTION("""COMPUTED_VALUE"""),328311.0)</f>
        <v>328311</v>
      </c>
    </row>
    <row r="1742">
      <c r="A1742" s="3">
        <f>IFERROR(__xludf.DUMMYFUNCTION("""COMPUTED_VALUE"""),39070.645833333336)</f>
        <v>39070.64583</v>
      </c>
      <c r="B1742" s="2">
        <f>IFERROR(__xludf.DUMMYFUNCTION("""COMPUTED_VALUE"""),107.3)</f>
        <v>107.3</v>
      </c>
      <c r="C1742" s="2">
        <f>IFERROR(__xludf.DUMMYFUNCTION("""COMPUTED_VALUE"""),107.3)</f>
        <v>107.3</v>
      </c>
      <c r="D1742" s="2">
        <f>IFERROR(__xludf.DUMMYFUNCTION("""COMPUTED_VALUE"""),102.74)</f>
        <v>102.74</v>
      </c>
      <c r="E1742" s="2">
        <f>IFERROR(__xludf.DUMMYFUNCTION("""COMPUTED_VALUE"""),103.88)</f>
        <v>103.88</v>
      </c>
      <c r="F1742" s="2">
        <f>IFERROR(__xludf.DUMMYFUNCTION("""COMPUTED_VALUE"""),518497.0)</f>
        <v>518497</v>
      </c>
    </row>
    <row r="1743">
      <c r="A1743" s="3">
        <f>IFERROR(__xludf.DUMMYFUNCTION("""COMPUTED_VALUE"""),39071.645833333336)</f>
        <v>39071.64583</v>
      </c>
      <c r="B1743" s="2">
        <f>IFERROR(__xludf.DUMMYFUNCTION("""COMPUTED_VALUE"""),103.97)</f>
        <v>103.97</v>
      </c>
      <c r="C1743" s="2">
        <f>IFERROR(__xludf.DUMMYFUNCTION("""COMPUTED_VALUE"""),104.8)</f>
        <v>104.8</v>
      </c>
      <c r="D1743" s="2">
        <f>IFERROR(__xludf.DUMMYFUNCTION("""COMPUTED_VALUE"""),100.5)</f>
        <v>100.5</v>
      </c>
      <c r="E1743" s="2">
        <f>IFERROR(__xludf.DUMMYFUNCTION("""COMPUTED_VALUE"""),102.07)</f>
        <v>102.07</v>
      </c>
      <c r="F1743" s="2">
        <f>IFERROR(__xludf.DUMMYFUNCTION("""COMPUTED_VALUE"""),699132.0)</f>
        <v>699132</v>
      </c>
    </row>
    <row r="1744">
      <c r="A1744" s="3">
        <f>IFERROR(__xludf.DUMMYFUNCTION("""COMPUTED_VALUE"""),39072.645833333336)</f>
        <v>39072.64583</v>
      </c>
      <c r="B1744" s="2">
        <f>IFERROR(__xludf.DUMMYFUNCTION("""COMPUTED_VALUE"""),101.99)</f>
        <v>101.99</v>
      </c>
      <c r="C1744" s="2">
        <f>IFERROR(__xludf.DUMMYFUNCTION("""COMPUTED_VALUE"""),102.87)</f>
        <v>102.87</v>
      </c>
      <c r="D1744" s="2">
        <f>IFERROR(__xludf.DUMMYFUNCTION("""COMPUTED_VALUE"""),100.0)</f>
        <v>100</v>
      </c>
      <c r="E1744" s="2">
        <f>IFERROR(__xludf.DUMMYFUNCTION("""COMPUTED_VALUE"""),100.93)</f>
        <v>100.93</v>
      </c>
      <c r="F1744" s="2">
        <f>IFERROR(__xludf.DUMMYFUNCTION("""COMPUTED_VALUE"""),421768.0)</f>
        <v>421768</v>
      </c>
    </row>
    <row r="1745">
      <c r="A1745" s="3">
        <f>IFERROR(__xludf.DUMMYFUNCTION("""COMPUTED_VALUE"""),39073.645833333336)</f>
        <v>39073.64583</v>
      </c>
      <c r="B1745" s="2">
        <f>IFERROR(__xludf.DUMMYFUNCTION("""COMPUTED_VALUE"""),101.9)</f>
        <v>101.9</v>
      </c>
      <c r="C1745" s="2">
        <f>IFERROR(__xludf.DUMMYFUNCTION("""COMPUTED_VALUE"""),101.9)</f>
        <v>101.9</v>
      </c>
      <c r="D1745" s="2">
        <f>IFERROR(__xludf.DUMMYFUNCTION("""COMPUTED_VALUE"""),100.1)</f>
        <v>100.1</v>
      </c>
      <c r="E1745" s="2">
        <f>IFERROR(__xludf.DUMMYFUNCTION("""COMPUTED_VALUE"""),100.58)</f>
        <v>100.58</v>
      </c>
      <c r="F1745" s="2">
        <f>IFERROR(__xludf.DUMMYFUNCTION("""COMPUTED_VALUE"""),368641.0)</f>
        <v>368641</v>
      </c>
    </row>
    <row r="1746">
      <c r="A1746" s="3">
        <f>IFERROR(__xludf.DUMMYFUNCTION("""COMPUTED_VALUE"""),39077.645833333336)</f>
        <v>39077.64583</v>
      </c>
      <c r="B1746" s="2">
        <f>IFERROR(__xludf.DUMMYFUNCTION("""COMPUTED_VALUE"""),101.49)</f>
        <v>101.49</v>
      </c>
      <c r="C1746" s="2">
        <f>IFERROR(__xludf.DUMMYFUNCTION("""COMPUTED_VALUE"""),103.48)</f>
        <v>103.48</v>
      </c>
      <c r="D1746" s="2">
        <f>IFERROR(__xludf.DUMMYFUNCTION("""COMPUTED_VALUE"""),100.4)</f>
        <v>100.4</v>
      </c>
      <c r="E1746" s="2">
        <f>IFERROR(__xludf.DUMMYFUNCTION("""COMPUTED_VALUE"""),103.09)</f>
        <v>103.09</v>
      </c>
      <c r="F1746" s="2">
        <f>IFERROR(__xludf.DUMMYFUNCTION("""COMPUTED_VALUE"""),189878.0)</f>
        <v>189878</v>
      </c>
    </row>
    <row r="1747">
      <c r="A1747" s="3">
        <f>IFERROR(__xludf.DUMMYFUNCTION("""COMPUTED_VALUE"""),39078.645833333336)</f>
        <v>39078.64583</v>
      </c>
      <c r="B1747" s="2">
        <f>IFERROR(__xludf.DUMMYFUNCTION("""COMPUTED_VALUE"""),103.5)</f>
        <v>103.5</v>
      </c>
      <c r="C1747" s="2">
        <f>IFERROR(__xludf.DUMMYFUNCTION("""COMPUTED_VALUE"""),106.32)</f>
        <v>106.32</v>
      </c>
      <c r="D1747" s="2">
        <f>IFERROR(__xludf.DUMMYFUNCTION("""COMPUTED_VALUE"""),103.5)</f>
        <v>103.5</v>
      </c>
      <c r="E1747" s="2">
        <f>IFERROR(__xludf.DUMMYFUNCTION("""COMPUTED_VALUE"""),105.97)</f>
        <v>105.97</v>
      </c>
      <c r="F1747" s="2">
        <f>IFERROR(__xludf.DUMMYFUNCTION("""COMPUTED_VALUE"""),226047.0)</f>
        <v>226047</v>
      </c>
    </row>
    <row r="1748">
      <c r="A1748" s="3">
        <f>IFERROR(__xludf.DUMMYFUNCTION("""COMPUTED_VALUE"""),39079.645833333336)</f>
        <v>39079.64583</v>
      </c>
      <c r="B1748" s="2">
        <f>IFERROR(__xludf.DUMMYFUNCTION("""COMPUTED_VALUE"""),106.5)</f>
        <v>106.5</v>
      </c>
      <c r="C1748" s="2">
        <f>IFERROR(__xludf.DUMMYFUNCTION("""COMPUTED_VALUE"""),108.8)</f>
        <v>108.8</v>
      </c>
      <c r="D1748" s="2">
        <f>IFERROR(__xludf.DUMMYFUNCTION("""COMPUTED_VALUE"""),105.71)</f>
        <v>105.71</v>
      </c>
      <c r="E1748" s="2">
        <f>IFERROR(__xludf.DUMMYFUNCTION("""COMPUTED_VALUE"""),108.01)</f>
        <v>108.01</v>
      </c>
      <c r="F1748" s="2">
        <f>IFERROR(__xludf.DUMMYFUNCTION("""COMPUTED_VALUE"""),452115.0)</f>
        <v>452115</v>
      </c>
    </row>
    <row r="1749">
      <c r="A1749" s="3">
        <f>IFERROR(__xludf.DUMMYFUNCTION("""COMPUTED_VALUE"""),39080.645833333336)</f>
        <v>39080.64583</v>
      </c>
      <c r="B1749" s="2">
        <f>IFERROR(__xludf.DUMMYFUNCTION("""COMPUTED_VALUE"""),108.6)</f>
        <v>108.6</v>
      </c>
      <c r="C1749" s="2">
        <f>IFERROR(__xludf.DUMMYFUNCTION("""COMPUTED_VALUE"""),109.87)</f>
        <v>109.87</v>
      </c>
      <c r="D1749" s="2">
        <f>IFERROR(__xludf.DUMMYFUNCTION("""COMPUTED_VALUE"""),106.3)</f>
        <v>106.3</v>
      </c>
      <c r="E1749" s="2">
        <f>IFERROR(__xludf.DUMMYFUNCTION("""COMPUTED_VALUE"""),106.8)</f>
        <v>106.8</v>
      </c>
      <c r="F1749" s="2">
        <f>IFERROR(__xludf.DUMMYFUNCTION("""COMPUTED_VALUE"""),310989.0)</f>
        <v>310989</v>
      </c>
    </row>
    <row r="1750">
      <c r="A1750" s="3">
        <f>IFERROR(__xludf.DUMMYFUNCTION("""COMPUTED_VALUE"""),39084.645833333336)</f>
        <v>39084.64583</v>
      </c>
      <c r="B1750" s="2">
        <f>IFERROR(__xludf.DUMMYFUNCTION("""COMPUTED_VALUE"""),107.98)</f>
        <v>107.98</v>
      </c>
      <c r="C1750" s="2">
        <f>IFERROR(__xludf.DUMMYFUNCTION("""COMPUTED_VALUE"""),107.98)</f>
        <v>107.98</v>
      </c>
      <c r="D1750" s="2">
        <f>IFERROR(__xludf.DUMMYFUNCTION("""COMPUTED_VALUE"""),106.51)</f>
        <v>106.51</v>
      </c>
      <c r="E1750" s="2">
        <f>IFERROR(__xludf.DUMMYFUNCTION("""COMPUTED_VALUE"""),107.0)</f>
        <v>107</v>
      </c>
      <c r="F1750" s="2">
        <f>IFERROR(__xludf.DUMMYFUNCTION("""COMPUTED_VALUE"""),201677.0)</f>
        <v>201677</v>
      </c>
    </row>
    <row r="1751">
      <c r="A1751" s="3">
        <f>IFERROR(__xludf.DUMMYFUNCTION("""COMPUTED_VALUE"""),39085.645833333336)</f>
        <v>39085.64583</v>
      </c>
      <c r="B1751" s="2">
        <f>IFERROR(__xludf.DUMMYFUNCTION("""COMPUTED_VALUE"""),106.8)</f>
        <v>106.8</v>
      </c>
      <c r="C1751" s="2">
        <f>IFERROR(__xludf.DUMMYFUNCTION("""COMPUTED_VALUE"""),107.0)</f>
        <v>107</v>
      </c>
      <c r="D1751" s="2">
        <f>IFERROR(__xludf.DUMMYFUNCTION("""COMPUTED_VALUE"""),105.31)</f>
        <v>105.31</v>
      </c>
      <c r="E1751" s="2">
        <f>IFERROR(__xludf.DUMMYFUNCTION("""COMPUTED_VALUE"""),106.53)</f>
        <v>106.53</v>
      </c>
      <c r="F1751" s="2">
        <f>IFERROR(__xludf.DUMMYFUNCTION("""COMPUTED_VALUE"""),151605.0)</f>
        <v>151605</v>
      </c>
    </row>
    <row r="1752">
      <c r="A1752" s="3">
        <f>IFERROR(__xludf.DUMMYFUNCTION("""COMPUTED_VALUE"""),39086.645833333336)</f>
        <v>39086.64583</v>
      </c>
      <c r="B1752" s="2">
        <f>IFERROR(__xludf.DUMMYFUNCTION("""COMPUTED_VALUE"""),105.6)</f>
        <v>105.6</v>
      </c>
      <c r="C1752" s="2">
        <f>IFERROR(__xludf.DUMMYFUNCTION("""COMPUTED_VALUE"""),106.5)</f>
        <v>106.5</v>
      </c>
      <c r="D1752" s="2">
        <f>IFERROR(__xludf.DUMMYFUNCTION("""COMPUTED_VALUE"""),103.5)</f>
        <v>103.5</v>
      </c>
      <c r="E1752" s="2">
        <f>IFERROR(__xludf.DUMMYFUNCTION("""COMPUTED_VALUE"""),105.01)</f>
        <v>105.01</v>
      </c>
      <c r="F1752" s="2">
        <f>IFERROR(__xludf.DUMMYFUNCTION("""COMPUTED_VALUE"""),343342.0)</f>
        <v>343342</v>
      </c>
    </row>
    <row r="1753">
      <c r="A1753" s="3">
        <f>IFERROR(__xludf.DUMMYFUNCTION("""COMPUTED_VALUE"""),39087.645833333336)</f>
        <v>39087.64583</v>
      </c>
      <c r="B1753" s="2">
        <f>IFERROR(__xludf.DUMMYFUNCTION("""COMPUTED_VALUE"""),105.47)</f>
        <v>105.47</v>
      </c>
      <c r="C1753" s="2">
        <f>IFERROR(__xludf.DUMMYFUNCTION("""COMPUTED_VALUE"""),107.39)</f>
        <v>107.39</v>
      </c>
      <c r="D1753" s="2">
        <f>IFERROR(__xludf.DUMMYFUNCTION("""COMPUTED_VALUE"""),103.42)</f>
        <v>103.42</v>
      </c>
      <c r="E1753" s="2">
        <f>IFERROR(__xludf.DUMMYFUNCTION("""COMPUTED_VALUE"""),105.69)</f>
        <v>105.69</v>
      </c>
      <c r="F1753" s="2">
        <f>IFERROR(__xludf.DUMMYFUNCTION("""COMPUTED_VALUE"""),595467.0)</f>
        <v>595467</v>
      </c>
    </row>
    <row r="1754">
      <c r="A1754" s="3">
        <f>IFERROR(__xludf.DUMMYFUNCTION("""COMPUTED_VALUE"""),39090.645833333336)</f>
        <v>39090.64583</v>
      </c>
      <c r="B1754" s="2">
        <f>IFERROR(__xludf.DUMMYFUNCTION("""COMPUTED_VALUE"""),105.4)</f>
        <v>105.4</v>
      </c>
      <c r="C1754" s="2">
        <f>IFERROR(__xludf.DUMMYFUNCTION("""COMPUTED_VALUE"""),105.4)</f>
        <v>105.4</v>
      </c>
      <c r="D1754" s="2">
        <f>IFERROR(__xludf.DUMMYFUNCTION("""COMPUTED_VALUE"""),101.66)</f>
        <v>101.66</v>
      </c>
      <c r="E1754" s="2">
        <f>IFERROR(__xludf.DUMMYFUNCTION("""COMPUTED_VALUE"""),102.5)</f>
        <v>102.5</v>
      </c>
      <c r="F1754" s="2">
        <f>IFERROR(__xludf.DUMMYFUNCTION("""COMPUTED_VALUE"""),310703.0)</f>
        <v>310703</v>
      </c>
    </row>
    <row r="1755">
      <c r="A1755" s="3">
        <f>IFERROR(__xludf.DUMMYFUNCTION("""COMPUTED_VALUE"""),39091.645833333336)</f>
        <v>39091.64583</v>
      </c>
      <c r="B1755" s="2">
        <f>IFERROR(__xludf.DUMMYFUNCTION("""COMPUTED_VALUE"""),103.2)</f>
        <v>103.2</v>
      </c>
      <c r="C1755" s="2">
        <f>IFERROR(__xludf.DUMMYFUNCTION("""COMPUTED_VALUE"""),103.5)</f>
        <v>103.5</v>
      </c>
      <c r="D1755" s="2">
        <f>IFERROR(__xludf.DUMMYFUNCTION("""COMPUTED_VALUE"""),100.41)</f>
        <v>100.41</v>
      </c>
      <c r="E1755" s="2">
        <f>IFERROR(__xludf.DUMMYFUNCTION("""COMPUTED_VALUE"""),101.39)</f>
        <v>101.39</v>
      </c>
      <c r="F1755" s="2">
        <f>IFERROR(__xludf.DUMMYFUNCTION("""COMPUTED_VALUE"""),523160.0)</f>
        <v>523160</v>
      </c>
    </row>
    <row r="1756">
      <c r="A1756" s="3">
        <f>IFERROR(__xludf.DUMMYFUNCTION("""COMPUTED_VALUE"""),39092.645833333336)</f>
        <v>39092.64583</v>
      </c>
      <c r="B1756" s="2">
        <f>IFERROR(__xludf.DUMMYFUNCTION("""COMPUTED_VALUE"""),101.85)</f>
        <v>101.85</v>
      </c>
      <c r="C1756" s="2">
        <f>IFERROR(__xludf.DUMMYFUNCTION("""COMPUTED_VALUE"""),101.85)</f>
        <v>101.85</v>
      </c>
      <c r="D1756" s="2">
        <f>IFERROR(__xludf.DUMMYFUNCTION("""COMPUTED_VALUE"""),99.5)</f>
        <v>99.5</v>
      </c>
      <c r="E1756" s="2">
        <f>IFERROR(__xludf.DUMMYFUNCTION("""COMPUTED_VALUE"""),99.87)</f>
        <v>99.87</v>
      </c>
      <c r="F1756" s="2">
        <f>IFERROR(__xludf.DUMMYFUNCTION("""COMPUTED_VALUE"""),356775.0)</f>
        <v>356775</v>
      </c>
    </row>
    <row r="1757">
      <c r="A1757" s="3">
        <f>IFERROR(__xludf.DUMMYFUNCTION("""COMPUTED_VALUE"""),39093.645833333336)</f>
        <v>39093.64583</v>
      </c>
      <c r="B1757" s="2">
        <f>IFERROR(__xludf.DUMMYFUNCTION("""COMPUTED_VALUE"""),100.85)</f>
        <v>100.85</v>
      </c>
      <c r="C1757" s="2">
        <f>IFERROR(__xludf.DUMMYFUNCTION("""COMPUTED_VALUE"""),101.78)</f>
        <v>101.78</v>
      </c>
      <c r="D1757" s="2">
        <f>IFERROR(__xludf.DUMMYFUNCTION("""COMPUTED_VALUE"""),98.11)</f>
        <v>98.11</v>
      </c>
      <c r="E1757" s="2">
        <f>IFERROR(__xludf.DUMMYFUNCTION("""COMPUTED_VALUE"""),99.62)</f>
        <v>99.62</v>
      </c>
      <c r="F1757" s="2">
        <f>IFERROR(__xludf.DUMMYFUNCTION("""COMPUTED_VALUE"""),1005767.0)</f>
        <v>1005767</v>
      </c>
    </row>
    <row r="1758">
      <c r="A1758" s="3">
        <f>IFERROR(__xludf.DUMMYFUNCTION("""COMPUTED_VALUE"""),39094.645833333336)</f>
        <v>39094.64583</v>
      </c>
      <c r="B1758" s="2">
        <f>IFERROR(__xludf.DUMMYFUNCTION("""COMPUTED_VALUE"""),101.83)</f>
        <v>101.83</v>
      </c>
      <c r="C1758" s="2">
        <f>IFERROR(__xludf.DUMMYFUNCTION("""COMPUTED_VALUE"""),106.98)</f>
        <v>106.98</v>
      </c>
      <c r="D1758" s="2">
        <f>IFERROR(__xludf.DUMMYFUNCTION("""COMPUTED_VALUE"""),101.6)</f>
        <v>101.6</v>
      </c>
      <c r="E1758" s="2">
        <f>IFERROR(__xludf.DUMMYFUNCTION("""COMPUTED_VALUE"""),106.16)</f>
        <v>106.16</v>
      </c>
      <c r="F1758" s="2">
        <f>IFERROR(__xludf.DUMMYFUNCTION("""COMPUTED_VALUE"""),683257.0)</f>
        <v>683257</v>
      </c>
    </row>
    <row r="1759">
      <c r="A1759" s="3">
        <f>IFERROR(__xludf.DUMMYFUNCTION("""COMPUTED_VALUE"""),39097.645833333336)</f>
        <v>39097.64583</v>
      </c>
      <c r="B1759" s="2">
        <f>IFERROR(__xludf.DUMMYFUNCTION("""COMPUTED_VALUE"""),108.0)</f>
        <v>108</v>
      </c>
      <c r="C1759" s="2">
        <f>IFERROR(__xludf.DUMMYFUNCTION("""COMPUTED_VALUE"""),110.3)</f>
        <v>110.3</v>
      </c>
      <c r="D1759" s="2">
        <f>IFERROR(__xludf.DUMMYFUNCTION("""COMPUTED_VALUE"""),107.5)</f>
        <v>107.5</v>
      </c>
      <c r="E1759" s="2">
        <f>IFERROR(__xludf.DUMMYFUNCTION("""COMPUTED_VALUE"""),109.4)</f>
        <v>109.4</v>
      </c>
      <c r="F1759" s="2">
        <f>IFERROR(__xludf.DUMMYFUNCTION("""COMPUTED_VALUE"""),485295.0)</f>
        <v>485295</v>
      </c>
    </row>
    <row r="1760">
      <c r="A1760" s="3">
        <f>IFERROR(__xludf.DUMMYFUNCTION("""COMPUTED_VALUE"""),39098.645833333336)</f>
        <v>39098.64583</v>
      </c>
      <c r="B1760" s="2">
        <f>IFERROR(__xludf.DUMMYFUNCTION("""COMPUTED_VALUE"""),110.4)</f>
        <v>110.4</v>
      </c>
      <c r="C1760" s="2">
        <f>IFERROR(__xludf.DUMMYFUNCTION("""COMPUTED_VALUE"""),110.47)</f>
        <v>110.47</v>
      </c>
      <c r="D1760" s="2">
        <f>IFERROR(__xludf.DUMMYFUNCTION("""COMPUTED_VALUE"""),108.02)</f>
        <v>108.02</v>
      </c>
      <c r="E1760" s="2">
        <f>IFERROR(__xludf.DUMMYFUNCTION("""COMPUTED_VALUE"""),109.61)</f>
        <v>109.61</v>
      </c>
      <c r="F1760" s="2">
        <f>IFERROR(__xludf.DUMMYFUNCTION("""COMPUTED_VALUE"""),642347.0)</f>
        <v>642347</v>
      </c>
    </row>
    <row r="1761">
      <c r="A1761" s="3">
        <f>IFERROR(__xludf.DUMMYFUNCTION("""COMPUTED_VALUE"""),39099.645833333336)</f>
        <v>39099.64583</v>
      </c>
      <c r="B1761" s="2">
        <f>IFERROR(__xludf.DUMMYFUNCTION("""COMPUTED_VALUE"""),109.9)</f>
        <v>109.9</v>
      </c>
      <c r="C1761" s="2">
        <f>IFERROR(__xludf.DUMMYFUNCTION("""COMPUTED_VALUE"""),110.0)</f>
        <v>110</v>
      </c>
      <c r="D1761" s="2">
        <f>IFERROR(__xludf.DUMMYFUNCTION("""COMPUTED_VALUE"""),104.9)</f>
        <v>104.9</v>
      </c>
      <c r="E1761" s="2">
        <f>IFERROR(__xludf.DUMMYFUNCTION("""COMPUTED_VALUE"""),106.12)</f>
        <v>106.12</v>
      </c>
      <c r="F1761" s="2">
        <f>IFERROR(__xludf.DUMMYFUNCTION("""COMPUTED_VALUE"""),869315.0)</f>
        <v>869315</v>
      </c>
    </row>
    <row r="1762">
      <c r="A1762" s="3">
        <f>IFERROR(__xludf.DUMMYFUNCTION("""COMPUTED_VALUE"""),39100.645833333336)</f>
        <v>39100.64583</v>
      </c>
      <c r="B1762" s="2">
        <f>IFERROR(__xludf.DUMMYFUNCTION("""COMPUTED_VALUE"""),106.5)</f>
        <v>106.5</v>
      </c>
      <c r="C1762" s="2">
        <f>IFERROR(__xludf.DUMMYFUNCTION("""COMPUTED_VALUE"""),107.4)</f>
        <v>107.4</v>
      </c>
      <c r="D1762" s="2">
        <f>IFERROR(__xludf.DUMMYFUNCTION("""COMPUTED_VALUE"""),105.13)</f>
        <v>105.13</v>
      </c>
      <c r="E1762" s="2">
        <f>IFERROR(__xludf.DUMMYFUNCTION("""COMPUTED_VALUE"""),106.11)</f>
        <v>106.11</v>
      </c>
      <c r="F1762" s="2">
        <f>IFERROR(__xludf.DUMMYFUNCTION("""COMPUTED_VALUE"""),659633.0)</f>
        <v>659633</v>
      </c>
    </row>
    <row r="1763">
      <c r="A1763" s="3">
        <f>IFERROR(__xludf.DUMMYFUNCTION("""COMPUTED_VALUE"""),39101.645833333336)</f>
        <v>39101.64583</v>
      </c>
      <c r="B1763" s="2">
        <f>IFERROR(__xludf.DUMMYFUNCTION("""COMPUTED_VALUE"""),105.2)</f>
        <v>105.2</v>
      </c>
      <c r="C1763" s="2">
        <f>IFERROR(__xludf.DUMMYFUNCTION("""COMPUTED_VALUE"""),107.78)</f>
        <v>107.78</v>
      </c>
      <c r="D1763" s="2">
        <f>IFERROR(__xludf.DUMMYFUNCTION("""COMPUTED_VALUE"""),105.2)</f>
        <v>105.2</v>
      </c>
      <c r="E1763" s="2">
        <f>IFERROR(__xludf.DUMMYFUNCTION("""COMPUTED_VALUE"""),106.84)</f>
        <v>106.84</v>
      </c>
      <c r="F1763" s="2">
        <f>IFERROR(__xludf.DUMMYFUNCTION("""COMPUTED_VALUE"""),450050.0)</f>
        <v>450050</v>
      </c>
    </row>
    <row r="1764">
      <c r="A1764" s="3">
        <f>IFERROR(__xludf.DUMMYFUNCTION("""COMPUTED_VALUE"""),39104.645833333336)</f>
        <v>39104.64583</v>
      </c>
      <c r="B1764" s="2">
        <f>IFERROR(__xludf.DUMMYFUNCTION("""COMPUTED_VALUE"""),107.0)</f>
        <v>107</v>
      </c>
      <c r="C1764" s="2">
        <f>IFERROR(__xludf.DUMMYFUNCTION("""COMPUTED_VALUE"""),107.3)</f>
        <v>107.3</v>
      </c>
      <c r="D1764" s="2">
        <f>IFERROR(__xludf.DUMMYFUNCTION("""COMPUTED_VALUE"""),104.56)</f>
        <v>104.56</v>
      </c>
      <c r="E1764" s="2">
        <f>IFERROR(__xludf.DUMMYFUNCTION("""COMPUTED_VALUE"""),105.63)</f>
        <v>105.63</v>
      </c>
      <c r="F1764" s="2">
        <f>IFERROR(__xludf.DUMMYFUNCTION("""COMPUTED_VALUE"""),344302.0)</f>
        <v>344302</v>
      </c>
    </row>
    <row r="1765">
      <c r="A1765" s="3">
        <f>IFERROR(__xludf.DUMMYFUNCTION("""COMPUTED_VALUE"""),39105.645833333336)</f>
        <v>39105.64583</v>
      </c>
      <c r="B1765" s="2">
        <f>IFERROR(__xludf.DUMMYFUNCTION("""COMPUTED_VALUE"""),105.5)</f>
        <v>105.5</v>
      </c>
      <c r="C1765" s="2">
        <f>IFERROR(__xludf.DUMMYFUNCTION("""COMPUTED_VALUE"""),105.5)</f>
        <v>105.5</v>
      </c>
      <c r="D1765" s="2">
        <f>IFERROR(__xludf.DUMMYFUNCTION("""COMPUTED_VALUE"""),102.85)</f>
        <v>102.85</v>
      </c>
      <c r="E1765" s="2">
        <f>IFERROR(__xludf.DUMMYFUNCTION("""COMPUTED_VALUE"""),103.29)</f>
        <v>103.29</v>
      </c>
      <c r="F1765" s="2">
        <f>IFERROR(__xludf.DUMMYFUNCTION("""COMPUTED_VALUE"""),534122.0)</f>
        <v>534122</v>
      </c>
    </row>
    <row r="1766">
      <c r="A1766" s="3">
        <f>IFERROR(__xludf.DUMMYFUNCTION("""COMPUTED_VALUE"""),39106.645833333336)</f>
        <v>39106.64583</v>
      </c>
      <c r="B1766" s="2">
        <f>IFERROR(__xludf.DUMMYFUNCTION("""COMPUTED_VALUE"""),104.0)</f>
        <v>104</v>
      </c>
      <c r="C1766" s="2">
        <f>IFERROR(__xludf.DUMMYFUNCTION("""COMPUTED_VALUE"""),106.49)</f>
        <v>106.49</v>
      </c>
      <c r="D1766" s="2">
        <f>IFERROR(__xludf.DUMMYFUNCTION("""COMPUTED_VALUE"""),104.0)</f>
        <v>104</v>
      </c>
      <c r="E1766" s="2">
        <f>IFERROR(__xludf.DUMMYFUNCTION("""COMPUTED_VALUE"""),105.85)</f>
        <v>105.85</v>
      </c>
      <c r="F1766" s="2">
        <f>IFERROR(__xludf.DUMMYFUNCTION("""COMPUTED_VALUE"""),316194.0)</f>
        <v>316194</v>
      </c>
    </row>
    <row r="1767">
      <c r="A1767" s="3">
        <f>IFERROR(__xludf.DUMMYFUNCTION("""COMPUTED_VALUE"""),39107.645833333336)</f>
        <v>39107.64583</v>
      </c>
      <c r="B1767" s="2">
        <f>IFERROR(__xludf.DUMMYFUNCTION("""COMPUTED_VALUE"""),106.11)</f>
        <v>106.11</v>
      </c>
      <c r="C1767" s="2">
        <f>IFERROR(__xludf.DUMMYFUNCTION("""COMPUTED_VALUE"""),107.5)</f>
        <v>107.5</v>
      </c>
      <c r="D1767" s="2">
        <f>IFERROR(__xludf.DUMMYFUNCTION("""COMPUTED_VALUE"""),105.3)</f>
        <v>105.3</v>
      </c>
      <c r="E1767" s="2">
        <f>IFERROR(__xludf.DUMMYFUNCTION("""COMPUTED_VALUE"""),106.61)</f>
        <v>106.61</v>
      </c>
      <c r="F1767" s="2">
        <f>IFERROR(__xludf.DUMMYFUNCTION("""COMPUTED_VALUE"""),509282.0)</f>
        <v>509282</v>
      </c>
    </row>
    <row r="1768">
      <c r="A1768" s="3">
        <f>IFERROR(__xludf.DUMMYFUNCTION("""COMPUTED_VALUE"""),39111.645833333336)</f>
        <v>39111.64583</v>
      </c>
      <c r="B1768" s="2">
        <f>IFERROR(__xludf.DUMMYFUNCTION("""COMPUTED_VALUE"""),107.0)</f>
        <v>107</v>
      </c>
      <c r="C1768" s="2">
        <f>IFERROR(__xludf.DUMMYFUNCTION("""COMPUTED_VALUE"""),116.0)</f>
        <v>116</v>
      </c>
      <c r="D1768" s="2">
        <f>IFERROR(__xludf.DUMMYFUNCTION("""COMPUTED_VALUE"""),105.03)</f>
        <v>105.03</v>
      </c>
      <c r="E1768" s="2">
        <f>IFERROR(__xludf.DUMMYFUNCTION("""COMPUTED_VALUE"""),106.24)</f>
        <v>106.24</v>
      </c>
      <c r="F1768" s="2">
        <f>IFERROR(__xludf.DUMMYFUNCTION("""COMPUTED_VALUE"""),524438.0)</f>
        <v>524438</v>
      </c>
    </row>
    <row r="1769">
      <c r="A1769" s="3">
        <f>IFERROR(__xludf.DUMMYFUNCTION("""COMPUTED_VALUE"""),39113.645833333336)</f>
        <v>39113.64583</v>
      </c>
      <c r="B1769" s="2">
        <f>IFERROR(__xludf.DUMMYFUNCTION("""COMPUTED_VALUE"""),106.6)</f>
        <v>106.6</v>
      </c>
      <c r="C1769" s="2">
        <f>IFERROR(__xludf.DUMMYFUNCTION("""COMPUTED_VALUE"""),108.6)</f>
        <v>108.6</v>
      </c>
      <c r="D1769" s="2">
        <f>IFERROR(__xludf.DUMMYFUNCTION("""COMPUTED_VALUE"""),104.6)</f>
        <v>104.6</v>
      </c>
      <c r="E1769" s="2">
        <f>IFERROR(__xludf.DUMMYFUNCTION("""COMPUTED_VALUE"""),107.86)</f>
        <v>107.86</v>
      </c>
      <c r="F1769" s="2">
        <f>IFERROR(__xludf.DUMMYFUNCTION("""COMPUTED_VALUE"""),824413.0)</f>
        <v>824413</v>
      </c>
    </row>
    <row r="1770">
      <c r="A1770" s="3">
        <f>IFERROR(__xludf.DUMMYFUNCTION("""COMPUTED_VALUE"""),39114.645833333336)</f>
        <v>39114.64583</v>
      </c>
      <c r="B1770" s="2">
        <f>IFERROR(__xludf.DUMMYFUNCTION("""COMPUTED_VALUE"""),108.01)</f>
        <v>108.01</v>
      </c>
      <c r="C1770" s="2">
        <f>IFERROR(__xludf.DUMMYFUNCTION("""COMPUTED_VALUE"""),111.1)</f>
        <v>111.1</v>
      </c>
      <c r="D1770" s="2">
        <f>IFERROR(__xludf.DUMMYFUNCTION("""COMPUTED_VALUE"""),106.66)</f>
        <v>106.66</v>
      </c>
      <c r="E1770" s="2">
        <f>IFERROR(__xludf.DUMMYFUNCTION("""COMPUTED_VALUE"""),110.4)</f>
        <v>110.4</v>
      </c>
      <c r="F1770" s="2">
        <f>IFERROR(__xludf.DUMMYFUNCTION("""COMPUTED_VALUE"""),432566.0)</f>
        <v>432566</v>
      </c>
    </row>
    <row r="1771">
      <c r="A1771" s="3">
        <f>IFERROR(__xludf.DUMMYFUNCTION("""COMPUTED_VALUE"""),39115.645833333336)</f>
        <v>39115.64583</v>
      </c>
      <c r="B1771" s="2">
        <f>IFERROR(__xludf.DUMMYFUNCTION("""COMPUTED_VALUE"""),110.95)</f>
        <v>110.95</v>
      </c>
      <c r="C1771" s="2">
        <f>IFERROR(__xludf.DUMMYFUNCTION("""COMPUTED_VALUE"""),112.5)</f>
        <v>112.5</v>
      </c>
      <c r="D1771" s="2">
        <f>IFERROR(__xludf.DUMMYFUNCTION("""COMPUTED_VALUE"""),109.63)</f>
        <v>109.63</v>
      </c>
      <c r="E1771" s="2">
        <f>IFERROR(__xludf.DUMMYFUNCTION("""COMPUTED_VALUE"""),110.61)</f>
        <v>110.61</v>
      </c>
      <c r="F1771" s="2">
        <f>IFERROR(__xludf.DUMMYFUNCTION("""COMPUTED_VALUE"""),904689.0)</f>
        <v>904689</v>
      </c>
    </row>
    <row r="1772">
      <c r="A1772" s="3">
        <f>IFERROR(__xludf.DUMMYFUNCTION("""COMPUTED_VALUE"""),39118.645833333336)</f>
        <v>39118.64583</v>
      </c>
      <c r="B1772" s="2">
        <f>IFERROR(__xludf.DUMMYFUNCTION("""COMPUTED_VALUE"""),108.63)</f>
        <v>108.63</v>
      </c>
      <c r="C1772" s="2">
        <f>IFERROR(__xludf.DUMMYFUNCTION("""COMPUTED_VALUE"""),111.38)</f>
        <v>111.38</v>
      </c>
      <c r="D1772" s="2">
        <f>IFERROR(__xludf.DUMMYFUNCTION("""COMPUTED_VALUE"""),108.53)</f>
        <v>108.53</v>
      </c>
      <c r="E1772" s="2">
        <f>IFERROR(__xludf.DUMMYFUNCTION("""COMPUTED_VALUE"""),110.34)</f>
        <v>110.34</v>
      </c>
      <c r="F1772" s="2">
        <f>IFERROR(__xludf.DUMMYFUNCTION("""COMPUTED_VALUE"""),218421.0)</f>
        <v>218421</v>
      </c>
    </row>
    <row r="1773">
      <c r="A1773" s="3">
        <f>IFERROR(__xludf.DUMMYFUNCTION("""COMPUTED_VALUE"""),39119.645833333336)</f>
        <v>39119.64583</v>
      </c>
      <c r="B1773" s="2">
        <f>IFERROR(__xludf.DUMMYFUNCTION("""COMPUTED_VALUE"""),111.07)</f>
        <v>111.07</v>
      </c>
      <c r="C1773" s="2">
        <f>IFERROR(__xludf.DUMMYFUNCTION("""COMPUTED_VALUE"""),111.07)</f>
        <v>111.07</v>
      </c>
      <c r="D1773" s="2">
        <f>IFERROR(__xludf.DUMMYFUNCTION("""COMPUTED_VALUE"""),108.12)</f>
        <v>108.12</v>
      </c>
      <c r="E1773" s="2">
        <f>IFERROR(__xludf.DUMMYFUNCTION("""COMPUTED_VALUE"""),108.93)</f>
        <v>108.93</v>
      </c>
      <c r="F1773" s="2">
        <f>IFERROR(__xludf.DUMMYFUNCTION("""COMPUTED_VALUE"""),317722.0)</f>
        <v>317722</v>
      </c>
    </row>
    <row r="1774">
      <c r="A1774" s="3">
        <f>IFERROR(__xludf.DUMMYFUNCTION("""COMPUTED_VALUE"""),39120.645833333336)</f>
        <v>39120.64583</v>
      </c>
      <c r="B1774" s="2">
        <f>IFERROR(__xludf.DUMMYFUNCTION("""COMPUTED_VALUE"""),108.5)</f>
        <v>108.5</v>
      </c>
      <c r="C1774" s="2">
        <f>IFERROR(__xludf.DUMMYFUNCTION("""COMPUTED_VALUE"""),111.46)</f>
        <v>111.46</v>
      </c>
      <c r="D1774" s="2">
        <f>IFERROR(__xludf.DUMMYFUNCTION("""COMPUTED_VALUE"""),107.84)</f>
        <v>107.84</v>
      </c>
      <c r="E1774" s="2">
        <f>IFERROR(__xludf.DUMMYFUNCTION("""COMPUTED_VALUE"""),110.2)</f>
        <v>110.2</v>
      </c>
      <c r="F1774" s="2">
        <f>IFERROR(__xludf.DUMMYFUNCTION("""COMPUTED_VALUE"""),544548.0)</f>
        <v>544548</v>
      </c>
    </row>
    <row r="1775">
      <c r="A1775" s="3">
        <f>IFERROR(__xludf.DUMMYFUNCTION("""COMPUTED_VALUE"""),39121.645833333336)</f>
        <v>39121.64583</v>
      </c>
      <c r="B1775" s="2">
        <f>IFERROR(__xludf.DUMMYFUNCTION("""COMPUTED_VALUE"""),110.99)</f>
        <v>110.99</v>
      </c>
      <c r="C1775" s="2">
        <f>IFERROR(__xludf.DUMMYFUNCTION("""COMPUTED_VALUE"""),112.0)</f>
        <v>112</v>
      </c>
      <c r="D1775" s="2">
        <f>IFERROR(__xludf.DUMMYFUNCTION("""COMPUTED_VALUE"""),109.4)</f>
        <v>109.4</v>
      </c>
      <c r="E1775" s="2">
        <f>IFERROR(__xludf.DUMMYFUNCTION("""COMPUTED_VALUE"""),110.98)</f>
        <v>110.98</v>
      </c>
      <c r="F1775" s="2">
        <f>IFERROR(__xludf.DUMMYFUNCTION("""COMPUTED_VALUE"""),333564.0)</f>
        <v>333564</v>
      </c>
    </row>
    <row r="1776">
      <c r="A1776" s="3">
        <f>IFERROR(__xludf.DUMMYFUNCTION("""COMPUTED_VALUE"""),39122.645833333336)</f>
        <v>39122.64583</v>
      </c>
      <c r="B1776" s="2">
        <f>IFERROR(__xludf.DUMMYFUNCTION("""COMPUTED_VALUE"""),108.83)</f>
        <v>108.83</v>
      </c>
      <c r="C1776" s="2">
        <f>IFERROR(__xludf.DUMMYFUNCTION("""COMPUTED_VALUE"""),112.0)</f>
        <v>112</v>
      </c>
      <c r="D1776" s="2">
        <f>IFERROR(__xludf.DUMMYFUNCTION("""COMPUTED_VALUE"""),108.8)</f>
        <v>108.8</v>
      </c>
      <c r="E1776" s="2">
        <f>IFERROR(__xludf.DUMMYFUNCTION("""COMPUTED_VALUE"""),111.38)</f>
        <v>111.38</v>
      </c>
      <c r="F1776" s="2">
        <f>IFERROR(__xludf.DUMMYFUNCTION("""COMPUTED_VALUE"""),450855.0)</f>
        <v>450855</v>
      </c>
    </row>
    <row r="1777">
      <c r="A1777" s="3">
        <f>IFERROR(__xludf.DUMMYFUNCTION("""COMPUTED_VALUE"""),39125.645833333336)</f>
        <v>39125.64583</v>
      </c>
      <c r="B1777" s="2">
        <f>IFERROR(__xludf.DUMMYFUNCTION("""COMPUTED_VALUE"""),109.56)</f>
        <v>109.56</v>
      </c>
      <c r="C1777" s="2">
        <f>IFERROR(__xludf.DUMMYFUNCTION("""COMPUTED_VALUE"""),112.0)</f>
        <v>112</v>
      </c>
      <c r="D1777" s="2">
        <f>IFERROR(__xludf.DUMMYFUNCTION("""COMPUTED_VALUE"""),108.54)</f>
        <v>108.54</v>
      </c>
      <c r="E1777" s="2">
        <f>IFERROR(__xludf.DUMMYFUNCTION("""COMPUTED_VALUE"""),109.61)</f>
        <v>109.61</v>
      </c>
      <c r="F1777" s="2">
        <f>IFERROR(__xludf.DUMMYFUNCTION("""COMPUTED_VALUE"""),446089.0)</f>
        <v>446089</v>
      </c>
    </row>
    <row r="1778">
      <c r="A1778" s="3">
        <f>IFERROR(__xludf.DUMMYFUNCTION("""COMPUTED_VALUE"""),39126.645833333336)</f>
        <v>39126.64583</v>
      </c>
      <c r="B1778" s="2">
        <f>IFERROR(__xludf.DUMMYFUNCTION("""COMPUTED_VALUE"""),109.0)</f>
        <v>109</v>
      </c>
      <c r="C1778" s="2">
        <f>IFERROR(__xludf.DUMMYFUNCTION("""COMPUTED_VALUE"""),109.0)</f>
        <v>109</v>
      </c>
      <c r="D1778" s="2">
        <f>IFERROR(__xludf.DUMMYFUNCTION("""COMPUTED_VALUE"""),105.13)</f>
        <v>105.13</v>
      </c>
      <c r="E1778" s="2">
        <f>IFERROR(__xludf.DUMMYFUNCTION("""COMPUTED_VALUE"""),106.87)</f>
        <v>106.87</v>
      </c>
      <c r="F1778" s="2">
        <f>IFERROR(__xludf.DUMMYFUNCTION("""COMPUTED_VALUE"""),1134788.0)</f>
        <v>1134788</v>
      </c>
    </row>
    <row r="1779">
      <c r="A1779" s="3">
        <f>IFERROR(__xludf.DUMMYFUNCTION("""COMPUTED_VALUE"""),39127.645833333336)</f>
        <v>39127.64583</v>
      </c>
      <c r="B1779" s="2">
        <f>IFERROR(__xludf.DUMMYFUNCTION("""COMPUTED_VALUE"""),104.83)</f>
        <v>104.83</v>
      </c>
      <c r="C1779" s="2">
        <f>IFERROR(__xludf.DUMMYFUNCTION("""COMPUTED_VALUE"""),104.83)</f>
        <v>104.83</v>
      </c>
      <c r="D1779" s="2">
        <f>IFERROR(__xludf.DUMMYFUNCTION("""COMPUTED_VALUE"""),100.53)</f>
        <v>100.53</v>
      </c>
      <c r="E1779" s="2">
        <f>IFERROR(__xludf.DUMMYFUNCTION("""COMPUTED_VALUE"""),101.73)</f>
        <v>101.73</v>
      </c>
      <c r="F1779" s="2">
        <f>IFERROR(__xludf.DUMMYFUNCTION("""COMPUTED_VALUE"""),1336040.0)</f>
        <v>1336040</v>
      </c>
    </row>
    <row r="1780">
      <c r="A1780" s="3">
        <f>IFERROR(__xludf.DUMMYFUNCTION("""COMPUTED_VALUE"""),39128.645833333336)</f>
        <v>39128.64583</v>
      </c>
      <c r="B1780" s="2">
        <f>IFERROR(__xludf.DUMMYFUNCTION("""COMPUTED_VALUE"""),102.5)</f>
        <v>102.5</v>
      </c>
      <c r="C1780" s="2">
        <f>IFERROR(__xludf.DUMMYFUNCTION("""COMPUTED_VALUE"""),106.49)</f>
        <v>106.49</v>
      </c>
      <c r="D1780" s="2">
        <f>IFERROR(__xludf.DUMMYFUNCTION("""COMPUTED_VALUE"""),102.01)</f>
        <v>102.01</v>
      </c>
      <c r="E1780" s="2">
        <f>IFERROR(__xludf.DUMMYFUNCTION("""COMPUTED_VALUE"""),104.18)</f>
        <v>104.18</v>
      </c>
      <c r="F1780" s="2">
        <f>IFERROR(__xludf.DUMMYFUNCTION("""COMPUTED_VALUE"""),780150.0)</f>
        <v>780150</v>
      </c>
    </row>
    <row r="1781">
      <c r="A1781" s="3">
        <f>IFERROR(__xludf.DUMMYFUNCTION("""COMPUTED_VALUE"""),39132.645833333336)</f>
        <v>39132.64583</v>
      </c>
      <c r="B1781" s="2">
        <f>IFERROR(__xludf.DUMMYFUNCTION("""COMPUTED_VALUE"""),104.9)</f>
        <v>104.9</v>
      </c>
      <c r="C1781" s="2">
        <f>IFERROR(__xludf.DUMMYFUNCTION("""COMPUTED_VALUE"""),105.17)</f>
        <v>105.17</v>
      </c>
      <c r="D1781" s="2">
        <f>IFERROR(__xludf.DUMMYFUNCTION("""COMPUTED_VALUE"""),102.66)</f>
        <v>102.66</v>
      </c>
      <c r="E1781" s="2">
        <f>IFERROR(__xludf.DUMMYFUNCTION("""COMPUTED_VALUE"""),103.33)</f>
        <v>103.33</v>
      </c>
      <c r="F1781" s="2">
        <f>IFERROR(__xludf.DUMMYFUNCTION("""COMPUTED_VALUE"""),591117.0)</f>
        <v>591117</v>
      </c>
    </row>
    <row r="1782">
      <c r="A1782" s="3">
        <f>IFERROR(__xludf.DUMMYFUNCTION("""COMPUTED_VALUE"""),39133.645833333336)</f>
        <v>39133.64583</v>
      </c>
      <c r="B1782" s="2">
        <f>IFERROR(__xludf.DUMMYFUNCTION("""COMPUTED_VALUE"""),103.93)</f>
        <v>103.93</v>
      </c>
      <c r="C1782" s="2">
        <f>IFERROR(__xludf.DUMMYFUNCTION("""COMPUTED_VALUE"""),103.99)</f>
        <v>103.99</v>
      </c>
      <c r="D1782" s="2">
        <f>IFERROR(__xludf.DUMMYFUNCTION("""COMPUTED_VALUE"""),102.61)</f>
        <v>102.61</v>
      </c>
      <c r="E1782" s="2">
        <f>IFERROR(__xludf.DUMMYFUNCTION("""COMPUTED_VALUE"""),103.16)</f>
        <v>103.16</v>
      </c>
      <c r="F1782" s="2">
        <f>IFERROR(__xludf.DUMMYFUNCTION("""COMPUTED_VALUE"""),232269.0)</f>
        <v>232269</v>
      </c>
    </row>
    <row r="1783">
      <c r="A1783" s="3">
        <f>IFERROR(__xludf.DUMMYFUNCTION("""COMPUTED_VALUE"""),39134.645833333336)</f>
        <v>39134.64583</v>
      </c>
      <c r="B1783" s="2">
        <f>IFERROR(__xludf.DUMMYFUNCTION("""COMPUTED_VALUE"""),103.0)</f>
        <v>103</v>
      </c>
      <c r="C1783" s="2">
        <f>IFERROR(__xludf.DUMMYFUNCTION("""COMPUTED_VALUE"""),103.2)</f>
        <v>103.2</v>
      </c>
      <c r="D1783" s="2">
        <f>IFERROR(__xludf.DUMMYFUNCTION("""COMPUTED_VALUE"""),101.0)</f>
        <v>101</v>
      </c>
      <c r="E1783" s="2">
        <f>IFERROR(__xludf.DUMMYFUNCTION("""COMPUTED_VALUE"""),101.6)</f>
        <v>101.6</v>
      </c>
      <c r="F1783" s="2">
        <f>IFERROR(__xludf.DUMMYFUNCTION("""COMPUTED_VALUE"""),1126947.0)</f>
        <v>1126947</v>
      </c>
    </row>
    <row r="1784">
      <c r="A1784" s="3">
        <f>IFERROR(__xludf.DUMMYFUNCTION("""COMPUTED_VALUE"""),39135.645833333336)</f>
        <v>39135.64583</v>
      </c>
      <c r="B1784" s="2">
        <f>IFERROR(__xludf.DUMMYFUNCTION("""COMPUTED_VALUE"""),101.8)</f>
        <v>101.8</v>
      </c>
      <c r="C1784" s="2">
        <f>IFERROR(__xludf.DUMMYFUNCTION("""COMPUTED_VALUE"""),102.4)</f>
        <v>102.4</v>
      </c>
      <c r="D1784" s="2">
        <f>IFERROR(__xludf.DUMMYFUNCTION("""COMPUTED_VALUE"""),97.8)</f>
        <v>97.8</v>
      </c>
      <c r="E1784" s="2">
        <f>IFERROR(__xludf.DUMMYFUNCTION("""COMPUTED_VALUE"""),98.73)</f>
        <v>98.73</v>
      </c>
      <c r="F1784" s="2">
        <f>IFERROR(__xludf.DUMMYFUNCTION("""COMPUTED_VALUE"""),1073998.0)</f>
        <v>1073998</v>
      </c>
    </row>
    <row r="1785">
      <c r="A1785" s="3">
        <f>IFERROR(__xludf.DUMMYFUNCTION("""COMPUTED_VALUE"""),39136.645833333336)</f>
        <v>39136.64583</v>
      </c>
      <c r="B1785" s="2">
        <f>IFERROR(__xludf.DUMMYFUNCTION("""COMPUTED_VALUE"""),97.95)</f>
        <v>97.95</v>
      </c>
      <c r="C1785" s="2">
        <f>IFERROR(__xludf.DUMMYFUNCTION("""COMPUTED_VALUE"""),99.88)</f>
        <v>99.88</v>
      </c>
      <c r="D1785" s="2">
        <f>IFERROR(__xludf.DUMMYFUNCTION("""COMPUTED_VALUE"""),92.5)</f>
        <v>92.5</v>
      </c>
      <c r="E1785" s="2">
        <f>IFERROR(__xludf.DUMMYFUNCTION("""COMPUTED_VALUE"""),95.82)</f>
        <v>95.82</v>
      </c>
      <c r="F1785" s="2">
        <f>IFERROR(__xludf.DUMMYFUNCTION("""COMPUTED_VALUE"""),508629.0)</f>
        <v>508629</v>
      </c>
    </row>
    <row r="1786">
      <c r="A1786" s="3">
        <f>IFERROR(__xludf.DUMMYFUNCTION("""COMPUTED_VALUE"""),39139.645833333336)</f>
        <v>39139.64583</v>
      </c>
      <c r="B1786" s="2">
        <f>IFERROR(__xludf.DUMMYFUNCTION("""COMPUTED_VALUE"""),97.77)</f>
        <v>97.77</v>
      </c>
      <c r="C1786" s="2">
        <f>IFERROR(__xludf.DUMMYFUNCTION("""COMPUTED_VALUE"""),98.7)</f>
        <v>98.7</v>
      </c>
      <c r="D1786" s="2">
        <f>IFERROR(__xludf.DUMMYFUNCTION("""COMPUTED_VALUE"""),94.0)</f>
        <v>94</v>
      </c>
      <c r="E1786" s="2">
        <f>IFERROR(__xludf.DUMMYFUNCTION("""COMPUTED_VALUE"""),95.18)</f>
        <v>95.18</v>
      </c>
      <c r="F1786" s="2">
        <f>IFERROR(__xludf.DUMMYFUNCTION("""COMPUTED_VALUE"""),375471.0)</f>
        <v>375471</v>
      </c>
    </row>
    <row r="1787">
      <c r="A1787" s="3">
        <f>IFERROR(__xludf.DUMMYFUNCTION("""COMPUTED_VALUE"""),39140.645833333336)</f>
        <v>39140.64583</v>
      </c>
      <c r="B1787" s="2">
        <f>IFERROR(__xludf.DUMMYFUNCTION("""COMPUTED_VALUE"""),95.5)</f>
        <v>95.5</v>
      </c>
      <c r="C1787" s="2">
        <f>IFERROR(__xludf.DUMMYFUNCTION("""COMPUTED_VALUE"""),98.1)</f>
        <v>98.1</v>
      </c>
      <c r="D1787" s="2">
        <f>IFERROR(__xludf.DUMMYFUNCTION("""COMPUTED_VALUE"""),92.0)</f>
        <v>92</v>
      </c>
      <c r="E1787" s="2">
        <f>IFERROR(__xludf.DUMMYFUNCTION("""COMPUTED_VALUE"""),97.59)</f>
        <v>97.59</v>
      </c>
      <c r="F1787" s="2">
        <f>IFERROR(__xludf.DUMMYFUNCTION("""COMPUTED_VALUE"""),635689.0)</f>
        <v>635689</v>
      </c>
    </row>
    <row r="1788">
      <c r="A1788" s="3">
        <f>IFERROR(__xludf.DUMMYFUNCTION("""COMPUTED_VALUE"""),39141.645833333336)</f>
        <v>39141.64583</v>
      </c>
      <c r="B1788" s="2">
        <f>IFERROR(__xludf.DUMMYFUNCTION("""COMPUTED_VALUE"""),90.6)</f>
        <v>90.6</v>
      </c>
      <c r="C1788" s="2">
        <f>IFERROR(__xludf.DUMMYFUNCTION("""COMPUTED_VALUE"""),94.8)</f>
        <v>94.8</v>
      </c>
      <c r="D1788" s="2">
        <f>IFERROR(__xludf.DUMMYFUNCTION("""COMPUTED_VALUE"""),90.0)</f>
        <v>90</v>
      </c>
      <c r="E1788" s="2">
        <f>IFERROR(__xludf.DUMMYFUNCTION("""COMPUTED_VALUE"""),93.5)</f>
        <v>93.5</v>
      </c>
      <c r="F1788" s="2">
        <f>IFERROR(__xludf.DUMMYFUNCTION("""COMPUTED_VALUE"""),917052.0)</f>
        <v>917052</v>
      </c>
    </row>
    <row r="1789">
      <c r="A1789" s="3">
        <f>IFERROR(__xludf.DUMMYFUNCTION("""COMPUTED_VALUE"""),39142.645833333336)</f>
        <v>39142.64583</v>
      </c>
      <c r="B1789" s="2">
        <f>IFERROR(__xludf.DUMMYFUNCTION("""COMPUTED_VALUE"""),96.0)</f>
        <v>96</v>
      </c>
      <c r="C1789" s="2">
        <f>IFERROR(__xludf.DUMMYFUNCTION("""COMPUTED_VALUE"""),98.9)</f>
        <v>98.9</v>
      </c>
      <c r="D1789" s="2">
        <f>IFERROR(__xludf.DUMMYFUNCTION("""COMPUTED_VALUE"""),94.1)</f>
        <v>94.1</v>
      </c>
      <c r="E1789" s="2">
        <f>IFERROR(__xludf.DUMMYFUNCTION("""COMPUTED_VALUE"""),98.03)</f>
        <v>98.03</v>
      </c>
      <c r="F1789" s="2">
        <f>IFERROR(__xludf.DUMMYFUNCTION("""COMPUTED_VALUE"""),605834.0)</f>
        <v>605834</v>
      </c>
    </row>
    <row r="1790">
      <c r="A1790" s="3">
        <f>IFERROR(__xludf.DUMMYFUNCTION("""COMPUTED_VALUE"""),39143.645833333336)</f>
        <v>39143.64583</v>
      </c>
      <c r="B1790" s="2">
        <f>IFERROR(__xludf.DUMMYFUNCTION("""COMPUTED_VALUE"""),98.0)</f>
        <v>98</v>
      </c>
      <c r="C1790" s="2">
        <f>IFERROR(__xludf.DUMMYFUNCTION("""COMPUTED_VALUE"""),98.0)</f>
        <v>98</v>
      </c>
      <c r="D1790" s="2">
        <f>IFERROR(__xludf.DUMMYFUNCTION("""COMPUTED_VALUE"""),92.41)</f>
        <v>92.41</v>
      </c>
      <c r="E1790" s="2">
        <f>IFERROR(__xludf.DUMMYFUNCTION("""COMPUTED_VALUE"""),93.76)</f>
        <v>93.76</v>
      </c>
      <c r="F1790" s="2">
        <f>IFERROR(__xludf.DUMMYFUNCTION("""COMPUTED_VALUE"""),651321.0)</f>
        <v>651321</v>
      </c>
    </row>
    <row r="1791">
      <c r="A1791" s="3">
        <f>IFERROR(__xludf.DUMMYFUNCTION("""COMPUTED_VALUE"""),39146.645833333336)</f>
        <v>39146.64583</v>
      </c>
      <c r="B1791" s="2">
        <f>IFERROR(__xludf.DUMMYFUNCTION("""COMPUTED_VALUE"""),92.17)</f>
        <v>92.17</v>
      </c>
      <c r="C1791" s="2">
        <f>IFERROR(__xludf.DUMMYFUNCTION("""COMPUTED_VALUE"""),93.9)</f>
        <v>93.9</v>
      </c>
      <c r="D1791" s="2">
        <f>IFERROR(__xludf.DUMMYFUNCTION("""COMPUTED_VALUE"""),88.36)</f>
        <v>88.36</v>
      </c>
      <c r="E1791" s="2">
        <f>IFERROR(__xludf.DUMMYFUNCTION("""COMPUTED_VALUE"""),92.81)</f>
        <v>92.81</v>
      </c>
      <c r="F1791" s="2">
        <f>IFERROR(__xludf.DUMMYFUNCTION("""COMPUTED_VALUE"""),471677.0)</f>
        <v>471677</v>
      </c>
    </row>
    <row r="1792">
      <c r="A1792" s="3">
        <f>IFERROR(__xludf.DUMMYFUNCTION("""COMPUTED_VALUE"""),39147.645833333336)</f>
        <v>39147.64583</v>
      </c>
      <c r="B1792" s="2">
        <f>IFERROR(__xludf.DUMMYFUNCTION("""COMPUTED_VALUE"""),92.9)</f>
        <v>92.9</v>
      </c>
      <c r="C1792" s="2">
        <f>IFERROR(__xludf.DUMMYFUNCTION("""COMPUTED_VALUE"""),94.3)</f>
        <v>94.3</v>
      </c>
      <c r="D1792" s="2">
        <f>IFERROR(__xludf.DUMMYFUNCTION("""COMPUTED_VALUE"""),91.03)</f>
        <v>91.03</v>
      </c>
      <c r="E1792" s="2">
        <f>IFERROR(__xludf.DUMMYFUNCTION("""COMPUTED_VALUE"""),92.8)</f>
        <v>92.8</v>
      </c>
      <c r="F1792" s="2">
        <f>IFERROR(__xludf.DUMMYFUNCTION("""COMPUTED_VALUE"""),672478.0)</f>
        <v>672478</v>
      </c>
    </row>
    <row r="1793">
      <c r="A1793" s="3">
        <f>IFERROR(__xludf.DUMMYFUNCTION("""COMPUTED_VALUE"""),39148.645833333336)</f>
        <v>39148.64583</v>
      </c>
      <c r="B1793" s="2">
        <f>IFERROR(__xludf.DUMMYFUNCTION("""COMPUTED_VALUE"""),95.6)</f>
        <v>95.6</v>
      </c>
      <c r="C1793" s="2">
        <f>IFERROR(__xludf.DUMMYFUNCTION("""COMPUTED_VALUE"""),95.99)</f>
        <v>95.99</v>
      </c>
      <c r="D1793" s="2">
        <f>IFERROR(__xludf.DUMMYFUNCTION("""COMPUTED_VALUE"""),90.6)</f>
        <v>90.6</v>
      </c>
      <c r="E1793" s="2">
        <f>IFERROR(__xludf.DUMMYFUNCTION("""COMPUTED_VALUE"""),91.56)</f>
        <v>91.56</v>
      </c>
      <c r="F1793" s="2">
        <f>IFERROR(__xludf.DUMMYFUNCTION("""COMPUTED_VALUE"""),491264.0)</f>
        <v>491264</v>
      </c>
    </row>
    <row r="1794">
      <c r="A1794" s="3">
        <f>IFERROR(__xludf.DUMMYFUNCTION("""COMPUTED_VALUE"""),39149.645833333336)</f>
        <v>39149.64583</v>
      </c>
      <c r="B1794" s="2">
        <f>IFERROR(__xludf.DUMMYFUNCTION("""COMPUTED_VALUE"""),91.9)</f>
        <v>91.9</v>
      </c>
      <c r="C1794" s="2">
        <f>IFERROR(__xludf.DUMMYFUNCTION("""COMPUTED_VALUE"""),99.0)</f>
        <v>99</v>
      </c>
      <c r="D1794" s="2">
        <f>IFERROR(__xludf.DUMMYFUNCTION("""COMPUTED_VALUE"""),91.56)</f>
        <v>91.56</v>
      </c>
      <c r="E1794" s="2">
        <f>IFERROR(__xludf.DUMMYFUNCTION("""COMPUTED_VALUE"""),97.42)</f>
        <v>97.42</v>
      </c>
      <c r="F1794" s="2">
        <f>IFERROR(__xludf.DUMMYFUNCTION("""COMPUTED_VALUE"""),512766.0)</f>
        <v>512766</v>
      </c>
    </row>
    <row r="1795">
      <c r="A1795" s="3">
        <f>IFERROR(__xludf.DUMMYFUNCTION("""COMPUTED_VALUE"""),39150.645833333336)</f>
        <v>39150.64583</v>
      </c>
      <c r="B1795" s="2">
        <f>IFERROR(__xludf.DUMMYFUNCTION("""COMPUTED_VALUE"""),98.3)</f>
        <v>98.3</v>
      </c>
      <c r="C1795" s="2">
        <f>IFERROR(__xludf.DUMMYFUNCTION("""COMPUTED_VALUE"""),98.9)</f>
        <v>98.9</v>
      </c>
      <c r="D1795" s="2">
        <f>IFERROR(__xludf.DUMMYFUNCTION("""COMPUTED_VALUE"""),95.63)</f>
        <v>95.63</v>
      </c>
      <c r="E1795" s="2">
        <f>IFERROR(__xludf.DUMMYFUNCTION("""COMPUTED_VALUE"""),97.69)</f>
        <v>97.69</v>
      </c>
      <c r="F1795" s="2">
        <f>IFERROR(__xludf.DUMMYFUNCTION("""COMPUTED_VALUE"""),440403.0)</f>
        <v>440403</v>
      </c>
    </row>
    <row r="1796">
      <c r="A1796" s="3">
        <f>IFERROR(__xludf.DUMMYFUNCTION("""COMPUTED_VALUE"""),39153.645833333336)</f>
        <v>39153.64583</v>
      </c>
      <c r="B1796" s="2">
        <f>IFERROR(__xludf.DUMMYFUNCTION("""COMPUTED_VALUE"""),97.69)</f>
        <v>97.69</v>
      </c>
      <c r="C1796" s="2">
        <f>IFERROR(__xludf.DUMMYFUNCTION("""COMPUTED_VALUE"""),98.38)</f>
        <v>98.38</v>
      </c>
      <c r="D1796" s="2">
        <f>IFERROR(__xludf.DUMMYFUNCTION("""COMPUTED_VALUE"""),94.52)</f>
        <v>94.52</v>
      </c>
      <c r="E1796" s="2">
        <f>IFERROR(__xludf.DUMMYFUNCTION("""COMPUTED_VALUE"""),95.01)</f>
        <v>95.01</v>
      </c>
      <c r="F1796" s="2">
        <f>IFERROR(__xludf.DUMMYFUNCTION("""COMPUTED_VALUE"""),482345.0)</f>
        <v>482345</v>
      </c>
    </row>
    <row r="1797">
      <c r="A1797" s="3">
        <f>IFERROR(__xludf.DUMMYFUNCTION("""COMPUTED_VALUE"""),39154.645833333336)</f>
        <v>39154.64583</v>
      </c>
      <c r="B1797" s="2">
        <f>IFERROR(__xludf.DUMMYFUNCTION("""COMPUTED_VALUE"""),96.0)</f>
        <v>96</v>
      </c>
      <c r="C1797" s="2">
        <f>IFERROR(__xludf.DUMMYFUNCTION("""COMPUTED_VALUE"""),97.0)</f>
        <v>97</v>
      </c>
      <c r="D1797" s="2">
        <f>IFERROR(__xludf.DUMMYFUNCTION("""COMPUTED_VALUE"""),94.03)</f>
        <v>94.03</v>
      </c>
      <c r="E1797" s="2">
        <f>IFERROR(__xludf.DUMMYFUNCTION("""COMPUTED_VALUE"""),96.02)</f>
        <v>96.02</v>
      </c>
      <c r="F1797" s="2">
        <f>IFERROR(__xludf.DUMMYFUNCTION("""COMPUTED_VALUE"""),344574.0)</f>
        <v>344574</v>
      </c>
    </row>
    <row r="1798">
      <c r="A1798" s="3">
        <f>IFERROR(__xludf.DUMMYFUNCTION("""COMPUTED_VALUE"""),39155.645833333336)</f>
        <v>39155.64583</v>
      </c>
      <c r="B1798" s="2">
        <f>IFERROR(__xludf.DUMMYFUNCTION("""COMPUTED_VALUE"""),92.62)</f>
        <v>92.62</v>
      </c>
      <c r="C1798" s="2">
        <f>IFERROR(__xludf.DUMMYFUNCTION("""COMPUTED_VALUE"""),93.9)</f>
        <v>93.9</v>
      </c>
      <c r="D1798" s="2">
        <f>IFERROR(__xludf.DUMMYFUNCTION("""COMPUTED_VALUE"""),91.5)</f>
        <v>91.5</v>
      </c>
      <c r="E1798" s="2">
        <f>IFERROR(__xludf.DUMMYFUNCTION("""COMPUTED_VALUE"""),93.3)</f>
        <v>93.3</v>
      </c>
      <c r="F1798" s="2">
        <f>IFERROR(__xludf.DUMMYFUNCTION("""COMPUTED_VALUE"""),518723.0)</f>
        <v>518723</v>
      </c>
    </row>
    <row r="1799">
      <c r="A1799" s="3">
        <f>IFERROR(__xludf.DUMMYFUNCTION("""COMPUTED_VALUE"""),39156.645833333336)</f>
        <v>39156.64583</v>
      </c>
      <c r="B1799" s="2">
        <f>IFERROR(__xludf.DUMMYFUNCTION("""COMPUTED_VALUE"""),96.5)</f>
        <v>96.5</v>
      </c>
      <c r="C1799" s="2">
        <f>IFERROR(__xludf.DUMMYFUNCTION("""COMPUTED_VALUE"""),98.0)</f>
        <v>98</v>
      </c>
      <c r="D1799" s="2">
        <f>IFERROR(__xludf.DUMMYFUNCTION("""COMPUTED_VALUE"""),91.5)</f>
        <v>91.5</v>
      </c>
      <c r="E1799" s="2">
        <f>IFERROR(__xludf.DUMMYFUNCTION("""COMPUTED_VALUE"""),91.84)</f>
        <v>91.84</v>
      </c>
      <c r="F1799" s="2">
        <f>IFERROR(__xludf.DUMMYFUNCTION("""COMPUTED_VALUE"""),504577.0)</f>
        <v>504577</v>
      </c>
    </row>
    <row r="1800">
      <c r="A1800" s="3">
        <f>IFERROR(__xludf.DUMMYFUNCTION("""COMPUTED_VALUE"""),39157.645833333336)</f>
        <v>39157.64583</v>
      </c>
      <c r="B1800" s="2">
        <f>IFERROR(__xludf.DUMMYFUNCTION("""COMPUTED_VALUE"""),93.5)</f>
        <v>93.5</v>
      </c>
      <c r="C1800" s="2">
        <f>IFERROR(__xludf.DUMMYFUNCTION("""COMPUTED_VALUE"""),93.5)</f>
        <v>93.5</v>
      </c>
      <c r="D1800" s="2">
        <f>IFERROR(__xludf.DUMMYFUNCTION("""COMPUTED_VALUE"""),88.55)</f>
        <v>88.55</v>
      </c>
      <c r="E1800" s="2">
        <f>IFERROR(__xludf.DUMMYFUNCTION("""COMPUTED_VALUE"""),90.35)</f>
        <v>90.35</v>
      </c>
      <c r="F1800" s="2">
        <f>IFERROR(__xludf.DUMMYFUNCTION("""COMPUTED_VALUE"""),479865.0)</f>
        <v>479865</v>
      </c>
    </row>
    <row r="1801">
      <c r="A1801" s="3">
        <f>IFERROR(__xludf.DUMMYFUNCTION("""COMPUTED_VALUE"""),39160.645833333336)</f>
        <v>39160.64583</v>
      </c>
      <c r="B1801" s="2">
        <f>IFERROR(__xludf.DUMMYFUNCTION("""COMPUTED_VALUE"""),91.0)</f>
        <v>91</v>
      </c>
      <c r="C1801" s="2">
        <f>IFERROR(__xludf.DUMMYFUNCTION("""COMPUTED_VALUE"""),93.3)</f>
        <v>93.3</v>
      </c>
      <c r="D1801" s="2">
        <f>IFERROR(__xludf.DUMMYFUNCTION("""COMPUTED_VALUE"""),90.51)</f>
        <v>90.51</v>
      </c>
      <c r="E1801" s="2">
        <f>IFERROR(__xludf.DUMMYFUNCTION("""COMPUTED_VALUE"""),92.47)</f>
        <v>92.47</v>
      </c>
      <c r="F1801" s="2">
        <f>IFERROR(__xludf.DUMMYFUNCTION("""COMPUTED_VALUE"""),264983.0)</f>
        <v>264983</v>
      </c>
    </row>
    <row r="1802">
      <c r="A1802" s="3">
        <f>IFERROR(__xludf.DUMMYFUNCTION("""COMPUTED_VALUE"""),39161.645833333336)</f>
        <v>39161.64583</v>
      </c>
      <c r="B1802" s="2">
        <f>IFERROR(__xludf.DUMMYFUNCTION("""COMPUTED_VALUE"""),93.5)</f>
        <v>93.5</v>
      </c>
      <c r="C1802" s="2">
        <f>IFERROR(__xludf.DUMMYFUNCTION("""COMPUTED_VALUE"""),95.9)</f>
        <v>95.9</v>
      </c>
      <c r="D1802" s="2">
        <f>IFERROR(__xludf.DUMMYFUNCTION("""COMPUTED_VALUE"""),93.35)</f>
        <v>93.35</v>
      </c>
      <c r="E1802" s="2">
        <f>IFERROR(__xludf.DUMMYFUNCTION("""COMPUTED_VALUE"""),95.53)</f>
        <v>95.53</v>
      </c>
      <c r="F1802" s="2">
        <f>IFERROR(__xludf.DUMMYFUNCTION("""COMPUTED_VALUE"""),907110.0)</f>
        <v>907110</v>
      </c>
    </row>
    <row r="1803">
      <c r="A1803" s="3">
        <f>IFERROR(__xludf.DUMMYFUNCTION("""COMPUTED_VALUE"""),39162.645833333336)</f>
        <v>39162.64583</v>
      </c>
      <c r="B1803" s="2">
        <f>IFERROR(__xludf.DUMMYFUNCTION("""COMPUTED_VALUE"""),95.8)</f>
        <v>95.8</v>
      </c>
      <c r="C1803" s="2">
        <f>IFERROR(__xludf.DUMMYFUNCTION("""COMPUTED_VALUE"""),96.99)</f>
        <v>96.99</v>
      </c>
      <c r="D1803" s="2">
        <f>IFERROR(__xludf.DUMMYFUNCTION("""COMPUTED_VALUE"""),95.0)</f>
        <v>95</v>
      </c>
      <c r="E1803" s="2">
        <f>IFERROR(__xludf.DUMMYFUNCTION("""COMPUTED_VALUE"""),96.56)</f>
        <v>96.56</v>
      </c>
      <c r="F1803" s="2">
        <f>IFERROR(__xludf.DUMMYFUNCTION("""COMPUTED_VALUE"""),344457.0)</f>
        <v>344457</v>
      </c>
    </row>
    <row r="1804">
      <c r="A1804" s="3">
        <f>IFERROR(__xludf.DUMMYFUNCTION("""COMPUTED_VALUE"""),39163.645833333336)</f>
        <v>39163.64583</v>
      </c>
      <c r="B1804" s="2">
        <f>IFERROR(__xludf.DUMMYFUNCTION("""COMPUTED_VALUE"""),98.9)</f>
        <v>98.9</v>
      </c>
      <c r="C1804" s="2">
        <f>IFERROR(__xludf.DUMMYFUNCTION("""COMPUTED_VALUE"""),103.2)</f>
        <v>103.2</v>
      </c>
      <c r="D1804" s="2">
        <f>IFERROR(__xludf.DUMMYFUNCTION("""COMPUTED_VALUE"""),97.6)</f>
        <v>97.6</v>
      </c>
      <c r="E1804" s="2">
        <f>IFERROR(__xludf.DUMMYFUNCTION("""COMPUTED_VALUE"""),102.59)</f>
        <v>102.59</v>
      </c>
      <c r="F1804" s="2">
        <f>IFERROR(__xludf.DUMMYFUNCTION("""COMPUTED_VALUE"""),480426.0)</f>
        <v>480426</v>
      </c>
    </row>
    <row r="1805">
      <c r="A1805" s="3">
        <f>IFERROR(__xludf.DUMMYFUNCTION("""COMPUTED_VALUE"""),39164.645833333336)</f>
        <v>39164.64583</v>
      </c>
      <c r="B1805" s="2">
        <f>IFERROR(__xludf.DUMMYFUNCTION("""COMPUTED_VALUE"""),103.0)</f>
        <v>103</v>
      </c>
      <c r="C1805" s="2">
        <f>IFERROR(__xludf.DUMMYFUNCTION("""COMPUTED_VALUE"""),103.0)</f>
        <v>103</v>
      </c>
      <c r="D1805" s="2">
        <f>IFERROR(__xludf.DUMMYFUNCTION("""COMPUTED_VALUE"""),99.6)</f>
        <v>99.6</v>
      </c>
      <c r="E1805" s="2">
        <f>IFERROR(__xludf.DUMMYFUNCTION("""COMPUTED_VALUE"""),101.12)</f>
        <v>101.12</v>
      </c>
      <c r="F1805" s="2">
        <f>IFERROR(__xludf.DUMMYFUNCTION("""COMPUTED_VALUE"""),577582.0)</f>
        <v>577582</v>
      </c>
    </row>
    <row r="1806">
      <c r="A1806" s="3">
        <f>IFERROR(__xludf.DUMMYFUNCTION("""COMPUTED_VALUE"""),39167.645833333336)</f>
        <v>39167.64583</v>
      </c>
      <c r="B1806" s="2">
        <f>IFERROR(__xludf.DUMMYFUNCTION("""COMPUTED_VALUE"""),101.8)</f>
        <v>101.8</v>
      </c>
      <c r="C1806" s="2">
        <f>IFERROR(__xludf.DUMMYFUNCTION("""COMPUTED_VALUE"""),101.8)</f>
        <v>101.8</v>
      </c>
      <c r="D1806" s="2">
        <f>IFERROR(__xludf.DUMMYFUNCTION("""COMPUTED_VALUE"""),96.73)</f>
        <v>96.73</v>
      </c>
      <c r="E1806" s="2">
        <f>IFERROR(__xludf.DUMMYFUNCTION("""COMPUTED_VALUE"""),97.32)</f>
        <v>97.32</v>
      </c>
      <c r="F1806" s="2">
        <f>IFERROR(__xludf.DUMMYFUNCTION("""COMPUTED_VALUE"""),753260.0)</f>
        <v>753260</v>
      </c>
    </row>
    <row r="1807">
      <c r="A1807" s="3">
        <f>IFERROR(__xludf.DUMMYFUNCTION("""COMPUTED_VALUE"""),39169.645833333336)</f>
        <v>39169.64583</v>
      </c>
      <c r="B1807" s="2">
        <f>IFERROR(__xludf.DUMMYFUNCTION("""COMPUTED_VALUE"""),97.3)</f>
        <v>97.3</v>
      </c>
      <c r="C1807" s="2">
        <f>IFERROR(__xludf.DUMMYFUNCTION("""COMPUTED_VALUE"""),97.3)</f>
        <v>97.3</v>
      </c>
      <c r="D1807" s="2">
        <f>IFERROR(__xludf.DUMMYFUNCTION("""COMPUTED_VALUE"""),95.2)</f>
        <v>95.2</v>
      </c>
      <c r="E1807" s="2">
        <f>IFERROR(__xludf.DUMMYFUNCTION("""COMPUTED_VALUE"""),95.85)</f>
        <v>95.85</v>
      </c>
      <c r="F1807" s="2">
        <f>IFERROR(__xludf.DUMMYFUNCTION("""COMPUTED_VALUE"""),430816.0)</f>
        <v>430816</v>
      </c>
    </row>
    <row r="1808">
      <c r="A1808" s="3">
        <f>IFERROR(__xludf.DUMMYFUNCTION("""COMPUTED_VALUE"""),39170.645833333336)</f>
        <v>39170.64583</v>
      </c>
      <c r="B1808" s="2">
        <f>IFERROR(__xludf.DUMMYFUNCTION("""COMPUTED_VALUE"""),95.2)</f>
        <v>95.2</v>
      </c>
      <c r="C1808" s="2">
        <f>IFERROR(__xludf.DUMMYFUNCTION("""COMPUTED_VALUE"""),95.5)</f>
        <v>95.5</v>
      </c>
      <c r="D1808" s="2">
        <f>IFERROR(__xludf.DUMMYFUNCTION("""COMPUTED_VALUE"""),92.8)</f>
        <v>92.8</v>
      </c>
      <c r="E1808" s="2">
        <f>IFERROR(__xludf.DUMMYFUNCTION("""COMPUTED_VALUE"""),93.38)</f>
        <v>93.38</v>
      </c>
      <c r="F1808" s="2">
        <f>IFERROR(__xludf.DUMMYFUNCTION("""COMPUTED_VALUE"""),2563015.0)</f>
        <v>2563015</v>
      </c>
    </row>
    <row r="1809">
      <c r="A1809" s="3">
        <f>IFERROR(__xludf.DUMMYFUNCTION("""COMPUTED_VALUE"""),39171.645833333336)</f>
        <v>39171.64583</v>
      </c>
      <c r="B1809" s="2">
        <f>IFERROR(__xludf.DUMMYFUNCTION("""COMPUTED_VALUE"""),94.6)</f>
        <v>94.6</v>
      </c>
      <c r="C1809" s="2">
        <f>IFERROR(__xludf.DUMMYFUNCTION("""COMPUTED_VALUE"""),96.99)</f>
        <v>96.99</v>
      </c>
      <c r="D1809" s="2">
        <f>IFERROR(__xludf.DUMMYFUNCTION("""COMPUTED_VALUE"""),93.8)</f>
        <v>93.8</v>
      </c>
      <c r="E1809" s="2">
        <f>IFERROR(__xludf.DUMMYFUNCTION("""COMPUTED_VALUE"""),95.42)</f>
        <v>95.42</v>
      </c>
      <c r="F1809" s="2">
        <f>IFERROR(__xludf.DUMMYFUNCTION("""COMPUTED_VALUE"""),1080888.0)</f>
        <v>1080888</v>
      </c>
    </row>
    <row r="1810">
      <c r="A1810" s="3">
        <f>IFERROR(__xludf.DUMMYFUNCTION("""COMPUTED_VALUE"""),39174.645833333336)</f>
        <v>39174.64583</v>
      </c>
      <c r="B1810" s="2">
        <f>IFERROR(__xludf.DUMMYFUNCTION("""COMPUTED_VALUE"""),91.01)</f>
        <v>91.01</v>
      </c>
      <c r="C1810" s="2">
        <f>IFERROR(__xludf.DUMMYFUNCTION("""COMPUTED_VALUE"""),92.2)</f>
        <v>92.2</v>
      </c>
      <c r="D1810" s="2">
        <f>IFERROR(__xludf.DUMMYFUNCTION("""COMPUTED_VALUE"""),89.49)</f>
        <v>89.49</v>
      </c>
      <c r="E1810" s="2">
        <f>IFERROR(__xludf.DUMMYFUNCTION("""COMPUTED_VALUE"""),90.13)</f>
        <v>90.13</v>
      </c>
      <c r="F1810" s="2">
        <f>IFERROR(__xludf.DUMMYFUNCTION("""COMPUTED_VALUE"""),662078.0)</f>
        <v>662078</v>
      </c>
    </row>
    <row r="1811">
      <c r="A1811" s="3">
        <f>IFERROR(__xludf.DUMMYFUNCTION("""COMPUTED_VALUE"""),39175.645833333336)</f>
        <v>39175.64583</v>
      </c>
      <c r="B1811" s="2">
        <f>IFERROR(__xludf.DUMMYFUNCTION("""COMPUTED_VALUE"""),90.12)</f>
        <v>90.12</v>
      </c>
      <c r="C1811" s="2">
        <f>IFERROR(__xludf.DUMMYFUNCTION("""COMPUTED_VALUE"""),92.38)</f>
        <v>92.38</v>
      </c>
      <c r="D1811" s="2">
        <f>IFERROR(__xludf.DUMMYFUNCTION("""COMPUTED_VALUE"""),90.12)</f>
        <v>90.12</v>
      </c>
      <c r="E1811" s="2">
        <f>IFERROR(__xludf.DUMMYFUNCTION("""COMPUTED_VALUE"""),91.42)</f>
        <v>91.42</v>
      </c>
      <c r="F1811" s="2">
        <f>IFERROR(__xludf.DUMMYFUNCTION("""COMPUTED_VALUE"""),650792.0)</f>
        <v>650792</v>
      </c>
    </row>
    <row r="1812">
      <c r="A1812" s="3">
        <f>IFERROR(__xludf.DUMMYFUNCTION("""COMPUTED_VALUE"""),39176.645833333336)</f>
        <v>39176.64583</v>
      </c>
      <c r="B1812" s="2">
        <f>IFERROR(__xludf.DUMMYFUNCTION("""COMPUTED_VALUE"""),92.5)</f>
        <v>92.5</v>
      </c>
      <c r="C1812" s="2">
        <f>IFERROR(__xludf.DUMMYFUNCTION("""COMPUTED_VALUE"""),93.7)</f>
        <v>93.7</v>
      </c>
      <c r="D1812" s="2">
        <f>IFERROR(__xludf.DUMMYFUNCTION("""COMPUTED_VALUE"""),92.0)</f>
        <v>92</v>
      </c>
      <c r="E1812" s="2">
        <f>IFERROR(__xludf.DUMMYFUNCTION("""COMPUTED_VALUE"""),92.51)</f>
        <v>92.51</v>
      </c>
      <c r="F1812" s="2">
        <f>IFERROR(__xludf.DUMMYFUNCTION("""COMPUTED_VALUE"""),375139.0)</f>
        <v>375139</v>
      </c>
    </row>
    <row r="1813">
      <c r="A1813" s="3">
        <f>IFERROR(__xludf.DUMMYFUNCTION("""COMPUTED_VALUE"""),39177.645833333336)</f>
        <v>39177.64583</v>
      </c>
      <c r="B1813" s="2">
        <f>IFERROR(__xludf.DUMMYFUNCTION("""COMPUTED_VALUE"""),92.51)</f>
        <v>92.51</v>
      </c>
      <c r="C1813" s="2">
        <f>IFERROR(__xludf.DUMMYFUNCTION("""COMPUTED_VALUE"""),94.8)</f>
        <v>94.8</v>
      </c>
      <c r="D1813" s="2">
        <f>IFERROR(__xludf.DUMMYFUNCTION("""COMPUTED_VALUE"""),91.8)</f>
        <v>91.8</v>
      </c>
      <c r="E1813" s="2">
        <f>IFERROR(__xludf.DUMMYFUNCTION("""COMPUTED_VALUE"""),94.26)</f>
        <v>94.26</v>
      </c>
      <c r="F1813" s="2">
        <f>IFERROR(__xludf.DUMMYFUNCTION("""COMPUTED_VALUE"""),288620.0)</f>
        <v>288620</v>
      </c>
    </row>
    <row r="1814">
      <c r="A1814" s="3">
        <f>IFERROR(__xludf.DUMMYFUNCTION("""COMPUTED_VALUE"""),39181.645833333336)</f>
        <v>39181.64583</v>
      </c>
      <c r="B1814" s="2">
        <f>IFERROR(__xludf.DUMMYFUNCTION("""COMPUTED_VALUE"""),94.97)</f>
        <v>94.97</v>
      </c>
      <c r="C1814" s="2">
        <f>IFERROR(__xludf.DUMMYFUNCTION("""COMPUTED_VALUE"""),97.5)</f>
        <v>97.5</v>
      </c>
      <c r="D1814" s="2">
        <f>IFERROR(__xludf.DUMMYFUNCTION("""COMPUTED_VALUE"""),94.26)</f>
        <v>94.26</v>
      </c>
      <c r="E1814" s="2">
        <f>IFERROR(__xludf.DUMMYFUNCTION("""COMPUTED_VALUE"""),97.12)</f>
        <v>97.12</v>
      </c>
      <c r="F1814" s="2">
        <f>IFERROR(__xludf.DUMMYFUNCTION("""COMPUTED_VALUE"""),213569.0)</f>
        <v>213569</v>
      </c>
    </row>
    <row r="1815">
      <c r="A1815" s="3">
        <f>IFERROR(__xludf.DUMMYFUNCTION("""COMPUTED_VALUE"""),39182.645833333336)</f>
        <v>39182.64583</v>
      </c>
      <c r="B1815" s="2">
        <f>IFERROR(__xludf.DUMMYFUNCTION("""COMPUTED_VALUE"""),97.5)</f>
        <v>97.5</v>
      </c>
      <c r="C1815" s="2">
        <f>IFERROR(__xludf.DUMMYFUNCTION("""COMPUTED_VALUE"""),99.5)</f>
        <v>99.5</v>
      </c>
      <c r="D1815" s="2">
        <f>IFERROR(__xludf.DUMMYFUNCTION("""COMPUTED_VALUE"""),95.4)</f>
        <v>95.4</v>
      </c>
      <c r="E1815" s="2">
        <f>IFERROR(__xludf.DUMMYFUNCTION("""COMPUTED_VALUE"""),99.2)</f>
        <v>99.2</v>
      </c>
      <c r="F1815" s="2">
        <f>IFERROR(__xludf.DUMMYFUNCTION("""COMPUTED_VALUE"""),373437.0)</f>
        <v>373437</v>
      </c>
    </row>
    <row r="1816">
      <c r="A1816" s="3">
        <f>IFERROR(__xludf.DUMMYFUNCTION("""COMPUTED_VALUE"""),39183.645833333336)</f>
        <v>39183.64583</v>
      </c>
      <c r="B1816" s="2">
        <f>IFERROR(__xludf.DUMMYFUNCTION("""COMPUTED_VALUE"""),99.0)</f>
        <v>99</v>
      </c>
      <c r="C1816" s="2">
        <f>IFERROR(__xludf.DUMMYFUNCTION("""COMPUTED_VALUE"""),99.7)</f>
        <v>99.7</v>
      </c>
      <c r="D1816" s="2">
        <f>IFERROR(__xludf.DUMMYFUNCTION("""COMPUTED_VALUE"""),97.5)</f>
        <v>97.5</v>
      </c>
      <c r="E1816" s="2">
        <f>IFERROR(__xludf.DUMMYFUNCTION("""COMPUTED_VALUE"""),97.93)</f>
        <v>97.93</v>
      </c>
      <c r="F1816" s="2">
        <f>IFERROR(__xludf.DUMMYFUNCTION("""COMPUTED_VALUE"""),442687.0)</f>
        <v>442687</v>
      </c>
    </row>
    <row r="1817">
      <c r="A1817" s="3">
        <f>IFERROR(__xludf.DUMMYFUNCTION("""COMPUTED_VALUE"""),39184.645833333336)</f>
        <v>39184.64583</v>
      </c>
      <c r="B1817" s="2">
        <f>IFERROR(__xludf.DUMMYFUNCTION("""COMPUTED_VALUE"""),97.0)</f>
        <v>97</v>
      </c>
      <c r="C1817" s="2">
        <f>IFERROR(__xludf.DUMMYFUNCTION("""COMPUTED_VALUE"""),97.0)</f>
        <v>97</v>
      </c>
      <c r="D1817" s="2">
        <f>IFERROR(__xludf.DUMMYFUNCTION("""COMPUTED_VALUE"""),95.2)</f>
        <v>95.2</v>
      </c>
      <c r="E1817" s="2">
        <f>IFERROR(__xludf.DUMMYFUNCTION("""COMPUTED_VALUE"""),95.83)</f>
        <v>95.83</v>
      </c>
      <c r="F1817" s="2">
        <f>IFERROR(__xludf.DUMMYFUNCTION("""COMPUTED_VALUE"""),356667.0)</f>
        <v>356667</v>
      </c>
    </row>
    <row r="1818">
      <c r="A1818" s="3">
        <f>IFERROR(__xludf.DUMMYFUNCTION("""COMPUTED_VALUE"""),39185.645833333336)</f>
        <v>39185.64583</v>
      </c>
      <c r="B1818" s="2">
        <f>IFERROR(__xludf.DUMMYFUNCTION("""COMPUTED_VALUE"""),96.0)</f>
        <v>96</v>
      </c>
      <c r="C1818" s="2">
        <f>IFERROR(__xludf.DUMMYFUNCTION("""COMPUTED_VALUE"""),98.7)</f>
        <v>98.7</v>
      </c>
      <c r="D1818" s="2">
        <f>IFERROR(__xludf.DUMMYFUNCTION("""COMPUTED_VALUE"""),95.2)</f>
        <v>95.2</v>
      </c>
      <c r="E1818" s="2">
        <f>IFERROR(__xludf.DUMMYFUNCTION("""COMPUTED_VALUE"""),98.12)</f>
        <v>98.12</v>
      </c>
      <c r="F1818" s="2">
        <f>IFERROR(__xludf.DUMMYFUNCTION("""COMPUTED_VALUE"""),420099.0)</f>
        <v>420099</v>
      </c>
    </row>
    <row r="1819">
      <c r="A1819" s="3">
        <f>IFERROR(__xludf.DUMMYFUNCTION("""COMPUTED_VALUE"""),39188.645833333336)</f>
        <v>39188.64583</v>
      </c>
      <c r="B1819" s="2">
        <f>IFERROR(__xludf.DUMMYFUNCTION("""COMPUTED_VALUE"""),99.0)</f>
        <v>99</v>
      </c>
      <c r="C1819" s="2">
        <f>IFERROR(__xludf.DUMMYFUNCTION("""COMPUTED_VALUE"""),99.9)</f>
        <v>99.9</v>
      </c>
      <c r="D1819" s="2">
        <f>IFERROR(__xludf.DUMMYFUNCTION("""COMPUTED_VALUE"""),96.62)</f>
        <v>96.62</v>
      </c>
      <c r="E1819" s="2">
        <f>IFERROR(__xludf.DUMMYFUNCTION("""COMPUTED_VALUE"""),97.5)</f>
        <v>97.5</v>
      </c>
      <c r="F1819" s="2">
        <f>IFERROR(__xludf.DUMMYFUNCTION("""COMPUTED_VALUE"""),311684.0)</f>
        <v>311684</v>
      </c>
    </row>
    <row r="1820">
      <c r="A1820" s="3">
        <f>IFERROR(__xludf.DUMMYFUNCTION("""COMPUTED_VALUE"""),39189.645833333336)</f>
        <v>39189.64583</v>
      </c>
      <c r="B1820" s="2">
        <f>IFERROR(__xludf.DUMMYFUNCTION("""COMPUTED_VALUE"""),98.1)</f>
        <v>98.1</v>
      </c>
      <c r="C1820" s="2">
        <f>IFERROR(__xludf.DUMMYFUNCTION("""COMPUTED_VALUE"""),99.4)</f>
        <v>99.4</v>
      </c>
      <c r="D1820" s="2">
        <f>IFERROR(__xludf.DUMMYFUNCTION("""COMPUTED_VALUE"""),97.17)</f>
        <v>97.17</v>
      </c>
      <c r="E1820" s="2">
        <f>IFERROR(__xludf.DUMMYFUNCTION("""COMPUTED_VALUE"""),97.81)</f>
        <v>97.81</v>
      </c>
      <c r="F1820" s="2">
        <f>IFERROR(__xludf.DUMMYFUNCTION("""COMPUTED_VALUE"""),740019.0)</f>
        <v>740019</v>
      </c>
    </row>
    <row r="1821">
      <c r="A1821" s="3">
        <f>IFERROR(__xludf.DUMMYFUNCTION("""COMPUTED_VALUE"""),39190.645833333336)</f>
        <v>39190.64583</v>
      </c>
      <c r="B1821" s="2">
        <f>IFERROR(__xludf.DUMMYFUNCTION("""COMPUTED_VALUE"""),98.5)</f>
        <v>98.5</v>
      </c>
      <c r="C1821" s="2">
        <f>IFERROR(__xludf.DUMMYFUNCTION("""COMPUTED_VALUE"""),99.2)</f>
        <v>99.2</v>
      </c>
      <c r="D1821" s="2">
        <f>IFERROR(__xludf.DUMMYFUNCTION("""COMPUTED_VALUE"""),97.41)</f>
        <v>97.41</v>
      </c>
      <c r="E1821" s="2">
        <f>IFERROR(__xludf.DUMMYFUNCTION("""COMPUTED_VALUE"""),98.04)</f>
        <v>98.04</v>
      </c>
      <c r="F1821" s="2">
        <f>IFERROR(__xludf.DUMMYFUNCTION("""COMPUTED_VALUE"""),318907.0)</f>
        <v>318907</v>
      </c>
    </row>
    <row r="1822">
      <c r="A1822" s="3">
        <f>IFERROR(__xludf.DUMMYFUNCTION("""COMPUTED_VALUE"""),39191.645833333336)</f>
        <v>39191.64583</v>
      </c>
      <c r="B1822" s="2">
        <f>IFERROR(__xludf.DUMMYFUNCTION("""COMPUTED_VALUE"""),96.65)</f>
        <v>96.65</v>
      </c>
      <c r="C1822" s="2">
        <f>IFERROR(__xludf.DUMMYFUNCTION("""COMPUTED_VALUE"""),99.2)</f>
        <v>99.2</v>
      </c>
      <c r="D1822" s="2">
        <f>IFERROR(__xludf.DUMMYFUNCTION("""COMPUTED_VALUE"""),96.01)</f>
        <v>96.01</v>
      </c>
      <c r="E1822" s="2">
        <f>IFERROR(__xludf.DUMMYFUNCTION("""COMPUTED_VALUE"""),98.25)</f>
        <v>98.25</v>
      </c>
      <c r="F1822" s="2">
        <f>IFERROR(__xludf.DUMMYFUNCTION("""COMPUTED_VALUE"""),323518.0)</f>
        <v>323518</v>
      </c>
    </row>
    <row r="1823">
      <c r="A1823" s="3">
        <f>IFERROR(__xludf.DUMMYFUNCTION("""COMPUTED_VALUE"""),39192.645833333336)</f>
        <v>39192.64583</v>
      </c>
      <c r="B1823" s="2">
        <f>IFERROR(__xludf.DUMMYFUNCTION("""COMPUTED_VALUE"""),98.55)</f>
        <v>98.55</v>
      </c>
      <c r="C1823" s="2">
        <f>IFERROR(__xludf.DUMMYFUNCTION("""COMPUTED_VALUE"""),100.9)</f>
        <v>100.9</v>
      </c>
      <c r="D1823" s="2">
        <f>IFERROR(__xludf.DUMMYFUNCTION("""COMPUTED_VALUE"""),97.0)</f>
        <v>97</v>
      </c>
      <c r="E1823" s="2">
        <f>IFERROR(__xludf.DUMMYFUNCTION("""COMPUTED_VALUE"""),99.46)</f>
        <v>99.46</v>
      </c>
      <c r="F1823" s="2">
        <f>IFERROR(__xludf.DUMMYFUNCTION("""COMPUTED_VALUE"""),357502.0)</f>
        <v>357502</v>
      </c>
    </row>
    <row r="1824">
      <c r="A1824" s="3">
        <f>IFERROR(__xludf.DUMMYFUNCTION("""COMPUTED_VALUE"""),39195.645833333336)</f>
        <v>39195.64583</v>
      </c>
      <c r="B1824" s="2">
        <f>IFERROR(__xludf.DUMMYFUNCTION("""COMPUTED_VALUE"""),99.9)</f>
        <v>99.9</v>
      </c>
      <c r="C1824" s="2">
        <f>IFERROR(__xludf.DUMMYFUNCTION("""COMPUTED_VALUE"""),100.83)</f>
        <v>100.83</v>
      </c>
      <c r="D1824" s="2">
        <f>IFERROR(__xludf.DUMMYFUNCTION("""COMPUTED_VALUE"""),98.4)</f>
        <v>98.4</v>
      </c>
      <c r="E1824" s="2">
        <f>IFERROR(__xludf.DUMMYFUNCTION("""COMPUTED_VALUE"""),98.68)</f>
        <v>98.68</v>
      </c>
      <c r="F1824" s="2">
        <f>IFERROR(__xludf.DUMMYFUNCTION("""COMPUTED_VALUE"""),339648.0)</f>
        <v>339648</v>
      </c>
    </row>
    <row r="1825">
      <c r="A1825" s="3">
        <f>IFERROR(__xludf.DUMMYFUNCTION("""COMPUTED_VALUE"""),39196.645833333336)</f>
        <v>39196.64583</v>
      </c>
      <c r="B1825" s="2">
        <f>IFERROR(__xludf.DUMMYFUNCTION("""COMPUTED_VALUE"""),98.68)</f>
        <v>98.68</v>
      </c>
      <c r="C1825" s="2">
        <f>IFERROR(__xludf.DUMMYFUNCTION("""COMPUTED_VALUE"""),102.46)</f>
        <v>102.46</v>
      </c>
      <c r="D1825" s="2">
        <f>IFERROR(__xludf.DUMMYFUNCTION("""COMPUTED_VALUE"""),97.63)</f>
        <v>97.63</v>
      </c>
      <c r="E1825" s="2">
        <f>IFERROR(__xludf.DUMMYFUNCTION("""COMPUTED_VALUE"""),101.38)</f>
        <v>101.38</v>
      </c>
      <c r="F1825" s="2">
        <f>IFERROR(__xludf.DUMMYFUNCTION("""COMPUTED_VALUE"""),1718757.0)</f>
        <v>1718757</v>
      </c>
    </row>
    <row r="1826">
      <c r="A1826" s="3">
        <f>IFERROR(__xludf.DUMMYFUNCTION("""COMPUTED_VALUE"""),39197.645833333336)</f>
        <v>39197.64583</v>
      </c>
      <c r="B1826" s="2">
        <f>IFERROR(__xludf.DUMMYFUNCTION("""COMPUTED_VALUE"""),101.5)</f>
        <v>101.5</v>
      </c>
      <c r="C1826" s="2">
        <f>IFERROR(__xludf.DUMMYFUNCTION("""COMPUTED_VALUE"""),104.0)</f>
        <v>104</v>
      </c>
      <c r="D1826" s="2">
        <f>IFERROR(__xludf.DUMMYFUNCTION("""COMPUTED_VALUE"""),101.5)</f>
        <v>101.5</v>
      </c>
      <c r="E1826" s="2">
        <f>IFERROR(__xludf.DUMMYFUNCTION("""COMPUTED_VALUE"""),103.1)</f>
        <v>103.1</v>
      </c>
      <c r="F1826" s="2">
        <f>IFERROR(__xludf.DUMMYFUNCTION("""COMPUTED_VALUE"""),1620419.0)</f>
        <v>1620419</v>
      </c>
    </row>
    <row r="1827">
      <c r="A1827" s="3">
        <f>IFERROR(__xludf.DUMMYFUNCTION("""COMPUTED_VALUE"""),39198.645833333336)</f>
        <v>39198.64583</v>
      </c>
      <c r="B1827" s="2">
        <f>IFERROR(__xludf.DUMMYFUNCTION("""COMPUTED_VALUE"""),103.95)</f>
        <v>103.95</v>
      </c>
      <c r="C1827" s="2">
        <f>IFERROR(__xludf.DUMMYFUNCTION("""COMPUTED_VALUE"""),104.5)</f>
        <v>104.5</v>
      </c>
      <c r="D1827" s="2">
        <f>IFERROR(__xludf.DUMMYFUNCTION("""COMPUTED_VALUE"""),100.62)</f>
        <v>100.62</v>
      </c>
      <c r="E1827" s="2">
        <f>IFERROR(__xludf.DUMMYFUNCTION("""COMPUTED_VALUE"""),103.45)</f>
        <v>103.45</v>
      </c>
      <c r="F1827" s="2">
        <f>IFERROR(__xludf.DUMMYFUNCTION("""COMPUTED_VALUE"""),1263510.0)</f>
        <v>1263510</v>
      </c>
    </row>
    <row r="1828">
      <c r="A1828" s="3">
        <f>IFERROR(__xludf.DUMMYFUNCTION("""COMPUTED_VALUE"""),39199.645833333336)</f>
        <v>39199.64583</v>
      </c>
      <c r="B1828" s="2">
        <f>IFERROR(__xludf.DUMMYFUNCTION("""COMPUTED_VALUE"""),98.53)</f>
        <v>98.53</v>
      </c>
      <c r="C1828" s="2">
        <f>IFERROR(__xludf.DUMMYFUNCTION("""COMPUTED_VALUE"""),104.0)</f>
        <v>104</v>
      </c>
      <c r="D1828" s="2">
        <f>IFERROR(__xludf.DUMMYFUNCTION("""COMPUTED_VALUE"""),98.53)</f>
        <v>98.53</v>
      </c>
      <c r="E1828" s="2">
        <f>IFERROR(__xludf.DUMMYFUNCTION("""COMPUTED_VALUE"""),101.46)</f>
        <v>101.46</v>
      </c>
      <c r="F1828" s="2">
        <f>IFERROR(__xludf.DUMMYFUNCTION("""COMPUTED_VALUE"""),355937.0)</f>
        <v>355937</v>
      </c>
    </row>
    <row r="1829">
      <c r="A1829" s="3">
        <f>IFERROR(__xludf.DUMMYFUNCTION("""COMPUTED_VALUE"""),39202.645833333336)</f>
        <v>39202.64583</v>
      </c>
      <c r="B1829" s="2">
        <f>IFERROR(__xludf.DUMMYFUNCTION("""COMPUTED_VALUE"""),100.6)</f>
        <v>100.6</v>
      </c>
      <c r="C1829" s="2">
        <f>IFERROR(__xludf.DUMMYFUNCTION("""COMPUTED_VALUE"""),103.0)</f>
        <v>103</v>
      </c>
      <c r="D1829" s="2">
        <f>IFERROR(__xludf.DUMMYFUNCTION("""COMPUTED_VALUE"""),97.03)</f>
        <v>97.03</v>
      </c>
      <c r="E1829" s="2">
        <f>IFERROR(__xludf.DUMMYFUNCTION("""COMPUTED_VALUE"""),102.42)</f>
        <v>102.42</v>
      </c>
      <c r="F1829" s="2">
        <f>IFERROR(__xludf.DUMMYFUNCTION("""COMPUTED_VALUE"""),510885.0)</f>
        <v>510885</v>
      </c>
    </row>
    <row r="1830">
      <c r="A1830" s="3">
        <f>IFERROR(__xludf.DUMMYFUNCTION("""COMPUTED_VALUE"""),39205.645833333336)</f>
        <v>39205.64583</v>
      </c>
      <c r="B1830" s="2">
        <f>IFERROR(__xludf.DUMMYFUNCTION("""COMPUTED_VALUE"""),102.5)</f>
        <v>102.5</v>
      </c>
      <c r="C1830" s="2">
        <f>IFERROR(__xludf.DUMMYFUNCTION("""COMPUTED_VALUE"""),104.0)</f>
        <v>104</v>
      </c>
      <c r="D1830" s="2">
        <f>IFERROR(__xludf.DUMMYFUNCTION("""COMPUTED_VALUE"""),100.0)</f>
        <v>100</v>
      </c>
      <c r="E1830" s="2">
        <f>IFERROR(__xludf.DUMMYFUNCTION("""COMPUTED_VALUE"""),100.46)</f>
        <v>100.46</v>
      </c>
      <c r="F1830" s="2">
        <f>IFERROR(__xludf.DUMMYFUNCTION("""COMPUTED_VALUE"""),1027884.0)</f>
        <v>1027884</v>
      </c>
    </row>
    <row r="1831">
      <c r="A1831" s="3">
        <f>IFERROR(__xludf.DUMMYFUNCTION("""COMPUTED_VALUE"""),39206.645833333336)</f>
        <v>39206.64583</v>
      </c>
      <c r="B1831" s="2">
        <f>IFERROR(__xludf.DUMMYFUNCTION("""COMPUTED_VALUE"""),100.5)</f>
        <v>100.5</v>
      </c>
      <c r="C1831" s="2">
        <f>IFERROR(__xludf.DUMMYFUNCTION("""COMPUTED_VALUE"""),102.0)</f>
        <v>102</v>
      </c>
      <c r="D1831" s="2">
        <f>IFERROR(__xludf.DUMMYFUNCTION("""COMPUTED_VALUE"""),100.1)</f>
        <v>100.1</v>
      </c>
      <c r="E1831" s="2">
        <f>IFERROR(__xludf.DUMMYFUNCTION("""COMPUTED_VALUE"""),100.78)</f>
        <v>100.78</v>
      </c>
      <c r="F1831" s="2">
        <f>IFERROR(__xludf.DUMMYFUNCTION("""COMPUTED_VALUE"""),418707.0)</f>
        <v>418707</v>
      </c>
    </row>
    <row r="1832">
      <c r="A1832" s="3">
        <f>IFERROR(__xludf.DUMMYFUNCTION("""COMPUTED_VALUE"""),39209.645833333336)</f>
        <v>39209.64583</v>
      </c>
      <c r="B1832" s="2">
        <f>IFERROR(__xludf.DUMMYFUNCTION("""COMPUTED_VALUE"""),101.12)</f>
        <v>101.12</v>
      </c>
      <c r="C1832" s="2">
        <f>IFERROR(__xludf.DUMMYFUNCTION("""COMPUTED_VALUE"""),101.99)</f>
        <v>101.99</v>
      </c>
      <c r="D1832" s="2">
        <f>IFERROR(__xludf.DUMMYFUNCTION("""COMPUTED_VALUE"""),99.8)</f>
        <v>99.8</v>
      </c>
      <c r="E1832" s="2">
        <f>IFERROR(__xludf.DUMMYFUNCTION("""COMPUTED_VALUE"""),100.01)</f>
        <v>100.01</v>
      </c>
      <c r="F1832" s="2">
        <f>IFERROR(__xludf.DUMMYFUNCTION("""COMPUTED_VALUE"""),415394.0)</f>
        <v>415394</v>
      </c>
    </row>
    <row r="1833">
      <c r="A1833" s="3">
        <f>IFERROR(__xludf.DUMMYFUNCTION("""COMPUTED_VALUE"""),39210.645833333336)</f>
        <v>39210.64583</v>
      </c>
      <c r="B1833" s="2">
        <f>IFERROR(__xludf.DUMMYFUNCTION("""COMPUTED_VALUE"""),99.99)</f>
        <v>99.99</v>
      </c>
      <c r="C1833" s="2">
        <f>IFERROR(__xludf.DUMMYFUNCTION("""COMPUTED_VALUE"""),99.99)</f>
        <v>99.99</v>
      </c>
      <c r="D1833" s="2">
        <f>IFERROR(__xludf.DUMMYFUNCTION("""COMPUTED_VALUE"""),98.72)</f>
        <v>98.72</v>
      </c>
      <c r="E1833" s="2">
        <f>IFERROR(__xludf.DUMMYFUNCTION("""COMPUTED_VALUE"""),99.13)</f>
        <v>99.13</v>
      </c>
      <c r="F1833" s="2">
        <f>IFERROR(__xludf.DUMMYFUNCTION("""COMPUTED_VALUE"""),476996.0)</f>
        <v>476996</v>
      </c>
    </row>
    <row r="1834">
      <c r="A1834" s="3">
        <f>IFERROR(__xludf.DUMMYFUNCTION("""COMPUTED_VALUE"""),39211.645833333336)</f>
        <v>39211.64583</v>
      </c>
      <c r="B1834" s="2">
        <f>IFERROR(__xludf.DUMMYFUNCTION("""COMPUTED_VALUE"""),99.05)</f>
        <v>99.05</v>
      </c>
      <c r="C1834" s="2">
        <f>IFERROR(__xludf.DUMMYFUNCTION("""COMPUTED_VALUE"""),99.8)</f>
        <v>99.8</v>
      </c>
      <c r="D1834" s="2">
        <f>IFERROR(__xludf.DUMMYFUNCTION("""COMPUTED_VALUE"""),98.0)</f>
        <v>98</v>
      </c>
      <c r="E1834" s="2">
        <f>IFERROR(__xludf.DUMMYFUNCTION("""COMPUTED_VALUE"""),99.47)</f>
        <v>99.47</v>
      </c>
      <c r="F1834" s="2">
        <f>IFERROR(__xludf.DUMMYFUNCTION("""COMPUTED_VALUE"""),209286.0)</f>
        <v>209286</v>
      </c>
    </row>
    <row r="1835">
      <c r="A1835" s="3">
        <f>IFERROR(__xludf.DUMMYFUNCTION("""COMPUTED_VALUE"""),39212.645833333336)</f>
        <v>39212.64583</v>
      </c>
      <c r="B1835" s="2">
        <f>IFERROR(__xludf.DUMMYFUNCTION("""COMPUTED_VALUE"""),100.03)</f>
        <v>100.03</v>
      </c>
      <c r="C1835" s="2">
        <f>IFERROR(__xludf.DUMMYFUNCTION("""COMPUTED_VALUE"""),102.5)</f>
        <v>102.5</v>
      </c>
      <c r="D1835" s="2">
        <f>IFERROR(__xludf.DUMMYFUNCTION("""COMPUTED_VALUE"""),100.03)</f>
        <v>100.03</v>
      </c>
      <c r="E1835" s="2">
        <f>IFERROR(__xludf.DUMMYFUNCTION("""COMPUTED_VALUE"""),101.18)</f>
        <v>101.18</v>
      </c>
      <c r="F1835" s="2">
        <f>IFERROR(__xludf.DUMMYFUNCTION("""COMPUTED_VALUE"""),647258.0)</f>
        <v>647258</v>
      </c>
    </row>
    <row r="1836">
      <c r="A1836" s="3">
        <f>IFERROR(__xludf.DUMMYFUNCTION("""COMPUTED_VALUE"""),39213.645833333336)</f>
        <v>39213.64583</v>
      </c>
      <c r="B1836" s="2">
        <f>IFERROR(__xludf.DUMMYFUNCTION("""COMPUTED_VALUE"""),98.66)</f>
        <v>98.66</v>
      </c>
      <c r="C1836" s="2">
        <f>IFERROR(__xludf.DUMMYFUNCTION("""COMPUTED_VALUE"""),101.0)</f>
        <v>101</v>
      </c>
      <c r="D1836" s="2">
        <f>IFERROR(__xludf.DUMMYFUNCTION("""COMPUTED_VALUE"""),95.76)</f>
        <v>95.76</v>
      </c>
      <c r="E1836" s="2">
        <f>IFERROR(__xludf.DUMMYFUNCTION("""COMPUTED_VALUE"""),99.26)</f>
        <v>99.26</v>
      </c>
      <c r="F1836" s="2">
        <f>IFERROR(__xludf.DUMMYFUNCTION("""COMPUTED_VALUE"""),714615.0)</f>
        <v>714615</v>
      </c>
    </row>
    <row r="1837">
      <c r="A1837" s="3">
        <f>IFERROR(__xludf.DUMMYFUNCTION("""COMPUTED_VALUE"""),39216.645833333336)</f>
        <v>39216.64583</v>
      </c>
      <c r="B1837" s="2">
        <f>IFERROR(__xludf.DUMMYFUNCTION("""COMPUTED_VALUE"""),100.5)</f>
        <v>100.5</v>
      </c>
      <c r="C1837" s="2">
        <f>IFERROR(__xludf.DUMMYFUNCTION("""COMPUTED_VALUE"""),102.0)</f>
        <v>102</v>
      </c>
      <c r="D1837" s="2">
        <f>IFERROR(__xludf.DUMMYFUNCTION("""COMPUTED_VALUE"""),99.13)</f>
        <v>99.13</v>
      </c>
      <c r="E1837" s="2">
        <f>IFERROR(__xludf.DUMMYFUNCTION("""COMPUTED_VALUE"""),99.59)</f>
        <v>99.59</v>
      </c>
      <c r="F1837" s="2">
        <f>IFERROR(__xludf.DUMMYFUNCTION("""COMPUTED_VALUE"""),787806.0)</f>
        <v>787806</v>
      </c>
    </row>
    <row r="1838">
      <c r="A1838" s="3">
        <f>IFERROR(__xludf.DUMMYFUNCTION("""COMPUTED_VALUE"""),39217.645833333336)</f>
        <v>39217.64583</v>
      </c>
      <c r="B1838" s="2">
        <f>IFERROR(__xludf.DUMMYFUNCTION("""COMPUTED_VALUE"""),99.78)</f>
        <v>99.78</v>
      </c>
      <c r="C1838" s="2">
        <f>IFERROR(__xludf.DUMMYFUNCTION("""COMPUTED_VALUE"""),101.47)</f>
        <v>101.47</v>
      </c>
      <c r="D1838" s="2">
        <f>IFERROR(__xludf.DUMMYFUNCTION("""COMPUTED_VALUE"""),99.51)</f>
        <v>99.51</v>
      </c>
      <c r="E1838" s="2">
        <f>IFERROR(__xludf.DUMMYFUNCTION("""COMPUTED_VALUE"""),101.11)</f>
        <v>101.11</v>
      </c>
      <c r="F1838" s="2">
        <f>IFERROR(__xludf.DUMMYFUNCTION("""COMPUTED_VALUE"""),549345.0)</f>
        <v>549345</v>
      </c>
    </row>
    <row r="1839">
      <c r="A1839" s="3">
        <f>IFERROR(__xludf.DUMMYFUNCTION("""COMPUTED_VALUE"""),39218.645833333336)</f>
        <v>39218.64583</v>
      </c>
      <c r="B1839" s="2">
        <f>IFERROR(__xludf.DUMMYFUNCTION("""COMPUTED_VALUE"""),102.0)</f>
        <v>102</v>
      </c>
      <c r="C1839" s="2">
        <f>IFERROR(__xludf.DUMMYFUNCTION("""COMPUTED_VALUE"""),104.48)</f>
        <v>104.48</v>
      </c>
      <c r="D1839" s="2">
        <f>IFERROR(__xludf.DUMMYFUNCTION("""COMPUTED_VALUE"""),100.74)</f>
        <v>100.74</v>
      </c>
      <c r="E1839" s="2">
        <f>IFERROR(__xludf.DUMMYFUNCTION("""COMPUTED_VALUE"""),103.55)</f>
        <v>103.55</v>
      </c>
      <c r="F1839" s="2">
        <f>IFERROR(__xludf.DUMMYFUNCTION("""COMPUTED_VALUE"""),2384383.0)</f>
        <v>2384383</v>
      </c>
    </row>
    <row r="1840">
      <c r="A1840" s="3">
        <f>IFERROR(__xludf.DUMMYFUNCTION("""COMPUTED_VALUE"""),39219.645833333336)</f>
        <v>39219.64583</v>
      </c>
      <c r="B1840" s="2">
        <f>IFERROR(__xludf.DUMMYFUNCTION("""COMPUTED_VALUE"""),104.4)</f>
        <v>104.4</v>
      </c>
      <c r="C1840" s="2">
        <f>IFERROR(__xludf.DUMMYFUNCTION("""COMPUTED_VALUE"""),105.99)</f>
        <v>105.99</v>
      </c>
      <c r="D1840" s="2">
        <f>IFERROR(__xludf.DUMMYFUNCTION("""COMPUTED_VALUE"""),103.21)</f>
        <v>103.21</v>
      </c>
      <c r="E1840" s="2">
        <f>IFERROR(__xludf.DUMMYFUNCTION("""COMPUTED_VALUE"""),104.21)</f>
        <v>104.21</v>
      </c>
      <c r="F1840" s="2">
        <f>IFERROR(__xludf.DUMMYFUNCTION("""COMPUTED_VALUE"""),1152117.0)</f>
        <v>1152117</v>
      </c>
    </row>
    <row r="1841">
      <c r="A1841" s="3">
        <f>IFERROR(__xludf.DUMMYFUNCTION("""COMPUTED_VALUE"""),39220.645833333336)</f>
        <v>39220.64583</v>
      </c>
      <c r="B1841" s="2">
        <f>IFERROR(__xludf.DUMMYFUNCTION("""COMPUTED_VALUE"""),104.0)</f>
        <v>104</v>
      </c>
      <c r="C1841" s="2">
        <f>IFERROR(__xludf.DUMMYFUNCTION("""COMPUTED_VALUE"""),109.2)</f>
        <v>109.2</v>
      </c>
      <c r="D1841" s="2">
        <f>IFERROR(__xludf.DUMMYFUNCTION("""COMPUTED_VALUE"""),103.3)</f>
        <v>103.3</v>
      </c>
      <c r="E1841" s="2">
        <f>IFERROR(__xludf.DUMMYFUNCTION("""COMPUTED_VALUE"""),107.03)</f>
        <v>107.03</v>
      </c>
      <c r="F1841" s="2">
        <f>IFERROR(__xludf.DUMMYFUNCTION("""COMPUTED_VALUE"""),2058337.0)</f>
        <v>2058337</v>
      </c>
    </row>
    <row r="1842">
      <c r="A1842" s="3">
        <f>IFERROR(__xludf.DUMMYFUNCTION("""COMPUTED_VALUE"""),39223.645833333336)</f>
        <v>39223.64583</v>
      </c>
      <c r="B1842" s="2">
        <f>IFERROR(__xludf.DUMMYFUNCTION("""COMPUTED_VALUE"""),108.0)</f>
        <v>108</v>
      </c>
      <c r="C1842" s="2">
        <f>IFERROR(__xludf.DUMMYFUNCTION("""COMPUTED_VALUE"""),112.2)</f>
        <v>112.2</v>
      </c>
      <c r="D1842" s="2">
        <f>IFERROR(__xludf.DUMMYFUNCTION("""COMPUTED_VALUE"""),107.5)</f>
        <v>107.5</v>
      </c>
      <c r="E1842" s="2">
        <f>IFERROR(__xludf.DUMMYFUNCTION("""COMPUTED_VALUE"""),110.68)</f>
        <v>110.68</v>
      </c>
      <c r="F1842" s="2">
        <f>IFERROR(__xludf.DUMMYFUNCTION("""COMPUTED_VALUE"""),1120880.0)</f>
        <v>1120880</v>
      </c>
    </row>
    <row r="1843">
      <c r="A1843" s="3">
        <f>IFERROR(__xludf.DUMMYFUNCTION("""COMPUTED_VALUE"""),39224.645833333336)</f>
        <v>39224.64583</v>
      </c>
      <c r="B1843" s="2">
        <f>IFERROR(__xludf.DUMMYFUNCTION("""COMPUTED_VALUE"""),112.26)</f>
        <v>112.26</v>
      </c>
      <c r="C1843" s="2">
        <f>IFERROR(__xludf.DUMMYFUNCTION("""COMPUTED_VALUE"""),113.29)</f>
        <v>113.29</v>
      </c>
      <c r="D1843" s="2">
        <f>IFERROR(__xludf.DUMMYFUNCTION("""COMPUTED_VALUE"""),110.63)</f>
        <v>110.63</v>
      </c>
      <c r="E1843" s="2">
        <f>IFERROR(__xludf.DUMMYFUNCTION("""COMPUTED_VALUE"""),111.51)</f>
        <v>111.51</v>
      </c>
      <c r="F1843" s="2">
        <f>IFERROR(__xludf.DUMMYFUNCTION("""COMPUTED_VALUE"""),755317.0)</f>
        <v>755317</v>
      </c>
    </row>
    <row r="1844">
      <c r="A1844" s="3">
        <f>IFERROR(__xludf.DUMMYFUNCTION("""COMPUTED_VALUE"""),39225.645833333336)</f>
        <v>39225.64583</v>
      </c>
      <c r="B1844" s="2">
        <f>IFERROR(__xludf.DUMMYFUNCTION("""COMPUTED_VALUE"""),107.56)</f>
        <v>107.56</v>
      </c>
      <c r="C1844" s="2">
        <f>IFERROR(__xludf.DUMMYFUNCTION("""COMPUTED_VALUE"""),112.5)</f>
        <v>112.5</v>
      </c>
      <c r="D1844" s="2">
        <f>IFERROR(__xludf.DUMMYFUNCTION("""COMPUTED_VALUE"""),107.56)</f>
        <v>107.56</v>
      </c>
      <c r="E1844" s="2">
        <f>IFERROR(__xludf.DUMMYFUNCTION("""COMPUTED_VALUE"""),111.47)</f>
        <v>111.47</v>
      </c>
      <c r="F1844" s="2">
        <f>IFERROR(__xludf.DUMMYFUNCTION("""COMPUTED_VALUE"""),541146.0)</f>
        <v>541146</v>
      </c>
    </row>
    <row r="1845">
      <c r="A1845" s="3">
        <f>IFERROR(__xludf.DUMMYFUNCTION("""COMPUTED_VALUE"""),39226.645833333336)</f>
        <v>39226.64583</v>
      </c>
      <c r="B1845" s="2">
        <f>IFERROR(__xludf.DUMMYFUNCTION("""COMPUTED_VALUE"""),110.56)</f>
        <v>110.56</v>
      </c>
      <c r="C1845" s="2">
        <f>IFERROR(__xludf.DUMMYFUNCTION("""COMPUTED_VALUE"""),112.1)</f>
        <v>112.1</v>
      </c>
      <c r="D1845" s="2">
        <f>IFERROR(__xludf.DUMMYFUNCTION("""COMPUTED_VALUE"""),108.0)</f>
        <v>108</v>
      </c>
      <c r="E1845" s="2">
        <f>IFERROR(__xludf.DUMMYFUNCTION("""COMPUTED_VALUE"""),109.12)</f>
        <v>109.12</v>
      </c>
      <c r="F1845" s="2">
        <f>IFERROR(__xludf.DUMMYFUNCTION("""COMPUTED_VALUE"""),350563.0)</f>
        <v>350563</v>
      </c>
    </row>
    <row r="1846">
      <c r="A1846" s="3">
        <f>IFERROR(__xludf.DUMMYFUNCTION("""COMPUTED_VALUE"""),39227.645833333336)</f>
        <v>39227.64583</v>
      </c>
      <c r="B1846" s="2">
        <f>IFERROR(__xludf.DUMMYFUNCTION("""COMPUTED_VALUE"""),106.2)</f>
        <v>106.2</v>
      </c>
      <c r="C1846" s="2">
        <f>IFERROR(__xludf.DUMMYFUNCTION("""COMPUTED_VALUE"""),108.5)</f>
        <v>108.5</v>
      </c>
      <c r="D1846" s="2">
        <f>IFERROR(__xludf.DUMMYFUNCTION("""COMPUTED_VALUE"""),106.11)</f>
        <v>106.11</v>
      </c>
      <c r="E1846" s="2">
        <f>IFERROR(__xludf.DUMMYFUNCTION("""COMPUTED_VALUE"""),106.92)</f>
        <v>106.92</v>
      </c>
      <c r="F1846" s="2">
        <f>IFERROR(__xludf.DUMMYFUNCTION("""COMPUTED_VALUE"""),669981.0)</f>
        <v>669981</v>
      </c>
    </row>
    <row r="1847">
      <c r="A1847" s="3">
        <f>IFERROR(__xludf.DUMMYFUNCTION("""COMPUTED_VALUE"""),39230.645833333336)</f>
        <v>39230.64583</v>
      </c>
      <c r="B1847" s="2">
        <f>IFERROR(__xludf.DUMMYFUNCTION("""COMPUTED_VALUE"""),109.89)</f>
        <v>109.89</v>
      </c>
      <c r="C1847" s="2">
        <f>IFERROR(__xludf.DUMMYFUNCTION("""COMPUTED_VALUE"""),113.5)</f>
        <v>113.5</v>
      </c>
      <c r="D1847" s="2">
        <f>IFERROR(__xludf.DUMMYFUNCTION("""COMPUTED_VALUE"""),109.89)</f>
        <v>109.89</v>
      </c>
      <c r="E1847" s="2">
        <f>IFERROR(__xludf.DUMMYFUNCTION("""COMPUTED_VALUE"""),112.72)</f>
        <v>112.72</v>
      </c>
      <c r="F1847" s="2">
        <f>IFERROR(__xludf.DUMMYFUNCTION("""COMPUTED_VALUE"""),718206.0)</f>
        <v>718206</v>
      </c>
    </row>
    <row r="1848">
      <c r="A1848" s="3">
        <f>IFERROR(__xludf.DUMMYFUNCTION("""COMPUTED_VALUE"""),39231.645833333336)</f>
        <v>39231.64583</v>
      </c>
      <c r="B1848" s="2">
        <f>IFERROR(__xludf.DUMMYFUNCTION("""COMPUTED_VALUE"""),112.7)</f>
        <v>112.7</v>
      </c>
      <c r="C1848" s="2">
        <f>IFERROR(__xludf.DUMMYFUNCTION("""COMPUTED_VALUE"""),115.1)</f>
        <v>115.1</v>
      </c>
      <c r="D1848" s="2">
        <f>IFERROR(__xludf.DUMMYFUNCTION("""COMPUTED_VALUE"""),112.11)</f>
        <v>112.11</v>
      </c>
      <c r="E1848" s="2">
        <f>IFERROR(__xludf.DUMMYFUNCTION("""COMPUTED_VALUE"""),114.44)</f>
        <v>114.44</v>
      </c>
      <c r="F1848" s="2">
        <f>IFERROR(__xludf.DUMMYFUNCTION("""COMPUTED_VALUE"""),436572.0)</f>
        <v>436572</v>
      </c>
    </row>
    <row r="1849">
      <c r="A1849" s="3">
        <f>IFERROR(__xludf.DUMMYFUNCTION("""COMPUTED_VALUE"""),39232.645833333336)</f>
        <v>39232.64583</v>
      </c>
      <c r="B1849" s="2">
        <f>IFERROR(__xludf.DUMMYFUNCTION("""COMPUTED_VALUE"""),114.5)</f>
        <v>114.5</v>
      </c>
      <c r="C1849" s="2">
        <f>IFERROR(__xludf.DUMMYFUNCTION("""COMPUTED_VALUE"""),114.5)</f>
        <v>114.5</v>
      </c>
      <c r="D1849" s="2">
        <f>IFERROR(__xludf.DUMMYFUNCTION("""COMPUTED_VALUE"""),109.6)</f>
        <v>109.6</v>
      </c>
      <c r="E1849" s="2">
        <f>IFERROR(__xludf.DUMMYFUNCTION("""COMPUTED_VALUE"""),110.41)</f>
        <v>110.41</v>
      </c>
      <c r="F1849" s="2">
        <f>IFERROR(__xludf.DUMMYFUNCTION("""COMPUTED_VALUE"""),655334.0)</f>
        <v>655334</v>
      </c>
    </row>
    <row r="1850">
      <c r="A1850" s="3">
        <f>IFERROR(__xludf.DUMMYFUNCTION("""COMPUTED_VALUE"""),39233.645833333336)</f>
        <v>39233.64583</v>
      </c>
      <c r="B1850" s="2">
        <f>IFERROR(__xludf.DUMMYFUNCTION("""COMPUTED_VALUE"""),111.13)</f>
        <v>111.13</v>
      </c>
      <c r="C1850" s="2">
        <f>IFERROR(__xludf.DUMMYFUNCTION("""COMPUTED_VALUE"""),115.99)</f>
        <v>115.99</v>
      </c>
      <c r="D1850" s="2">
        <f>IFERROR(__xludf.DUMMYFUNCTION("""COMPUTED_VALUE"""),111.13)</f>
        <v>111.13</v>
      </c>
      <c r="E1850" s="2">
        <f>IFERROR(__xludf.DUMMYFUNCTION("""COMPUTED_VALUE"""),114.76)</f>
        <v>114.76</v>
      </c>
      <c r="F1850" s="2">
        <f>IFERROR(__xludf.DUMMYFUNCTION("""COMPUTED_VALUE"""),919550.0)</f>
        <v>919550</v>
      </c>
    </row>
    <row r="1851">
      <c r="A1851" s="3">
        <f>IFERROR(__xludf.DUMMYFUNCTION("""COMPUTED_VALUE"""),39234.645833333336)</f>
        <v>39234.64583</v>
      </c>
      <c r="B1851" s="2">
        <f>IFERROR(__xludf.DUMMYFUNCTION("""COMPUTED_VALUE"""),114.7)</f>
        <v>114.7</v>
      </c>
      <c r="C1851" s="2">
        <f>IFERROR(__xludf.DUMMYFUNCTION("""COMPUTED_VALUE"""),116.5)</f>
        <v>116.5</v>
      </c>
      <c r="D1851" s="2">
        <f>IFERROR(__xludf.DUMMYFUNCTION("""COMPUTED_VALUE"""),114.1)</f>
        <v>114.1</v>
      </c>
      <c r="E1851" s="2">
        <f>IFERROR(__xludf.DUMMYFUNCTION("""COMPUTED_VALUE"""),115.35)</f>
        <v>115.35</v>
      </c>
      <c r="F1851" s="2">
        <f>IFERROR(__xludf.DUMMYFUNCTION("""COMPUTED_VALUE"""),743373.0)</f>
        <v>743373</v>
      </c>
    </row>
    <row r="1852">
      <c r="A1852" s="3">
        <f>IFERROR(__xludf.DUMMYFUNCTION("""COMPUTED_VALUE"""),39237.645833333336)</f>
        <v>39237.64583</v>
      </c>
      <c r="B1852" s="2">
        <f>IFERROR(__xludf.DUMMYFUNCTION("""COMPUTED_VALUE"""),116.6)</f>
        <v>116.6</v>
      </c>
      <c r="C1852" s="2">
        <f>IFERROR(__xludf.DUMMYFUNCTION("""COMPUTED_VALUE"""),118.42)</f>
        <v>118.42</v>
      </c>
      <c r="D1852" s="2">
        <f>IFERROR(__xludf.DUMMYFUNCTION("""COMPUTED_VALUE"""),114.8)</f>
        <v>114.8</v>
      </c>
      <c r="E1852" s="2">
        <f>IFERROR(__xludf.DUMMYFUNCTION("""COMPUTED_VALUE"""),116.84)</f>
        <v>116.84</v>
      </c>
      <c r="F1852" s="2">
        <f>IFERROR(__xludf.DUMMYFUNCTION("""COMPUTED_VALUE"""),486938.0)</f>
        <v>486938</v>
      </c>
    </row>
    <row r="1853">
      <c r="A1853" s="3">
        <f>IFERROR(__xludf.DUMMYFUNCTION("""COMPUTED_VALUE"""),39238.645833333336)</f>
        <v>39238.64583</v>
      </c>
      <c r="B1853" s="2">
        <f>IFERROR(__xludf.DUMMYFUNCTION("""COMPUTED_VALUE"""),116.0)</f>
        <v>116</v>
      </c>
      <c r="C1853" s="2">
        <f>IFERROR(__xludf.DUMMYFUNCTION("""COMPUTED_VALUE"""),116.5)</f>
        <v>116.5</v>
      </c>
      <c r="D1853" s="2">
        <f>IFERROR(__xludf.DUMMYFUNCTION("""COMPUTED_VALUE"""),115.02)</f>
        <v>115.02</v>
      </c>
      <c r="E1853" s="2">
        <f>IFERROR(__xludf.DUMMYFUNCTION("""COMPUTED_VALUE"""),115.96)</f>
        <v>115.96</v>
      </c>
      <c r="F1853" s="2">
        <f>IFERROR(__xludf.DUMMYFUNCTION("""COMPUTED_VALUE"""),311746.0)</f>
        <v>311746</v>
      </c>
    </row>
    <row r="1854">
      <c r="A1854" s="3">
        <f>IFERROR(__xludf.DUMMYFUNCTION("""COMPUTED_VALUE"""),39239.645833333336)</f>
        <v>39239.64583</v>
      </c>
      <c r="B1854" s="2">
        <f>IFERROR(__xludf.DUMMYFUNCTION("""COMPUTED_VALUE"""),116.0)</f>
        <v>116</v>
      </c>
      <c r="C1854" s="2">
        <f>IFERROR(__xludf.DUMMYFUNCTION("""COMPUTED_VALUE"""),116.2)</f>
        <v>116.2</v>
      </c>
      <c r="D1854" s="2">
        <f>IFERROR(__xludf.DUMMYFUNCTION("""COMPUTED_VALUE"""),111.8)</f>
        <v>111.8</v>
      </c>
      <c r="E1854" s="2">
        <f>IFERROR(__xludf.DUMMYFUNCTION("""COMPUTED_VALUE"""),112.72)</f>
        <v>112.72</v>
      </c>
      <c r="F1854" s="2">
        <f>IFERROR(__xludf.DUMMYFUNCTION("""COMPUTED_VALUE"""),453831.0)</f>
        <v>453831</v>
      </c>
    </row>
    <row r="1855">
      <c r="A1855" s="3">
        <f>IFERROR(__xludf.DUMMYFUNCTION("""COMPUTED_VALUE"""),39240.645833333336)</f>
        <v>39240.64583</v>
      </c>
      <c r="B1855" s="2">
        <f>IFERROR(__xludf.DUMMYFUNCTION("""COMPUTED_VALUE"""),111.94)</f>
        <v>111.94</v>
      </c>
      <c r="C1855" s="2">
        <f>IFERROR(__xludf.DUMMYFUNCTION("""COMPUTED_VALUE"""),112.99)</f>
        <v>112.99</v>
      </c>
      <c r="D1855" s="2">
        <f>IFERROR(__xludf.DUMMYFUNCTION("""COMPUTED_VALUE"""),110.1)</f>
        <v>110.1</v>
      </c>
      <c r="E1855" s="2">
        <f>IFERROR(__xludf.DUMMYFUNCTION("""COMPUTED_VALUE"""),110.56)</f>
        <v>110.56</v>
      </c>
      <c r="F1855" s="2">
        <f>IFERROR(__xludf.DUMMYFUNCTION("""COMPUTED_VALUE"""),312215.0)</f>
        <v>312215</v>
      </c>
    </row>
    <row r="1856">
      <c r="A1856" s="3">
        <f>IFERROR(__xludf.DUMMYFUNCTION("""COMPUTED_VALUE"""),39241.645833333336)</f>
        <v>39241.64583</v>
      </c>
      <c r="B1856" s="2">
        <f>IFERROR(__xludf.DUMMYFUNCTION("""COMPUTED_VALUE"""),109.0)</f>
        <v>109</v>
      </c>
      <c r="C1856" s="2">
        <f>IFERROR(__xludf.DUMMYFUNCTION("""COMPUTED_VALUE"""),110.0)</f>
        <v>110</v>
      </c>
      <c r="D1856" s="2">
        <f>IFERROR(__xludf.DUMMYFUNCTION("""COMPUTED_VALUE"""),107.61)</f>
        <v>107.61</v>
      </c>
      <c r="E1856" s="2">
        <f>IFERROR(__xludf.DUMMYFUNCTION("""COMPUTED_VALUE"""),109.1)</f>
        <v>109.1</v>
      </c>
      <c r="F1856" s="2">
        <f>IFERROR(__xludf.DUMMYFUNCTION("""COMPUTED_VALUE"""),491154.0)</f>
        <v>491154</v>
      </c>
    </row>
    <row r="1857">
      <c r="A1857" s="3">
        <f>IFERROR(__xludf.DUMMYFUNCTION("""COMPUTED_VALUE"""),39244.645833333336)</f>
        <v>39244.64583</v>
      </c>
      <c r="B1857" s="2">
        <f>IFERROR(__xludf.DUMMYFUNCTION("""COMPUTED_VALUE"""),110.55)</f>
        <v>110.55</v>
      </c>
      <c r="C1857" s="2">
        <f>IFERROR(__xludf.DUMMYFUNCTION("""COMPUTED_VALUE"""),112.8)</f>
        <v>112.8</v>
      </c>
      <c r="D1857" s="2">
        <f>IFERROR(__xludf.DUMMYFUNCTION("""COMPUTED_VALUE"""),109.0)</f>
        <v>109</v>
      </c>
      <c r="E1857" s="2">
        <f>IFERROR(__xludf.DUMMYFUNCTION("""COMPUTED_VALUE"""),109.74)</f>
        <v>109.74</v>
      </c>
      <c r="F1857" s="2">
        <f>IFERROR(__xludf.DUMMYFUNCTION("""COMPUTED_VALUE"""),458896.0)</f>
        <v>458896</v>
      </c>
    </row>
    <row r="1858">
      <c r="A1858" s="3">
        <f>IFERROR(__xludf.DUMMYFUNCTION("""COMPUTED_VALUE"""),39245.645833333336)</f>
        <v>39245.64583</v>
      </c>
      <c r="B1858" s="2">
        <f>IFERROR(__xludf.DUMMYFUNCTION("""COMPUTED_VALUE"""),110.7)</f>
        <v>110.7</v>
      </c>
      <c r="C1858" s="2">
        <f>IFERROR(__xludf.DUMMYFUNCTION("""COMPUTED_VALUE"""),111.4)</f>
        <v>111.4</v>
      </c>
      <c r="D1858" s="2">
        <f>IFERROR(__xludf.DUMMYFUNCTION("""COMPUTED_VALUE"""),107.1)</f>
        <v>107.1</v>
      </c>
      <c r="E1858" s="2">
        <f>IFERROR(__xludf.DUMMYFUNCTION("""COMPUTED_VALUE"""),108.82)</f>
        <v>108.82</v>
      </c>
      <c r="F1858" s="2">
        <f>IFERROR(__xludf.DUMMYFUNCTION("""COMPUTED_VALUE"""),199342.0)</f>
        <v>199342</v>
      </c>
    </row>
    <row r="1859">
      <c r="A1859" s="3">
        <f>IFERROR(__xludf.DUMMYFUNCTION("""COMPUTED_VALUE"""),39246.645833333336)</f>
        <v>39246.64583</v>
      </c>
      <c r="B1859" s="2">
        <f>IFERROR(__xludf.DUMMYFUNCTION("""COMPUTED_VALUE"""),108.82)</f>
        <v>108.82</v>
      </c>
      <c r="C1859" s="2">
        <f>IFERROR(__xludf.DUMMYFUNCTION("""COMPUTED_VALUE"""),109.0)</f>
        <v>109</v>
      </c>
      <c r="D1859" s="2">
        <f>IFERROR(__xludf.DUMMYFUNCTION("""COMPUTED_VALUE"""),107.49)</f>
        <v>107.49</v>
      </c>
      <c r="E1859" s="2">
        <f>IFERROR(__xludf.DUMMYFUNCTION("""COMPUTED_VALUE"""),108.29)</f>
        <v>108.29</v>
      </c>
      <c r="F1859" s="2">
        <f>IFERROR(__xludf.DUMMYFUNCTION("""COMPUTED_VALUE"""),364696.0)</f>
        <v>364696</v>
      </c>
    </row>
    <row r="1860">
      <c r="A1860" s="3">
        <f>IFERROR(__xludf.DUMMYFUNCTION("""COMPUTED_VALUE"""),39247.645833333336)</f>
        <v>39247.64583</v>
      </c>
      <c r="B1860" s="2">
        <f>IFERROR(__xludf.DUMMYFUNCTION("""COMPUTED_VALUE"""),109.9)</f>
        <v>109.9</v>
      </c>
      <c r="C1860" s="2">
        <f>IFERROR(__xludf.DUMMYFUNCTION("""COMPUTED_VALUE"""),112.0)</f>
        <v>112</v>
      </c>
      <c r="D1860" s="2">
        <f>IFERROR(__xludf.DUMMYFUNCTION("""COMPUTED_VALUE"""),109.0)</f>
        <v>109</v>
      </c>
      <c r="E1860" s="2">
        <f>IFERROR(__xludf.DUMMYFUNCTION("""COMPUTED_VALUE"""),109.64)</f>
        <v>109.64</v>
      </c>
      <c r="F1860" s="2">
        <f>IFERROR(__xludf.DUMMYFUNCTION("""COMPUTED_VALUE"""),344016.0)</f>
        <v>344016</v>
      </c>
    </row>
    <row r="1861">
      <c r="A1861" s="3">
        <f>IFERROR(__xludf.DUMMYFUNCTION("""COMPUTED_VALUE"""),39248.645833333336)</f>
        <v>39248.64583</v>
      </c>
      <c r="B1861" s="2">
        <f>IFERROR(__xludf.DUMMYFUNCTION("""COMPUTED_VALUE"""),110.0)</f>
        <v>110</v>
      </c>
      <c r="C1861" s="2">
        <f>IFERROR(__xludf.DUMMYFUNCTION("""COMPUTED_VALUE"""),111.8)</f>
        <v>111.8</v>
      </c>
      <c r="D1861" s="2">
        <f>IFERROR(__xludf.DUMMYFUNCTION("""COMPUTED_VALUE"""),109.5)</f>
        <v>109.5</v>
      </c>
      <c r="E1861" s="2">
        <f>IFERROR(__xludf.DUMMYFUNCTION("""COMPUTED_VALUE"""),111.04)</f>
        <v>111.04</v>
      </c>
      <c r="F1861" s="2">
        <f>IFERROR(__xludf.DUMMYFUNCTION("""COMPUTED_VALUE"""),381407.0)</f>
        <v>381407</v>
      </c>
    </row>
    <row r="1862">
      <c r="A1862" s="3">
        <f>IFERROR(__xludf.DUMMYFUNCTION("""COMPUTED_VALUE"""),39251.645833333336)</f>
        <v>39251.64583</v>
      </c>
      <c r="B1862" s="2">
        <f>IFERROR(__xludf.DUMMYFUNCTION("""COMPUTED_VALUE"""),110.14)</f>
        <v>110.14</v>
      </c>
      <c r="C1862" s="2">
        <f>IFERROR(__xludf.DUMMYFUNCTION("""COMPUTED_VALUE"""),112.5)</f>
        <v>112.5</v>
      </c>
      <c r="D1862" s="2">
        <f>IFERROR(__xludf.DUMMYFUNCTION("""COMPUTED_VALUE"""),108.33)</f>
        <v>108.33</v>
      </c>
      <c r="E1862" s="2">
        <f>IFERROR(__xludf.DUMMYFUNCTION("""COMPUTED_VALUE"""),108.85)</f>
        <v>108.85</v>
      </c>
      <c r="F1862" s="2">
        <f>IFERROR(__xludf.DUMMYFUNCTION("""COMPUTED_VALUE"""),191889.0)</f>
        <v>191889</v>
      </c>
    </row>
    <row r="1863">
      <c r="A1863" s="3">
        <f>IFERROR(__xludf.DUMMYFUNCTION("""COMPUTED_VALUE"""),39252.645833333336)</f>
        <v>39252.64583</v>
      </c>
      <c r="B1863" s="2">
        <f>IFERROR(__xludf.DUMMYFUNCTION("""COMPUTED_VALUE"""),108.0)</f>
        <v>108</v>
      </c>
      <c r="C1863" s="2">
        <f>IFERROR(__xludf.DUMMYFUNCTION("""COMPUTED_VALUE"""),110.97)</f>
        <v>110.97</v>
      </c>
      <c r="D1863" s="2">
        <f>IFERROR(__xludf.DUMMYFUNCTION("""COMPUTED_VALUE"""),108.0)</f>
        <v>108</v>
      </c>
      <c r="E1863" s="2">
        <f>IFERROR(__xludf.DUMMYFUNCTION("""COMPUTED_VALUE"""),110.0)</f>
        <v>110</v>
      </c>
      <c r="F1863" s="2">
        <f>IFERROR(__xludf.DUMMYFUNCTION("""COMPUTED_VALUE"""),633922.0)</f>
        <v>633922</v>
      </c>
    </row>
    <row r="1864">
      <c r="A1864" s="3">
        <f>IFERROR(__xludf.DUMMYFUNCTION("""COMPUTED_VALUE"""),39253.645833333336)</f>
        <v>39253.64583</v>
      </c>
      <c r="B1864" s="2">
        <f>IFERROR(__xludf.DUMMYFUNCTION("""COMPUTED_VALUE"""),109.5)</f>
        <v>109.5</v>
      </c>
      <c r="C1864" s="2">
        <f>IFERROR(__xludf.DUMMYFUNCTION("""COMPUTED_VALUE"""),111.56)</f>
        <v>111.56</v>
      </c>
      <c r="D1864" s="2">
        <f>IFERROR(__xludf.DUMMYFUNCTION("""COMPUTED_VALUE"""),108.72)</f>
        <v>108.72</v>
      </c>
      <c r="E1864" s="2">
        <f>IFERROR(__xludf.DUMMYFUNCTION("""COMPUTED_VALUE"""),110.01)</f>
        <v>110.01</v>
      </c>
      <c r="F1864" s="2">
        <f>IFERROR(__xludf.DUMMYFUNCTION("""COMPUTED_VALUE"""),668111.0)</f>
        <v>668111</v>
      </c>
    </row>
    <row r="1865">
      <c r="A1865" s="3">
        <f>IFERROR(__xludf.DUMMYFUNCTION("""COMPUTED_VALUE"""),39254.645833333336)</f>
        <v>39254.64583</v>
      </c>
      <c r="B1865" s="2">
        <f>IFERROR(__xludf.DUMMYFUNCTION("""COMPUTED_VALUE"""),110.0)</f>
        <v>110</v>
      </c>
      <c r="C1865" s="2">
        <f>IFERROR(__xludf.DUMMYFUNCTION("""COMPUTED_VALUE"""),111.4)</f>
        <v>111.4</v>
      </c>
      <c r="D1865" s="2">
        <f>IFERROR(__xludf.DUMMYFUNCTION("""COMPUTED_VALUE"""),109.6)</f>
        <v>109.6</v>
      </c>
      <c r="E1865" s="2">
        <f>IFERROR(__xludf.DUMMYFUNCTION("""COMPUTED_VALUE"""),110.18)</f>
        <v>110.18</v>
      </c>
      <c r="F1865" s="2">
        <f>IFERROR(__xludf.DUMMYFUNCTION("""COMPUTED_VALUE"""),1274407.0)</f>
        <v>1274407</v>
      </c>
    </row>
    <row r="1866">
      <c r="A1866" s="3">
        <f>IFERROR(__xludf.DUMMYFUNCTION("""COMPUTED_VALUE"""),39255.645833333336)</f>
        <v>39255.64583</v>
      </c>
      <c r="B1866" s="2">
        <f>IFERROR(__xludf.DUMMYFUNCTION("""COMPUTED_VALUE"""),109.7)</f>
        <v>109.7</v>
      </c>
      <c r="C1866" s="2">
        <f>IFERROR(__xludf.DUMMYFUNCTION("""COMPUTED_VALUE"""),111.77)</f>
        <v>111.77</v>
      </c>
      <c r="D1866" s="2">
        <f>IFERROR(__xludf.DUMMYFUNCTION("""COMPUTED_VALUE"""),109.7)</f>
        <v>109.7</v>
      </c>
      <c r="E1866" s="2">
        <f>IFERROR(__xludf.DUMMYFUNCTION("""COMPUTED_VALUE"""),110.3)</f>
        <v>110.3</v>
      </c>
      <c r="F1866" s="2">
        <f>IFERROR(__xludf.DUMMYFUNCTION("""COMPUTED_VALUE"""),644961.0)</f>
        <v>644961</v>
      </c>
    </row>
    <row r="1867">
      <c r="A1867" s="3">
        <f>IFERROR(__xludf.DUMMYFUNCTION("""COMPUTED_VALUE"""),39258.645833333336)</f>
        <v>39258.64583</v>
      </c>
      <c r="B1867" s="2">
        <f>IFERROR(__xludf.DUMMYFUNCTION("""COMPUTED_VALUE"""),110.98)</f>
        <v>110.98</v>
      </c>
      <c r="C1867" s="2">
        <f>IFERROR(__xludf.DUMMYFUNCTION("""COMPUTED_VALUE"""),110.98)</f>
        <v>110.98</v>
      </c>
      <c r="D1867" s="2">
        <f>IFERROR(__xludf.DUMMYFUNCTION("""COMPUTED_VALUE"""),109.21)</f>
        <v>109.21</v>
      </c>
      <c r="E1867" s="2">
        <f>IFERROR(__xludf.DUMMYFUNCTION("""COMPUTED_VALUE"""),109.98)</f>
        <v>109.98</v>
      </c>
      <c r="F1867" s="2">
        <f>IFERROR(__xludf.DUMMYFUNCTION("""COMPUTED_VALUE"""),367493.0)</f>
        <v>367493</v>
      </c>
    </row>
    <row r="1868">
      <c r="A1868" s="3">
        <f>IFERROR(__xludf.DUMMYFUNCTION("""COMPUTED_VALUE"""),39259.645833333336)</f>
        <v>39259.64583</v>
      </c>
      <c r="B1868" s="2">
        <f>IFERROR(__xludf.DUMMYFUNCTION("""COMPUTED_VALUE"""),109.0)</f>
        <v>109</v>
      </c>
      <c r="C1868" s="2">
        <f>IFERROR(__xludf.DUMMYFUNCTION("""COMPUTED_VALUE"""),111.0)</f>
        <v>111</v>
      </c>
      <c r="D1868" s="2">
        <f>IFERROR(__xludf.DUMMYFUNCTION("""COMPUTED_VALUE"""),109.0)</f>
        <v>109</v>
      </c>
      <c r="E1868" s="2">
        <f>IFERROR(__xludf.DUMMYFUNCTION("""COMPUTED_VALUE"""),109.87)</f>
        <v>109.87</v>
      </c>
      <c r="F1868" s="2">
        <f>IFERROR(__xludf.DUMMYFUNCTION("""COMPUTED_VALUE"""),743942.0)</f>
        <v>743942</v>
      </c>
    </row>
    <row r="1869">
      <c r="A1869" s="3">
        <f>IFERROR(__xludf.DUMMYFUNCTION("""COMPUTED_VALUE"""),39260.645833333336)</f>
        <v>39260.64583</v>
      </c>
      <c r="B1869" s="2">
        <f>IFERROR(__xludf.DUMMYFUNCTION("""COMPUTED_VALUE"""),110.38)</f>
        <v>110.38</v>
      </c>
      <c r="C1869" s="2">
        <f>IFERROR(__xludf.DUMMYFUNCTION("""COMPUTED_VALUE"""),110.38)</f>
        <v>110.38</v>
      </c>
      <c r="D1869" s="2">
        <f>IFERROR(__xludf.DUMMYFUNCTION("""COMPUTED_VALUE"""),108.3)</f>
        <v>108.3</v>
      </c>
      <c r="E1869" s="2">
        <f>IFERROR(__xludf.DUMMYFUNCTION("""COMPUTED_VALUE"""),109.04)</f>
        <v>109.04</v>
      </c>
      <c r="F1869" s="2">
        <f>IFERROR(__xludf.DUMMYFUNCTION("""COMPUTED_VALUE"""),478887.0)</f>
        <v>478887</v>
      </c>
    </row>
    <row r="1870">
      <c r="A1870" s="3">
        <f>IFERROR(__xludf.DUMMYFUNCTION("""COMPUTED_VALUE"""),39261.645833333336)</f>
        <v>39261.64583</v>
      </c>
      <c r="B1870" s="2">
        <f>IFERROR(__xludf.DUMMYFUNCTION("""COMPUTED_VALUE"""),109.4)</f>
        <v>109.4</v>
      </c>
      <c r="C1870" s="2">
        <f>IFERROR(__xludf.DUMMYFUNCTION("""COMPUTED_VALUE"""),110.25)</f>
        <v>110.25</v>
      </c>
      <c r="D1870" s="2">
        <f>IFERROR(__xludf.DUMMYFUNCTION("""COMPUTED_VALUE"""),107.5)</f>
        <v>107.5</v>
      </c>
      <c r="E1870" s="2">
        <f>IFERROR(__xludf.DUMMYFUNCTION("""COMPUTED_VALUE"""),109.73)</f>
        <v>109.73</v>
      </c>
      <c r="F1870" s="2">
        <f>IFERROR(__xludf.DUMMYFUNCTION("""COMPUTED_VALUE"""),732509.0)</f>
        <v>732509</v>
      </c>
    </row>
    <row r="1871">
      <c r="A1871" s="3">
        <f>IFERROR(__xludf.DUMMYFUNCTION("""COMPUTED_VALUE"""),39262.645833333336)</f>
        <v>39262.64583</v>
      </c>
      <c r="B1871" s="2">
        <f>IFERROR(__xludf.DUMMYFUNCTION("""COMPUTED_VALUE"""),110.0)</f>
        <v>110</v>
      </c>
      <c r="C1871" s="2">
        <f>IFERROR(__xludf.DUMMYFUNCTION("""COMPUTED_VALUE"""),115.1)</f>
        <v>115.1</v>
      </c>
      <c r="D1871" s="2">
        <f>IFERROR(__xludf.DUMMYFUNCTION("""COMPUTED_VALUE"""),109.3)</f>
        <v>109.3</v>
      </c>
      <c r="E1871" s="2">
        <f>IFERROR(__xludf.DUMMYFUNCTION("""COMPUTED_VALUE"""),114.68)</f>
        <v>114.68</v>
      </c>
      <c r="F1871" s="2">
        <f>IFERROR(__xludf.DUMMYFUNCTION("""COMPUTED_VALUE"""),939205.0)</f>
        <v>939205</v>
      </c>
    </row>
    <row r="1872">
      <c r="A1872" s="3">
        <f>IFERROR(__xludf.DUMMYFUNCTION("""COMPUTED_VALUE"""),39265.645833333336)</f>
        <v>39265.64583</v>
      </c>
      <c r="B1872" s="2">
        <f>IFERROR(__xludf.DUMMYFUNCTION("""COMPUTED_VALUE"""),116.5)</f>
        <v>116.5</v>
      </c>
      <c r="C1872" s="2">
        <f>IFERROR(__xludf.DUMMYFUNCTION("""COMPUTED_VALUE"""),116.5)</f>
        <v>116.5</v>
      </c>
      <c r="D1872" s="2">
        <f>IFERROR(__xludf.DUMMYFUNCTION("""COMPUTED_VALUE"""),113.1)</f>
        <v>113.1</v>
      </c>
      <c r="E1872" s="2">
        <f>IFERROR(__xludf.DUMMYFUNCTION("""COMPUTED_VALUE"""),114.76)</f>
        <v>114.76</v>
      </c>
      <c r="F1872" s="2">
        <f>IFERROR(__xludf.DUMMYFUNCTION("""COMPUTED_VALUE"""),501624.0)</f>
        <v>501624</v>
      </c>
    </row>
    <row r="1873">
      <c r="A1873" s="3">
        <f>IFERROR(__xludf.DUMMYFUNCTION("""COMPUTED_VALUE"""),39266.645833333336)</f>
        <v>39266.64583</v>
      </c>
      <c r="B1873" s="2">
        <f>IFERROR(__xludf.DUMMYFUNCTION("""COMPUTED_VALUE"""),115.66)</f>
        <v>115.66</v>
      </c>
      <c r="C1873" s="2">
        <f>IFERROR(__xludf.DUMMYFUNCTION("""COMPUTED_VALUE"""),117.3)</f>
        <v>117.3</v>
      </c>
      <c r="D1873" s="2">
        <f>IFERROR(__xludf.DUMMYFUNCTION("""COMPUTED_VALUE"""),114.0)</f>
        <v>114</v>
      </c>
      <c r="E1873" s="2">
        <f>IFERROR(__xludf.DUMMYFUNCTION("""COMPUTED_VALUE"""),115.05)</f>
        <v>115.05</v>
      </c>
      <c r="F1873" s="2">
        <f>IFERROR(__xludf.DUMMYFUNCTION("""COMPUTED_VALUE"""),413075.0)</f>
        <v>413075</v>
      </c>
    </row>
    <row r="1874">
      <c r="A1874" s="3">
        <f>IFERROR(__xludf.DUMMYFUNCTION("""COMPUTED_VALUE"""),39267.645833333336)</f>
        <v>39267.64583</v>
      </c>
      <c r="B1874" s="2">
        <f>IFERROR(__xludf.DUMMYFUNCTION("""COMPUTED_VALUE"""),115.4)</f>
        <v>115.4</v>
      </c>
      <c r="C1874" s="2">
        <f>IFERROR(__xludf.DUMMYFUNCTION("""COMPUTED_VALUE"""),115.49)</f>
        <v>115.49</v>
      </c>
      <c r="D1874" s="2">
        <f>IFERROR(__xludf.DUMMYFUNCTION("""COMPUTED_VALUE"""),113.1)</f>
        <v>113.1</v>
      </c>
      <c r="E1874" s="2">
        <f>IFERROR(__xludf.DUMMYFUNCTION("""COMPUTED_VALUE"""),115.08)</f>
        <v>115.08</v>
      </c>
      <c r="F1874" s="2">
        <f>IFERROR(__xludf.DUMMYFUNCTION("""COMPUTED_VALUE"""),292551.0)</f>
        <v>292551</v>
      </c>
    </row>
    <row r="1875">
      <c r="A1875" s="3">
        <f>IFERROR(__xludf.DUMMYFUNCTION("""COMPUTED_VALUE"""),39268.645833333336)</f>
        <v>39268.64583</v>
      </c>
      <c r="B1875" s="2">
        <f>IFERROR(__xludf.DUMMYFUNCTION("""COMPUTED_VALUE"""),115.48)</f>
        <v>115.48</v>
      </c>
      <c r="C1875" s="2">
        <f>IFERROR(__xludf.DUMMYFUNCTION("""COMPUTED_VALUE"""),115.94)</f>
        <v>115.94</v>
      </c>
      <c r="D1875" s="2">
        <f>IFERROR(__xludf.DUMMYFUNCTION("""COMPUTED_VALUE"""),112.21)</f>
        <v>112.21</v>
      </c>
      <c r="E1875" s="2">
        <f>IFERROR(__xludf.DUMMYFUNCTION("""COMPUTED_VALUE"""),112.91)</f>
        <v>112.91</v>
      </c>
      <c r="F1875" s="2">
        <f>IFERROR(__xludf.DUMMYFUNCTION("""COMPUTED_VALUE"""),517374.0)</f>
        <v>517374</v>
      </c>
    </row>
    <row r="1876">
      <c r="A1876" s="3">
        <f>IFERROR(__xludf.DUMMYFUNCTION("""COMPUTED_VALUE"""),39269.645833333336)</f>
        <v>39269.64583</v>
      </c>
      <c r="B1876" s="2">
        <f>IFERROR(__xludf.DUMMYFUNCTION("""COMPUTED_VALUE"""),113.81)</f>
        <v>113.81</v>
      </c>
      <c r="C1876" s="2">
        <f>IFERROR(__xludf.DUMMYFUNCTION("""COMPUTED_VALUE"""),116.6)</f>
        <v>116.6</v>
      </c>
      <c r="D1876" s="2">
        <f>IFERROR(__xludf.DUMMYFUNCTION("""COMPUTED_VALUE"""),112.53)</f>
        <v>112.53</v>
      </c>
      <c r="E1876" s="2">
        <f>IFERROR(__xludf.DUMMYFUNCTION("""COMPUTED_VALUE"""),115.83)</f>
        <v>115.83</v>
      </c>
      <c r="F1876" s="2">
        <f>IFERROR(__xludf.DUMMYFUNCTION("""COMPUTED_VALUE"""),513182.0)</f>
        <v>513182</v>
      </c>
    </row>
    <row r="1877">
      <c r="A1877" s="3">
        <f>IFERROR(__xludf.DUMMYFUNCTION("""COMPUTED_VALUE"""),39272.645833333336)</f>
        <v>39272.64583</v>
      </c>
      <c r="B1877" s="2">
        <f>IFERROR(__xludf.DUMMYFUNCTION("""COMPUTED_VALUE"""),116.5)</f>
        <v>116.5</v>
      </c>
      <c r="C1877" s="2">
        <f>IFERROR(__xludf.DUMMYFUNCTION("""COMPUTED_VALUE"""),117.9)</f>
        <v>117.9</v>
      </c>
      <c r="D1877" s="2">
        <f>IFERROR(__xludf.DUMMYFUNCTION("""COMPUTED_VALUE"""),116.3)</f>
        <v>116.3</v>
      </c>
      <c r="E1877" s="2">
        <f>IFERROR(__xludf.DUMMYFUNCTION("""COMPUTED_VALUE"""),116.76)</f>
        <v>116.76</v>
      </c>
      <c r="F1877" s="2">
        <f>IFERROR(__xludf.DUMMYFUNCTION("""COMPUTED_VALUE"""),437757.0)</f>
        <v>437757</v>
      </c>
    </row>
    <row r="1878">
      <c r="A1878" s="3">
        <f>IFERROR(__xludf.DUMMYFUNCTION("""COMPUTED_VALUE"""),39273.645833333336)</f>
        <v>39273.64583</v>
      </c>
      <c r="B1878" s="2">
        <f>IFERROR(__xludf.DUMMYFUNCTION("""COMPUTED_VALUE"""),119.94)</f>
        <v>119.94</v>
      </c>
      <c r="C1878" s="2">
        <f>IFERROR(__xludf.DUMMYFUNCTION("""COMPUTED_VALUE"""),119.94)</f>
        <v>119.94</v>
      </c>
      <c r="D1878" s="2">
        <f>IFERROR(__xludf.DUMMYFUNCTION("""COMPUTED_VALUE"""),114.42)</f>
        <v>114.42</v>
      </c>
      <c r="E1878" s="2">
        <f>IFERROR(__xludf.DUMMYFUNCTION("""COMPUTED_VALUE"""),114.93)</f>
        <v>114.93</v>
      </c>
      <c r="F1878" s="2">
        <f>IFERROR(__xludf.DUMMYFUNCTION("""COMPUTED_VALUE"""),923812.0)</f>
        <v>923812</v>
      </c>
    </row>
    <row r="1879">
      <c r="A1879" s="3">
        <f>IFERROR(__xludf.DUMMYFUNCTION("""COMPUTED_VALUE"""),39274.645833333336)</f>
        <v>39274.64583</v>
      </c>
      <c r="B1879" s="2">
        <f>IFERROR(__xludf.DUMMYFUNCTION("""COMPUTED_VALUE"""),115.2)</f>
        <v>115.2</v>
      </c>
      <c r="C1879" s="2">
        <f>IFERROR(__xludf.DUMMYFUNCTION("""COMPUTED_VALUE"""),116.4)</f>
        <v>116.4</v>
      </c>
      <c r="D1879" s="2">
        <f>IFERROR(__xludf.DUMMYFUNCTION("""COMPUTED_VALUE"""),113.9)</f>
        <v>113.9</v>
      </c>
      <c r="E1879" s="2">
        <f>IFERROR(__xludf.DUMMYFUNCTION("""COMPUTED_VALUE"""),114.88)</f>
        <v>114.88</v>
      </c>
      <c r="F1879" s="2">
        <f>IFERROR(__xludf.DUMMYFUNCTION("""COMPUTED_VALUE"""),446998.0)</f>
        <v>446998</v>
      </c>
    </row>
    <row r="1880">
      <c r="A1880" s="3">
        <f>IFERROR(__xludf.DUMMYFUNCTION("""COMPUTED_VALUE"""),39275.645833333336)</f>
        <v>39275.64583</v>
      </c>
      <c r="B1880" s="2">
        <f>IFERROR(__xludf.DUMMYFUNCTION("""COMPUTED_VALUE"""),115.7)</f>
        <v>115.7</v>
      </c>
      <c r="C1880" s="2">
        <f>IFERROR(__xludf.DUMMYFUNCTION("""COMPUTED_VALUE"""),120.5)</f>
        <v>120.5</v>
      </c>
      <c r="D1880" s="2">
        <f>IFERROR(__xludf.DUMMYFUNCTION("""COMPUTED_VALUE"""),115.05)</f>
        <v>115.05</v>
      </c>
      <c r="E1880" s="2">
        <f>IFERROR(__xludf.DUMMYFUNCTION("""COMPUTED_VALUE"""),120.15)</f>
        <v>120.15</v>
      </c>
      <c r="F1880" s="2">
        <f>IFERROR(__xludf.DUMMYFUNCTION("""COMPUTED_VALUE"""),538606.0)</f>
        <v>538606</v>
      </c>
    </row>
    <row r="1881">
      <c r="A1881" s="3">
        <f>IFERROR(__xludf.DUMMYFUNCTION("""COMPUTED_VALUE"""),39276.645833333336)</f>
        <v>39276.64583</v>
      </c>
      <c r="B1881" s="2">
        <f>IFERROR(__xludf.DUMMYFUNCTION("""COMPUTED_VALUE"""),120.6)</f>
        <v>120.6</v>
      </c>
      <c r="C1881" s="2">
        <f>IFERROR(__xludf.DUMMYFUNCTION("""COMPUTED_VALUE"""),124.0)</f>
        <v>124</v>
      </c>
      <c r="D1881" s="2">
        <f>IFERROR(__xludf.DUMMYFUNCTION("""COMPUTED_VALUE"""),120.28)</f>
        <v>120.28</v>
      </c>
      <c r="E1881" s="2">
        <f>IFERROR(__xludf.DUMMYFUNCTION("""COMPUTED_VALUE"""),122.64)</f>
        <v>122.64</v>
      </c>
      <c r="F1881" s="2">
        <f>IFERROR(__xludf.DUMMYFUNCTION("""COMPUTED_VALUE"""),861197.0)</f>
        <v>861197</v>
      </c>
    </row>
    <row r="1882">
      <c r="A1882" s="3">
        <f>IFERROR(__xludf.DUMMYFUNCTION("""COMPUTED_VALUE"""),39279.645833333336)</f>
        <v>39279.64583</v>
      </c>
      <c r="B1882" s="2">
        <f>IFERROR(__xludf.DUMMYFUNCTION("""COMPUTED_VALUE"""),123.0)</f>
        <v>123</v>
      </c>
      <c r="C1882" s="2">
        <f>IFERROR(__xludf.DUMMYFUNCTION("""COMPUTED_VALUE"""),123.0)</f>
        <v>123</v>
      </c>
      <c r="D1882" s="2">
        <f>IFERROR(__xludf.DUMMYFUNCTION("""COMPUTED_VALUE"""),120.0)</f>
        <v>120</v>
      </c>
      <c r="E1882" s="2">
        <f>IFERROR(__xludf.DUMMYFUNCTION("""COMPUTED_VALUE"""),121.77)</f>
        <v>121.77</v>
      </c>
      <c r="F1882" s="2">
        <f>IFERROR(__xludf.DUMMYFUNCTION("""COMPUTED_VALUE"""),330882.0)</f>
        <v>330882</v>
      </c>
    </row>
    <row r="1883">
      <c r="A1883" s="3">
        <f>IFERROR(__xludf.DUMMYFUNCTION("""COMPUTED_VALUE"""),39280.645833333336)</f>
        <v>39280.64583</v>
      </c>
      <c r="B1883" s="2">
        <f>IFERROR(__xludf.DUMMYFUNCTION("""COMPUTED_VALUE"""),122.0)</f>
        <v>122</v>
      </c>
      <c r="C1883" s="2">
        <f>IFERROR(__xludf.DUMMYFUNCTION("""COMPUTED_VALUE"""),122.77)</f>
        <v>122.77</v>
      </c>
      <c r="D1883" s="2">
        <f>IFERROR(__xludf.DUMMYFUNCTION("""COMPUTED_VALUE"""),118.92)</f>
        <v>118.92</v>
      </c>
      <c r="E1883" s="2">
        <f>IFERROR(__xludf.DUMMYFUNCTION("""COMPUTED_VALUE"""),119.93)</f>
        <v>119.93</v>
      </c>
      <c r="F1883" s="2">
        <f>IFERROR(__xludf.DUMMYFUNCTION("""COMPUTED_VALUE"""),326410.0)</f>
        <v>326410</v>
      </c>
    </row>
    <row r="1884">
      <c r="A1884" s="3">
        <f>IFERROR(__xludf.DUMMYFUNCTION("""COMPUTED_VALUE"""),39281.645833333336)</f>
        <v>39281.64583</v>
      </c>
      <c r="B1884" s="2">
        <f>IFERROR(__xludf.DUMMYFUNCTION("""COMPUTED_VALUE"""),119.0)</f>
        <v>119</v>
      </c>
      <c r="C1884" s="2">
        <f>IFERROR(__xludf.DUMMYFUNCTION("""COMPUTED_VALUE"""),121.97)</f>
        <v>121.97</v>
      </c>
      <c r="D1884" s="2">
        <f>IFERROR(__xludf.DUMMYFUNCTION("""COMPUTED_VALUE"""),117.6)</f>
        <v>117.6</v>
      </c>
      <c r="E1884" s="2">
        <f>IFERROR(__xludf.DUMMYFUNCTION("""COMPUTED_VALUE"""),120.01)</f>
        <v>120.01</v>
      </c>
      <c r="F1884" s="2">
        <f>IFERROR(__xludf.DUMMYFUNCTION("""COMPUTED_VALUE"""),589060.0)</f>
        <v>589060</v>
      </c>
    </row>
    <row r="1885">
      <c r="A1885" s="3">
        <f>IFERROR(__xludf.DUMMYFUNCTION("""COMPUTED_VALUE"""),39282.645833333336)</f>
        <v>39282.64583</v>
      </c>
      <c r="B1885" s="2">
        <f>IFERROR(__xludf.DUMMYFUNCTION("""COMPUTED_VALUE"""),119.11)</f>
        <v>119.11</v>
      </c>
      <c r="C1885" s="2">
        <f>IFERROR(__xludf.DUMMYFUNCTION("""COMPUTED_VALUE"""),121.95)</f>
        <v>121.95</v>
      </c>
      <c r="D1885" s="2">
        <f>IFERROR(__xludf.DUMMYFUNCTION("""COMPUTED_VALUE"""),117.6)</f>
        <v>117.6</v>
      </c>
      <c r="E1885" s="2">
        <f>IFERROR(__xludf.DUMMYFUNCTION("""COMPUTED_VALUE"""),120.93)</f>
        <v>120.93</v>
      </c>
      <c r="F1885" s="2">
        <f>IFERROR(__xludf.DUMMYFUNCTION("""COMPUTED_VALUE"""),963282.0)</f>
        <v>963282</v>
      </c>
    </row>
    <row r="1886">
      <c r="A1886" s="3">
        <f>IFERROR(__xludf.DUMMYFUNCTION("""COMPUTED_VALUE"""),39283.645833333336)</f>
        <v>39283.64583</v>
      </c>
      <c r="B1886" s="2">
        <f>IFERROR(__xludf.DUMMYFUNCTION("""COMPUTED_VALUE"""),122.1)</f>
        <v>122.1</v>
      </c>
      <c r="C1886" s="2">
        <f>IFERROR(__xludf.DUMMYFUNCTION("""COMPUTED_VALUE"""),122.6)</f>
        <v>122.6</v>
      </c>
      <c r="D1886" s="2">
        <f>IFERROR(__xludf.DUMMYFUNCTION("""COMPUTED_VALUE"""),119.63)</f>
        <v>119.63</v>
      </c>
      <c r="E1886" s="2">
        <f>IFERROR(__xludf.DUMMYFUNCTION("""COMPUTED_VALUE"""),120.09)</f>
        <v>120.09</v>
      </c>
      <c r="F1886" s="2">
        <f>IFERROR(__xludf.DUMMYFUNCTION("""COMPUTED_VALUE"""),372322.0)</f>
        <v>372322</v>
      </c>
    </row>
    <row r="1887">
      <c r="A1887" s="3">
        <f>IFERROR(__xludf.DUMMYFUNCTION("""COMPUTED_VALUE"""),39286.645833333336)</f>
        <v>39286.64583</v>
      </c>
      <c r="B1887" s="2">
        <f>IFERROR(__xludf.DUMMYFUNCTION("""COMPUTED_VALUE"""),119.84)</f>
        <v>119.84</v>
      </c>
      <c r="C1887" s="2">
        <f>IFERROR(__xludf.DUMMYFUNCTION("""COMPUTED_VALUE"""),123.5)</f>
        <v>123.5</v>
      </c>
      <c r="D1887" s="2">
        <f>IFERROR(__xludf.DUMMYFUNCTION("""COMPUTED_VALUE"""),119.06)</f>
        <v>119.06</v>
      </c>
      <c r="E1887" s="2">
        <f>IFERROR(__xludf.DUMMYFUNCTION("""COMPUTED_VALUE"""),123.03)</f>
        <v>123.03</v>
      </c>
      <c r="F1887" s="2">
        <f>IFERROR(__xludf.DUMMYFUNCTION("""COMPUTED_VALUE"""),345028.0)</f>
        <v>345028</v>
      </c>
    </row>
    <row r="1888">
      <c r="A1888" s="3">
        <f>IFERROR(__xludf.DUMMYFUNCTION("""COMPUTED_VALUE"""),39287.645833333336)</f>
        <v>39287.64583</v>
      </c>
      <c r="B1888" s="2">
        <f>IFERROR(__xludf.DUMMYFUNCTION("""COMPUTED_VALUE"""),122.89)</f>
        <v>122.89</v>
      </c>
      <c r="C1888" s="2">
        <f>IFERROR(__xludf.DUMMYFUNCTION("""COMPUTED_VALUE"""),125.5)</f>
        <v>125.5</v>
      </c>
      <c r="D1888" s="2">
        <f>IFERROR(__xludf.DUMMYFUNCTION("""COMPUTED_VALUE"""),121.12)</f>
        <v>121.12</v>
      </c>
      <c r="E1888" s="2">
        <f>IFERROR(__xludf.DUMMYFUNCTION("""COMPUTED_VALUE"""),124.89)</f>
        <v>124.89</v>
      </c>
      <c r="F1888" s="2">
        <f>IFERROR(__xludf.DUMMYFUNCTION("""COMPUTED_VALUE"""),456725.0)</f>
        <v>456725</v>
      </c>
    </row>
    <row r="1889">
      <c r="A1889" s="3">
        <f>IFERROR(__xludf.DUMMYFUNCTION("""COMPUTED_VALUE"""),39288.645833333336)</f>
        <v>39288.64583</v>
      </c>
      <c r="B1889" s="2">
        <f>IFERROR(__xludf.DUMMYFUNCTION("""COMPUTED_VALUE"""),124.5)</f>
        <v>124.5</v>
      </c>
      <c r="C1889" s="2">
        <f>IFERROR(__xludf.DUMMYFUNCTION("""COMPUTED_VALUE"""),124.5)</f>
        <v>124.5</v>
      </c>
      <c r="D1889" s="2">
        <f>IFERROR(__xludf.DUMMYFUNCTION("""COMPUTED_VALUE"""),121.1)</f>
        <v>121.1</v>
      </c>
      <c r="E1889" s="2">
        <f>IFERROR(__xludf.DUMMYFUNCTION("""COMPUTED_VALUE"""),123.91)</f>
        <v>123.91</v>
      </c>
      <c r="F1889" s="2">
        <f>IFERROR(__xludf.DUMMYFUNCTION("""COMPUTED_VALUE"""),273137.0)</f>
        <v>273137</v>
      </c>
    </row>
    <row r="1890">
      <c r="A1890" s="3">
        <f>IFERROR(__xludf.DUMMYFUNCTION("""COMPUTED_VALUE"""),39289.645833333336)</f>
        <v>39289.64583</v>
      </c>
      <c r="B1890" s="2">
        <f>IFERROR(__xludf.DUMMYFUNCTION("""COMPUTED_VALUE"""),123.75)</f>
        <v>123.75</v>
      </c>
      <c r="C1890" s="2">
        <f>IFERROR(__xludf.DUMMYFUNCTION("""COMPUTED_VALUE"""),123.75)</f>
        <v>123.75</v>
      </c>
      <c r="D1890" s="2">
        <f>IFERROR(__xludf.DUMMYFUNCTION("""COMPUTED_VALUE"""),119.1)</f>
        <v>119.1</v>
      </c>
      <c r="E1890" s="2">
        <f>IFERROR(__xludf.DUMMYFUNCTION("""COMPUTED_VALUE"""),121.73)</f>
        <v>121.73</v>
      </c>
      <c r="F1890" s="2">
        <f>IFERROR(__xludf.DUMMYFUNCTION("""COMPUTED_VALUE"""),561459.0)</f>
        <v>561459</v>
      </c>
    </row>
    <row r="1891">
      <c r="A1891" s="3">
        <f>IFERROR(__xludf.DUMMYFUNCTION("""COMPUTED_VALUE"""),39290.645833333336)</f>
        <v>39290.64583</v>
      </c>
      <c r="B1891" s="2">
        <f>IFERROR(__xludf.DUMMYFUNCTION("""COMPUTED_VALUE"""),119.0)</f>
        <v>119</v>
      </c>
      <c r="C1891" s="2">
        <f>IFERROR(__xludf.DUMMYFUNCTION("""COMPUTED_VALUE"""),119.0)</f>
        <v>119</v>
      </c>
      <c r="D1891" s="2">
        <f>IFERROR(__xludf.DUMMYFUNCTION("""COMPUTED_VALUE"""),115.01)</f>
        <v>115.01</v>
      </c>
      <c r="E1891" s="2">
        <f>IFERROR(__xludf.DUMMYFUNCTION("""COMPUTED_VALUE"""),116.94)</f>
        <v>116.94</v>
      </c>
      <c r="F1891" s="2">
        <f>IFERROR(__xludf.DUMMYFUNCTION("""COMPUTED_VALUE"""),653033.0)</f>
        <v>653033</v>
      </c>
    </row>
    <row r="1892">
      <c r="A1892" s="3">
        <f>IFERROR(__xludf.DUMMYFUNCTION("""COMPUTED_VALUE"""),39293.645833333336)</f>
        <v>39293.64583</v>
      </c>
      <c r="B1892" s="2">
        <f>IFERROR(__xludf.DUMMYFUNCTION("""COMPUTED_VALUE"""),115.99)</f>
        <v>115.99</v>
      </c>
      <c r="C1892" s="2">
        <f>IFERROR(__xludf.DUMMYFUNCTION("""COMPUTED_VALUE"""),119.8)</f>
        <v>119.8</v>
      </c>
      <c r="D1892" s="2">
        <f>IFERROR(__xludf.DUMMYFUNCTION("""COMPUTED_VALUE"""),115.2)</f>
        <v>115.2</v>
      </c>
      <c r="E1892" s="2">
        <f>IFERROR(__xludf.DUMMYFUNCTION("""COMPUTED_VALUE"""),116.89)</f>
        <v>116.89</v>
      </c>
      <c r="F1892" s="2">
        <f>IFERROR(__xludf.DUMMYFUNCTION("""COMPUTED_VALUE"""),474781.0)</f>
        <v>474781</v>
      </c>
    </row>
    <row r="1893">
      <c r="A1893" s="3">
        <f>IFERROR(__xludf.DUMMYFUNCTION("""COMPUTED_VALUE"""),39294.645833333336)</f>
        <v>39294.64583</v>
      </c>
      <c r="B1893" s="2">
        <f>IFERROR(__xludf.DUMMYFUNCTION("""COMPUTED_VALUE"""),118.0)</f>
        <v>118</v>
      </c>
      <c r="C1893" s="2">
        <f>IFERROR(__xludf.DUMMYFUNCTION("""COMPUTED_VALUE"""),120.99)</f>
        <v>120.99</v>
      </c>
      <c r="D1893" s="2">
        <f>IFERROR(__xludf.DUMMYFUNCTION("""COMPUTED_VALUE"""),115.1)</f>
        <v>115.1</v>
      </c>
      <c r="E1893" s="2">
        <f>IFERROR(__xludf.DUMMYFUNCTION("""COMPUTED_VALUE"""),120.06)</f>
        <v>120.06</v>
      </c>
      <c r="F1893" s="2">
        <f>IFERROR(__xludf.DUMMYFUNCTION("""COMPUTED_VALUE"""),618372.0)</f>
        <v>618372</v>
      </c>
    </row>
    <row r="1894">
      <c r="A1894" s="3">
        <f>IFERROR(__xludf.DUMMYFUNCTION("""COMPUTED_VALUE"""),39295.645833333336)</f>
        <v>39295.64583</v>
      </c>
      <c r="B1894" s="2">
        <f>IFERROR(__xludf.DUMMYFUNCTION("""COMPUTED_VALUE"""),118.89)</f>
        <v>118.89</v>
      </c>
      <c r="C1894" s="2">
        <f>IFERROR(__xludf.DUMMYFUNCTION("""COMPUTED_VALUE"""),119.0)</f>
        <v>119</v>
      </c>
      <c r="D1894" s="2">
        <f>IFERROR(__xludf.DUMMYFUNCTION("""COMPUTED_VALUE"""),112.11)</f>
        <v>112.11</v>
      </c>
      <c r="E1894" s="2">
        <f>IFERROR(__xludf.DUMMYFUNCTION("""COMPUTED_VALUE"""),116.14)</f>
        <v>116.14</v>
      </c>
      <c r="F1894" s="2">
        <f>IFERROR(__xludf.DUMMYFUNCTION("""COMPUTED_VALUE"""),980178.0)</f>
        <v>980178</v>
      </c>
    </row>
    <row r="1895">
      <c r="A1895" s="3">
        <f>IFERROR(__xludf.DUMMYFUNCTION("""COMPUTED_VALUE"""),39296.645833333336)</f>
        <v>39296.64583</v>
      </c>
      <c r="B1895" s="2">
        <f>IFERROR(__xludf.DUMMYFUNCTION("""COMPUTED_VALUE"""),114.97)</f>
        <v>114.97</v>
      </c>
      <c r="C1895" s="2">
        <f>IFERROR(__xludf.DUMMYFUNCTION("""COMPUTED_VALUE"""),116.19)</f>
        <v>116.19</v>
      </c>
      <c r="D1895" s="2">
        <f>IFERROR(__xludf.DUMMYFUNCTION("""COMPUTED_VALUE"""),114.02)</f>
        <v>114.02</v>
      </c>
      <c r="E1895" s="2">
        <f>IFERROR(__xludf.DUMMYFUNCTION("""COMPUTED_VALUE"""),115.24)</f>
        <v>115.24</v>
      </c>
      <c r="F1895" s="2">
        <f>IFERROR(__xludf.DUMMYFUNCTION("""COMPUTED_VALUE"""),574338.0)</f>
        <v>574338</v>
      </c>
    </row>
    <row r="1896">
      <c r="A1896" s="3">
        <f>IFERROR(__xludf.DUMMYFUNCTION("""COMPUTED_VALUE"""),39297.645833333336)</f>
        <v>39297.64583</v>
      </c>
      <c r="B1896" s="2">
        <f>IFERROR(__xludf.DUMMYFUNCTION("""COMPUTED_VALUE"""),116.7)</f>
        <v>116.7</v>
      </c>
      <c r="C1896" s="2">
        <f>IFERROR(__xludf.DUMMYFUNCTION("""COMPUTED_VALUE"""),116.9)</f>
        <v>116.9</v>
      </c>
      <c r="D1896" s="2">
        <f>IFERROR(__xludf.DUMMYFUNCTION("""COMPUTED_VALUE"""),113.8)</f>
        <v>113.8</v>
      </c>
      <c r="E1896" s="2">
        <f>IFERROR(__xludf.DUMMYFUNCTION("""COMPUTED_VALUE"""),115.5)</f>
        <v>115.5</v>
      </c>
      <c r="F1896" s="2">
        <f>IFERROR(__xludf.DUMMYFUNCTION("""COMPUTED_VALUE"""),283435.0)</f>
        <v>283435</v>
      </c>
    </row>
    <row r="1897">
      <c r="A1897" s="3">
        <f>IFERROR(__xludf.DUMMYFUNCTION("""COMPUTED_VALUE"""),39300.645833333336)</f>
        <v>39300.64583</v>
      </c>
      <c r="B1897" s="2">
        <f>IFERROR(__xludf.DUMMYFUNCTION("""COMPUTED_VALUE"""),113.49)</f>
        <v>113.49</v>
      </c>
      <c r="C1897" s="2">
        <f>IFERROR(__xludf.DUMMYFUNCTION("""COMPUTED_VALUE"""),114.0)</f>
        <v>114</v>
      </c>
      <c r="D1897" s="2">
        <f>IFERROR(__xludf.DUMMYFUNCTION("""COMPUTED_VALUE"""),110.7)</f>
        <v>110.7</v>
      </c>
      <c r="E1897" s="2">
        <f>IFERROR(__xludf.DUMMYFUNCTION("""COMPUTED_VALUE"""),113.25)</f>
        <v>113.25</v>
      </c>
      <c r="F1897" s="2">
        <f>IFERROR(__xludf.DUMMYFUNCTION("""COMPUTED_VALUE"""),685039.0)</f>
        <v>685039</v>
      </c>
    </row>
    <row r="1898">
      <c r="A1898" s="3">
        <f>IFERROR(__xludf.DUMMYFUNCTION("""COMPUTED_VALUE"""),39301.645833333336)</f>
        <v>39301.64583</v>
      </c>
      <c r="B1898" s="2">
        <f>IFERROR(__xludf.DUMMYFUNCTION("""COMPUTED_VALUE"""),115.8)</f>
        <v>115.8</v>
      </c>
      <c r="C1898" s="2">
        <f>IFERROR(__xludf.DUMMYFUNCTION("""COMPUTED_VALUE"""),116.9)</f>
        <v>116.9</v>
      </c>
      <c r="D1898" s="2">
        <f>IFERROR(__xludf.DUMMYFUNCTION("""COMPUTED_VALUE"""),113.1)</f>
        <v>113.1</v>
      </c>
      <c r="E1898" s="2">
        <f>IFERROR(__xludf.DUMMYFUNCTION("""COMPUTED_VALUE"""),114.14)</f>
        <v>114.14</v>
      </c>
      <c r="F1898" s="2">
        <f>IFERROR(__xludf.DUMMYFUNCTION("""COMPUTED_VALUE"""),392536.0)</f>
        <v>392536</v>
      </c>
    </row>
    <row r="1899">
      <c r="A1899" s="3">
        <f>IFERROR(__xludf.DUMMYFUNCTION("""COMPUTED_VALUE"""),39302.645833333336)</f>
        <v>39302.64583</v>
      </c>
      <c r="B1899" s="2">
        <f>IFERROR(__xludf.DUMMYFUNCTION("""COMPUTED_VALUE"""),114.5)</f>
        <v>114.5</v>
      </c>
      <c r="C1899" s="2">
        <f>IFERROR(__xludf.DUMMYFUNCTION("""COMPUTED_VALUE"""),119.24)</f>
        <v>119.24</v>
      </c>
      <c r="D1899" s="2">
        <f>IFERROR(__xludf.DUMMYFUNCTION("""COMPUTED_VALUE"""),114.5)</f>
        <v>114.5</v>
      </c>
      <c r="E1899" s="2">
        <f>IFERROR(__xludf.DUMMYFUNCTION("""COMPUTED_VALUE"""),117.18)</f>
        <v>117.18</v>
      </c>
      <c r="F1899" s="2">
        <f>IFERROR(__xludf.DUMMYFUNCTION("""COMPUTED_VALUE"""),486752.0)</f>
        <v>486752</v>
      </c>
    </row>
    <row r="1900">
      <c r="A1900" s="3">
        <f>IFERROR(__xludf.DUMMYFUNCTION("""COMPUTED_VALUE"""),39303.645833333336)</f>
        <v>39303.64583</v>
      </c>
      <c r="B1900" s="2">
        <f>IFERROR(__xludf.DUMMYFUNCTION("""COMPUTED_VALUE"""),118.79)</f>
        <v>118.79</v>
      </c>
      <c r="C1900" s="2">
        <f>IFERROR(__xludf.DUMMYFUNCTION("""COMPUTED_VALUE"""),119.25)</f>
        <v>119.25</v>
      </c>
      <c r="D1900" s="2">
        <f>IFERROR(__xludf.DUMMYFUNCTION("""COMPUTED_VALUE"""),113.9)</f>
        <v>113.9</v>
      </c>
      <c r="E1900" s="2">
        <f>IFERROR(__xludf.DUMMYFUNCTION("""COMPUTED_VALUE"""),115.57)</f>
        <v>115.57</v>
      </c>
      <c r="F1900" s="2">
        <f>IFERROR(__xludf.DUMMYFUNCTION("""COMPUTED_VALUE"""),498173.0)</f>
        <v>498173</v>
      </c>
    </row>
    <row r="1901">
      <c r="A1901" s="3">
        <f>IFERROR(__xludf.DUMMYFUNCTION("""COMPUTED_VALUE"""),39304.645833333336)</f>
        <v>39304.64583</v>
      </c>
      <c r="B1901" s="2">
        <f>IFERROR(__xludf.DUMMYFUNCTION("""COMPUTED_VALUE"""),110.13)</f>
        <v>110.13</v>
      </c>
      <c r="C1901" s="2">
        <f>IFERROR(__xludf.DUMMYFUNCTION("""COMPUTED_VALUE"""),113.5)</f>
        <v>113.5</v>
      </c>
      <c r="D1901" s="2">
        <f>IFERROR(__xludf.DUMMYFUNCTION("""COMPUTED_VALUE"""),109.1)</f>
        <v>109.1</v>
      </c>
      <c r="E1901" s="2">
        <f>IFERROR(__xludf.DUMMYFUNCTION("""COMPUTED_VALUE"""),113.05)</f>
        <v>113.05</v>
      </c>
      <c r="F1901" s="2">
        <f>IFERROR(__xludf.DUMMYFUNCTION("""COMPUTED_VALUE"""),559167.0)</f>
        <v>559167</v>
      </c>
    </row>
    <row r="1902">
      <c r="A1902" s="3">
        <f>IFERROR(__xludf.DUMMYFUNCTION("""COMPUTED_VALUE"""),39307.645833333336)</f>
        <v>39307.64583</v>
      </c>
      <c r="B1902" s="2">
        <f>IFERROR(__xludf.DUMMYFUNCTION("""COMPUTED_VALUE"""),114.0)</f>
        <v>114</v>
      </c>
      <c r="C1902" s="2">
        <f>IFERROR(__xludf.DUMMYFUNCTION("""COMPUTED_VALUE"""),114.9)</f>
        <v>114.9</v>
      </c>
      <c r="D1902" s="2">
        <f>IFERROR(__xludf.DUMMYFUNCTION("""COMPUTED_VALUE"""),112.22)</f>
        <v>112.22</v>
      </c>
      <c r="E1902" s="2">
        <f>IFERROR(__xludf.DUMMYFUNCTION("""COMPUTED_VALUE"""),113.57)</f>
        <v>113.57</v>
      </c>
      <c r="F1902" s="2">
        <f>IFERROR(__xludf.DUMMYFUNCTION("""COMPUTED_VALUE"""),349503.0)</f>
        <v>349503</v>
      </c>
    </row>
    <row r="1903">
      <c r="A1903" s="3">
        <f>IFERROR(__xludf.DUMMYFUNCTION("""COMPUTED_VALUE"""),39308.645833333336)</f>
        <v>39308.64583</v>
      </c>
      <c r="B1903" s="2">
        <f>IFERROR(__xludf.DUMMYFUNCTION("""COMPUTED_VALUE"""),113.51)</f>
        <v>113.51</v>
      </c>
      <c r="C1903" s="2">
        <f>IFERROR(__xludf.DUMMYFUNCTION("""COMPUTED_VALUE"""),115.2)</f>
        <v>115.2</v>
      </c>
      <c r="D1903" s="2">
        <f>IFERROR(__xludf.DUMMYFUNCTION("""COMPUTED_VALUE"""),112.63)</f>
        <v>112.63</v>
      </c>
      <c r="E1903" s="2">
        <f>IFERROR(__xludf.DUMMYFUNCTION("""COMPUTED_VALUE"""),114.77)</f>
        <v>114.77</v>
      </c>
      <c r="F1903" s="2">
        <f>IFERROR(__xludf.DUMMYFUNCTION("""COMPUTED_VALUE"""),186964.0)</f>
        <v>186964</v>
      </c>
    </row>
    <row r="1904">
      <c r="A1904" s="3">
        <f>IFERROR(__xludf.DUMMYFUNCTION("""COMPUTED_VALUE"""),39310.645833333336)</f>
        <v>39310.64583</v>
      </c>
      <c r="B1904" s="2">
        <f>IFERROR(__xludf.DUMMYFUNCTION("""COMPUTED_VALUE"""),110.13)</f>
        <v>110.13</v>
      </c>
      <c r="C1904" s="2">
        <f>IFERROR(__xludf.DUMMYFUNCTION("""COMPUTED_VALUE"""),111.38)</f>
        <v>111.38</v>
      </c>
      <c r="D1904" s="2">
        <f>IFERROR(__xludf.DUMMYFUNCTION("""COMPUTED_VALUE"""),108.13)</f>
        <v>108.13</v>
      </c>
      <c r="E1904" s="2">
        <f>IFERROR(__xludf.DUMMYFUNCTION("""COMPUTED_VALUE"""),109.4)</f>
        <v>109.4</v>
      </c>
      <c r="F1904" s="2">
        <f>IFERROR(__xludf.DUMMYFUNCTION("""COMPUTED_VALUE"""),663070.0)</f>
        <v>663070</v>
      </c>
    </row>
    <row r="1905">
      <c r="A1905" s="3">
        <f>IFERROR(__xludf.DUMMYFUNCTION("""COMPUTED_VALUE"""),39311.645833333336)</f>
        <v>39311.64583</v>
      </c>
      <c r="B1905" s="2">
        <f>IFERROR(__xludf.DUMMYFUNCTION("""COMPUTED_VALUE"""),108.97)</f>
        <v>108.97</v>
      </c>
      <c r="C1905" s="2">
        <f>IFERROR(__xludf.DUMMYFUNCTION("""COMPUTED_VALUE"""),109.78)</f>
        <v>109.78</v>
      </c>
      <c r="D1905" s="2">
        <f>IFERROR(__xludf.DUMMYFUNCTION("""COMPUTED_VALUE"""),105.12)</f>
        <v>105.12</v>
      </c>
      <c r="E1905" s="2">
        <f>IFERROR(__xludf.DUMMYFUNCTION("""COMPUTED_VALUE"""),106.81)</f>
        <v>106.81</v>
      </c>
      <c r="F1905" s="2">
        <f>IFERROR(__xludf.DUMMYFUNCTION("""COMPUTED_VALUE"""),890650.0)</f>
        <v>890650</v>
      </c>
    </row>
    <row r="1906">
      <c r="A1906" s="3">
        <f>IFERROR(__xludf.DUMMYFUNCTION("""COMPUTED_VALUE"""),39314.645833333336)</f>
        <v>39314.64583</v>
      </c>
      <c r="B1906" s="2">
        <f>IFERROR(__xludf.DUMMYFUNCTION("""COMPUTED_VALUE"""),110.12)</f>
        <v>110.12</v>
      </c>
      <c r="C1906" s="2">
        <f>IFERROR(__xludf.DUMMYFUNCTION("""COMPUTED_VALUE"""),113.9)</f>
        <v>113.9</v>
      </c>
      <c r="D1906" s="2">
        <f>IFERROR(__xludf.DUMMYFUNCTION("""COMPUTED_VALUE"""),110.12)</f>
        <v>110.12</v>
      </c>
      <c r="E1906" s="2">
        <f>IFERROR(__xludf.DUMMYFUNCTION("""COMPUTED_VALUE"""),111.09)</f>
        <v>111.09</v>
      </c>
      <c r="F1906" s="2">
        <f>IFERROR(__xludf.DUMMYFUNCTION("""COMPUTED_VALUE"""),810842.0)</f>
        <v>810842</v>
      </c>
    </row>
    <row r="1907">
      <c r="A1907" s="3">
        <f>IFERROR(__xludf.DUMMYFUNCTION("""COMPUTED_VALUE"""),39315.645833333336)</f>
        <v>39315.64583</v>
      </c>
      <c r="B1907" s="2">
        <f>IFERROR(__xludf.DUMMYFUNCTION("""COMPUTED_VALUE"""),112.8)</f>
        <v>112.8</v>
      </c>
      <c r="C1907" s="2">
        <f>IFERROR(__xludf.DUMMYFUNCTION("""COMPUTED_VALUE"""),112.8)</f>
        <v>112.8</v>
      </c>
      <c r="D1907" s="2">
        <f>IFERROR(__xludf.DUMMYFUNCTION("""COMPUTED_VALUE"""),109.91)</f>
        <v>109.91</v>
      </c>
      <c r="E1907" s="2">
        <f>IFERROR(__xludf.DUMMYFUNCTION("""COMPUTED_VALUE"""),110.4)</f>
        <v>110.4</v>
      </c>
      <c r="F1907" s="2">
        <f>IFERROR(__xludf.DUMMYFUNCTION("""COMPUTED_VALUE"""),223613.0)</f>
        <v>223613</v>
      </c>
    </row>
    <row r="1908">
      <c r="A1908" s="3">
        <f>IFERROR(__xludf.DUMMYFUNCTION("""COMPUTED_VALUE"""),39316.645833333336)</f>
        <v>39316.64583</v>
      </c>
      <c r="B1908" s="2">
        <f>IFERROR(__xludf.DUMMYFUNCTION("""COMPUTED_VALUE"""),110.4)</f>
        <v>110.4</v>
      </c>
      <c r="C1908" s="2">
        <f>IFERROR(__xludf.DUMMYFUNCTION("""COMPUTED_VALUE"""),112.19)</f>
        <v>112.19</v>
      </c>
      <c r="D1908" s="2">
        <f>IFERROR(__xludf.DUMMYFUNCTION("""COMPUTED_VALUE"""),109.81)</f>
        <v>109.81</v>
      </c>
      <c r="E1908" s="2">
        <f>IFERROR(__xludf.DUMMYFUNCTION("""COMPUTED_VALUE"""),111.74)</f>
        <v>111.74</v>
      </c>
      <c r="F1908" s="2">
        <f>IFERROR(__xludf.DUMMYFUNCTION("""COMPUTED_VALUE"""),545241.0)</f>
        <v>545241</v>
      </c>
    </row>
    <row r="1909">
      <c r="A1909" s="3">
        <f>IFERROR(__xludf.DUMMYFUNCTION("""COMPUTED_VALUE"""),39317.645833333336)</f>
        <v>39317.64583</v>
      </c>
      <c r="B1909" s="2">
        <f>IFERROR(__xludf.DUMMYFUNCTION("""COMPUTED_VALUE"""),112.25)</f>
        <v>112.25</v>
      </c>
      <c r="C1909" s="2">
        <f>IFERROR(__xludf.DUMMYFUNCTION("""COMPUTED_VALUE"""),114.5)</f>
        <v>114.5</v>
      </c>
      <c r="D1909" s="2">
        <f>IFERROR(__xludf.DUMMYFUNCTION("""COMPUTED_VALUE"""),107.5)</f>
        <v>107.5</v>
      </c>
      <c r="E1909" s="2">
        <f>IFERROR(__xludf.DUMMYFUNCTION("""COMPUTED_VALUE"""),110.02)</f>
        <v>110.02</v>
      </c>
      <c r="F1909" s="2">
        <f>IFERROR(__xludf.DUMMYFUNCTION("""COMPUTED_VALUE"""),874928.0)</f>
        <v>874928</v>
      </c>
    </row>
    <row r="1910">
      <c r="A1910" s="3">
        <f>IFERROR(__xludf.DUMMYFUNCTION("""COMPUTED_VALUE"""),39318.645833333336)</f>
        <v>39318.64583</v>
      </c>
      <c r="B1910" s="2">
        <f>IFERROR(__xludf.DUMMYFUNCTION("""COMPUTED_VALUE"""),109.87)</f>
        <v>109.87</v>
      </c>
      <c r="C1910" s="2">
        <f>IFERROR(__xludf.DUMMYFUNCTION("""COMPUTED_VALUE"""),112.2)</f>
        <v>112.2</v>
      </c>
      <c r="D1910" s="2">
        <f>IFERROR(__xludf.DUMMYFUNCTION("""COMPUTED_VALUE"""),108.01)</f>
        <v>108.01</v>
      </c>
      <c r="E1910" s="2">
        <f>IFERROR(__xludf.DUMMYFUNCTION("""COMPUTED_VALUE"""),109.77)</f>
        <v>109.77</v>
      </c>
      <c r="F1910" s="2">
        <f>IFERROR(__xludf.DUMMYFUNCTION("""COMPUTED_VALUE"""),839549.0)</f>
        <v>839549</v>
      </c>
    </row>
    <row r="1911">
      <c r="A1911" s="3">
        <f>IFERROR(__xludf.DUMMYFUNCTION("""COMPUTED_VALUE"""),39321.645833333336)</f>
        <v>39321.64583</v>
      </c>
      <c r="B1911" s="2">
        <f>IFERROR(__xludf.DUMMYFUNCTION("""COMPUTED_VALUE"""),110.16)</f>
        <v>110.16</v>
      </c>
      <c r="C1911" s="2">
        <f>IFERROR(__xludf.DUMMYFUNCTION("""COMPUTED_VALUE"""),112.69)</f>
        <v>112.69</v>
      </c>
      <c r="D1911" s="2">
        <f>IFERROR(__xludf.DUMMYFUNCTION("""COMPUTED_VALUE"""),110.16)</f>
        <v>110.16</v>
      </c>
      <c r="E1911" s="2">
        <f>IFERROR(__xludf.DUMMYFUNCTION("""COMPUTED_VALUE"""),111.96)</f>
        <v>111.96</v>
      </c>
      <c r="F1911" s="2">
        <f>IFERROR(__xludf.DUMMYFUNCTION("""COMPUTED_VALUE"""),550468.0)</f>
        <v>550468</v>
      </c>
    </row>
    <row r="1912">
      <c r="A1912" s="3">
        <f>IFERROR(__xludf.DUMMYFUNCTION("""COMPUTED_VALUE"""),39322.645833333336)</f>
        <v>39322.64583</v>
      </c>
      <c r="B1912" s="2">
        <f>IFERROR(__xludf.DUMMYFUNCTION("""COMPUTED_VALUE"""),112.44)</f>
        <v>112.44</v>
      </c>
      <c r="C1912" s="2">
        <f>IFERROR(__xludf.DUMMYFUNCTION("""COMPUTED_VALUE"""),115.84)</f>
        <v>115.84</v>
      </c>
      <c r="D1912" s="2">
        <f>IFERROR(__xludf.DUMMYFUNCTION("""COMPUTED_VALUE"""),111.88)</f>
        <v>111.88</v>
      </c>
      <c r="E1912" s="2">
        <f>IFERROR(__xludf.DUMMYFUNCTION("""COMPUTED_VALUE"""),115.06)</f>
        <v>115.06</v>
      </c>
      <c r="F1912" s="2">
        <f>IFERROR(__xludf.DUMMYFUNCTION("""COMPUTED_VALUE"""),514040.0)</f>
        <v>514040</v>
      </c>
    </row>
    <row r="1913">
      <c r="A1913" s="3">
        <f>IFERROR(__xludf.DUMMYFUNCTION("""COMPUTED_VALUE"""),39323.645833333336)</f>
        <v>39323.64583</v>
      </c>
      <c r="B1913" s="2">
        <f>IFERROR(__xludf.DUMMYFUNCTION("""COMPUTED_VALUE"""),112.1)</f>
        <v>112.1</v>
      </c>
      <c r="C1913" s="2">
        <f>IFERROR(__xludf.DUMMYFUNCTION("""COMPUTED_VALUE"""),118.0)</f>
        <v>118</v>
      </c>
      <c r="D1913" s="2">
        <f>IFERROR(__xludf.DUMMYFUNCTION("""COMPUTED_VALUE"""),112.05)</f>
        <v>112.05</v>
      </c>
      <c r="E1913" s="2">
        <f>IFERROR(__xludf.DUMMYFUNCTION("""COMPUTED_VALUE"""),116.26)</f>
        <v>116.26</v>
      </c>
      <c r="F1913" s="2">
        <f>IFERROR(__xludf.DUMMYFUNCTION("""COMPUTED_VALUE"""),688425.0)</f>
        <v>688425</v>
      </c>
    </row>
    <row r="1914">
      <c r="A1914" s="3">
        <f>IFERROR(__xludf.DUMMYFUNCTION("""COMPUTED_VALUE"""),39324.645833333336)</f>
        <v>39324.64583</v>
      </c>
      <c r="B1914" s="2">
        <f>IFERROR(__xludf.DUMMYFUNCTION("""COMPUTED_VALUE"""),115.16)</f>
        <v>115.16</v>
      </c>
      <c r="C1914" s="2">
        <f>IFERROR(__xludf.DUMMYFUNCTION("""COMPUTED_VALUE"""),119.7)</f>
        <v>119.7</v>
      </c>
      <c r="D1914" s="2">
        <f>IFERROR(__xludf.DUMMYFUNCTION("""COMPUTED_VALUE"""),115.16)</f>
        <v>115.16</v>
      </c>
      <c r="E1914" s="2">
        <f>IFERROR(__xludf.DUMMYFUNCTION("""COMPUTED_VALUE"""),118.06)</f>
        <v>118.06</v>
      </c>
      <c r="F1914" s="2">
        <f>IFERROR(__xludf.DUMMYFUNCTION("""COMPUTED_VALUE"""),901446.0)</f>
        <v>901446</v>
      </c>
    </row>
    <row r="1915">
      <c r="A1915" s="3">
        <f>IFERROR(__xludf.DUMMYFUNCTION("""COMPUTED_VALUE"""),39325.645833333336)</f>
        <v>39325.64583</v>
      </c>
      <c r="B1915" s="2">
        <f>IFERROR(__xludf.DUMMYFUNCTION("""COMPUTED_VALUE"""),117.3)</f>
        <v>117.3</v>
      </c>
      <c r="C1915" s="2">
        <f>IFERROR(__xludf.DUMMYFUNCTION("""COMPUTED_VALUE"""),119.5)</f>
        <v>119.5</v>
      </c>
      <c r="D1915" s="2">
        <f>IFERROR(__xludf.DUMMYFUNCTION("""COMPUTED_VALUE"""),115.8)</f>
        <v>115.8</v>
      </c>
      <c r="E1915" s="2">
        <f>IFERROR(__xludf.DUMMYFUNCTION("""COMPUTED_VALUE"""),117.17)</f>
        <v>117.17</v>
      </c>
      <c r="F1915" s="2">
        <f>IFERROR(__xludf.DUMMYFUNCTION("""COMPUTED_VALUE"""),654291.0)</f>
        <v>654291</v>
      </c>
    </row>
    <row r="1916">
      <c r="A1916" s="3">
        <f>IFERROR(__xludf.DUMMYFUNCTION("""COMPUTED_VALUE"""),39328.645833333336)</f>
        <v>39328.64583</v>
      </c>
      <c r="B1916" s="2">
        <f>IFERROR(__xludf.DUMMYFUNCTION("""COMPUTED_VALUE"""),121.83)</f>
        <v>121.83</v>
      </c>
      <c r="C1916" s="2">
        <f>IFERROR(__xludf.DUMMYFUNCTION("""COMPUTED_VALUE"""),121.83)</f>
        <v>121.83</v>
      </c>
      <c r="D1916" s="2">
        <f>IFERROR(__xludf.DUMMYFUNCTION("""COMPUTED_VALUE"""),117.04)</f>
        <v>117.04</v>
      </c>
      <c r="E1916" s="2">
        <f>IFERROR(__xludf.DUMMYFUNCTION("""COMPUTED_VALUE"""),117.64)</f>
        <v>117.64</v>
      </c>
      <c r="F1916" s="2">
        <f>IFERROR(__xludf.DUMMYFUNCTION("""COMPUTED_VALUE"""),393071.0)</f>
        <v>393071</v>
      </c>
    </row>
    <row r="1917">
      <c r="A1917" s="3">
        <f>IFERROR(__xludf.DUMMYFUNCTION("""COMPUTED_VALUE"""),39329.645833333336)</f>
        <v>39329.64583</v>
      </c>
      <c r="B1917" s="2">
        <f>IFERROR(__xludf.DUMMYFUNCTION("""COMPUTED_VALUE"""),118.0)</f>
        <v>118</v>
      </c>
      <c r="C1917" s="2">
        <f>IFERROR(__xludf.DUMMYFUNCTION("""COMPUTED_VALUE"""),119.5)</f>
        <v>119.5</v>
      </c>
      <c r="D1917" s="2">
        <f>IFERROR(__xludf.DUMMYFUNCTION("""COMPUTED_VALUE"""),116.55)</f>
        <v>116.55</v>
      </c>
      <c r="E1917" s="2">
        <f>IFERROR(__xludf.DUMMYFUNCTION("""COMPUTED_VALUE"""),117.65)</f>
        <v>117.65</v>
      </c>
      <c r="F1917" s="2">
        <f>IFERROR(__xludf.DUMMYFUNCTION("""COMPUTED_VALUE"""),231733.0)</f>
        <v>231733</v>
      </c>
    </row>
    <row r="1918">
      <c r="A1918" s="3">
        <f>IFERROR(__xludf.DUMMYFUNCTION("""COMPUTED_VALUE"""),39330.645833333336)</f>
        <v>39330.64583</v>
      </c>
      <c r="B1918" s="2">
        <f>IFERROR(__xludf.DUMMYFUNCTION("""COMPUTED_VALUE"""),116.56)</f>
        <v>116.56</v>
      </c>
      <c r="C1918" s="2">
        <f>IFERROR(__xludf.DUMMYFUNCTION("""COMPUTED_VALUE"""),118.44)</f>
        <v>118.44</v>
      </c>
      <c r="D1918" s="2">
        <f>IFERROR(__xludf.DUMMYFUNCTION("""COMPUTED_VALUE"""),115.8)</f>
        <v>115.8</v>
      </c>
      <c r="E1918" s="2">
        <f>IFERROR(__xludf.DUMMYFUNCTION("""COMPUTED_VALUE"""),117.25)</f>
        <v>117.25</v>
      </c>
      <c r="F1918" s="2">
        <f>IFERROR(__xludf.DUMMYFUNCTION("""COMPUTED_VALUE"""),201848.0)</f>
        <v>201848</v>
      </c>
    </row>
    <row r="1919">
      <c r="A1919" s="3">
        <f>IFERROR(__xludf.DUMMYFUNCTION("""COMPUTED_VALUE"""),39331.645833333336)</f>
        <v>39331.64583</v>
      </c>
      <c r="B1919" s="2">
        <f>IFERROR(__xludf.DUMMYFUNCTION("""COMPUTED_VALUE"""),116.0)</f>
        <v>116</v>
      </c>
      <c r="C1919" s="2">
        <f>IFERROR(__xludf.DUMMYFUNCTION("""COMPUTED_VALUE"""),118.76)</f>
        <v>118.76</v>
      </c>
      <c r="D1919" s="2">
        <f>IFERROR(__xludf.DUMMYFUNCTION("""COMPUTED_VALUE"""),115.9)</f>
        <v>115.9</v>
      </c>
      <c r="E1919" s="2">
        <f>IFERROR(__xludf.DUMMYFUNCTION("""COMPUTED_VALUE"""),118.46)</f>
        <v>118.46</v>
      </c>
      <c r="F1919" s="2">
        <f>IFERROR(__xludf.DUMMYFUNCTION("""COMPUTED_VALUE"""),150166.0)</f>
        <v>150166</v>
      </c>
    </row>
    <row r="1920">
      <c r="A1920" s="3">
        <f>IFERROR(__xludf.DUMMYFUNCTION("""COMPUTED_VALUE"""),39332.645833333336)</f>
        <v>39332.64583</v>
      </c>
      <c r="B1920" s="2">
        <f>IFERROR(__xludf.DUMMYFUNCTION("""COMPUTED_VALUE"""),116.23)</f>
        <v>116.23</v>
      </c>
      <c r="C1920" s="2">
        <f>IFERROR(__xludf.DUMMYFUNCTION("""COMPUTED_VALUE"""),120.6)</f>
        <v>120.6</v>
      </c>
      <c r="D1920" s="2">
        <f>IFERROR(__xludf.DUMMYFUNCTION("""COMPUTED_VALUE"""),114.06)</f>
        <v>114.06</v>
      </c>
      <c r="E1920" s="2">
        <f>IFERROR(__xludf.DUMMYFUNCTION("""COMPUTED_VALUE"""),119.66)</f>
        <v>119.66</v>
      </c>
      <c r="F1920" s="2">
        <f>IFERROR(__xludf.DUMMYFUNCTION("""COMPUTED_VALUE"""),261271.0)</f>
        <v>261271</v>
      </c>
    </row>
    <row r="1921">
      <c r="A1921" s="3">
        <f>IFERROR(__xludf.DUMMYFUNCTION("""COMPUTED_VALUE"""),39335.645833333336)</f>
        <v>39335.64583</v>
      </c>
      <c r="B1921" s="2">
        <f>IFERROR(__xludf.DUMMYFUNCTION("""COMPUTED_VALUE"""),117.1)</f>
        <v>117.1</v>
      </c>
      <c r="C1921" s="2">
        <f>IFERROR(__xludf.DUMMYFUNCTION("""COMPUTED_VALUE"""),120.6)</f>
        <v>120.6</v>
      </c>
      <c r="D1921" s="2">
        <f>IFERROR(__xludf.DUMMYFUNCTION("""COMPUTED_VALUE"""),117.0)</f>
        <v>117</v>
      </c>
      <c r="E1921" s="2">
        <f>IFERROR(__xludf.DUMMYFUNCTION("""COMPUTED_VALUE"""),119.61)</f>
        <v>119.61</v>
      </c>
      <c r="F1921" s="2">
        <f>IFERROR(__xludf.DUMMYFUNCTION("""COMPUTED_VALUE"""),228252.0)</f>
        <v>228252</v>
      </c>
    </row>
    <row r="1922">
      <c r="A1922" s="3">
        <f>IFERROR(__xludf.DUMMYFUNCTION("""COMPUTED_VALUE"""),39336.645833333336)</f>
        <v>39336.64583</v>
      </c>
      <c r="B1922" s="2">
        <f>IFERROR(__xludf.DUMMYFUNCTION("""COMPUTED_VALUE"""),119.61)</f>
        <v>119.61</v>
      </c>
      <c r="C1922" s="2">
        <f>IFERROR(__xludf.DUMMYFUNCTION("""COMPUTED_VALUE"""),120.5)</f>
        <v>120.5</v>
      </c>
      <c r="D1922" s="2">
        <f>IFERROR(__xludf.DUMMYFUNCTION("""COMPUTED_VALUE"""),118.22)</f>
        <v>118.22</v>
      </c>
      <c r="E1922" s="2">
        <f>IFERROR(__xludf.DUMMYFUNCTION("""COMPUTED_VALUE"""),118.78)</f>
        <v>118.78</v>
      </c>
      <c r="F1922" s="2">
        <f>IFERROR(__xludf.DUMMYFUNCTION("""COMPUTED_VALUE"""),181117.0)</f>
        <v>181117</v>
      </c>
    </row>
    <row r="1923">
      <c r="A1923" s="3">
        <f>IFERROR(__xludf.DUMMYFUNCTION("""COMPUTED_VALUE"""),39337.645833333336)</f>
        <v>39337.64583</v>
      </c>
      <c r="B1923" s="2">
        <f>IFERROR(__xludf.DUMMYFUNCTION("""COMPUTED_VALUE"""),119.2)</f>
        <v>119.2</v>
      </c>
      <c r="C1923" s="2">
        <f>IFERROR(__xludf.DUMMYFUNCTION("""COMPUTED_VALUE"""),120.19)</f>
        <v>120.19</v>
      </c>
      <c r="D1923" s="2">
        <f>IFERROR(__xludf.DUMMYFUNCTION("""COMPUTED_VALUE"""),118.0)</f>
        <v>118</v>
      </c>
      <c r="E1923" s="2">
        <f>IFERROR(__xludf.DUMMYFUNCTION("""COMPUTED_VALUE"""),118.22)</f>
        <v>118.22</v>
      </c>
      <c r="F1923" s="2">
        <f>IFERROR(__xludf.DUMMYFUNCTION("""COMPUTED_VALUE"""),125051.0)</f>
        <v>125051</v>
      </c>
    </row>
    <row r="1924">
      <c r="A1924" s="3">
        <f>IFERROR(__xludf.DUMMYFUNCTION("""COMPUTED_VALUE"""),39338.645833333336)</f>
        <v>39338.64583</v>
      </c>
      <c r="B1924" s="2">
        <f>IFERROR(__xludf.DUMMYFUNCTION("""COMPUTED_VALUE"""),118.2)</f>
        <v>118.2</v>
      </c>
      <c r="C1924" s="2">
        <f>IFERROR(__xludf.DUMMYFUNCTION("""COMPUTED_VALUE"""),121.7)</f>
        <v>121.7</v>
      </c>
      <c r="D1924" s="2">
        <f>IFERROR(__xludf.DUMMYFUNCTION("""COMPUTED_VALUE"""),118.2)</f>
        <v>118.2</v>
      </c>
      <c r="E1924" s="2">
        <f>IFERROR(__xludf.DUMMYFUNCTION("""COMPUTED_VALUE"""),121.35)</f>
        <v>121.35</v>
      </c>
      <c r="F1924" s="2">
        <f>IFERROR(__xludf.DUMMYFUNCTION("""COMPUTED_VALUE"""),563074.0)</f>
        <v>563074</v>
      </c>
    </row>
    <row r="1925">
      <c r="A1925" s="3">
        <f>IFERROR(__xludf.DUMMYFUNCTION("""COMPUTED_VALUE"""),39339.645833333336)</f>
        <v>39339.64583</v>
      </c>
      <c r="B1925" s="2">
        <f>IFERROR(__xludf.DUMMYFUNCTION("""COMPUTED_VALUE"""),121.2)</f>
        <v>121.2</v>
      </c>
      <c r="C1925" s="2">
        <f>IFERROR(__xludf.DUMMYFUNCTION("""COMPUTED_VALUE"""),124.99)</f>
        <v>124.99</v>
      </c>
      <c r="D1925" s="2">
        <f>IFERROR(__xludf.DUMMYFUNCTION("""COMPUTED_VALUE"""),121.0)</f>
        <v>121</v>
      </c>
      <c r="E1925" s="2">
        <f>IFERROR(__xludf.DUMMYFUNCTION("""COMPUTED_VALUE"""),123.27)</f>
        <v>123.27</v>
      </c>
      <c r="F1925" s="2">
        <f>IFERROR(__xludf.DUMMYFUNCTION("""COMPUTED_VALUE"""),447191.0)</f>
        <v>447191</v>
      </c>
    </row>
    <row r="1926">
      <c r="A1926" s="3">
        <f>IFERROR(__xludf.DUMMYFUNCTION("""COMPUTED_VALUE"""),39342.645833333336)</f>
        <v>39342.64583</v>
      </c>
      <c r="B1926" s="2">
        <f>IFERROR(__xludf.DUMMYFUNCTION("""COMPUTED_VALUE"""),121.82)</f>
        <v>121.82</v>
      </c>
      <c r="C1926" s="2">
        <f>IFERROR(__xludf.DUMMYFUNCTION("""COMPUTED_VALUE"""),124.89)</f>
        <v>124.89</v>
      </c>
      <c r="D1926" s="2">
        <f>IFERROR(__xludf.DUMMYFUNCTION("""COMPUTED_VALUE"""),121.51)</f>
        <v>121.51</v>
      </c>
      <c r="E1926" s="2">
        <f>IFERROR(__xludf.DUMMYFUNCTION("""COMPUTED_VALUE"""),122.62)</f>
        <v>122.62</v>
      </c>
      <c r="F1926" s="2">
        <f>IFERROR(__xludf.DUMMYFUNCTION("""COMPUTED_VALUE"""),240243.0)</f>
        <v>240243</v>
      </c>
    </row>
    <row r="1927">
      <c r="A1927" s="3">
        <f>IFERROR(__xludf.DUMMYFUNCTION("""COMPUTED_VALUE"""),39343.645833333336)</f>
        <v>39343.64583</v>
      </c>
      <c r="B1927" s="2">
        <f>IFERROR(__xludf.DUMMYFUNCTION("""COMPUTED_VALUE"""),122.0)</f>
        <v>122</v>
      </c>
      <c r="C1927" s="2">
        <f>IFERROR(__xludf.DUMMYFUNCTION("""COMPUTED_VALUE"""),123.49)</f>
        <v>123.49</v>
      </c>
      <c r="D1927" s="2">
        <f>IFERROR(__xludf.DUMMYFUNCTION("""COMPUTED_VALUE"""),120.36)</f>
        <v>120.36</v>
      </c>
      <c r="E1927" s="2">
        <f>IFERROR(__xludf.DUMMYFUNCTION("""COMPUTED_VALUE"""),123.12)</f>
        <v>123.12</v>
      </c>
      <c r="F1927" s="2">
        <f>IFERROR(__xludf.DUMMYFUNCTION("""COMPUTED_VALUE"""),231739.0)</f>
        <v>231739</v>
      </c>
    </row>
    <row r="1928">
      <c r="A1928" s="3">
        <f>IFERROR(__xludf.DUMMYFUNCTION("""COMPUTED_VALUE"""),39344.645833333336)</f>
        <v>39344.64583</v>
      </c>
      <c r="B1928" s="2">
        <f>IFERROR(__xludf.DUMMYFUNCTION("""COMPUTED_VALUE"""),127.1)</f>
        <v>127.1</v>
      </c>
      <c r="C1928" s="2">
        <f>IFERROR(__xludf.DUMMYFUNCTION("""COMPUTED_VALUE"""),134.0)</f>
        <v>134</v>
      </c>
      <c r="D1928" s="2">
        <f>IFERROR(__xludf.DUMMYFUNCTION("""COMPUTED_VALUE"""),125.6)</f>
        <v>125.6</v>
      </c>
      <c r="E1928" s="2">
        <f>IFERROR(__xludf.DUMMYFUNCTION("""COMPUTED_VALUE"""),132.43)</f>
        <v>132.43</v>
      </c>
      <c r="F1928" s="2">
        <f>IFERROR(__xludf.DUMMYFUNCTION("""COMPUTED_VALUE"""),997162.0)</f>
        <v>997162</v>
      </c>
    </row>
    <row r="1929">
      <c r="A1929" s="3">
        <f>IFERROR(__xludf.DUMMYFUNCTION("""COMPUTED_VALUE"""),39345.645833333336)</f>
        <v>39345.64583</v>
      </c>
      <c r="B1929" s="2">
        <f>IFERROR(__xludf.DUMMYFUNCTION("""COMPUTED_VALUE"""),132.7)</f>
        <v>132.7</v>
      </c>
      <c r="C1929" s="2">
        <f>IFERROR(__xludf.DUMMYFUNCTION("""COMPUTED_VALUE"""),133.9)</f>
        <v>133.9</v>
      </c>
      <c r="D1929" s="2">
        <f>IFERROR(__xludf.DUMMYFUNCTION("""COMPUTED_VALUE"""),131.01)</f>
        <v>131.01</v>
      </c>
      <c r="E1929" s="2">
        <f>IFERROR(__xludf.DUMMYFUNCTION("""COMPUTED_VALUE"""),132.62)</f>
        <v>132.62</v>
      </c>
      <c r="F1929" s="2">
        <f>IFERROR(__xludf.DUMMYFUNCTION("""COMPUTED_VALUE"""),502425.0)</f>
        <v>502425</v>
      </c>
    </row>
    <row r="1930">
      <c r="A1930" s="3">
        <f>IFERROR(__xludf.DUMMYFUNCTION("""COMPUTED_VALUE"""),39346.645833333336)</f>
        <v>39346.64583</v>
      </c>
      <c r="B1930" s="2">
        <f>IFERROR(__xludf.DUMMYFUNCTION("""COMPUTED_VALUE"""),132.17)</f>
        <v>132.17</v>
      </c>
      <c r="C1930" s="2">
        <f>IFERROR(__xludf.DUMMYFUNCTION("""COMPUTED_VALUE"""),133.25)</f>
        <v>133.25</v>
      </c>
      <c r="D1930" s="2">
        <f>IFERROR(__xludf.DUMMYFUNCTION("""COMPUTED_VALUE"""),130.7)</f>
        <v>130.7</v>
      </c>
      <c r="E1930" s="2">
        <f>IFERROR(__xludf.DUMMYFUNCTION("""COMPUTED_VALUE"""),131.85)</f>
        <v>131.85</v>
      </c>
      <c r="F1930" s="2">
        <f>IFERROR(__xludf.DUMMYFUNCTION("""COMPUTED_VALUE"""),369855.0)</f>
        <v>369855</v>
      </c>
    </row>
    <row r="1931">
      <c r="A1931" s="3">
        <f>IFERROR(__xludf.DUMMYFUNCTION("""COMPUTED_VALUE"""),39349.645833333336)</f>
        <v>39349.64583</v>
      </c>
      <c r="B1931" s="2">
        <f>IFERROR(__xludf.DUMMYFUNCTION("""COMPUTED_VALUE"""),134.2)</f>
        <v>134.2</v>
      </c>
      <c r="C1931" s="2">
        <f>IFERROR(__xludf.DUMMYFUNCTION("""COMPUTED_VALUE"""),135.6)</f>
        <v>135.6</v>
      </c>
      <c r="D1931" s="2">
        <f>IFERROR(__xludf.DUMMYFUNCTION("""COMPUTED_VALUE"""),133.53)</f>
        <v>133.53</v>
      </c>
      <c r="E1931" s="2">
        <f>IFERROR(__xludf.DUMMYFUNCTION("""COMPUTED_VALUE"""),134.65)</f>
        <v>134.65</v>
      </c>
      <c r="F1931" s="2">
        <f>IFERROR(__xludf.DUMMYFUNCTION("""COMPUTED_VALUE"""),442510.0)</f>
        <v>442510</v>
      </c>
    </row>
    <row r="1932">
      <c r="A1932" s="3">
        <f>IFERROR(__xludf.DUMMYFUNCTION("""COMPUTED_VALUE"""),39350.645833333336)</f>
        <v>39350.64583</v>
      </c>
      <c r="B1932" s="2">
        <f>IFERROR(__xludf.DUMMYFUNCTION("""COMPUTED_VALUE"""),134.65)</f>
        <v>134.65</v>
      </c>
      <c r="C1932" s="2">
        <f>IFERROR(__xludf.DUMMYFUNCTION("""COMPUTED_VALUE"""),140.9)</f>
        <v>140.9</v>
      </c>
      <c r="D1932" s="2">
        <f>IFERROR(__xludf.DUMMYFUNCTION("""COMPUTED_VALUE"""),134.5)</f>
        <v>134.5</v>
      </c>
      <c r="E1932" s="2">
        <f>IFERROR(__xludf.DUMMYFUNCTION("""COMPUTED_VALUE"""),139.64)</f>
        <v>139.64</v>
      </c>
      <c r="F1932" s="2">
        <f>IFERROR(__xludf.DUMMYFUNCTION("""COMPUTED_VALUE"""),481666.0)</f>
        <v>481666</v>
      </c>
    </row>
    <row r="1933">
      <c r="A1933" s="3">
        <f>IFERROR(__xludf.DUMMYFUNCTION("""COMPUTED_VALUE"""),39351.645833333336)</f>
        <v>39351.64583</v>
      </c>
      <c r="B1933" s="2">
        <f>IFERROR(__xludf.DUMMYFUNCTION("""COMPUTED_VALUE"""),139.0)</f>
        <v>139</v>
      </c>
      <c r="C1933" s="2">
        <f>IFERROR(__xludf.DUMMYFUNCTION("""COMPUTED_VALUE"""),139.0)</f>
        <v>139</v>
      </c>
      <c r="D1933" s="2">
        <f>IFERROR(__xludf.DUMMYFUNCTION("""COMPUTED_VALUE"""),136.01)</f>
        <v>136.01</v>
      </c>
      <c r="E1933" s="2">
        <f>IFERROR(__xludf.DUMMYFUNCTION("""COMPUTED_VALUE"""),137.57)</f>
        <v>137.57</v>
      </c>
      <c r="F1933" s="2">
        <f>IFERROR(__xludf.DUMMYFUNCTION("""COMPUTED_VALUE"""),778358.0)</f>
        <v>778358</v>
      </c>
    </row>
    <row r="1934">
      <c r="A1934" s="3">
        <f>IFERROR(__xludf.DUMMYFUNCTION("""COMPUTED_VALUE"""),39352.645833333336)</f>
        <v>39352.64583</v>
      </c>
      <c r="B1934" s="2">
        <f>IFERROR(__xludf.DUMMYFUNCTION("""COMPUTED_VALUE"""),137.21)</f>
        <v>137.21</v>
      </c>
      <c r="C1934" s="2">
        <f>IFERROR(__xludf.DUMMYFUNCTION("""COMPUTED_VALUE"""),145.9)</f>
        <v>145.9</v>
      </c>
      <c r="D1934" s="2">
        <f>IFERROR(__xludf.DUMMYFUNCTION("""COMPUTED_VALUE"""),137.1)</f>
        <v>137.1</v>
      </c>
      <c r="E1934" s="2">
        <f>IFERROR(__xludf.DUMMYFUNCTION("""COMPUTED_VALUE"""),143.3)</f>
        <v>143.3</v>
      </c>
      <c r="F1934" s="2">
        <f>IFERROR(__xludf.DUMMYFUNCTION("""COMPUTED_VALUE"""),1082348.0)</f>
        <v>1082348</v>
      </c>
    </row>
    <row r="1935">
      <c r="A1935" s="3">
        <f>IFERROR(__xludf.DUMMYFUNCTION("""COMPUTED_VALUE"""),39353.645833333336)</f>
        <v>39353.64583</v>
      </c>
      <c r="B1935" s="2">
        <f>IFERROR(__xludf.DUMMYFUNCTION("""COMPUTED_VALUE"""),143.85)</f>
        <v>143.85</v>
      </c>
      <c r="C1935" s="2">
        <f>IFERROR(__xludf.DUMMYFUNCTION("""COMPUTED_VALUE"""),144.39)</f>
        <v>144.39</v>
      </c>
      <c r="D1935" s="2">
        <f>IFERROR(__xludf.DUMMYFUNCTION("""COMPUTED_VALUE"""),140.3)</f>
        <v>140.3</v>
      </c>
      <c r="E1935" s="2">
        <f>IFERROR(__xludf.DUMMYFUNCTION("""COMPUTED_VALUE"""),143.56)</f>
        <v>143.56</v>
      </c>
      <c r="F1935" s="2">
        <f>IFERROR(__xludf.DUMMYFUNCTION("""COMPUTED_VALUE"""),595727.0)</f>
        <v>595727</v>
      </c>
    </row>
    <row r="1936">
      <c r="A1936" s="3">
        <f>IFERROR(__xludf.DUMMYFUNCTION("""COMPUTED_VALUE"""),39356.645833333336)</f>
        <v>39356.64583</v>
      </c>
      <c r="B1936" s="2">
        <f>IFERROR(__xludf.DUMMYFUNCTION("""COMPUTED_VALUE"""),144.0)</f>
        <v>144</v>
      </c>
      <c r="C1936" s="2">
        <f>IFERROR(__xludf.DUMMYFUNCTION("""COMPUTED_VALUE"""),144.97)</f>
        <v>144.97</v>
      </c>
      <c r="D1936" s="2">
        <f>IFERROR(__xludf.DUMMYFUNCTION("""COMPUTED_VALUE"""),139.12)</f>
        <v>139.12</v>
      </c>
      <c r="E1936" s="2">
        <f>IFERROR(__xludf.DUMMYFUNCTION("""COMPUTED_VALUE"""),141.17)</f>
        <v>141.17</v>
      </c>
      <c r="F1936" s="2">
        <f>IFERROR(__xludf.DUMMYFUNCTION("""COMPUTED_VALUE"""),723098.0)</f>
        <v>723098</v>
      </c>
    </row>
    <row r="1937">
      <c r="A1937" s="3">
        <f>IFERROR(__xludf.DUMMYFUNCTION("""COMPUTED_VALUE"""),39358.645833333336)</f>
        <v>39358.64583</v>
      </c>
      <c r="B1937" s="2">
        <f>IFERROR(__xludf.DUMMYFUNCTION("""COMPUTED_VALUE"""),141.36)</f>
        <v>141.36</v>
      </c>
      <c r="C1937" s="2">
        <f>IFERROR(__xludf.DUMMYFUNCTION("""COMPUTED_VALUE"""),143.88)</f>
        <v>143.88</v>
      </c>
      <c r="D1937" s="2">
        <f>IFERROR(__xludf.DUMMYFUNCTION("""COMPUTED_VALUE"""),140.61)</f>
        <v>140.61</v>
      </c>
      <c r="E1937" s="2">
        <f>IFERROR(__xludf.DUMMYFUNCTION("""COMPUTED_VALUE"""),142.48)</f>
        <v>142.48</v>
      </c>
      <c r="F1937" s="2">
        <f>IFERROR(__xludf.DUMMYFUNCTION("""COMPUTED_VALUE"""),492265.0)</f>
        <v>492265</v>
      </c>
    </row>
    <row r="1938">
      <c r="A1938" s="3">
        <f>IFERROR(__xludf.DUMMYFUNCTION("""COMPUTED_VALUE"""),39359.645833333336)</f>
        <v>39359.64583</v>
      </c>
      <c r="B1938" s="2">
        <f>IFERROR(__xludf.DUMMYFUNCTION("""COMPUTED_VALUE"""),140.8)</f>
        <v>140.8</v>
      </c>
      <c r="C1938" s="2">
        <f>IFERROR(__xludf.DUMMYFUNCTION("""COMPUTED_VALUE"""),141.87)</f>
        <v>141.87</v>
      </c>
      <c r="D1938" s="2">
        <f>IFERROR(__xludf.DUMMYFUNCTION("""COMPUTED_VALUE"""),138.8)</f>
        <v>138.8</v>
      </c>
      <c r="E1938" s="2">
        <f>IFERROR(__xludf.DUMMYFUNCTION("""COMPUTED_VALUE"""),140.97)</f>
        <v>140.97</v>
      </c>
      <c r="F1938" s="2">
        <f>IFERROR(__xludf.DUMMYFUNCTION("""COMPUTED_VALUE"""),402905.0)</f>
        <v>402905</v>
      </c>
    </row>
    <row r="1939">
      <c r="A1939" s="3">
        <f>IFERROR(__xludf.DUMMYFUNCTION("""COMPUTED_VALUE"""),39360.645833333336)</f>
        <v>39360.64583</v>
      </c>
      <c r="B1939" s="2">
        <f>IFERROR(__xludf.DUMMYFUNCTION("""COMPUTED_VALUE"""),141.0)</f>
        <v>141</v>
      </c>
      <c r="C1939" s="2">
        <f>IFERROR(__xludf.DUMMYFUNCTION("""COMPUTED_VALUE"""),142.0)</f>
        <v>142</v>
      </c>
      <c r="D1939" s="2">
        <f>IFERROR(__xludf.DUMMYFUNCTION("""COMPUTED_VALUE"""),139.22)</f>
        <v>139.22</v>
      </c>
      <c r="E1939" s="2">
        <f>IFERROR(__xludf.DUMMYFUNCTION("""COMPUTED_VALUE"""),140.32)</f>
        <v>140.32</v>
      </c>
      <c r="F1939" s="2">
        <f>IFERROR(__xludf.DUMMYFUNCTION("""COMPUTED_VALUE"""),296709.0)</f>
        <v>296709</v>
      </c>
    </row>
    <row r="1940">
      <c r="A1940" s="3">
        <f>IFERROR(__xludf.DUMMYFUNCTION("""COMPUTED_VALUE"""),39363.645833333336)</f>
        <v>39363.64583</v>
      </c>
      <c r="B1940" s="2">
        <f>IFERROR(__xludf.DUMMYFUNCTION("""COMPUTED_VALUE"""),141.53)</f>
        <v>141.53</v>
      </c>
      <c r="C1940" s="2">
        <f>IFERROR(__xludf.DUMMYFUNCTION("""COMPUTED_VALUE"""),144.0)</f>
        <v>144</v>
      </c>
      <c r="D1940" s="2">
        <f>IFERROR(__xludf.DUMMYFUNCTION("""COMPUTED_VALUE"""),139.9)</f>
        <v>139.9</v>
      </c>
      <c r="E1940" s="2">
        <f>IFERROR(__xludf.DUMMYFUNCTION("""COMPUTED_VALUE"""),140.74)</f>
        <v>140.74</v>
      </c>
      <c r="F1940" s="2">
        <f>IFERROR(__xludf.DUMMYFUNCTION("""COMPUTED_VALUE"""),670723.0)</f>
        <v>670723</v>
      </c>
    </row>
    <row r="1941">
      <c r="A1941" s="3">
        <f>IFERROR(__xludf.DUMMYFUNCTION("""COMPUTED_VALUE"""),39364.645833333336)</f>
        <v>39364.64583</v>
      </c>
      <c r="B1941" s="2">
        <f>IFERROR(__xludf.DUMMYFUNCTION("""COMPUTED_VALUE"""),136.62)</f>
        <v>136.62</v>
      </c>
      <c r="C1941" s="2">
        <f>IFERROR(__xludf.DUMMYFUNCTION("""COMPUTED_VALUE"""),142.5)</f>
        <v>142.5</v>
      </c>
      <c r="D1941" s="2">
        <f>IFERROR(__xludf.DUMMYFUNCTION("""COMPUTED_VALUE"""),136.62)</f>
        <v>136.62</v>
      </c>
      <c r="E1941" s="2">
        <f>IFERROR(__xludf.DUMMYFUNCTION("""COMPUTED_VALUE"""),142.12)</f>
        <v>142.12</v>
      </c>
      <c r="F1941" s="2">
        <f>IFERROR(__xludf.DUMMYFUNCTION("""COMPUTED_VALUE"""),468839.0)</f>
        <v>468839</v>
      </c>
    </row>
    <row r="1942">
      <c r="A1942" s="3">
        <f>IFERROR(__xludf.DUMMYFUNCTION("""COMPUTED_VALUE"""),39365.645833333336)</f>
        <v>39365.64583</v>
      </c>
      <c r="B1942" s="2">
        <f>IFERROR(__xludf.DUMMYFUNCTION("""COMPUTED_VALUE"""),143.02)</f>
        <v>143.02</v>
      </c>
      <c r="C1942" s="2">
        <f>IFERROR(__xludf.DUMMYFUNCTION("""COMPUTED_VALUE"""),145.0)</f>
        <v>145</v>
      </c>
      <c r="D1942" s="2">
        <f>IFERROR(__xludf.DUMMYFUNCTION("""COMPUTED_VALUE"""),139.61)</f>
        <v>139.61</v>
      </c>
      <c r="E1942" s="2">
        <f>IFERROR(__xludf.DUMMYFUNCTION("""COMPUTED_VALUE"""),141.7)</f>
        <v>141.7</v>
      </c>
      <c r="F1942" s="2">
        <f>IFERROR(__xludf.DUMMYFUNCTION("""COMPUTED_VALUE"""),453779.0)</f>
        <v>453779</v>
      </c>
    </row>
    <row r="1943">
      <c r="A1943" s="3">
        <f>IFERROR(__xludf.DUMMYFUNCTION("""COMPUTED_VALUE"""),39366.645833333336)</f>
        <v>39366.64583</v>
      </c>
      <c r="B1943" s="2">
        <f>IFERROR(__xludf.DUMMYFUNCTION("""COMPUTED_VALUE"""),142.5)</f>
        <v>142.5</v>
      </c>
      <c r="C1943" s="2">
        <f>IFERROR(__xludf.DUMMYFUNCTION("""COMPUTED_VALUE"""),147.49)</f>
        <v>147.49</v>
      </c>
      <c r="D1943" s="2">
        <f>IFERROR(__xludf.DUMMYFUNCTION("""COMPUTED_VALUE"""),142.1)</f>
        <v>142.1</v>
      </c>
      <c r="E1943" s="2">
        <f>IFERROR(__xludf.DUMMYFUNCTION("""COMPUTED_VALUE"""),146.07)</f>
        <v>146.07</v>
      </c>
      <c r="F1943" s="2">
        <f>IFERROR(__xludf.DUMMYFUNCTION("""COMPUTED_VALUE"""),450507.0)</f>
        <v>450507</v>
      </c>
    </row>
    <row r="1944">
      <c r="A1944" s="3">
        <f>IFERROR(__xludf.DUMMYFUNCTION("""COMPUTED_VALUE"""),39367.645833333336)</f>
        <v>39367.64583</v>
      </c>
      <c r="B1944" s="2">
        <f>IFERROR(__xludf.DUMMYFUNCTION("""COMPUTED_VALUE"""),144.5)</f>
        <v>144.5</v>
      </c>
      <c r="C1944" s="2">
        <f>IFERROR(__xludf.DUMMYFUNCTION("""COMPUTED_VALUE"""),146.1)</f>
        <v>146.1</v>
      </c>
      <c r="D1944" s="2">
        <f>IFERROR(__xludf.DUMMYFUNCTION("""COMPUTED_VALUE"""),142.08)</f>
        <v>142.08</v>
      </c>
      <c r="E1944" s="2">
        <f>IFERROR(__xludf.DUMMYFUNCTION("""COMPUTED_VALUE"""),143.27)</f>
        <v>143.27</v>
      </c>
      <c r="F1944" s="2">
        <f>IFERROR(__xludf.DUMMYFUNCTION("""COMPUTED_VALUE"""),465891.0)</f>
        <v>465891</v>
      </c>
    </row>
    <row r="1945">
      <c r="A1945" s="3">
        <f>IFERROR(__xludf.DUMMYFUNCTION("""COMPUTED_VALUE"""),39370.645833333336)</f>
        <v>39370.64583</v>
      </c>
      <c r="B1945" s="2">
        <f>IFERROR(__xludf.DUMMYFUNCTION("""COMPUTED_VALUE"""),145.0)</f>
        <v>145</v>
      </c>
      <c r="C1945" s="2">
        <f>IFERROR(__xludf.DUMMYFUNCTION("""COMPUTED_VALUE"""),152.5)</f>
        <v>152.5</v>
      </c>
      <c r="D1945" s="2">
        <f>IFERROR(__xludf.DUMMYFUNCTION("""COMPUTED_VALUE"""),145.0)</f>
        <v>145</v>
      </c>
      <c r="E1945" s="2">
        <f>IFERROR(__xludf.DUMMYFUNCTION("""COMPUTED_VALUE"""),149.92)</f>
        <v>149.92</v>
      </c>
      <c r="F1945" s="2">
        <f>IFERROR(__xludf.DUMMYFUNCTION("""COMPUTED_VALUE"""),1130254.0)</f>
        <v>1130254</v>
      </c>
    </row>
    <row r="1946">
      <c r="A1946" s="3">
        <f>IFERROR(__xludf.DUMMYFUNCTION("""COMPUTED_VALUE"""),39371.645833333336)</f>
        <v>39371.64583</v>
      </c>
      <c r="B1946" s="2">
        <f>IFERROR(__xludf.DUMMYFUNCTION("""COMPUTED_VALUE"""),151.99)</f>
        <v>151.99</v>
      </c>
      <c r="C1946" s="2">
        <f>IFERROR(__xludf.DUMMYFUNCTION("""COMPUTED_VALUE"""),151.99)</f>
        <v>151.99</v>
      </c>
      <c r="D1946" s="2">
        <f>IFERROR(__xludf.DUMMYFUNCTION("""COMPUTED_VALUE"""),146.51)</f>
        <v>146.51</v>
      </c>
      <c r="E1946" s="2">
        <f>IFERROR(__xludf.DUMMYFUNCTION("""COMPUTED_VALUE"""),150.78)</f>
        <v>150.78</v>
      </c>
      <c r="F1946" s="2">
        <f>IFERROR(__xludf.DUMMYFUNCTION("""COMPUTED_VALUE"""),470067.0)</f>
        <v>470067</v>
      </c>
    </row>
    <row r="1947">
      <c r="A1947" s="3">
        <f>IFERROR(__xludf.DUMMYFUNCTION("""COMPUTED_VALUE"""),39372.645833333336)</f>
        <v>39372.64583</v>
      </c>
      <c r="B1947" s="2">
        <f>IFERROR(__xludf.DUMMYFUNCTION("""COMPUTED_VALUE"""),140.63)</f>
        <v>140.63</v>
      </c>
      <c r="C1947" s="2">
        <f>IFERROR(__xludf.DUMMYFUNCTION("""COMPUTED_VALUE"""),148.48)</f>
        <v>148.48</v>
      </c>
      <c r="D1947" s="2">
        <f>IFERROR(__xludf.DUMMYFUNCTION("""COMPUTED_VALUE"""),130.5)</f>
        <v>130.5</v>
      </c>
      <c r="E1947" s="2">
        <f>IFERROR(__xludf.DUMMYFUNCTION("""COMPUTED_VALUE"""),146.28)</f>
        <v>146.28</v>
      </c>
      <c r="F1947" s="2">
        <f>IFERROR(__xludf.DUMMYFUNCTION("""COMPUTED_VALUE"""),625744.0)</f>
        <v>625744</v>
      </c>
    </row>
    <row r="1948">
      <c r="A1948" s="3">
        <f>IFERROR(__xludf.DUMMYFUNCTION("""COMPUTED_VALUE"""),39373.645833333336)</f>
        <v>39373.64583</v>
      </c>
      <c r="B1948" s="2">
        <f>IFERROR(__xludf.DUMMYFUNCTION("""COMPUTED_VALUE"""),144.8)</f>
        <v>144.8</v>
      </c>
      <c r="C1948" s="2">
        <f>IFERROR(__xludf.DUMMYFUNCTION("""COMPUTED_VALUE"""),146.3)</f>
        <v>146.3</v>
      </c>
      <c r="D1948" s="2">
        <f>IFERROR(__xludf.DUMMYFUNCTION("""COMPUTED_VALUE"""),136.01)</f>
        <v>136.01</v>
      </c>
      <c r="E1948" s="2">
        <f>IFERROR(__xludf.DUMMYFUNCTION("""COMPUTED_VALUE"""),138.82)</f>
        <v>138.82</v>
      </c>
      <c r="F1948" s="2">
        <f>IFERROR(__xludf.DUMMYFUNCTION("""COMPUTED_VALUE"""),620155.0)</f>
        <v>620155</v>
      </c>
    </row>
    <row r="1949">
      <c r="A1949" s="3">
        <f>IFERROR(__xludf.DUMMYFUNCTION("""COMPUTED_VALUE"""),39374.645833333336)</f>
        <v>39374.64583</v>
      </c>
      <c r="B1949" s="2">
        <f>IFERROR(__xludf.DUMMYFUNCTION("""COMPUTED_VALUE"""),135.0)</f>
        <v>135</v>
      </c>
      <c r="C1949" s="2">
        <f>IFERROR(__xludf.DUMMYFUNCTION("""COMPUTED_VALUE"""),144.0)</f>
        <v>144</v>
      </c>
      <c r="D1949" s="2">
        <f>IFERROR(__xludf.DUMMYFUNCTION("""COMPUTED_VALUE"""),133.82)</f>
        <v>133.82</v>
      </c>
      <c r="E1949" s="2">
        <f>IFERROR(__xludf.DUMMYFUNCTION("""COMPUTED_VALUE"""),136.64)</f>
        <v>136.64</v>
      </c>
      <c r="F1949" s="2">
        <f>IFERROR(__xludf.DUMMYFUNCTION("""COMPUTED_VALUE"""),497958.0)</f>
        <v>497958</v>
      </c>
    </row>
    <row r="1950">
      <c r="A1950" s="3">
        <f>IFERROR(__xludf.DUMMYFUNCTION("""COMPUTED_VALUE"""),39377.645833333336)</f>
        <v>39377.64583</v>
      </c>
      <c r="B1950" s="2">
        <f>IFERROR(__xludf.DUMMYFUNCTION("""COMPUTED_VALUE"""),137.88)</f>
        <v>137.88</v>
      </c>
      <c r="C1950" s="2">
        <f>IFERROR(__xludf.DUMMYFUNCTION("""COMPUTED_VALUE"""),139.7)</f>
        <v>139.7</v>
      </c>
      <c r="D1950" s="2">
        <f>IFERROR(__xludf.DUMMYFUNCTION("""COMPUTED_VALUE"""),133.1)</f>
        <v>133.1</v>
      </c>
      <c r="E1950" s="2">
        <f>IFERROR(__xludf.DUMMYFUNCTION("""COMPUTED_VALUE"""),137.19)</f>
        <v>137.19</v>
      </c>
      <c r="F1950" s="2">
        <f>IFERROR(__xludf.DUMMYFUNCTION("""COMPUTED_VALUE"""),564902.0)</f>
        <v>564902</v>
      </c>
    </row>
    <row r="1951">
      <c r="A1951" s="3">
        <f>IFERROR(__xludf.DUMMYFUNCTION("""COMPUTED_VALUE"""),39378.645833333336)</f>
        <v>39378.64583</v>
      </c>
      <c r="B1951" s="2">
        <f>IFERROR(__xludf.DUMMYFUNCTION("""COMPUTED_VALUE"""),139.8)</f>
        <v>139.8</v>
      </c>
      <c r="C1951" s="2">
        <f>IFERROR(__xludf.DUMMYFUNCTION("""COMPUTED_VALUE"""),151.5)</f>
        <v>151.5</v>
      </c>
      <c r="D1951" s="2">
        <f>IFERROR(__xludf.DUMMYFUNCTION("""COMPUTED_VALUE"""),138.83)</f>
        <v>138.83</v>
      </c>
      <c r="E1951" s="2">
        <f>IFERROR(__xludf.DUMMYFUNCTION("""COMPUTED_VALUE"""),148.82)</f>
        <v>148.82</v>
      </c>
      <c r="F1951" s="2">
        <f>IFERROR(__xludf.DUMMYFUNCTION("""COMPUTED_VALUE"""),888259.0)</f>
        <v>888259</v>
      </c>
    </row>
    <row r="1952">
      <c r="A1952" s="3">
        <f>IFERROR(__xludf.DUMMYFUNCTION("""COMPUTED_VALUE"""),39379.645833333336)</f>
        <v>39379.64583</v>
      </c>
      <c r="B1952" s="2">
        <f>IFERROR(__xludf.DUMMYFUNCTION("""COMPUTED_VALUE"""),152.0)</f>
        <v>152</v>
      </c>
      <c r="C1952" s="2">
        <f>IFERROR(__xludf.DUMMYFUNCTION("""COMPUTED_VALUE"""),152.5)</f>
        <v>152.5</v>
      </c>
      <c r="D1952" s="2">
        <f>IFERROR(__xludf.DUMMYFUNCTION("""COMPUTED_VALUE"""),146.85)</f>
        <v>146.85</v>
      </c>
      <c r="E1952" s="2">
        <f>IFERROR(__xludf.DUMMYFUNCTION("""COMPUTED_VALUE"""),151.4)</f>
        <v>151.4</v>
      </c>
      <c r="F1952" s="2">
        <f>IFERROR(__xludf.DUMMYFUNCTION("""COMPUTED_VALUE"""),614373.0)</f>
        <v>614373</v>
      </c>
    </row>
    <row r="1953">
      <c r="A1953" s="3">
        <f>IFERROR(__xludf.DUMMYFUNCTION("""COMPUTED_VALUE"""),39380.645833333336)</f>
        <v>39380.64583</v>
      </c>
      <c r="B1953" s="2">
        <f>IFERROR(__xludf.DUMMYFUNCTION("""COMPUTED_VALUE"""),149.51)</f>
        <v>149.51</v>
      </c>
      <c r="C1953" s="2">
        <f>IFERROR(__xludf.DUMMYFUNCTION("""COMPUTED_VALUE"""),157.89)</f>
        <v>157.89</v>
      </c>
      <c r="D1953" s="2">
        <f>IFERROR(__xludf.DUMMYFUNCTION("""COMPUTED_VALUE"""),146.53)</f>
        <v>146.53</v>
      </c>
      <c r="E1953" s="2">
        <f>IFERROR(__xludf.DUMMYFUNCTION("""COMPUTED_VALUE"""),155.4)</f>
        <v>155.4</v>
      </c>
      <c r="F1953" s="2">
        <f>IFERROR(__xludf.DUMMYFUNCTION("""COMPUTED_VALUE"""),643293.0)</f>
        <v>643293</v>
      </c>
    </row>
    <row r="1954">
      <c r="A1954" s="3">
        <f>IFERROR(__xludf.DUMMYFUNCTION("""COMPUTED_VALUE"""),39381.645833333336)</f>
        <v>39381.64583</v>
      </c>
      <c r="B1954" s="2">
        <f>IFERROR(__xludf.DUMMYFUNCTION("""COMPUTED_VALUE"""),153.8)</f>
        <v>153.8</v>
      </c>
      <c r="C1954" s="2">
        <f>IFERROR(__xludf.DUMMYFUNCTION("""COMPUTED_VALUE"""),155.99)</f>
        <v>155.99</v>
      </c>
      <c r="D1954" s="2">
        <f>IFERROR(__xludf.DUMMYFUNCTION("""COMPUTED_VALUE"""),148.62)</f>
        <v>148.62</v>
      </c>
      <c r="E1954" s="2">
        <f>IFERROR(__xludf.DUMMYFUNCTION("""COMPUTED_VALUE"""),154.65)</f>
        <v>154.65</v>
      </c>
      <c r="F1954" s="2">
        <f>IFERROR(__xludf.DUMMYFUNCTION("""COMPUTED_VALUE"""),347163.0)</f>
        <v>347163</v>
      </c>
    </row>
    <row r="1955">
      <c r="A1955" s="3">
        <f>IFERROR(__xludf.DUMMYFUNCTION("""COMPUTED_VALUE"""),39384.645833333336)</f>
        <v>39384.64583</v>
      </c>
      <c r="B1955" s="2">
        <f>IFERROR(__xludf.DUMMYFUNCTION("""COMPUTED_VALUE"""),158.2)</f>
        <v>158.2</v>
      </c>
      <c r="C1955" s="2">
        <f>IFERROR(__xludf.DUMMYFUNCTION("""COMPUTED_VALUE"""),167.0)</f>
        <v>167</v>
      </c>
      <c r="D1955" s="2">
        <f>IFERROR(__xludf.DUMMYFUNCTION("""COMPUTED_VALUE"""),157.5)</f>
        <v>157.5</v>
      </c>
      <c r="E1955" s="2">
        <f>IFERROR(__xludf.DUMMYFUNCTION("""COMPUTED_VALUE"""),164.7)</f>
        <v>164.7</v>
      </c>
      <c r="F1955" s="2">
        <f>IFERROR(__xludf.DUMMYFUNCTION("""COMPUTED_VALUE"""),292898.0)</f>
        <v>292898</v>
      </c>
    </row>
    <row r="1956">
      <c r="A1956" s="3">
        <f>IFERROR(__xludf.DUMMYFUNCTION("""COMPUTED_VALUE"""),39385.645833333336)</f>
        <v>39385.64583</v>
      </c>
      <c r="B1956" s="2">
        <f>IFERROR(__xludf.DUMMYFUNCTION("""COMPUTED_VALUE"""),165.5)</f>
        <v>165.5</v>
      </c>
      <c r="C1956" s="2">
        <f>IFERROR(__xludf.DUMMYFUNCTION("""COMPUTED_VALUE"""),171.84)</f>
        <v>171.84</v>
      </c>
      <c r="D1956" s="2">
        <f>IFERROR(__xludf.DUMMYFUNCTION("""COMPUTED_VALUE"""),161.24)</f>
        <v>161.24</v>
      </c>
      <c r="E1956" s="2">
        <f>IFERROR(__xludf.DUMMYFUNCTION("""COMPUTED_VALUE"""),162.06)</f>
        <v>162.06</v>
      </c>
      <c r="F1956" s="2">
        <f>IFERROR(__xludf.DUMMYFUNCTION("""COMPUTED_VALUE"""),403402.0)</f>
        <v>403402</v>
      </c>
    </row>
    <row r="1957">
      <c r="A1957" s="3">
        <f>IFERROR(__xludf.DUMMYFUNCTION("""COMPUTED_VALUE"""),39386.645833333336)</f>
        <v>39386.64583</v>
      </c>
      <c r="B1957" s="2">
        <f>IFERROR(__xludf.DUMMYFUNCTION("""COMPUTED_VALUE"""),159.0)</f>
        <v>159</v>
      </c>
      <c r="C1957" s="2">
        <f>IFERROR(__xludf.DUMMYFUNCTION("""COMPUTED_VALUE"""),166.9)</f>
        <v>166.9</v>
      </c>
      <c r="D1957" s="2">
        <f>IFERROR(__xludf.DUMMYFUNCTION("""COMPUTED_VALUE"""),158.0)</f>
        <v>158</v>
      </c>
      <c r="E1957" s="2">
        <f>IFERROR(__xludf.DUMMYFUNCTION("""COMPUTED_VALUE"""),165.34)</f>
        <v>165.34</v>
      </c>
      <c r="F1957" s="2">
        <f>IFERROR(__xludf.DUMMYFUNCTION("""COMPUTED_VALUE"""),420722.0)</f>
        <v>420722</v>
      </c>
    </row>
    <row r="1958">
      <c r="A1958" s="3">
        <f>IFERROR(__xludf.DUMMYFUNCTION("""COMPUTED_VALUE"""),39387.645833333336)</f>
        <v>39387.64583</v>
      </c>
      <c r="B1958" s="2">
        <f>IFERROR(__xludf.DUMMYFUNCTION("""COMPUTED_VALUE"""),172.84)</f>
        <v>172.84</v>
      </c>
      <c r="C1958" s="2">
        <f>IFERROR(__xludf.DUMMYFUNCTION("""COMPUTED_VALUE"""),172.84)</f>
        <v>172.84</v>
      </c>
      <c r="D1958" s="2">
        <f>IFERROR(__xludf.DUMMYFUNCTION("""COMPUTED_VALUE"""),166.63)</f>
        <v>166.63</v>
      </c>
      <c r="E1958" s="2">
        <f>IFERROR(__xludf.DUMMYFUNCTION("""COMPUTED_VALUE"""),169.02)</f>
        <v>169.02</v>
      </c>
      <c r="F1958" s="2">
        <f>IFERROR(__xludf.DUMMYFUNCTION("""COMPUTED_VALUE"""),716487.0)</f>
        <v>716487</v>
      </c>
    </row>
    <row r="1959">
      <c r="A1959" s="3">
        <f>IFERROR(__xludf.DUMMYFUNCTION("""COMPUTED_VALUE"""),39388.645833333336)</f>
        <v>39388.64583</v>
      </c>
      <c r="B1959" s="2">
        <f>IFERROR(__xludf.DUMMYFUNCTION("""COMPUTED_VALUE"""),164.06)</f>
        <v>164.06</v>
      </c>
      <c r="C1959" s="2">
        <f>IFERROR(__xludf.DUMMYFUNCTION("""COMPUTED_VALUE"""),179.98)</f>
        <v>179.98</v>
      </c>
      <c r="D1959" s="2">
        <f>IFERROR(__xludf.DUMMYFUNCTION("""COMPUTED_VALUE"""),164.06)</f>
        <v>164.06</v>
      </c>
      <c r="E1959" s="2">
        <f>IFERROR(__xludf.DUMMYFUNCTION("""COMPUTED_VALUE"""),177.05)</f>
        <v>177.05</v>
      </c>
      <c r="F1959" s="2">
        <f>IFERROR(__xludf.DUMMYFUNCTION("""COMPUTED_VALUE"""),291806.0)</f>
        <v>291806</v>
      </c>
    </row>
    <row r="1960">
      <c r="A1960" s="3">
        <f>IFERROR(__xludf.DUMMYFUNCTION("""COMPUTED_VALUE"""),39391.645833333336)</f>
        <v>39391.64583</v>
      </c>
      <c r="B1960" s="2">
        <f>IFERROR(__xludf.DUMMYFUNCTION("""COMPUTED_VALUE"""),175.0)</f>
        <v>175</v>
      </c>
      <c r="C1960" s="2">
        <f>IFERROR(__xludf.DUMMYFUNCTION("""COMPUTED_VALUE"""),175.0)</f>
        <v>175</v>
      </c>
      <c r="D1960" s="2">
        <f>IFERROR(__xludf.DUMMYFUNCTION("""COMPUTED_VALUE"""),167.53)</f>
        <v>167.53</v>
      </c>
      <c r="E1960" s="2">
        <f>IFERROR(__xludf.DUMMYFUNCTION("""COMPUTED_VALUE"""),171.61)</f>
        <v>171.61</v>
      </c>
      <c r="F1960" s="2">
        <f>IFERROR(__xludf.DUMMYFUNCTION("""COMPUTED_VALUE"""),459300.0)</f>
        <v>459300</v>
      </c>
    </row>
    <row r="1961">
      <c r="A1961" s="3">
        <f>IFERROR(__xludf.DUMMYFUNCTION("""COMPUTED_VALUE"""),39392.645833333336)</f>
        <v>39392.64583</v>
      </c>
      <c r="B1961" s="2">
        <f>IFERROR(__xludf.DUMMYFUNCTION("""COMPUTED_VALUE"""),172.5)</f>
        <v>172.5</v>
      </c>
      <c r="C1961" s="2">
        <f>IFERROR(__xludf.DUMMYFUNCTION("""COMPUTED_VALUE"""),174.79)</f>
        <v>174.79</v>
      </c>
      <c r="D1961" s="2">
        <f>IFERROR(__xludf.DUMMYFUNCTION("""COMPUTED_VALUE"""),169.0)</f>
        <v>169</v>
      </c>
      <c r="E1961" s="2">
        <f>IFERROR(__xludf.DUMMYFUNCTION("""COMPUTED_VALUE"""),170.82)</f>
        <v>170.82</v>
      </c>
      <c r="F1961" s="2">
        <f>IFERROR(__xludf.DUMMYFUNCTION("""COMPUTED_VALUE"""),368364.0)</f>
        <v>368364</v>
      </c>
    </row>
    <row r="1962">
      <c r="A1962" s="3">
        <f>IFERROR(__xludf.DUMMYFUNCTION("""COMPUTED_VALUE"""),39393.645833333336)</f>
        <v>39393.64583</v>
      </c>
      <c r="B1962" s="2">
        <f>IFERROR(__xludf.DUMMYFUNCTION("""COMPUTED_VALUE"""),174.77)</f>
        <v>174.77</v>
      </c>
      <c r="C1962" s="2">
        <f>IFERROR(__xludf.DUMMYFUNCTION("""COMPUTED_VALUE"""),174.77)</f>
        <v>174.77</v>
      </c>
      <c r="D1962" s="2">
        <f>IFERROR(__xludf.DUMMYFUNCTION("""COMPUTED_VALUE"""),161.0)</f>
        <v>161</v>
      </c>
      <c r="E1962" s="2">
        <f>IFERROR(__xludf.DUMMYFUNCTION("""COMPUTED_VALUE"""),161.69)</f>
        <v>161.69</v>
      </c>
      <c r="F1962" s="2">
        <f>IFERROR(__xludf.DUMMYFUNCTION("""COMPUTED_VALUE"""),453604.0)</f>
        <v>453604</v>
      </c>
    </row>
    <row r="1963">
      <c r="A1963" s="3">
        <f>IFERROR(__xludf.DUMMYFUNCTION("""COMPUTED_VALUE"""),39394.645833333336)</f>
        <v>39394.64583</v>
      </c>
      <c r="B1963" s="2">
        <f>IFERROR(__xludf.DUMMYFUNCTION("""COMPUTED_VALUE"""),158.0)</f>
        <v>158</v>
      </c>
      <c r="C1963" s="2">
        <f>IFERROR(__xludf.DUMMYFUNCTION("""COMPUTED_VALUE"""),158.96)</f>
        <v>158.96</v>
      </c>
      <c r="D1963" s="2">
        <f>IFERROR(__xludf.DUMMYFUNCTION("""COMPUTED_VALUE"""),154.5)</f>
        <v>154.5</v>
      </c>
      <c r="E1963" s="2">
        <f>IFERROR(__xludf.DUMMYFUNCTION("""COMPUTED_VALUE"""),155.54)</f>
        <v>155.54</v>
      </c>
      <c r="F1963" s="2">
        <f>IFERROR(__xludf.DUMMYFUNCTION("""COMPUTED_VALUE"""),521340.0)</f>
        <v>521340</v>
      </c>
    </row>
    <row r="1964">
      <c r="A1964" s="3">
        <f>IFERROR(__xludf.DUMMYFUNCTION("""COMPUTED_VALUE"""),39395.645833333336)</f>
        <v>39395.64583</v>
      </c>
      <c r="B1964" s="2">
        <f>IFERROR(__xludf.DUMMYFUNCTION("""COMPUTED_VALUE"""),160.0)</f>
        <v>160</v>
      </c>
      <c r="C1964" s="2">
        <f>IFERROR(__xludf.DUMMYFUNCTION("""COMPUTED_VALUE"""),160.0)</f>
        <v>160</v>
      </c>
      <c r="D1964" s="2">
        <f>IFERROR(__xludf.DUMMYFUNCTION("""COMPUTED_VALUE"""),152.6)</f>
        <v>152.6</v>
      </c>
      <c r="E1964" s="2">
        <f>IFERROR(__xludf.DUMMYFUNCTION("""COMPUTED_VALUE"""),153.63)</f>
        <v>153.63</v>
      </c>
      <c r="F1964" s="2">
        <f>IFERROR(__xludf.DUMMYFUNCTION("""COMPUTED_VALUE"""),34392.0)</f>
        <v>34392</v>
      </c>
    </row>
    <row r="1965">
      <c r="A1965" s="3">
        <f>IFERROR(__xludf.DUMMYFUNCTION("""COMPUTED_VALUE"""),39398.645833333336)</f>
        <v>39398.64583</v>
      </c>
      <c r="B1965" s="2">
        <f>IFERROR(__xludf.DUMMYFUNCTION("""COMPUTED_VALUE"""),148.03)</f>
        <v>148.03</v>
      </c>
      <c r="C1965" s="2">
        <f>IFERROR(__xludf.DUMMYFUNCTION("""COMPUTED_VALUE"""),152.0)</f>
        <v>152</v>
      </c>
      <c r="D1965" s="2">
        <f>IFERROR(__xludf.DUMMYFUNCTION("""COMPUTED_VALUE"""),145.5)</f>
        <v>145.5</v>
      </c>
      <c r="E1965" s="2">
        <f>IFERROR(__xludf.DUMMYFUNCTION("""COMPUTED_VALUE"""),147.74)</f>
        <v>147.74</v>
      </c>
      <c r="F1965" s="2">
        <f>IFERROR(__xludf.DUMMYFUNCTION("""COMPUTED_VALUE"""),836565.0)</f>
        <v>836565</v>
      </c>
    </row>
    <row r="1966">
      <c r="A1966" s="3">
        <f>IFERROR(__xludf.DUMMYFUNCTION("""COMPUTED_VALUE"""),39399.645833333336)</f>
        <v>39399.64583</v>
      </c>
      <c r="B1966" s="2">
        <f>IFERROR(__xludf.DUMMYFUNCTION("""COMPUTED_VALUE"""),142.5)</f>
        <v>142.5</v>
      </c>
      <c r="C1966" s="2">
        <f>IFERROR(__xludf.DUMMYFUNCTION("""COMPUTED_VALUE"""),168.0)</f>
        <v>168</v>
      </c>
      <c r="D1966" s="2">
        <f>IFERROR(__xludf.DUMMYFUNCTION("""COMPUTED_VALUE"""),142.5)</f>
        <v>142.5</v>
      </c>
      <c r="E1966" s="2">
        <f>IFERROR(__xludf.DUMMYFUNCTION("""COMPUTED_VALUE"""),157.42)</f>
        <v>157.42</v>
      </c>
      <c r="F1966" s="2">
        <f>IFERROR(__xludf.DUMMYFUNCTION("""COMPUTED_VALUE"""),1032292.0)</f>
        <v>1032292</v>
      </c>
    </row>
    <row r="1967">
      <c r="A1967" s="3">
        <f>IFERROR(__xludf.DUMMYFUNCTION("""COMPUTED_VALUE"""),39400.645833333336)</f>
        <v>39400.64583</v>
      </c>
      <c r="B1967" s="2">
        <f>IFERROR(__xludf.DUMMYFUNCTION("""COMPUTED_VALUE"""),163.98)</f>
        <v>163.98</v>
      </c>
      <c r="C1967" s="2">
        <f>IFERROR(__xludf.DUMMYFUNCTION("""COMPUTED_VALUE"""),178.0)</f>
        <v>178</v>
      </c>
      <c r="D1967" s="2">
        <f>IFERROR(__xludf.DUMMYFUNCTION("""COMPUTED_VALUE"""),162.0)</f>
        <v>162</v>
      </c>
      <c r="E1967" s="2">
        <f>IFERROR(__xludf.DUMMYFUNCTION("""COMPUTED_VALUE"""),175.23)</f>
        <v>175.23</v>
      </c>
      <c r="F1967" s="2">
        <f>IFERROR(__xludf.DUMMYFUNCTION("""COMPUTED_VALUE"""),1191184.0)</f>
        <v>1191184</v>
      </c>
    </row>
    <row r="1968">
      <c r="A1968" s="3">
        <f>IFERROR(__xludf.DUMMYFUNCTION("""COMPUTED_VALUE"""),39401.645833333336)</f>
        <v>39401.64583</v>
      </c>
      <c r="B1968" s="2">
        <f>IFERROR(__xludf.DUMMYFUNCTION("""COMPUTED_VALUE"""),175.0)</f>
        <v>175</v>
      </c>
      <c r="C1968" s="2">
        <f>IFERROR(__xludf.DUMMYFUNCTION("""COMPUTED_VALUE"""),175.0)</f>
        <v>175</v>
      </c>
      <c r="D1968" s="2">
        <f>IFERROR(__xludf.DUMMYFUNCTION("""COMPUTED_VALUE"""),167.53)</f>
        <v>167.53</v>
      </c>
      <c r="E1968" s="2">
        <f>IFERROR(__xludf.DUMMYFUNCTION("""COMPUTED_VALUE"""),170.05)</f>
        <v>170.05</v>
      </c>
      <c r="F1968" s="2">
        <f>IFERROR(__xludf.DUMMYFUNCTION("""COMPUTED_VALUE"""),476846.0)</f>
        <v>476846</v>
      </c>
    </row>
    <row r="1969">
      <c r="A1969" s="3">
        <f>IFERROR(__xludf.DUMMYFUNCTION("""COMPUTED_VALUE"""),39402.645833333336)</f>
        <v>39402.64583</v>
      </c>
      <c r="B1969" s="2">
        <f>IFERROR(__xludf.DUMMYFUNCTION("""COMPUTED_VALUE"""),165.0)</f>
        <v>165</v>
      </c>
      <c r="C1969" s="2">
        <f>IFERROR(__xludf.DUMMYFUNCTION("""COMPUTED_VALUE"""),170.3)</f>
        <v>170.3</v>
      </c>
      <c r="D1969" s="2">
        <f>IFERROR(__xludf.DUMMYFUNCTION("""COMPUTED_VALUE"""),163.2)</f>
        <v>163.2</v>
      </c>
      <c r="E1969" s="2">
        <f>IFERROR(__xludf.DUMMYFUNCTION("""COMPUTED_VALUE"""),168.71)</f>
        <v>168.71</v>
      </c>
      <c r="F1969" s="2">
        <f>IFERROR(__xludf.DUMMYFUNCTION("""COMPUTED_VALUE"""),658433.0)</f>
        <v>658433</v>
      </c>
    </row>
    <row r="1970">
      <c r="A1970" s="3">
        <f>IFERROR(__xludf.DUMMYFUNCTION("""COMPUTED_VALUE"""),39405.645833333336)</f>
        <v>39405.64583</v>
      </c>
      <c r="B1970" s="2">
        <f>IFERROR(__xludf.DUMMYFUNCTION("""COMPUTED_VALUE"""),168.7)</f>
        <v>168.7</v>
      </c>
      <c r="C1970" s="2">
        <f>IFERROR(__xludf.DUMMYFUNCTION("""COMPUTED_VALUE"""),168.7)</f>
        <v>168.7</v>
      </c>
      <c r="D1970" s="2">
        <f>IFERROR(__xludf.DUMMYFUNCTION("""COMPUTED_VALUE"""),164.53)</f>
        <v>164.53</v>
      </c>
      <c r="E1970" s="2">
        <f>IFERROR(__xludf.DUMMYFUNCTION("""COMPUTED_VALUE"""),165.46)</f>
        <v>165.46</v>
      </c>
      <c r="F1970" s="2">
        <f>IFERROR(__xludf.DUMMYFUNCTION("""COMPUTED_VALUE"""),887526.0)</f>
        <v>887526</v>
      </c>
    </row>
    <row r="1971">
      <c r="A1971" s="3">
        <f>IFERROR(__xludf.DUMMYFUNCTION("""COMPUTED_VALUE"""),39406.645833333336)</f>
        <v>39406.64583</v>
      </c>
      <c r="B1971" s="2">
        <f>IFERROR(__xludf.DUMMYFUNCTION("""COMPUTED_VALUE"""),163.0)</f>
        <v>163</v>
      </c>
      <c r="C1971" s="2">
        <f>IFERROR(__xludf.DUMMYFUNCTION("""COMPUTED_VALUE"""),167.4)</f>
        <v>167.4</v>
      </c>
      <c r="D1971" s="2">
        <f>IFERROR(__xludf.DUMMYFUNCTION("""COMPUTED_VALUE"""),161.82)</f>
        <v>161.82</v>
      </c>
      <c r="E1971" s="2">
        <f>IFERROR(__xludf.DUMMYFUNCTION("""COMPUTED_VALUE"""),163.03)</f>
        <v>163.03</v>
      </c>
      <c r="F1971" s="2">
        <f>IFERROR(__xludf.DUMMYFUNCTION("""COMPUTED_VALUE"""),564586.0)</f>
        <v>564586</v>
      </c>
    </row>
    <row r="1972">
      <c r="A1972" s="3">
        <f>IFERROR(__xludf.DUMMYFUNCTION("""COMPUTED_VALUE"""),39407.645833333336)</f>
        <v>39407.64583</v>
      </c>
      <c r="B1972" s="2">
        <f>IFERROR(__xludf.DUMMYFUNCTION("""COMPUTED_VALUE"""),161.3)</f>
        <v>161.3</v>
      </c>
      <c r="C1972" s="2">
        <f>IFERROR(__xludf.DUMMYFUNCTION("""COMPUTED_VALUE"""),161.3)</f>
        <v>161.3</v>
      </c>
      <c r="D1972" s="2">
        <f>IFERROR(__xludf.DUMMYFUNCTION("""COMPUTED_VALUE"""),156.5)</f>
        <v>156.5</v>
      </c>
      <c r="E1972" s="2">
        <f>IFERROR(__xludf.DUMMYFUNCTION("""COMPUTED_VALUE"""),158.09)</f>
        <v>158.09</v>
      </c>
      <c r="F1972" s="2">
        <f>IFERROR(__xludf.DUMMYFUNCTION("""COMPUTED_VALUE"""),556383.0)</f>
        <v>556383</v>
      </c>
    </row>
    <row r="1973">
      <c r="A1973" s="3">
        <f>IFERROR(__xludf.DUMMYFUNCTION("""COMPUTED_VALUE"""),39408.645833333336)</f>
        <v>39408.64583</v>
      </c>
      <c r="B1973" s="2">
        <f>IFERROR(__xludf.DUMMYFUNCTION("""COMPUTED_VALUE"""),159.8)</f>
        <v>159.8</v>
      </c>
      <c r="C1973" s="2">
        <f>IFERROR(__xludf.DUMMYFUNCTION("""COMPUTED_VALUE"""),160.4)</f>
        <v>160.4</v>
      </c>
      <c r="D1973" s="2">
        <f>IFERROR(__xludf.DUMMYFUNCTION("""COMPUTED_VALUE"""),155.14)</f>
        <v>155.14</v>
      </c>
      <c r="E1973" s="2">
        <f>IFERROR(__xludf.DUMMYFUNCTION("""COMPUTED_VALUE"""),159.17)</f>
        <v>159.17</v>
      </c>
      <c r="F1973" s="2">
        <f>IFERROR(__xludf.DUMMYFUNCTION("""COMPUTED_VALUE"""),484001.0)</f>
        <v>484001</v>
      </c>
    </row>
    <row r="1974">
      <c r="A1974" s="3">
        <f>IFERROR(__xludf.DUMMYFUNCTION("""COMPUTED_VALUE"""),39409.645833333336)</f>
        <v>39409.64583</v>
      </c>
      <c r="B1974" s="2">
        <f>IFERROR(__xludf.DUMMYFUNCTION("""COMPUTED_VALUE"""),158.52)</f>
        <v>158.52</v>
      </c>
      <c r="C1974" s="2">
        <f>IFERROR(__xludf.DUMMYFUNCTION("""COMPUTED_VALUE"""),160.6)</f>
        <v>160.6</v>
      </c>
      <c r="D1974" s="2">
        <f>IFERROR(__xludf.DUMMYFUNCTION("""COMPUTED_VALUE"""),154.13)</f>
        <v>154.13</v>
      </c>
      <c r="E1974" s="2">
        <f>IFERROR(__xludf.DUMMYFUNCTION("""COMPUTED_VALUE"""),156.27)</f>
        <v>156.27</v>
      </c>
      <c r="F1974" s="2">
        <f>IFERROR(__xludf.DUMMYFUNCTION("""COMPUTED_VALUE"""),431835.0)</f>
        <v>431835</v>
      </c>
    </row>
    <row r="1975">
      <c r="A1975" s="3">
        <f>IFERROR(__xludf.DUMMYFUNCTION("""COMPUTED_VALUE"""),39412.645833333336)</f>
        <v>39412.64583</v>
      </c>
      <c r="B1975" s="2">
        <f>IFERROR(__xludf.DUMMYFUNCTION("""COMPUTED_VALUE"""),161.01)</f>
        <v>161.01</v>
      </c>
      <c r="C1975" s="2">
        <f>IFERROR(__xludf.DUMMYFUNCTION("""COMPUTED_VALUE"""),167.38)</f>
        <v>167.38</v>
      </c>
      <c r="D1975" s="2">
        <f>IFERROR(__xludf.DUMMYFUNCTION("""COMPUTED_VALUE"""),161.01)</f>
        <v>161.01</v>
      </c>
      <c r="E1975" s="2">
        <f>IFERROR(__xludf.DUMMYFUNCTION("""COMPUTED_VALUE"""),164.34)</f>
        <v>164.34</v>
      </c>
      <c r="F1975" s="2">
        <f>IFERROR(__xludf.DUMMYFUNCTION("""COMPUTED_VALUE"""),423857.0)</f>
        <v>423857</v>
      </c>
    </row>
    <row r="1976">
      <c r="A1976" s="3">
        <f>IFERROR(__xludf.DUMMYFUNCTION("""COMPUTED_VALUE"""),39413.645833333336)</f>
        <v>39413.64583</v>
      </c>
      <c r="B1976" s="2">
        <f>IFERROR(__xludf.DUMMYFUNCTION("""COMPUTED_VALUE"""),162.4)</f>
        <v>162.4</v>
      </c>
      <c r="C1976" s="2">
        <f>IFERROR(__xludf.DUMMYFUNCTION("""COMPUTED_VALUE"""),165.55)</f>
        <v>165.55</v>
      </c>
      <c r="D1976" s="2">
        <f>IFERROR(__xludf.DUMMYFUNCTION("""COMPUTED_VALUE"""),160.0)</f>
        <v>160</v>
      </c>
      <c r="E1976" s="2">
        <f>IFERROR(__xludf.DUMMYFUNCTION("""COMPUTED_VALUE"""),163.26)</f>
        <v>163.26</v>
      </c>
      <c r="F1976" s="2">
        <f>IFERROR(__xludf.DUMMYFUNCTION("""COMPUTED_VALUE"""),556770.0)</f>
        <v>556770</v>
      </c>
    </row>
    <row r="1977">
      <c r="A1977" s="3">
        <f>IFERROR(__xludf.DUMMYFUNCTION("""COMPUTED_VALUE"""),39414.645833333336)</f>
        <v>39414.64583</v>
      </c>
      <c r="B1977" s="2">
        <f>IFERROR(__xludf.DUMMYFUNCTION("""COMPUTED_VALUE"""),169.5)</f>
        <v>169.5</v>
      </c>
      <c r="C1977" s="2">
        <f>IFERROR(__xludf.DUMMYFUNCTION("""COMPUTED_VALUE"""),169.5)</f>
        <v>169.5</v>
      </c>
      <c r="D1977" s="2">
        <f>IFERROR(__xludf.DUMMYFUNCTION("""COMPUTED_VALUE"""),158.52)</f>
        <v>158.52</v>
      </c>
      <c r="E1977" s="2">
        <f>IFERROR(__xludf.DUMMYFUNCTION("""COMPUTED_VALUE"""),160.64)</f>
        <v>160.64</v>
      </c>
      <c r="F1977" s="2">
        <f>IFERROR(__xludf.DUMMYFUNCTION("""COMPUTED_VALUE"""),535407.0)</f>
        <v>535407</v>
      </c>
    </row>
    <row r="1978">
      <c r="A1978" s="3">
        <f>IFERROR(__xludf.DUMMYFUNCTION("""COMPUTED_VALUE"""),39415.645833333336)</f>
        <v>39415.64583</v>
      </c>
      <c r="B1978" s="2">
        <f>IFERROR(__xludf.DUMMYFUNCTION("""COMPUTED_VALUE"""),162.88)</f>
        <v>162.88</v>
      </c>
      <c r="C1978" s="2">
        <f>IFERROR(__xludf.DUMMYFUNCTION("""COMPUTED_VALUE"""),169.4)</f>
        <v>169.4</v>
      </c>
      <c r="D1978" s="2">
        <f>IFERROR(__xludf.DUMMYFUNCTION("""COMPUTED_VALUE"""),162.88)</f>
        <v>162.88</v>
      </c>
      <c r="E1978" s="2">
        <f>IFERROR(__xludf.DUMMYFUNCTION("""COMPUTED_VALUE"""),167.44)</f>
        <v>167.44</v>
      </c>
      <c r="F1978" s="2">
        <f>IFERROR(__xludf.DUMMYFUNCTION("""COMPUTED_VALUE"""),1042903.0)</f>
        <v>1042903</v>
      </c>
    </row>
    <row r="1979">
      <c r="A1979" s="3">
        <f>IFERROR(__xludf.DUMMYFUNCTION("""COMPUTED_VALUE"""),39416.645833333336)</f>
        <v>39416.64583</v>
      </c>
      <c r="B1979" s="2">
        <f>IFERROR(__xludf.DUMMYFUNCTION("""COMPUTED_VALUE"""),170.0)</f>
        <v>170</v>
      </c>
      <c r="C1979" s="2">
        <f>IFERROR(__xludf.DUMMYFUNCTION("""COMPUTED_VALUE"""),174.84)</f>
        <v>174.84</v>
      </c>
      <c r="D1979" s="2">
        <f>IFERROR(__xludf.DUMMYFUNCTION("""COMPUTED_VALUE"""),169.4)</f>
        <v>169.4</v>
      </c>
      <c r="E1979" s="2">
        <f>IFERROR(__xludf.DUMMYFUNCTION("""COMPUTED_VALUE"""),171.62)</f>
        <v>171.62</v>
      </c>
      <c r="F1979" s="2">
        <f>IFERROR(__xludf.DUMMYFUNCTION("""COMPUTED_VALUE"""),615754.0)</f>
        <v>615754</v>
      </c>
    </row>
    <row r="1980">
      <c r="A1980" s="3">
        <f>IFERROR(__xludf.DUMMYFUNCTION("""COMPUTED_VALUE"""),39419.645833333336)</f>
        <v>39419.64583</v>
      </c>
      <c r="B1980" s="2">
        <f>IFERROR(__xludf.DUMMYFUNCTION("""COMPUTED_VALUE"""),173.5)</f>
        <v>173.5</v>
      </c>
      <c r="C1980" s="2">
        <f>IFERROR(__xludf.DUMMYFUNCTION("""COMPUTED_VALUE"""),173.5)</f>
        <v>173.5</v>
      </c>
      <c r="D1980" s="2">
        <f>IFERROR(__xludf.DUMMYFUNCTION("""COMPUTED_VALUE"""),168.0)</f>
        <v>168</v>
      </c>
      <c r="E1980" s="2">
        <f>IFERROR(__xludf.DUMMYFUNCTION("""COMPUTED_VALUE"""),169.61)</f>
        <v>169.61</v>
      </c>
      <c r="F1980" s="2">
        <f>IFERROR(__xludf.DUMMYFUNCTION("""COMPUTED_VALUE"""),490452.0)</f>
        <v>490452</v>
      </c>
    </row>
    <row r="1981">
      <c r="A1981" s="3">
        <f>IFERROR(__xludf.DUMMYFUNCTION("""COMPUTED_VALUE"""),39420.645833333336)</f>
        <v>39420.64583</v>
      </c>
      <c r="B1981" s="2">
        <f>IFERROR(__xludf.DUMMYFUNCTION("""COMPUTED_VALUE"""),172.8)</f>
        <v>172.8</v>
      </c>
      <c r="C1981" s="2">
        <f>IFERROR(__xludf.DUMMYFUNCTION("""COMPUTED_VALUE"""),172.8)</f>
        <v>172.8</v>
      </c>
      <c r="D1981" s="2">
        <f>IFERROR(__xludf.DUMMYFUNCTION("""COMPUTED_VALUE"""),169.07)</f>
        <v>169.07</v>
      </c>
      <c r="E1981" s="2">
        <f>IFERROR(__xludf.DUMMYFUNCTION("""COMPUTED_VALUE"""),170.17)</f>
        <v>170.17</v>
      </c>
      <c r="F1981" s="2">
        <f>IFERROR(__xludf.DUMMYFUNCTION("""COMPUTED_VALUE"""),262366.0)</f>
        <v>262366</v>
      </c>
    </row>
    <row r="1982">
      <c r="A1982" s="3">
        <f>IFERROR(__xludf.DUMMYFUNCTION("""COMPUTED_VALUE"""),39421.645833333336)</f>
        <v>39421.64583</v>
      </c>
      <c r="B1982" s="2">
        <f>IFERROR(__xludf.DUMMYFUNCTION("""COMPUTED_VALUE"""),170.5)</f>
        <v>170.5</v>
      </c>
      <c r="C1982" s="2">
        <f>IFERROR(__xludf.DUMMYFUNCTION("""COMPUTED_VALUE"""),173.8)</f>
        <v>173.8</v>
      </c>
      <c r="D1982" s="2">
        <f>IFERROR(__xludf.DUMMYFUNCTION("""COMPUTED_VALUE"""),169.5)</f>
        <v>169.5</v>
      </c>
      <c r="E1982" s="2">
        <f>IFERROR(__xludf.DUMMYFUNCTION("""COMPUTED_VALUE"""),172.38)</f>
        <v>172.38</v>
      </c>
      <c r="F1982" s="2">
        <f>IFERROR(__xludf.DUMMYFUNCTION("""COMPUTED_VALUE"""),820097.0)</f>
        <v>820097</v>
      </c>
    </row>
    <row r="1983">
      <c r="A1983" s="3">
        <f>IFERROR(__xludf.DUMMYFUNCTION("""COMPUTED_VALUE"""),39422.645833333336)</f>
        <v>39422.64583</v>
      </c>
      <c r="B1983" s="2">
        <f>IFERROR(__xludf.DUMMYFUNCTION("""COMPUTED_VALUE"""),174.0)</f>
        <v>174</v>
      </c>
      <c r="C1983" s="2">
        <f>IFERROR(__xludf.DUMMYFUNCTION("""COMPUTED_VALUE"""),178.0)</f>
        <v>178</v>
      </c>
      <c r="D1983" s="2">
        <f>IFERROR(__xludf.DUMMYFUNCTION("""COMPUTED_VALUE"""),167.22)</f>
        <v>167.22</v>
      </c>
      <c r="E1983" s="2">
        <f>IFERROR(__xludf.DUMMYFUNCTION("""COMPUTED_VALUE"""),169.0)</f>
        <v>169</v>
      </c>
      <c r="F1983" s="2">
        <f>IFERROR(__xludf.DUMMYFUNCTION("""COMPUTED_VALUE"""),518021.0)</f>
        <v>518021</v>
      </c>
    </row>
    <row r="1984">
      <c r="A1984" s="3">
        <f>IFERROR(__xludf.DUMMYFUNCTION("""COMPUTED_VALUE"""),39423.645833333336)</f>
        <v>39423.64583</v>
      </c>
      <c r="B1984" s="2">
        <f>IFERROR(__xludf.DUMMYFUNCTION("""COMPUTED_VALUE"""),171.0)</f>
        <v>171</v>
      </c>
      <c r="C1984" s="2">
        <f>IFERROR(__xludf.DUMMYFUNCTION("""COMPUTED_VALUE"""),174.0)</f>
        <v>174</v>
      </c>
      <c r="D1984" s="2">
        <f>IFERROR(__xludf.DUMMYFUNCTION("""COMPUTED_VALUE"""),171.0)</f>
        <v>171</v>
      </c>
      <c r="E1984" s="2">
        <f>IFERROR(__xludf.DUMMYFUNCTION("""COMPUTED_VALUE"""),171.98)</f>
        <v>171.98</v>
      </c>
      <c r="F1984" s="2">
        <f>IFERROR(__xludf.DUMMYFUNCTION("""COMPUTED_VALUE"""),591975.0)</f>
        <v>591975</v>
      </c>
    </row>
    <row r="1985">
      <c r="A1985" s="3">
        <f>IFERROR(__xludf.DUMMYFUNCTION("""COMPUTED_VALUE"""),39426.645833333336)</f>
        <v>39426.64583</v>
      </c>
      <c r="B1985" s="2">
        <f>IFERROR(__xludf.DUMMYFUNCTION("""COMPUTED_VALUE"""),172.0)</f>
        <v>172</v>
      </c>
      <c r="C1985" s="2">
        <f>IFERROR(__xludf.DUMMYFUNCTION("""COMPUTED_VALUE"""),173.0)</f>
        <v>173</v>
      </c>
      <c r="D1985" s="2">
        <f>IFERROR(__xludf.DUMMYFUNCTION("""COMPUTED_VALUE"""),167.74)</f>
        <v>167.74</v>
      </c>
      <c r="E1985" s="2">
        <f>IFERROR(__xludf.DUMMYFUNCTION("""COMPUTED_VALUE"""),168.8)</f>
        <v>168.8</v>
      </c>
      <c r="F1985" s="2">
        <f>IFERROR(__xludf.DUMMYFUNCTION("""COMPUTED_VALUE"""),409597.0)</f>
        <v>409597</v>
      </c>
    </row>
    <row r="1986">
      <c r="A1986" s="3">
        <f>IFERROR(__xludf.DUMMYFUNCTION("""COMPUTED_VALUE"""),39427.645833333336)</f>
        <v>39427.64583</v>
      </c>
      <c r="B1986" s="2">
        <f>IFERROR(__xludf.DUMMYFUNCTION("""COMPUTED_VALUE"""),168.8)</f>
        <v>168.8</v>
      </c>
      <c r="C1986" s="2">
        <f>IFERROR(__xludf.DUMMYFUNCTION("""COMPUTED_VALUE"""),179.5)</f>
        <v>179.5</v>
      </c>
      <c r="D1986" s="2">
        <f>IFERROR(__xludf.DUMMYFUNCTION("""COMPUTED_VALUE"""),168.5)</f>
        <v>168.5</v>
      </c>
      <c r="E1986" s="2">
        <f>IFERROR(__xludf.DUMMYFUNCTION("""COMPUTED_VALUE"""),178.06)</f>
        <v>178.06</v>
      </c>
      <c r="F1986" s="2">
        <f>IFERROR(__xludf.DUMMYFUNCTION("""COMPUTED_VALUE"""),363075.0)</f>
        <v>363075</v>
      </c>
    </row>
    <row r="1987">
      <c r="A1987" s="3">
        <f>IFERROR(__xludf.DUMMYFUNCTION("""COMPUTED_VALUE"""),39428.645833333336)</f>
        <v>39428.64583</v>
      </c>
      <c r="B1987" s="2">
        <f>IFERROR(__xludf.DUMMYFUNCTION("""COMPUTED_VALUE"""),177.7)</f>
        <v>177.7</v>
      </c>
      <c r="C1987" s="2">
        <f>IFERROR(__xludf.DUMMYFUNCTION("""COMPUTED_VALUE"""),179.88)</f>
        <v>179.88</v>
      </c>
      <c r="D1987" s="2">
        <f>IFERROR(__xludf.DUMMYFUNCTION("""COMPUTED_VALUE"""),172.1)</f>
        <v>172.1</v>
      </c>
      <c r="E1987" s="2">
        <f>IFERROR(__xludf.DUMMYFUNCTION("""COMPUTED_VALUE"""),178.41)</f>
        <v>178.41</v>
      </c>
      <c r="F1987" s="2">
        <f>IFERROR(__xludf.DUMMYFUNCTION("""COMPUTED_VALUE"""),749646.0)</f>
        <v>749646</v>
      </c>
    </row>
    <row r="1988">
      <c r="A1988" s="3">
        <f>IFERROR(__xludf.DUMMYFUNCTION("""COMPUTED_VALUE"""),39429.645833333336)</f>
        <v>39429.64583</v>
      </c>
      <c r="B1988" s="2">
        <f>IFERROR(__xludf.DUMMYFUNCTION("""COMPUTED_VALUE"""),177.5)</f>
        <v>177.5</v>
      </c>
      <c r="C1988" s="2">
        <f>IFERROR(__xludf.DUMMYFUNCTION("""COMPUTED_VALUE"""),177.79)</f>
        <v>177.79</v>
      </c>
      <c r="D1988" s="2">
        <f>IFERROR(__xludf.DUMMYFUNCTION("""COMPUTED_VALUE"""),174.4)</f>
        <v>174.4</v>
      </c>
      <c r="E1988" s="2">
        <f>IFERROR(__xludf.DUMMYFUNCTION("""COMPUTED_VALUE"""),175.64)</f>
        <v>175.64</v>
      </c>
      <c r="F1988" s="2">
        <f>IFERROR(__xludf.DUMMYFUNCTION("""COMPUTED_VALUE"""),398228.0)</f>
        <v>398228</v>
      </c>
    </row>
    <row r="1989">
      <c r="A1989" s="3">
        <f>IFERROR(__xludf.DUMMYFUNCTION("""COMPUTED_VALUE"""),39430.645833333336)</f>
        <v>39430.64583</v>
      </c>
      <c r="B1989" s="2">
        <f>IFERROR(__xludf.DUMMYFUNCTION("""COMPUTED_VALUE"""),176.5)</f>
        <v>176.5</v>
      </c>
      <c r="C1989" s="2">
        <f>IFERROR(__xludf.DUMMYFUNCTION("""COMPUTED_VALUE"""),176.5)</f>
        <v>176.5</v>
      </c>
      <c r="D1989" s="2">
        <f>IFERROR(__xludf.DUMMYFUNCTION("""COMPUTED_VALUE"""),170.0)</f>
        <v>170</v>
      </c>
      <c r="E1989" s="2">
        <f>IFERROR(__xludf.DUMMYFUNCTION("""COMPUTED_VALUE"""),172.45)</f>
        <v>172.45</v>
      </c>
      <c r="F1989" s="2">
        <f>IFERROR(__xludf.DUMMYFUNCTION("""COMPUTED_VALUE"""),477824.0)</f>
        <v>477824</v>
      </c>
    </row>
    <row r="1990">
      <c r="A1990" s="3">
        <f>IFERROR(__xludf.DUMMYFUNCTION("""COMPUTED_VALUE"""),39433.645833333336)</f>
        <v>39433.64583</v>
      </c>
      <c r="B1990" s="2">
        <f>IFERROR(__xludf.DUMMYFUNCTION("""COMPUTED_VALUE"""),171.9)</f>
        <v>171.9</v>
      </c>
      <c r="C1990" s="2">
        <f>IFERROR(__xludf.DUMMYFUNCTION("""COMPUTED_VALUE"""),171.9)</f>
        <v>171.9</v>
      </c>
      <c r="D1990" s="2">
        <f>IFERROR(__xludf.DUMMYFUNCTION("""COMPUTED_VALUE"""),166.5)</f>
        <v>166.5</v>
      </c>
      <c r="E1990" s="2">
        <f>IFERROR(__xludf.DUMMYFUNCTION("""COMPUTED_VALUE"""),168.36)</f>
        <v>168.36</v>
      </c>
      <c r="F1990" s="2">
        <f>IFERROR(__xludf.DUMMYFUNCTION("""COMPUTED_VALUE"""),472556.0)</f>
        <v>472556</v>
      </c>
    </row>
    <row r="1991">
      <c r="A1991" s="3">
        <f>IFERROR(__xludf.DUMMYFUNCTION("""COMPUTED_VALUE"""),39435.645833333336)</f>
        <v>39435.64583</v>
      </c>
      <c r="B1991" s="2">
        <f>IFERROR(__xludf.DUMMYFUNCTION("""COMPUTED_VALUE"""),170.0)</f>
        <v>170</v>
      </c>
      <c r="C1991" s="2">
        <f>IFERROR(__xludf.DUMMYFUNCTION("""COMPUTED_VALUE"""),170.0)</f>
        <v>170</v>
      </c>
      <c r="D1991" s="2">
        <f>IFERROR(__xludf.DUMMYFUNCTION("""COMPUTED_VALUE"""),163.26)</f>
        <v>163.26</v>
      </c>
      <c r="E1991" s="2">
        <f>IFERROR(__xludf.DUMMYFUNCTION("""COMPUTED_VALUE"""),165.31)</f>
        <v>165.31</v>
      </c>
      <c r="F1991" s="2">
        <f>IFERROR(__xludf.DUMMYFUNCTION("""COMPUTED_VALUE"""),551293.0)</f>
        <v>551293</v>
      </c>
    </row>
    <row r="1992">
      <c r="A1992" s="3">
        <f>IFERROR(__xludf.DUMMYFUNCTION("""COMPUTED_VALUE"""),39436.645833333336)</f>
        <v>39436.64583</v>
      </c>
      <c r="B1992" s="2">
        <f>IFERROR(__xludf.DUMMYFUNCTION("""COMPUTED_VALUE"""),165.0)</f>
        <v>165</v>
      </c>
      <c r="C1992" s="2">
        <f>IFERROR(__xludf.DUMMYFUNCTION("""COMPUTED_VALUE"""),165.99)</f>
        <v>165.99</v>
      </c>
      <c r="D1992" s="2">
        <f>IFERROR(__xludf.DUMMYFUNCTION("""COMPUTED_VALUE"""),162.63)</f>
        <v>162.63</v>
      </c>
      <c r="E1992" s="2">
        <f>IFERROR(__xludf.DUMMYFUNCTION("""COMPUTED_VALUE"""),164.27)</f>
        <v>164.27</v>
      </c>
      <c r="F1992" s="2">
        <f>IFERROR(__xludf.DUMMYFUNCTION("""COMPUTED_VALUE"""),593690.0)</f>
        <v>593690</v>
      </c>
    </row>
    <row r="1993">
      <c r="A1993" s="3">
        <f>IFERROR(__xludf.DUMMYFUNCTION("""COMPUTED_VALUE"""),39440.645833333336)</f>
        <v>39440.64583</v>
      </c>
      <c r="B1993" s="2">
        <f>IFERROR(__xludf.DUMMYFUNCTION("""COMPUTED_VALUE"""),166.62)</f>
        <v>166.62</v>
      </c>
      <c r="C1993" s="2">
        <f>IFERROR(__xludf.DUMMYFUNCTION("""COMPUTED_VALUE"""),170.5)</f>
        <v>170.5</v>
      </c>
      <c r="D1993" s="2">
        <f>IFERROR(__xludf.DUMMYFUNCTION("""COMPUTED_VALUE"""),165.03)</f>
        <v>165.03</v>
      </c>
      <c r="E1993" s="2">
        <f>IFERROR(__xludf.DUMMYFUNCTION("""COMPUTED_VALUE"""),169.82)</f>
        <v>169.82</v>
      </c>
      <c r="F1993" s="2">
        <f>IFERROR(__xludf.DUMMYFUNCTION("""COMPUTED_VALUE"""),339653.0)</f>
        <v>339653</v>
      </c>
    </row>
    <row r="1994">
      <c r="A1994" s="3">
        <f>IFERROR(__xludf.DUMMYFUNCTION("""COMPUTED_VALUE"""),39442.645833333336)</f>
        <v>39442.64583</v>
      </c>
      <c r="B1994" s="2">
        <f>IFERROR(__xludf.DUMMYFUNCTION("""COMPUTED_VALUE"""),169.82)</f>
        <v>169.82</v>
      </c>
      <c r="C1994" s="2">
        <f>IFERROR(__xludf.DUMMYFUNCTION("""COMPUTED_VALUE"""),171.5)</f>
        <v>171.5</v>
      </c>
      <c r="D1994" s="2">
        <f>IFERROR(__xludf.DUMMYFUNCTION("""COMPUTED_VALUE"""),168.0)</f>
        <v>168</v>
      </c>
      <c r="E1994" s="2">
        <f>IFERROR(__xludf.DUMMYFUNCTION("""COMPUTED_VALUE"""),170.68)</f>
        <v>170.68</v>
      </c>
      <c r="F1994" s="2">
        <f>IFERROR(__xludf.DUMMYFUNCTION("""COMPUTED_VALUE"""),216084.0)</f>
        <v>216084</v>
      </c>
    </row>
    <row r="1995">
      <c r="A1995" s="3">
        <f>IFERROR(__xludf.DUMMYFUNCTION("""COMPUTED_VALUE"""),39443.645833333336)</f>
        <v>39443.64583</v>
      </c>
      <c r="B1995" s="2">
        <f>IFERROR(__xludf.DUMMYFUNCTION("""COMPUTED_VALUE"""),171.0)</f>
        <v>171</v>
      </c>
      <c r="C1995" s="2">
        <f>IFERROR(__xludf.DUMMYFUNCTION("""COMPUTED_VALUE"""),175.8)</f>
        <v>175.8</v>
      </c>
      <c r="D1995" s="2">
        <f>IFERROR(__xludf.DUMMYFUNCTION("""COMPUTED_VALUE"""),171.0)</f>
        <v>171</v>
      </c>
      <c r="E1995" s="2">
        <f>IFERROR(__xludf.DUMMYFUNCTION("""COMPUTED_VALUE"""),174.55)</f>
        <v>174.55</v>
      </c>
      <c r="F1995" s="2">
        <f>IFERROR(__xludf.DUMMYFUNCTION("""COMPUTED_VALUE"""),436494.0)</f>
        <v>436494</v>
      </c>
    </row>
    <row r="1996">
      <c r="A1996" s="3">
        <f>IFERROR(__xludf.DUMMYFUNCTION("""COMPUTED_VALUE"""),39444.645833333336)</f>
        <v>39444.64583</v>
      </c>
      <c r="B1996" s="2">
        <f>IFERROR(__xludf.DUMMYFUNCTION("""COMPUTED_VALUE"""),169.9)</f>
        <v>169.9</v>
      </c>
      <c r="C1996" s="2">
        <f>IFERROR(__xludf.DUMMYFUNCTION("""COMPUTED_VALUE"""),173.8)</f>
        <v>173.8</v>
      </c>
      <c r="D1996" s="2">
        <f>IFERROR(__xludf.DUMMYFUNCTION("""COMPUTED_VALUE"""),166.72)</f>
        <v>166.72</v>
      </c>
      <c r="E1996" s="2">
        <f>IFERROR(__xludf.DUMMYFUNCTION("""COMPUTED_VALUE"""),173.03)</f>
        <v>173.03</v>
      </c>
      <c r="F1996" s="2">
        <f>IFERROR(__xludf.DUMMYFUNCTION("""COMPUTED_VALUE"""),337737.0)</f>
        <v>337737</v>
      </c>
    </row>
    <row r="1997">
      <c r="A1997" s="3">
        <f>IFERROR(__xludf.DUMMYFUNCTION("""COMPUTED_VALUE"""),39447.645833333336)</f>
        <v>39447.64583</v>
      </c>
      <c r="B1997" s="2">
        <f>IFERROR(__xludf.DUMMYFUNCTION("""COMPUTED_VALUE"""),175.0)</f>
        <v>175</v>
      </c>
      <c r="C1997" s="2">
        <f>IFERROR(__xludf.DUMMYFUNCTION("""COMPUTED_VALUE"""),175.0)</f>
        <v>175</v>
      </c>
      <c r="D1997" s="2">
        <f>IFERROR(__xludf.DUMMYFUNCTION("""COMPUTED_VALUE"""),170.8)</f>
        <v>170.8</v>
      </c>
      <c r="E1997" s="2">
        <f>IFERROR(__xludf.DUMMYFUNCTION("""COMPUTED_VALUE"""),172.91)</f>
        <v>172.91</v>
      </c>
      <c r="F1997" s="2">
        <f>IFERROR(__xludf.DUMMYFUNCTION("""COMPUTED_VALUE"""),188962.0)</f>
        <v>188962</v>
      </c>
    </row>
    <row r="1998">
      <c r="A1998" s="3">
        <f>IFERROR(__xludf.DUMMYFUNCTION("""COMPUTED_VALUE"""),39448.645833333336)</f>
        <v>39448.64583</v>
      </c>
      <c r="B1998" s="2">
        <f>IFERROR(__xludf.DUMMYFUNCTION("""COMPUTED_VALUE"""),173.0)</f>
        <v>173</v>
      </c>
      <c r="C1998" s="2">
        <f>IFERROR(__xludf.DUMMYFUNCTION("""COMPUTED_VALUE"""),173.9)</f>
        <v>173.9</v>
      </c>
      <c r="D1998" s="2">
        <f>IFERROR(__xludf.DUMMYFUNCTION("""COMPUTED_VALUE"""),170.5)</f>
        <v>170.5</v>
      </c>
      <c r="E1998" s="2">
        <f>IFERROR(__xludf.DUMMYFUNCTION("""COMPUTED_VALUE"""),172.95)</f>
        <v>172.95</v>
      </c>
      <c r="F1998" s="2">
        <f>IFERROR(__xludf.DUMMYFUNCTION("""COMPUTED_VALUE"""),131052.0)</f>
        <v>131052</v>
      </c>
    </row>
    <row r="1999">
      <c r="A1999" s="3">
        <f>IFERROR(__xludf.DUMMYFUNCTION("""COMPUTED_VALUE"""),39449.645833333336)</f>
        <v>39449.64583</v>
      </c>
      <c r="B1999" s="2">
        <f>IFERROR(__xludf.DUMMYFUNCTION("""COMPUTED_VALUE"""),173.4)</f>
        <v>173.4</v>
      </c>
      <c r="C1999" s="2">
        <f>IFERROR(__xludf.DUMMYFUNCTION("""COMPUTED_VALUE"""),173.48)</f>
        <v>173.48</v>
      </c>
      <c r="D1999" s="2">
        <f>IFERROR(__xludf.DUMMYFUNCTION("""COMPUTED_VALUE"""),169.03)</f>
        <v>169.03</v>
      </c>
      <c r="E1999" s="2">
        <f>IFERROR(__xludf.DUMMYFUNCTION("""COMPUTED_VALUE"""),171.53)</f>
        <v>171.53</v>
      </c>
      <c r="F1999" s="2">
        <f>IFERROR(__xludf.DUMMYFUNCTION("""COMPUTED_VALUE"""),623975.0)</f>
        <v>623975</v>
      </c>
    </row>
    <row r="2000">
      <c r="A2000" s="3">
        <f>IFERROR(__xludf.DUMMYFUNCTION("""COMPUTED_VALUE"""),39450.645833333336)</f>
        <v>39450.64583</v>
      </c>
      <c r="B2000" s="2">
        <f>IFERROR(__xludf.DUMMYFUNCTION("""COMPUTED_VALUE"""),171.0)</f>
        <v>171</v>
      </c>
      <c r="C2000" s="2">
        <f>IFERROR(__xludf.DUMMYFUNCTION("""COMPUTED_VALUE"""),171.0)</f>
        <v>171</v>
      </c>
      <c r="D2000" s="2">
        <f>IFERROR(__xludf.DUMMYFUNCTION("""COMPUTED_VALUE"""),167.62)</f>
        <v>167.62</v>
      </c>
      <c r="E2000" s="2">
        <f>IFERROR(__xludf.DUMMYFUNCTION("""COMPUTED_VALUE"""),169.44)</f>
        <v>169.44</v>
      </c>
      <c r="F2000" s="2">
        <f>IFERROR(__xludf.DUMMYFUNCTION("""COMPUTED_VALUE"""),701864.0)</f>
        <v>701864</v>
      </c>
    </row>
    <row r="2001">
      <c r="A2001" s="3">
        <f>IFERROR(__xludf.DUMMYFUNCTION("""COMPUTED_VALUE"""),39451.645833333336)</f>
        <v>39451.64583</v>
      </c>
      <c r="B2001" s="2">
        <f>IFERROR(__xludf.DUMMYFUNCTION("""COMPUTED_VALUE"""),170.3)</f>
        <v>170.3</v>
      </c>
      <c r="C2001" s="2">
        <f>IFERROR(__xludf.DUMMYFUNCTION("""COMPUTED_VALUE"""),171.4)</f>
        <v>171.4</v>
      </c>
      <c r="D2001" s="2">
        <f>IFERROR(__xludf.DUMMYFUNCTION("""COMPUTED_VALUE"""),169.4)</f>
        <v>169.4</v>
      </c>
      <c r="E2001" s="2">
        <f>IFERROR(__xludf.DUMMYFUNCTION("""COMPUTED_VALUE"""),169.64)</f>
        <v>169.64</v>
      </c>
      <c r="F2001" s="2">
        <f>IFERROR(__xludf.DUMMYFUNCTION("""COMPUTED_VALUE"""),372982.0)</f>
        <v>372982</v>
      </c>
    </row>
    <row r="2002">
      <c r="A2002" s="3">
        <f>IFERROR(__xludf.DUMMYFUNCTION("""COMPUTED_VALUE"""),39454.645833333336)</f>
        <v>39454.64583</v>
      </c>
      <c r="B2002" s="2">
        <f>IFERROR(__xludf.DUMMYFUNCTION("""COMPUTED_VALUE"""),165.1)</f>
        <v>165.1</v>
      </c>
      <c r="C2002" s="2">
        <f>IFERROR(__xludf.DUMMYFUNCTION("""COMPUTED_VALUE"""),167.84)</f>
        <v>167.84</v>
      </c>
      <c r="D2002" s="2">
        <f>IFERROR(__xludf.DUMMYFUNCTION("""COMPUTED_VALUE"""),161.23)</f>
        <v>161.23</v>
      </c>
      <c r="E2002" s="2">
        <f>IFERROR(__xludf.DUMMYFUNCTION("""COMPUTED_VALUE"""),165.54)</f>
        <v>165.54</v>
      </c>
      <c r="F2002" s="2">
        <f>IFERROR(__xludf.DUMMYFUNCTION("""COMPUTED_VALUE"""),632246.0)</f>
        <v>632246</v>
      </c>
    </row>
    <row r="2003">
      <c r="A2003" s="3">
        <f>IFERROR(__xludf.DUMMYFUNCTION("""COMPUTED_VALUE"""),39455.645833333336)</f>
        <v>39455.64583</v>
      </c>
      <c r="B2003" s="2">
        <f>IFERROR(__xludf.DUMMYFUNCTION("""COMPUTED_VALUE"""),168.9)</f>
        <v>168.9</v>
      </c>
      <c r="C2003" s="2">
        <f>IFERROR(__xludf.DUMMYFUNCTION("""COMPUTED_VALUE"""),172.28)</f>
        <v>172.28</v>
      </c>
      <c r="D2003" s="2">
        <f>IFERROR(__xludf.DUMMYFUNCTION("""COMPUTED_VALUE"""),167.0)</f>
        <v>167</v>
      </c>
      <c r="E2003" s="2">
        <f>IFERROR(__xludf.DUMMYFUNCTION("""COMPUTED_VALUE"""),171.58)</f>
        <v>171.58</v>
      </c>
      <c r="F2003" s="2">
        <f>IFERROR(__xludf.DUMMYFUNCTION("""COMPUTED_VALUE"""),916749.0)</f>
        <v>916749</v>
      </c>
    </row>
    <row r="2004">
      <c r="A2004" s="3">
        <f>IFERROR(__xludf.DUMMYFUNCTION("""COMPUTED_VALUE"""),39456.645833333336)</f>
        <v>39456.64583</v>
      </c>
      <c r="B2004" s="2">
        <f>IFERROR(__xludf.DUMMYFUNCTION("""COMPUTED_VALUE"""),171.45)</f>
        <v>171.45</v>
      </c>
      <c r="C2004" s="2">
        <f>IFERROR(__xludf.DUMMYFUNCTION("""COMPUTED_VALUE"""),176.7)</f>
        <v>176.7</v>
      </c>
      <c r="D2004" s="2">
        <f>IFERROR(__xludf.DUMMYFUNCTION("""COMPUTED_VALUE"""),170.03)</f>
        <v>170.03</v>
      </c>
      <c r="E2004" s="2">
        <f>IFERROR(__xludf.DUMMYFUNCTION("""COMPUTED_VALUE"""),174.46)</f>
        <v>174.46</v>
      </c>
      <c r="F2004" s="2">
        <f>IFERROR(__xludf.DUMMYFUNCTION("""COMPUTED_VALUE"""),1004919.0)</f>
        <v>1004919</v>
      </c>
    </row>
    <row r="2005">
      <c r="A2005" s="3">
        <f>IFERROR(__xludf.DUMMYFUNCTION("""COMPUTED_VALUE"""),39457.645833333336)</f>
        <v>39457.64583</v>
      </c>
      <c r="B2005" s="2">
        <f>IFERROR(__xludf.DUMMYFUNCTION("""COMPUTED_VALUE"""),178.95)</f>
        <v>178.95</v>
      </c>
      <c r="C2005" s="2">
        <f>IFERROR(__xludf.DUMMYFUNCTION("""COMPUTED_VALUE"""),179.76)</f>
        <v>179.76</v>
      </c>
      <c r="D2005" s="2">
        <f>IFERROR(__xludf.DUMMYFUNCTION("""COMPUTED_VALUE"""),170.52)</f>
        <v>170.52</v>
      </c>
      <c r="E2005" s="2">
        <f>IFERROR(__xludf.DUMMYFUNCTION("""COMPUTED_VALUE"""),172.2)</f>
        <v>172.2</v>
      </c>
      <c r="F2005" s="2">
        <f>IFERROR(__xludf.DUMMYFUNCTION("""COMPUTED_VALUE"""),861100.0)</f>
        <v>861100</v>
      </c>
    </row>
    <row r="2006">
      <c r="A2006" s="3">
        <f>IFERROR(__xludf.DUMMYFUNCTION("""COMPUTED_VALUE"""),39458.645833333336)</f>
        <v>39458.64583</v>
      </c>
      <c r="B2006" s="2">
        <f>IFERROR(__xludf.DUMMYFUNCTION("""COMPUTED_VALUE"""),172.8)</f>
        <v>172.8</v>
      </c>
      <c r="C2006" s="2">
        <f>IFERROR(__xludf.DUMMYFUNCTION("""COMPUTED_VALUE"""),177.8)</f>
        <v>177.8</v>
      </c>
      <c r="D2006" s="2">
        <f>IFERROR(__xludf.DUMMYFUNCTION("""COMPUTED_VALUE"""),172.21)</f>
        <v>172.21</v>
      </c>
      <c r="E2006" s="2">
        <f>IFERROR(__xludf.DUMMYFUNCTION("""COMPUTED_VALUE"""),176.46)</f>
        <v>176.46</v>
      </c>
      <c r="F2006" s="2">
        <f>IFERROR(__xludf.DUMMYFUNCTION("""COMPUTED_VALUE"""),415110.0)</f>
        <v>415110</v>
      </c>
    </row>
    <row r="2007">
      <c r="A2007" s="3">
        <f>IFERROR(__xludf.DUMMYFUNCTION("""COMPUTED_VALUE"""),39461.645833333336)</f>
        <v>39461.64583</v>
      </c>
      <c r="B2007" s="2">
        <f>IFERROR(__xludf.DUMMYFUNCTION("""COMPUTED_VALUE"""),177.4)</f>
        <v>177.4</v>
      </c>
      <c r="C2007" s="2">
        <f>IFERROR(__xludf.DUMMYFUNCTION("""COMPUTED_VALUE"""),182.5)</f>
        <v>182.5</v>
      </c>
      <c r="D2007" s="2">
        <f>IFERROR(__xludf.DUMMYFUNCTION("""COMPUTED_VALUE"""),172.23)</f>
        <v>172.23</v>
      </c>
      <c r="E2007" s="2">
        <f>IFERROR(__xludf.DUMMYFUNCTION("""COMPUTED_VALUE"""),178.32)</f>
        <v>178.32</v>
      </c>
      <c r="F2007" s="2">
        <f>IFERROR(__xludf.DUMMYFUNCTION("""COMPUTED_VALUE"""),1167546.0)</f>
        <v>1167546</v>
      </c>
    </row>
    <row r="2008">
      <c r="A2008" s="3">
        <f>IFERROR(__xludf.DUMMYFUNCTION("""COMPUTED_VALUE"""),39462.645833333336)</f>
        <v>39462.64583</v>
      </c>
      <c r="B2008" s="2">
        <f>IFERROR(__xludf.DUMMYFUNCTION("""COMPUTED_VALUE"""),182.03)</f>
        <v>182.03</v>
      </c>
      <c r="C2008" s="2">
        <f>IFERROR(__xludf.DUMMYFUNCTION("""COMPUTED_VALUE"""),182.03)</f>
        <v>182.03</v>
      </c>
      <c r="D2008" s="2">
        <f>IFERROR(__xludf.DUMMYFUNCTION("""COMPUTED_VALUE"""),176.66)</f>
        <v>176.66</v>
      </c>
      <c r="E2008" s="2">
        <f>IFERROR(__xludf.DUMMYFUNCTION("""COMPUTED_VALUE"""),178.9)</f>
        <v>178.9</v>
      </c>
      <c r="F2008" s="2">
        <f>IFERROR(__xludf.DUMMYFUNCTION("""COMPUTED_VALUE"""),622842.0)</f>
        <v>622842</v>
      </c>
    </row>
    <row r="2009">
      <c r="A2009" s="3">
        <f>IFERROR(__xludf.DUMMYFUNCTION("""COMPUTED_VALUE"""),39463.645833333336)</f>
        <v>39463.64583</v>
      </c>
      <c r="B2009" s="2">
        <f>IFERROR(__xludf.DUMMYFUNCTION("""COMPUTED_VALUE"""),169.5)</f>
        <v>169.5</v>
      </c>
      <c r="C2009" s="2">
        <f>IFERROR(__xludf.DUMMYFUNCTION("""COMPUTED_VALUE"""),173.86)</f>
        <v>173.86</v>
      </c>
      <c r="D2009" s="2">
        <f>IFERROR(__xludf.DUMMYFUNCTION("""COMPUTED_VALUE"""),165.03)</f>
        <v>165.03</v>
      </c>
      <c r="E2009" s="2">
        <f>IFERROR(__xludf.DUMMYFUNCTION("""COMPUTED_VALUE"""),167.38)</f>
        <v>167.38</v>
      </c>
      <c r="F2009" s="2">
        <f>IFERROR(__xludf.DUMMYFUNCTION("""COMPUTED_VALUE"""),1228170.0)</f>
        <v>1228170</v>
      </c>
    </row>
    <row r="2010">
      <c r="A2010" s="3">
        <f>IFERROR(__xludf.DUMMYFUNCTION("""COMPUTED_VALUE"""),39464.645833333336)</f>
        <v>39464.64583</v>
      </c>
      <c r="B2010" s="2">
        <f>IFERROR(__xludf.DUMMYFUNCTION("""COMPUTED_VALUE"""),166.21)</f>
        <v>166.21</v>
      </c>
      <c r="C2010" s="2">
        <f>IFERROR(__xludf.DUMMYFUNCTION("""COMPUTED_VALUE"""),166.8)</f>
        <v>166.8</v>
      </c>
      <c r="D2010" s="2">
        <f>IFERROR(__xludf.DUMMYFUNCTION("""COMPUTED_VALUE"""),161.22)</f>
        <v>161.22</v>
      </c>
      <c r="E2010" s="2">
        <f>IFERROR(__xludf.DUMMYFUNCTION("""COMPUTED_VALUE"""),164.36)</f>
        <v>164.36</v>
      </c>
      <c r="F2010" s="2">
        <f>IFERROR(__xludf.DUMMYFUNCTION("""COMPUTED_VALUE"""),1335669.0)</f>
        <v>1335669</v>
      </c>
    </row>
    <row r="2011">
      <c r="A2011" s="3">
        <f>IFERROR(__xludf.DUMMYFUNCTION("""COMPUTED_VALUE"""),39468.645833333336)</f>
        <v>39468.64583</v>
      </c>
      <c r="B2011" s="2">
        <f>IFERROR(__xludf.DUMMYFUNCTION("""COMPUTED_VALUE"""),159.0)</f>
        <v>159</v>
      </c>
      <c r="C2011" s="2">
        <f>IFERROR(__xludf.DUMMYFUNCTION("""COMPUTED_VALUE"""),159.0)</f>
        <v>159</v>
      </c>
      <c r="D2011" s="2">
        <f>IFERROR(__xludf.DUMMYFUNCTION("""COMPUTED_VALUE"""),148.0)</f>
        <v>148</v>
      </c>
      <c r="E2011" s="2">
        <f>IFERROR(__xludf.DUMMYFUNCTION("""COMPUTED_VALUE"""),150.71)</f>
        <v>150.71</v>
      </c>
      <c r="F2011" s="2">
        <f>IFERROR(__xludf.DUMMYFUNCTION("""COMPUTED_VALUE"""),743489.0)</f>
        <v>743489</v>
      </c>
    </row>
    <row r="2012">
      <c r="A2012" s="3">
        <f>IFERROR(__xludf.DUMMYFUNCTION("""COMPUTED_VALUE"""),39469.645833333336)</f>
        <v>39469.64583</v>
      </c>
      <c r="B2012" s="2">
        <f>IFERROR(__xludf.DUMMYFUNCTION("""COMPUTED_VALUE"""),149.89)</f>
        <v>149.89</v>
      </c>
      <c r="C2012" s="2">
        <f>IFERROR(__xludf.DUMMYFUNCTION("""COMPUTED_VALUE"""),178.0)</f>
        <v>178</v>
      </c>
      <c r="D2012" s="2">
        <f>IFERROR(__xludf.DUMMYFUNCTION("""COMPUTED_VALUE"""),135.1)</f>
        <v>135.1</v>
      </c>
      <c r="E2012" s="2">
        <f>IFERROR(__xludf.DUMMYFUNCTION("""COMPUTED_VALUE"""),142.64)</f>
        <v>142.64</v>
      </c>
      <c r="F2012" s="2">
        <f>IFERROR(__xludf.DUMMYFUNCTION("""COMPUTED_VALUE"""),1164506.0)</f>
        <v>1164506</v>
      </c>
    </row>
    <row r="2013">
      <c r="A2013" s="3">
        <f>IFERROR(__xludf.DUMMYFUNCTION("""COMPUTED_VALUE"""),39470.645833333336)</f>
        <v>39470.64583</v>
      </c>
      <c r="B2013" s="2">
        <f>IFERROR(__xludf.DUMMYFUNCTION("""COMPUTED_VALUE"""),151.9)</f>
        <v>151.9</v>
      </c>
      <c r="C2013" s="2">
        <f>IFERROR(__xludf.DUMMYFUNCTION("""COMPUTED_VALUE"""),170.0)</f>
        <v>170</v>
      </c>
      <c r="D2013" s="2">
        <f>IFERROR(__xludf.DUMMYFUNCTION("""COMPUTED_VALUE"""),138.0)</f>
        <v>138</v>
      </c>
      <c r="E2013" s="2">
        <f>IFERROR(__xludf.DUMMYFUNCTION("""COMPUTED_VALUE"""),153.43)</f>
        <v>153.43</v>
      </c>
      <c r="F2013" s="2">
        <f>IFERROR(__xludf.DUMMYFUNCTION("""COMPUTED_VALUE"""),933287.0)</f>
        <v>933287</v>
      </c>
    </row>
    <row r="2014">
      <c r="A2014" s="3">
        <f>IFERROR(__xludf.DUMMYFUNCTION("""COMPUTED_VALUE"""),39471.645833333336)</f>
        <v>39471.64583</v>
      </c>
      <c r="B2014" s="2">
        <f>IFERROR(__xludf.DUMMYFUNCTION("""COMPUTED_VALUE"""),153.0)</f>
        <v>153</v>
      </c>
      <c r="C2014" s="2">
        <f>IFERROR(__xludf.DUMMYFUNCTION("""COMPUTED_VALUE"""),163.7)</f>
        <v>163.7</v>
      </c>
      <c r="D2014" s="2">
        <f>IFERROR(__xludf.DUMMYFUNCTION("""COMPUTED_VALUE"""),147.5)</f>
        <v>147.5</v>
      </c>
      <c r="E2014" s="2">
        <f>IFERROR(__xludf.DUMMYFUNCTION("""COMPUTED_VALUE"""),151.04)</f>
        <v>151.04</v>
      </c>
      <c r="F2014" s="2">
        <f>IFERROR(__xludf.DUMMYFUNCTION("""COMPUTED_VALUE"""),814191.0)</f>
        <v>814191</v>
      </c>
    </row>
    <row r="2015">
      <c r="A2015" s="3">
        <f>IFERROR(__xludf.DUMMYFUNCTION("""COMPUTED_VALUE"""),39472.645833333336)</f>
        <v>39472.64583</v>
      </c>
      <c r="B2015" s="2">
        <f>IFERROR(__xludf.DUMMYFUNCTION("""COMPUTED_VALUE"""),154.4)</f>
        <v>154.4</v>
      </c>
      <c r="C2015" s="2">
        <f>IFERROR(__xludf.DUMMYFUNCTION("""COMPUTED_VALUE"""),168.0)</f>
        <v>168</v>
      </c>
      <c r="D2015" s="2">
        <f>IFERROR(__xludf.DUMMYFUNCTION("""COMPUTED_VALUE"""),152.51)</f>
        <v>152.51</v>
      </c>
      <c r="E2015" s="2">
        <f>IFERROR(__xludf.DUMMYFUNCTION("""COMPUTED_VALUE"""),160.85)</f>
        <v>160.85</v>
      </c>
      <c r="F2015" s="2">
        <f>IFERROR(__xludf.DUMMYFUNCTION("""COMPUTED_VALUE"""),607231.0)</f>
        <v>607231</v>
      </c>
    </row>
    <row r="2016">
      <c r="A2016" s="3">
        <f>IFERROR(__xludf.DUMMYFUNCTION("""COMPUTED_VALUE"""),39475.645833333336)</f>
        <v>39475.64583</v>
      </c>
      <c r="B2016" s="2">
        <f>IFERROR(__xludf.DUMMYFUNCTION("""COMPUTED_VALUE"""),155.0)</f>
        <v>155</v>
      </c>
      <c r="C2016" s="2">
        <f>IFERROR(__xludf.DUMMYFUNCTION("""COMPUTED_VALUE"""),160.0)</f>
        <v>160</v>
      </c>
      <c r="D2016" s="2">
        <f>IFERROR(__xludf.DUMMYFUNCTION("""COMPUTED_VALUE"""),143.0)</f>
        <v>143</v>
      </c>
      <c r="E2016" s="2">
        <f>IFERROR(__xludf.DUMMYFUNCTION("""COMPUTED_VALUE"""),159.02)</f>
        <v>159.02</v>
      </c>
      <c r="F2016" s="2">
        <f>IFERROR(__xludf.DUMMYFUNCTION("""COMPUTED_VALUE"""),595807.0)</f>
        <v>595807</v>
      </c>
    </row>
    <row r="2017">
      <c r="A2017" s="3">
        <f>IFERROR(__xludf.DUMMYFUNCTION("""COMPUTED_VALUE"""),39476.645833333336)</f>
        <v>39476.64583</v>
      </c>
      <c r="B2017" s="2">
        <f>IFERROR(__xludf.DUMMYFUNCTION("""COMPUTED_VALUE"""),159.88)</f>
        <v>159.88</v>
      </c>
      <c r="C2017" s="2">
        <f>IFERROR(__xludf.DUMMYFUNCTION("""COMPUTED_VALUE"""),162.7)</f>
        <v>162.7</v>
      </c>
      <c r="D2017" s="2">
        <f>IFERROR(__xludf.DUMMYFUNCTION("""COMPUTED_VALUE"""),150.02)</f>
        <v>150.02</v>
      </c>
      <c r="E2017" s="2">
        <f>IFERROR(__xludf.DUMMYFUNCTION("""COMPUTED_VALUE"""),153.74)</f>
        <v>153.74</v>
      </c>
      <c r="F2017" s="2">
        <f>IFERROR(__xludf.DUMMYFUNCTION("""COMPUTED_VALUE"""),609521.0)</f>
        <v>609521</v>
      </c>
    </row>
    <row r="2018">
      <c r="A2018" s="3">
        <f>IFERROR(__xludf.DUMMYFUNCTION("""COMPUTED_VALUE"""),39477.645833333336)</f>
        <v>39477.64583</v>
      </c>
      <c r="B2018" s="2">
        <f>IFERROR(__xludf.DUMMYFUNCTION("""COMPUTED_VALUE"""),157.4)</f>
        <v>157.4</v>
      </c>
      <c r="C2018" s="2">
        <f>IFERROR(__xludf.DUMMYFUNCTION("""COMPUTED_VALUE"""),157.4)</f>
        <v>157.4</v>
      </c>
      <c r="D2018" s="2">
        <f>IFERROR(__xludf.DUMMYFUNCTION("""COMPUTED_VALUE"""),150.5)</f>
        <v>150.5</v>
      </c>
      <c r="E2018" s="2">
        <f>IFERROR(__xludf.DUMMYFUNCTION("""COMPUTED_VALUE"""),153.29)</f>
        <v>153.29</v>
      </c>
      <c r="F2018" s="2">
        <f>IFERROR(__xludf.DUMMYFUNCTION("""COMPUTED_VALUE"""),396511.0)</f>
        <v>396511</v>
      </c>
    </row>
    <row r="2019">
      <c r="A2019" s="3">
        <f>IFERROR(__xludf.DUMMYFUNCTION("""COMPUTED_VALUE"""),39478.645833333336)</f>
        <v>39478.64583</v>
      </c>
      <c r="B2019" s="2">
        <f>IFERROR(__xludf.DUMMYFUNCTION("""COMPUTED_VALUE"""),154.2)</f>
        <v>154.2</v>
      </c>
      <c r="C2019" s="2">
        <f>IFERROR(__xludf.DUMMYFUNCTION("""COMPUTED_VALUE"""),158.99)</f>
        <v>158.99</v>
      </c>
      <c r="D2019" s="2">
        <f>IFERROR(__xludf.DUMMYFUNCTION("""COMPUTED_VALUE"""),151.51)</f>
        <v>151.51</v>
      </c>
      <c r="E2019" s="2">
        <f>IFERROR(__xludf.DUMMYFUNCTION("""COMPUTED_VALUE"""),156.96)</f>
        <v>156.96</v>
      </c>
      <c r="F2019" s="2">
        <f>IFERROR(__xludf.DUMMYFUNCTION("""COMPUTED_VALUE"""),639685.0)</f>
        <v>639685</v>
      </c>
    </row>
    <row r="2020">
      <c r="A2020" s="3">
        <f>IFERROR(__xludf.DUMMYFUNCTION("""COMPUTED_VALUE"""),39479.645833333336)</f>
        <v>39479.64583</v>
      </c>
      <c r="B2020" s="2">
        <f>IFERROR(__xludf.DUMMYFUNCTION("""COMPUTED_VALUE"""),157.5)</f>
        <v>157.5</v>
      </c>
      <c r="C2020" s="2">
        <f>IFERROR(__xludf.DUMMYFUNCTION("""COMPUTED_VALUE"""),158.28)</f>
        <v>158.28</v>
      </c>
      <c r="D2020" s="2">
        <f>IFERROR(__xludf.DUMMYFUNCTION("""COMPUTED_VALUE"""),148.52)</f>
        <v>148.52</v>
      </c>
      <c r="E2020" s="2">
        <f>IFERROR(__xludf.DUMMYFUNCTION("""COMPUTED_VALUE"""),157.1)</f>
        <v>157.1</v>
      </c>
      <c r="F2020" s="2">
        <f>IFERROR(__xludf.DUMMYFUNCTION("""COMPUTED_VALUE"""),728723.0)</f>
        <v>728723</v>
      </c>
    </row>
    <row r="2021">
      <c r="A2021" s="3">
        <f>IFERROR(__xludf.DUMMYFUNCTION("""COMPUTED_VALUE"""),39482.645833333336)</f>
        <v>39482.64583</v>
      </c>
      <c r="B2021" s="2">
        <f>IFERROR(__xludf.DUMMYFUNCTION("""COMPUTED_VALUE"""),162.38)</f>
        <v>162.38</v>
      </c>
      <c r="C2021" s="2">
        <f>IFERROR(__xludf.DUMMYFUNCTION("""COMPUTED_VALUE"""),162.38)</f>
        <v>162.38</v>
      </c>
      <c r="D2021" s="2">
        <f>IFERROR(__xludf.DUMMYFUNCTION("""COMPUTED_VALUE"""),152.6)</f>
        <v>152.6</v>
      </c>
      <c r="E2021" s="2">
        <f>IFERROR(__xludf.DUMMYFUNCTION("""COMPUTED_VALUE"""),154.74)</f>
        <v>154.74</v>
      </c>
      <c r="F2021" s="2">
        <f>IFERROR(__xludf.DUMMYFUNCTION("""COMPUTED_VALUE"""),549130.0)</f>
        <v>549130</v>
      </c>
    </row>
    <row r="2022">
      <c r="A2022" s="3">
        <f>IFERROR(__xludf.DUMMYFUNCTION("""COMPUTED_VALUE"""),39483.645833333336)</f>
        <v>39483.64583</v>
      </c>
      <c r="B2022" s="2">
        <f>IFERROR(__xludf.DUMMYFUNCTION("""COMPUTED_VALUE"""),156.0)</f>
        <v>156</v>
      </c>
      <c r="C2022" s="2">
        <f>IFERROR(__xludf.DUMMYFUNCTION("""COMPUTED_VALUE"""),159.74)</f>
        <v>159.74</v>
      </c>
      <c r="D2022" s="2">
        <f>IFERROR(__xludf.DUMMYFUNCTION("""COMPUTED_VALUE"""),150.03)</f>
        <v>150.03</v>
      </c>
      <c r="E2022" s="2">
        <f>IFERROR(__xludf.DUMMYFUNCTION("""COMPUTED_VALUE"""),151.23)</f>
        <v>151.23</v>
      </c>
      <c r="F2022" s="2">
        <f>IFERROR(__xludf.DUMMYFUNCTION("""COMPUTED_VALUE"""),607141.0)</f>
        <v>607141</v>
      </c>
    </row>
    <row r="2023">
      <c r="A2023" s="3">
        <f>IFERROR(__xludf.DUMMYFUNCTION("""COMPUTED_VALUE"""),39484.645833333336)</f>
        <v>39484.64583</v>
      </c>
      <c r="B2023" s="2">
        <f>IFERROR(__xludf.DUMMYFUNCTION("""COMPUTED_VALUE"""),149.99)</f>
        <v>149.99</v>
      </c>
      <c r="C2023" s="2">
        <f>IFERROR(__xludf.DUMMYFUNCTION("""COMPUTED_VALUE"""),151.48)</f>
        <v>151.48</v>
      </c>
      <c r="D2023" s="2">
        <f>IFERROR(__xludf.DUMMYFUNCTION("""COMPUTED_VALUE"""),145.14)</f>
        <v>145.14</v>
      </c>
      <c r="E2023" s="2">
        <f>IFERROR(__xludf.DUMMYFUNCTION("""COMPUTED_VALUE"""),150.01)</f>
        <v>150.01</v>
      </c>
      <c r="F2023" s="2">
        <f>IFERROR(__xludf.DUMMYFUNCTION("""COMPUTED_VALUE"""),786594.0)</f>
        <v>786594</v>
      </c>
    </row>
    <row r="2024">
      <c r="A2024" s="3">
        <f>IFERROR(__xludf.DUMMYFUNCTION("""COMPUTED_VALUE"""),39485.645833333336)</f>
        <v>39485.64583</v>
      </c>
      <c r="B2024" s="2">
        <f>IFERROR(__xludf.DUMMYFUNCTION("""COMPUTED_VALUE"""),149.9)</f>
        <v>149.9</v>
      </c>
      <c r="C2024" s="2">
        <f>IFERROR(__xludf.DUMMYFUNCTION("""COMPUTED_VALUE"""),151.2)</f>
        <v>151.2</v>
      </c>
      <c r="D2024" s="2">
        <f>IFERROR(__xludf.DUMMYFUNCTION("""COMPUTED_VALUE"""),148.2)</f>
        <v>148.2</v>
      </c>
      <c r="E2024" s="2">
        <f>IFERROR(__xludf.DUMMYFUNCTION("""COMPUTED_VALUE"""),149.18)</f>
        <v>149.18</v>
      </c>
      <c r="F2024" s="2">
        <f>IFERROR(__xludf.DUMMYFUNCTION("""COMPUTED_VALUE"""),1671532.0)</f>
        <v>1671532</v>
      </c>
    </row>
    <row r="2025">
      <c r="A2025" s="3">
        <f>IFERROR(__xludf.DUMMYFUNCTION("""COMPUTED_VALUE"""),39486.645833333336)</f>
        <v>39486.64583</v>
      </c>
      <c r="B2025" s="2">
        <f>IFERROR(__xludf.DUMMYFUNCTION("""COMPUTED_VALUE"""),149.1)</f>
        <v>149.1</v>
      </c>
      <c r="C2025" s="2">
        <f>IFERROR(__xludf.DUMMYFUNCTION("""COMPUTED_VALUE"""),150.3)</f>
        <v>150.3</v>
      </c>
      <c r="D2025" s="2">
        <f>IFERROR(__xludf.DUMMYFUNCTION("""COMPUTED_VALUE"""),142.3)</f>
        <v>142.3</v>
      </c>
      <c r="E2025" s="2">
        <f>IFERROR(__xludf.DUMMYFUNCTION("""COMPUTED_VALUE"""),144.2)</f>
        <v>144.2</v>
      </c>
      <c r="F2025" s="2">
        <f>IFERROR(__xludf.DUMMYFUNCTION("""COMPUTED_VALUE"""),388066.0)</f>
        <v>388066</v>
      </c>
    </row>
    <row r="2026">
      <c r="A2026" s="3">
        <f>IFERROR(__xludf.DUMMYFUNCTION("""COMPUTED_VALUE"""),39489.645833333336)</f>
        <v>39489.64583</v>
      </c>
      <c r="B2026" s="2">
        <f>IFERROR(__xludf.DUMMYFUNCTION("""COMPUTED_VALUE"""),144.2)</f>
        <v>144.2</v>
      </c>
      <c r="C2026" s="2">
        <f>IFERROR(__xludf.DUMMYFUNCTION("""COMPUTED_VALUE"""),146.9)</f>
        <v>146.9</v>
      </c>
      <c r="D2026" s="2">
        <f>IFERROR(__xludf.DUMMYFUNCTION("""COMPUTED_VALUE"""),135.07)</f>
        <v>135.07</v>
      </c>
      <c r="E2026" s="2">
        <f>IFERROR(__xludf.DUMMYFUNCTION("""COMPUTED_VALUE"""),141.07)</f>
        <v>141.07</v>
      </c>
      <c r="F2026" s="2">
        <f>IFERROR(__xludf.DUMMYFUNCTION("""COMPUTED_VALUE"""),692689.0)</f>
        <v>692689</v>
      </c>
    </row>
    <row r="2027">
      <c r="A2027" s="3">
        <f>IFERROR(__xludf.DUMMYFUNCTION("""COMPUTED_VALUE"""),39490.645833333336)</f>
        <v>39490.64583</v>
      </c>
      <c r="B2027" s="2">
        <f>IFERROR(__xludf.DUMMYFUNCTION("""COMPUTED_VALUE"""),143.0)</f>
        <v>143</v>
      </c>
      <c r="C2027" s="2">
        <f>IFERROR(__xludf.DUMMYFUNCTION("""COMPUTED_VALUE"""),144.5)</f>
        <v>144.5</v>
      </c>
      <c r="D2027" s="2">
        <f>IFERROR(__xludf.DUMMYFUNCTION("""COMPUTED_VALUE"""),138.63)</f>
        <v>138.63</v>
      </c>
      <c r="E2027" s="2">
        <f>IFERROR(__xludf.DUMMYFUNCTION("""COMPUTED_VALUE"""),140.76)</f>
        <v>140.76</v>
      </c>
      <c r="F2027" s="2">
        <f>IFERROR(__xludf.DUMMYFUNCTION("""COMPUTED_VALUE"""),463092.0)</f>
        <v>463092</v>
      </c>
    </row>
    <row r="2028">
      <c r="A2028" s="3">
        <f>IFERROR(__xludf.DUMMYFUNCTION("""COMPUTED_VALUE"""),39491.645833333336)</f>
        <v>39491.64583</v>
      </c>
      <c r="B2028" s="2">
        <f>IFERROR(__xludf.DUMMYFUNCTION("""COMPUTED_VALUE"""),143.98)</f>
        <v>143.98</v>
      </c>
      <c r="C2028" s="2">
        <f>IFERROR(__xludf.DUMMYFUNCTION("""COMPUTED_VALUE"""),148.8)</f>
        <v>148.8</v>
      </c>
      <c r="D2028" s="2">
        <f>IFERROR(__xludf.DUMMYFUNCTION("""COMPUTED_VALUE"""),143.0)</f>
        <v>143</v>
      </c>
      <c r="E2028" s="2">
        <f>IFERROR(__xludf.DUMMYFUNCTION("""COMPUTED_VALUE"""),146.85)</f>
        <v>146.85</v>
      </c>
      <c r="F2028" s="2">
        <f>IFERROR(__xludf.DUMMYFUNCTION("""COMPUTED_VALUE"""),584412.0)</f>
        <v>584412</v>
      </c>
    </row>
    <row r="2029">
      <c r="A2029" s="3">
        <f>IFERROR(__xludf.DUMMYFUNCTION("""COMPUTED_VALUE"""),39492.645833333336)</f>
        <v>39492.64583</v>
      </c>
      <c r="B2029" s="2">
        <f>IFERROR(__xludf.DUMMYFUNCTION("""COMPUTED_VALUE"""),149.9)</f>
        <v>149.9</v>
      </c>
      <c r="C2029" s="2">
        <f>IFERROR(__xludf.DUMMYFUNCTION("""COMPUTED_VALUE"""),155.5)</f>
        <v>155.5</v>
      </c>
      <c r="D2029" s="2">
        <f>IFERROR(__xludf.DUMMYFUNCTION("""COMPUTED_VALUE"""),149.9)</f>
        <v>149.9</v>
      </c>
      <c r="E2029" s="2">
        <f>IFERROR(__xludf.DUMMYFUNCTION("""COMPUTED_VALUE"""),153.65)</f>
        <v>153.65</v>
      </c>
      <c r="F2029" s="2">
        <f>IFERROR(__xludf.DUMMYFUNCTION("""COMPUTED_VALUE"""),633265.0)</f>
        <v>633265</v>
      </c>
    </row>
    <row r="2030">
      <c r="A2030" s="3">
        <f>IFERROR(__xludf.DUMMYFUNCTION("""COMPUTED_VALUE"""),39493.645833333336)</f>
        <v>39493.64583</v>
      </c>
      <c r="B2030" s="2">
        <f>IFERROR(__xludf.DUMMYFUNCTION("""COMPUTED_VALUE"""),152.0)</f>
        <v>152</v>
      </c>
      <c r="C2030" s="2">
        <f>IFERROR(__xludf.DUMMYFUNCTION("""COMPUTED_VALUE"""),157.5)</f>
        <v>157.5</v>
      </c>
      <c r="D2030" s="2">
        <f>IFERROR(__xludf.DUMMYFUNCTION("""COMPUTED_VALUE"""),149.23)</f>
        <v>149.23</v>
      </c>
      <c r="E2030" s="2">
        <f>IFERROR(__xludf.DUMMYFUNCTION("""COMPUTED_VALUE"""),156.23)</f>
        <v>156.23</v>
      </c>
      <c r="F2030" s="2">
        <f>IFERROR(__xludf.DUMMYFUNCTION("""COMPUTED_VALUE"""),544232.0)</f>
        <v>544232</v>
      </c>
    </row>
    <row r="2031">
      <c r="A2031" s="3">
        <f>IFERROR(__xludf.DUMMYFUNCTION("""COMPUTED_VALUE"""),39496.645833333336)</f>
        <v>39496.64583</v>
      </c>
      <c r="B2031" s="2">
        <f>IFERROR(__xludf.DUMMYFUNCTION("""COMPUTED_VALUE"""),157.8)</f>
        <v>157.8</v>
      </c>
      <c r="C2031" s="2">
        <f>IFERROR(__xludf.DUMMYFUNCTION("""COMPUTED_VALUE"""),159.0)</f>
        <v>159</v>
      </c>
      <c r="D2031" s="2">
        <f>IFERROR(__xludf.DUMMYFUNCTION("""COMPUTED_VALUE"""),154.03)</f>
        <v>154.03</v>
      </c>
      <c r="E2031" s="2">
        <f>IFERROR(__xludf.DUMMYFUNCTION("""COMPUTED_VALUE"""),155.69)</f>
        <v>155.69</v>
      </c>
      <c r="F2031" s="2">
        <f>IFERROR(__xludf.DUMMYFUNCTION("""COMPUTED_VALUE"""),173924.0)</f>
        <v>173924</v>
      </c>
    </row>
    <row r="2032">
      <c r="A2032" s="3">
        <f>IFERROR(__xludf.DUMMYFUNCTION("""COMPUTED_VALUE"""),39497.645833333336)</f>
        <v>39497.64583</v>
      </c>
      <c r="B2032" s="2">
        <f>IFERROR(__xludf.DUMMYFUNCTION("""COMPUTED_VALUE"""),159.6)</f>
        <v>159.6</v>
      </c>
      <c r="C2032" s="2">
        <f>IFERROR(__xludf.DUMMYFUNCTION("""COMPUTED_VALUE"""),159.77)</f>
        <v>159.77</v>
      </c>
      <c r="D2032" s="2">
        <f>IFERROR(__xludf.DUMMYFUNCTION("""COMPUTED_VALUE"""),155.51)</f>
        <v>155.51</v>
      </c>
      <c r="E2032" s="2">
        <f>IFERROR(__xludf.DUMMYFUNCTION("""COMPUTED_VALUE"""),157.19)</f>
        <v>157.19</v>
      </c>
      <c r="F2032" s="2">
        <f>IFERROR(__xludf.DUMMYFUNCTION("""COMPUTED_VALUE"""),274471.0)</f>
        <v>274471</v>
      </c>
    </row>
    <row r="2033">
      <c r="A2033" s="3">
        <f>IFERROR(__xludf.DUMMYFUNCTION("""COMPUTED_VALUE"""),39498.645833333336)</f>
        <v>39498.64583</v>
      </c>
      <c r="B2033" s="2">
        <f>IFERROR(__xludf.DUMMYFUNCTION("""COMPUTED_VALUE"""),157.0)</f>
        <v>157</v>
      </c>
      <c r="C2033" s="2">
        <f>IFERROR(__xludf.DUMMYFUNCTION("""COMPUTED_VALUE"""),157.0)</f>
        <v>157</v>
      </c>
      <c r="D2033" s="2">
        <f>IFERROR(__xludf.DUMMYFUNCTION("""COMPUTED_VALUE"""),150.9)</f>
        <v>150.9</v>
      </c>
      <c r="E2033" s="2">
        <f>IFERROR(__xludf.DUMMYFUNCTION("""COMPUTED_VALUE"""),153.72)</f>
        <v>153.72</v>
      </c>
      <c r="F2033" s="2">
        <f>IFERROR(__xludf.DUMMYFUNCTION("""COMPUTED_VALUE"""),396955.0)</f>
        <v>396955</v>
      </c>
    </row>
    <row r="2034">
      <c r="A2034" s="3">
        <f>IFERROR(__xludf.DUMMYFUNCTION("""COMPUTED_VALUE"""),39499.645833333336)</f>
        <v>39499.64583</v>
      </c>
      <c r="B2034" s="2">
        <f>IFERROR(__xludf.DUMMYFUNCTION("""COMPUTED_VALUE"""),154.0)</f>
        <v>154</v>
      </c>
      <c r="C2034" s="2">
        <f>IFERROR(__xludf.DUMMYFUNCTION("""COMPUTED_VALUE"""),157.0)</f>
        <v>157</v>
      </c>
      <c r="D2034" s="2">
        <f>IFERROR(__xludf.DUMMYFUNCTION("""COMPUTED_VALUE"""),149.72)</f>
        <v>149.72</v>
      </c>
      <c r="E2034" s="2">
        <f>IFERROR(__xludf.DUMMYFUNCTION("""COMPUTED_VALUE"""),154.09)</f>
        <v>154.09</v>
      </c>
      <c r="F2034" s="2">
        <f>IFERROR(__xludf.DUMMYFUNCTION("""COMPUTED_VALUE"""),298920.0)</f>
        <v>298920</v>
      </c>
    </row>
    <row r="2035">
      <c r="A2035" s="3">
        <f>IFERROR(__xludf.DUMMYFUNCTION("""COMPUTED_VALUE"""),39500.645833333336)</f>
        <v>39500.64583</v>
      </c>
      <c r="B2035" s="2">
        <f>IFERROR(__xludf.DUMMYFUNCTION("""COMPUTED_VALUE"""),147.04)</f>
        <v>147.04</v>
      </c>
      <c r="C2035" s="2">
        <f>IFERROR(__xludf.DUMMYFUNCTION("""COMPUTED_VALUE"""),153.97)</f>
        <v>153.97</v>
      </c>
      <c r="D2035" s="2">
        <f>IFERROR(__xludf.DUMMYFUNCTION("""COMPUTED_VALUE"""),146.01)</f>
        <v>146.01</v>
      </c>
      <c r="E2035" s="2">
        <f>IFERROR(__xludf.DUMMYFUNCTION("""COMPUTED_VALUE"""),147.43)</f>
        <v>147.43</v>
      </c>
      <c r="F2035" s="2">
        <f>IFERROR(__xludf.DUMMYFUNCTION("""COMPUTED_VALUE"""),471917.0)</f>
        <v>471917</v>
      </c>
    </row>
    <row r="2036">
      <c r="A2036" s="3">
        <f>IFERROR(__xludf.DUMMYFUNCTION("""COMPUTED_VALUE"""),39503.645833333336)</f>
        <v>39503.64583</v>
      </c>
      <c r="B2036" s="2">
        <f>IFERROR(__xludf.DUMMYFUNCTION("""COMPUTED_VALUE"""),149.89)</f>
        <v>149.89</v>
      </c>
      <c r="C2036" s="2">
        <f>IFERROR(__xludf.DUMMYFUNCTION("""COMPUTED_VALUE"""),150.98)</f>
        <v>150.98</v>
      </c>
      <c r="D2036" s="2">
        <f>IFERROR(__xludf.DUMMYFUNCTION("""COMPUTED_VALUE"""),139.54)</f>
        <v>139.54</v>
      </c>
      <c r="E2036" s="2">
        <f>IFERROR(__xludf.DUMMYFUNCTION("""COMPUTED_VALUE"""),142.18)</f>
        <v>142.18</v>
      </c>
      <c r="F2036" s="2">
        <f>IFERROR(__xludf.DUMMYFUNCTION("""COMPUTED_VALUE"""),1366088.0)</f>
        <v>1366088</v>
      </c>
    </row>
    <row r="2037">
      <c r="A2037" s="3">
        <f>IFERROR(__xludf.DUMMYFUNCTION("""COMPUTED_VALUE"""),39504.645833333336)</f>
        <v>39504.64583</v>
      </c>
      <c r="B2037" s="2">
        <f>IFERROR(__xludf.DUMMYFUNCTION("""COMPUTED_VALUE"""),145.0)</f>
        <v>145</v>
      </c>
      <c r="C2037" s="2">
        <f>IFERROR(__xludf.DUMMYFUNCTION("""COMPUTED_VALUE"""),146.95)</f>
        <v>146.95</v>
      </c>
      <c r="D2037" s="2">
        <f>IFERROR(__xludf.DUMMYFUNCTION("""COMPUTED_VALUE"""),144.5)</f>
        <v>144.5</v>
      </c>
      <c r="E2037" s="2">
        <f>IFERROR(__xludf.DUMMYFUNCTION("""COMPUTED_VALUE"""),145.49)</f>
        <v>145.49</v>
      </c>
      <c r="F2037" s="2">
        <f>IFERROR(__xludf.DUMMYFUNCTION("""COMPUTED_VALUE"""),617512.0)</f>
        <v>617512</v>
      </c>
    </row>
    <row r="2038">
      <c r="A2038" s="3">
        <f>IFERROR(__xludf.DUMMYFUNCTION("""COMPUTED_VALUE"""),39505.645833333336)</f>
        <v>39505.64583</v>
      </c>
      <c r="B2038" s="2">
        <f>IFERROR(__xludf.DUMMYFUNCTION("""COMPUTED_VALUE"""),147.0)</f>
        <v>147</v>
      </c>
      <c r="C2038" s="2">
        <f>IFERROR(__xludf.DUMMYFUNCTION("""COMPUTED_VALUE"""),148.66)</f>
        <v>148.66</v>
      </c>
      <c r="D2038" s="2">
        <f>IFERROR(__xludf.DUMMYFUNCTION("""COMPUTED_VALUE"""),144.13)</f>
        <v>144.13</v>
      </c>
      <c r="E2038" s="2">
        <f>IFERROR(__xludf.DUMMYFUNCTION("""COMPUTED_VALUE"""),145.23)</f>
        <v>145.23</v>
      </c>
      <c r="F2038" s="2">
        <f>IFERROR(__xludf.DUMMYFUNCTION("""COMPUTED_VALUE"""),460601.0)</f>
        <v>460601</v>
      </c>
    </row>
    <row r="2039">
      <c r="A2039" s="3">
        <f>IFERROR(__xludf.DUMMYFUNCTION("""COMPUTED_VALUE"""),39506.645833333336)</f>
        <v>39506.64583</v>
      </c>
      <c r="B2039" s="2">
        <f>IFERROR(__xludf.DUMMYFUNCTION("""COMPUTED_VALUE"""),146.89)</f>
        <v>146.89</v>
      </c>
      <c r="C2039" s="2">
        <f>IFERROR(__xludf.DUMMYFUNCTION("""COMPUTED_VALUE"""),149.1)</f>
        <v>149.1</v>
      </c>
      <c r="D2039" s="2">
        <f>IFERROR(__xludf.DUMMYFUNCTION("""COMPUTED_VALUE"""),145.2)</f>
        <v>145.2</v>
      </c>
      <c r="E2039" s="2">
        <f>IFERROR(__xludf.DUMMYFUNCTION("""COMPUTED_VALUE"""),147.26)</f>
        <v>147.26</v>
      </c>
      <c r="F2039" s="2">
        <f>IFERROR(__xludf.DUMMYFUNCTION("""COMPUTED_VALUE"""),624996.0)</f>
        <v>624996</v>
      </c>
    </row>
    <row r="2040">
      <c r="A2040" s="3">
        <f>IFERROR(__xludf.DUMMYFUNCTION("""COMPUTED_VALUE"""),39507.645833333336)</f>
        <v>39507.64583</v>
      </c>
      <c r="B2040" s="2">
        <f>IFERROR(__xludf.DUMMYFUNCTION("""COMPUTED_VALUE"""),146.0)</f>
        <v>146</v>
      </c>
      <c r="C2040" s="2">
        <f>IFERROR(__xludf.DUMMYFUNCTION("""COMPUTED_VALUE"""),147.43)</f>
        <v>147.43</v>
      </c>
      <c r="D2040" s="2">
        <f>IFERROR(__xludf.DUMMYFUNCTION("""COMPUTED_VALUE"""),141.17)</f>
        <v>141.17</v>
      </c>
      <c r="E2040" s="2">
        <f>IFERROR(__xludf.DUMMYFUNCTION("""COMPUTED_VALUE"""),145.68)</f>
        <v>145.68</v>
      </c>
      <c r="F2040" s="2">
        <f>IFERROR(__xludf.DUMMYFUNCTION("""COMPUTED_VALUE"""),684695.0)</f>
        <v>684695</v>
      </c>
    </row>
    <row r="2041">
      <c r="A2041" s="3">
        <f>IFERROR(__xludf.DUMMYFUNCTION("""COMPUTED_VALUE"""),39510.645833333336)</f>
        <v>39510.64583</v>
      </c>
      <c r="B2041" s="2">
        <f>IFERROR(__xludf.DUMMYFUNCTION("""COMPUTED_VALUE"""),143.0)</f>
        <v>143</v>
      </c>
      <c r="C2041" s="2">
        <f>IFERROR(__xludf.DUMMYFUNCTION("""COMPUTED_VALUE"""),143.0)</f>
        <v>143</v>
      </c>
      <c r="D2041" s="2">
        <f>IFERROR(__xludf.DUMMYFUNCTION("""COMPUTED_VALUE"""),136.21)</f>
        <v>136.21</v>
      </c>
      <c r="E2041" s="2">
        <f>IFERROR(__xludf.DUMMYFUNCTION("""COMPUTED_VALUE"""),138.99)</f>
        <v>138.99</v>
      </c>
      <c r="F2041" s="2">
        <f>IFERROR(__xludf.DUMMYFUNCTION("""COMPUTED_VALUE"""),508800.0)</f>
        <v>508800</v>
      </c>
    </row>
    <row r="2042">
      <c r="A2042" s="3">
        <f>IFERROR(__xludf.DUMMYFUNCTION("""COMPUTED_VALUE"""),39511.645833333336)</f>
        <v>39511.64583</v>
      </c>
      <c r="B2042" s="2">
        <f>IFERROR(__xludf.DUMMYFUNCTION("""COMPUTED_VALUE"""),139.5)</f>
        <v>139.5</v>
      </c>
      <c r="C2042" s="2">
        <f>IFERROR(__xludf.DUMMYFUNCTION("""COMPUTED_VALUE"""),139.5)</f>
        <v>139.5</v>
      </c>
      <c r="D2042" s="2">
        <f>IFERROR(__xludf.DUMMYFUNCTION("""COMPUTED_VALUE"""),129.32)</f>
        <v>129.32</v>
      </c>
      <c r="E2042" s="2">
        <f>IFERROR(__xludf.DUMMYFUNCTION("""COMPUTED_VALUE"""),135.18)</f>
        <v>135.18</v>
      </c>
      <c r="F2042" s="2">
        <f>IFERROR(__xludf.DUMMYFUNCTION("""COMPUTED_VALUE"""),848207.0)</f>
        <v>848207</v>
      </c>
    </row>
    <row r="2043">
      <c r="A2043" s="3">
        <f>IFERROR(__xludf.DUMMYFUNCTION("""COMPUTED_VALUE"""),39512.645833333336)</f>
        <v>39512.64583</v>
      </c>
      <c r="B2043" s="2">
        <f>IFERROR(__xludf.DUMMYFUNCTION("""COMPUTED_VALUE"""),134.2)</f>
        <v>134.2</v>
      </c>
      <c r="C2043" s="2">
        <f>IFERROR(__xludf.DUMMYFUNCTION("""COMPUTED_VALUE"""),135.18)</f>
        <v>135.18</v>
      </c>
      <c r="D2043" s="2">
        <f>IFERROR(__xludf.DUMMYFUNCTION("""COMPUTED_VALUE"""),132.03)</f>
        <v>132.03</v>
      </c>
      <c r="E2043" s="2">
        <f>IFERROR(__xludf.DUMMYFUNCTION("""COMPUTED_VALUE"""),133.28)</f>
        <v>133.28</v>
      </c>
      <c r="F2043" s="2">
        <f>IFERROR(__xludf.DUMMYFUNCTION("""COMPUTED_VALUE"""),621752.0)</f>
        <v>621752</v>
      </c>
    </row>
    <row r="2044">
      <c r="A2044" s="3">
        <f>IFERROR(__xludf.DUMMYFUNCTION("""COMPUTED_VALUE"""),39514.645833333336)</f>
        <v>39514.64583</v>
      </c>
      <c r="B2044" s="2">
        <f>IFERROR(__xludf.DUMMYFUNCTION("""COMPUTED_VALUE"""),133.0)</f>
        <v>133</v>
      </c>
      <c r="C2044" s="2">
        <f>IFERROR(__xludf.DUMMYFUNCTION("""COMPUTED_VALUE"""),133.0)</f>
        <v>133</v>
      </c>
      <c r="D2044" s="2">
        <f>IFERROR(__xludf.DUMMYFUNCTION("""COMPUTED_VALUE"""),125.7)</f>
        <v>125.7</v>
      </c>
      <c r="E2044" s="2">
        <f>IFERROR(__xludf.DUMMYFUNCTION("""COMPUTED_VALUE"""),128.23)</f>
        <v>128.23</v>
      </c>
      <c r="F2044" s="2">
        <f>IFERROR(__xludf.DUMMYFUNCTION("""COMPUTED_VALUE"""),919192.0)</f>
        <v>919192</v>
      </c>
    </row>
    <row r="2045">
      <c r="A2045" s="3">
        <f>IFERROR(__xludf.DUMMYFUNCTION("""COMPUTED_VALUE"""),39517.645833333336)</f>
        <v>39517.64583</v>
      </c>
      <c r="B2045" s="2">
        <f>IFERROR(__xludf.DUMMYFUNCTION("""COMPUTED_VALUE"""),126.5)</f>
        <v>126.5</v>
      </c>
      <c r="C2045" s="2">
        <f>IFERROR(__xludf.DUMMYFUNCTION("""COMPUTED_VALUE"""),132.86)</f>
        <v>132.86</v>
      </c>
      <c r="D2045" s="2">
        <f>IFERROR(__xludf.DUMMYFUNCTION("""COMPUTED_VALUE"""),122.51)</f>
        <v>122.51</v>
      </c>
      <c r="E2045" s="2">
        <f>IFERROR(__xludf.DUMMYFUNCTION("""COMPUTED_VALUE"""),131.15)</f>
        <v>131.15</v>
      </c>
      <c r="F2045" s="2">
        <f>IFERROR(__xludf.DUMMYFUNCTION("""COMPUTED_VALUE"""),778227.0)</f>
        <v>778227</v>
      </c>
    </row>
    <row r="2046">
      <c r="A2046" s="3">
        <f>IFERROR(__xludf.DUMMYFUNCTION("""COMPUTED_VALUE"""),39518.645833333336)</f>
        <v>39518.64583</v>
      </c>
      <c r="B2046" s="2">
        <f>IFERROR(__xludf.DUMMYFUNCTION("""COMPUTED_VALUE"""),128.51)</f>
        <v>128.51</v>
      </c>
      <c r="C2046" s="2">
        <f>IFERROR(__xludf.DUMMYFUNCTION("""COMPUTED_VALUE"""),135.1)</f>
        <v>135.1</v>
      </c>
      <c r="D2046" s="2">
        <f>IFERROR(__xludf.DUMMYFUNCTION("""COMPUTED_VALUE"""),127.02)</f>
        <v>127.02</v>
      </c>
      <c r="E2046" s="2">
        <f>IFERROR(__xludf.DUMMYFUNCTION("""COMPUTED_VALUE"""),133.32)</f>
        <v>133.32</v>
      </c>
      <c r="F2046" s="2">
        <f>IFERROR(__xludf.DUMMYFUNCTION("""COMPUTED_VALUE"""),1037662.0)</f>
        <v>1037662</v>
      </c>
    </row>
    <row r="2047">
      <c r="A2047" s="3">
        <f>IFERROR(__xludf.DUMMYFUNCTION("""COMPUTED_VALUE"""),39520.645833333336)</f>
        <v>39520.64583</v>
      </c>
      <c r="B2047" s="2">
        <f>IFERROR(__xludf.DUMMYFUNCTION("""COMPUTED_VALUE"""),134.0)</f>
        <v>134</v>
      </c>
      <c r="C2047" s="2">
        <f>IFERROR(__xludf.DUMMYFUNCTION("""COMPUTED_VALUE"""),134.5)</f>
        <v>134.5</v>
      </c>
      <c r="D2047" s="2">
        <f>IFERROR(__xludf.DUMMYFUNCTION("""COMPUTED_VALUE"""),128.57)</f>
        <v>128.57</v>
      </c>
      <c r="E2047" s="2">
        <f>IFERROR(__xludf.DUMMYFUNCTION("""COMPUTED_VALUE"""),129.92)</f>
        <v>129.92</v>
      </c>
      <c r="F2047" s="2">
        <f>IFERROR(__xludf.DUMMYFUNCTION("""COMPUTED_VALUE"""),427985.0)</f>
        <v>427985</v>
      </c>
    </row>
    <row r="2048">
      <c r="A2048" s="3">
        <f>IFERROR(__xludf.DUMMYFUNCTION("""COMPUTED_VALUE"""),39521.645833333336)</f>
        <v>39521.64583</v>
      </c>
      <c r="B2048" s="2">
        <f>IFERROR(__xludf.DUMMYFUNCTION("""COMPUTED_VALUE"""),129.5)</f>
        <v>129.5</v>
      </c>
      <c r="C2048" s="2">
        <f>IFERROR(__xludf.DUMMYFUNCTION("""COMPUTED_VALUE"""),132.59)</f>
        <v>132.59</v>
      </c>
      <c r="D2048" s="2">
        <f>IFERROR(__xludf.DUMMYFUNCTION("""COMPUTED_VALUE"""),127.5)</f>
        <v>127.5</v>
      </c>
      <c r="E2048" s="2">
        <f>IFERROR(__xludf.DUMMYFUNCTION("""COMPUTED_VALUE"""),131.54)</f>
        <v>131.54</v>
      </c>
      <c r="F2048" s="2">
        <f>IFERROR(__xludf.DUMMYFUNCTION("""COMPUTED_VALUE"""),450340.0)</f>
        <v>450340</v>
      </c>
    </row>
    <row r="2049">
      <c r="A2049" s="3">
        <f>IFERROR(__xludf.DUMMYFUNCTION("""COMPUTED_VALUE"""),39524.645833333336)</f>
        <v>39524.64583</v>
      </c>
      <c r="B2049" s="2">
        <f>IFERROR(__xludf.DUMMYFUNCTION("""COMPUTED_VALUE"""),124.5)</f>
        <v>124.5</v>
      </c>
      <c r="C2049" s="2">
        <f>IFERROR(__xludf.DUMMYFUNCTION("""COMPUTED_VALUE"""),127.5)</f>
        <v>127.5</v>
      </c>
      <c r="D2049" s="2">
        <f>IFERROR(__xludf.DUMMYFUNCTION("""COMPUTED_VALUE"""),119.5)</f>
        <v>119.5</v>
      </c>
      <c r="E2049" s="2">
        <f>IFERROR(__xludf.DUMMYFUNCTION("""COMPUTED_VALUE"""),122.6)</f>
        <v>122.6</v>
      </c>
      <c r="F2049" s="2">
        <f>IFERROR(__xludf.DUMMYFUNCTION("""COMPUTED_VALUE"""),863718.0)</f>
        <v>863718</v>
      </c>
    </row>
    <row r="2050">
      <c r="A2050" s="3">
        <f>IFERROR(__xludf.DUMMYFUNCTION("""COMPUTED_VALUE"""),39525.645833333336)</f>
        <v>39525.64583</v>
      </c>
      <c r="B2050" s="2">
        <f>IFERROR(__xludf.DUMMYFUNCTION("""COMPUTED_VALUE"""),122.4)</f>
        <v>122.4</v>
      </c>
      <c r="C2050" s="2">
        <f>IFERROR(__xludf.DUMMYFUNCTION("""COMPUTED_VALUE"""),123.8)</f>
        <v>123.8</v>
      </c>
      <c r="D2050" s="2">
        <f>IFERROR(__xludf.DUMMYFUNCTION("""COMPUTED_VALUE"""),116.56)</f>
        <v>116.56</v>
      </c>
      <c r="E2050" s="2">
        <f>IFERROR(__xludf.DUMMYFUNCTION("""COMPUTED_VALUE"""),123.1)</f>
        <v>123.1</v>
      </c>
      <c r="F2050" s="2">
        <f>IFERROR(__xludf.DUMMYFUNCTION("""COMPUTED_VALUE"""),1211146.0)</f>
        <v>1211146</v>
      </c>
    </row>
    <row r="2051">
      <c r="A2051" s="3">
        <f>IFERROR(__xludf.DUMMYFUNCTION("""COMPUTED_VALUE"""),39526.645833333336)</f>
        <v>39526.64583</v>
      </c>
      <c r="B2051" s="2">
        <f>IFERROR(__xludf.DUMMYFUNCTION("""COMPUTED_VALUE"""),127.5)</f>
        <v>127.5</v>
      </c>
      <c r="C2051" s="2">
        <f>IFERROR(__xludf.DUMMYFUNCTION("""COMPUTED_VALUE"""),133.5)</f>
        <v>133.5</v>
      </c>
      <c r="D2051" s="2">
        <f>IFERROR(__xludf.DUMMYFUNCTION("""COMPUTED_VALUE"""),124.5)</f>
        <v>124.5</v>
      </c>
      <c r="E2051" s="2">
        <f>IFERROR(__xludf.DUMMYFUNCTION("""COMPUTED_VALUE"""),127.26)</f>
        <v>127.26</v>
      </c>
      <c r="F2051" s="2">
        <f>IFERROR(__xludf.DUMMYFUNCTION("""COMPUTED_VALUE"""),1265446.0)</f>
        <v>1265446</v>
      </c>
    </row>
    <row r="2052">
      <c r="A2052" s="3">
        <f>IFERROR(__xludf.DUMMYFUNCTION("""COMPUTED_VALUE"""),39531.645833333336)</f>
        <v>39531.64583</v>
      </c>
      <c r="B2052" s="2">
        <f>IFERROR(__xludf.DUMMYFUNCTION("""COMPUTED_VALUE"""),128.51)</f>
        <v>128.51</v>
      </c>
      <c r="C2052" s="2">
        <f>IFERROR(__xludf.DUMMYFUNCTION("""COMPUTED_VALUE"""),135.1)</f>
        <v>135.1</v>
      </c>
      <c r="D2052" s="2">
        <f>IFERROR(__xludf.DUMMYFUNCTION("""COMPUTED_VALUE"""),128.51)</f>
        <v>128.51</v>
      </c>
      <c r="E2052" s="2">
        <f>IFERROR(__xludf.DUMMYFUNCTION("""COMPUTED_VALUE"""),134.19)</f>
        <v>134.19</v>
      </c>
      <c r="F2052" s="2">
        <f>IFERROR(__xludf.DUMMYFUNCTION("""COMPUTED_VALUE"""),644212.0)</f>
        <v>644212</v>
      </c>
    </row>
    <row r="2053">
      <c r="A2053" s="3">
        <f>IFERROR(__xludf.DUMMYFUNCTION("""COMPUTED_VALUE"""),39532.645833333336)</f>
        <v>39532.64583</v>
      </c>
      <c r="B2053" s="2">
        <f>IFERROR(__xludf.DUMMYFUNCTION("""COMPUTED_VALUE"""),137.0)</f>
        <v>137</v>
      </c>
      <c r="C2053" s="2">
        <f>IFERROR(__xludf.DUMMYFUNCTION("""COMPUTED_VALUE"""),143.5)</f>
        <v>143.5</v>
      </c>
      <c r="D2053" s="2">
        <f>IFERROR(__xludf.DUMMYFUNCTION("""COMPUTED_VALUE"""),136.5)</f>
        <v>136.5</v>
      </c>
      <c r="E2053" s="2">
        <f>IFERROR(__xludf.DUMMYFUNCTION("""COMPUTED_VALUE"""),141.4)</f>
        <v>141.4</v>
      </c>
      <c r="F2053" s="2">
        <f>IFERROR(__xludf.DUMMYFUNCTION("""COMPUTED_VALUE"""),876863.0)</f>
        <v>876863</v>
      </c>
    </row>
    <row r="2054">
      <c r="A2054" s="3">
        <f>IFERROR(__xludf.DUMMYFUNCTION("""COMPUTED_VALUE"""),39533.645833333336)</f>
        <v>39533.64583</v>
      </c>
      <c r="B2054" s="2">
        <f>IFERROR(__xludf.DUMMYFUNCTION("""COMPUTED_VALUE"""),140.12)</f>
        <v>140.12</v>
      </c>
      <c r="C2054" s="2">
        <f>IFERROR(__xludf.DUMMYFUNCTION("""COMPUTED_VALUE"""),145.67)</f>
        <v>145.67</v>
      </c>
      <c r="D2054" s="2">
        <f>IFERROR(__xludf.DUMMYFUNCTION("""COMPUTED_VALUE"""),139.66)</f>
        <v>139.66</v>
      </c>
      <c r="E2054" s="2">
        <f>IFERROR(__xludf.DUMMYFUNCTION("""COMPUTED_VALUE"""),143.92)</f>
        <v>143.92</v>
      </c>
      <c r="F2054" s="2">
        <f>IFERROR(__xludf.DUMMYFUNCTION("""COMPUTED_VALUE"""),1233084.0)</f>
        <v>1233084</v>
      </c>
    </row>
    <row r="2055">
      <c r="A2055" s="3">
        <f>IFERROR(__xludf.DUMMYFUNCTION("""COMPUTED_VALUE"""),39534.645833333336)</f>
        <v>39534.64583</v>
      </c>
      <c r="B2055" s="2">
        <f>IFERROR(__xludf.DUMMYFUNCTION("""COMPUTED_VALUE"""),140.12)</f>
        <v>140.12</v>
      </c>
      <c r="C2055" s="2">
        <f>IFERROR(__xludf.DUMMYFUNCTION("""COMPUTED_VALUE"""),146.72)</f>
        <v>146.72</v>
      </c>
      <c r="D2055" s="2">
        <f>IFERROR(__xludf.DUMMYFUNCTION("""COMPUTED_VALUE"""),138.6)</f>
        <v>138.6</v>
      </c>
      <c r="E2055" s="2">
        <f>IFERROR(__xludf.DUMMYFUNCTION("""COMPUTED_VALUE"""),143.32)</f>
        <v>143.32</v>
      </c>
      <c r="F2055" s="2">
        <f>IFERROR(__xludf.DUMMYFUNCTION("""COMPUTED_VALUE"""),857787.0)</f>
        <v>857787</v>
      </c>
    </row>
    <row r="2056">
      <c r="A2056" s="3">
        <f>IFERROR(__xludf.DUMMYFUNCTION("""COMPUTED_VALUE"""),39535.645833333336)</f>
        <v>39535.64583</v>
      </c>
      <c r="B2056" s="2">
        <f>IFERROR(__xludf.DUMMYFUNCTION("""COMPUTED_VALUE"""),142.5)</f>
        <v>142.5</v>
      </c>
      <c r="C2056" s="2">
        <f>IFERROR(__xludf.DUMMYFUNCTION("""COMPUTED_VALUE"""),142.63)</f>
        <v>142.63</v>
      </c>
      <c r="D2056" s="2">
        <f>IFERROR(__xludf.DUMMYFUNCTION("""COMPUTED_VALUE"""),136.6)</f>
        <v>136.6</v>
      </c>
      <c r="E2056" s="2">
        <f>IFERROR(__xludf.DUMMYFUNCTION("""COMPUTED_VALUE"""),140.7)</f>
        <v>140.7</v>
      </c>
      <c r="F2056" s="2">
        <f>IFERROR(__xludf.DUMMYFUNCTION("""COMPUTED_VALUE"""),606507.0)</f>
        <v>606507</v>
      </c>
    </row>
    <row r="2057">
      <c r="A2057" s="3">
        <f>IFERROR(__xludf.DUMMYFUNCTION("""COMPUTED_VALUE"""),39538.645833333336)</f>
        <v>39538.64583</v>
      </c>
      <c r="B2057" s="2">
        <f>IFERROR(__xludf.DUMMYFUNCTION("""COMPUTED_VALUE"""),140.0)</f>
        <v>140</v>
      </c>
      <c r="C2057" s="2">
        <f>IFERROR(__xludf.DUMMYFUNCTION("""COMPUTED_VALUE"""),140.0)</f>
        <v>140</v>
      </c>
      <c r="D2057" s="2">
        <f>IFERROR(__xludf.DUMMYFUNCTION("""COMPUTED_VALUE"""),129.03)</f>
        <v>129.03</v>
      </c>
      <c r="E2057" s="2">
        <f>IFERROR(__xludf.DUMMYFUNCTION("""COMPUTED_VALUE"""),133.13)</f>
        <v>133.13</v>
      </c>
      <c r="F2057" s="2">
        <f>IFERROR(__xludf.DUMMYFUNCTION("""COMPUTED_VALUE"""),1180107.0)</f>
        <v>1180107</v>
      </c>
    </row>
    <row r="2058">
      <c r="A2058" s="3">
        <f>IFERROR(__xludf.DUMMYFUNCTION("""COMPUTED_VALUE"""),39539.645833333336)</f>
        <v>39539.64583</v>
      </c>
      <c r="B2058" s="2">
        <f>IFERROR(__xludf.DUMMYFUNCTION("""COMPUTED_VALUE"""),132.01)</f>
        <v>132.01</v>
      </c>
      <c r="C2058" s="2">
        <f>IFERROR(__xludf.DUMMYFUNCTION("""COMPUTED_VALUE"""),134.0)</f>
        <v>134</v>
      </c>
      <c r="D2058" s="2">
        <f>IFERROR(__xludf.DUMMYFUNCTION("""COMPUTED_VALUE"""),127.0)</f>
        <v>127</v>
      </c>
      <c r="E2058" s="2">
        <f>IFERROR(__xludf.DUMMYFUNCTION("""COMPUTED_VALUE"""),130.96)</f>
        <v>130.96</v>
      </c>
      <c r="F2058" s="2">
        <f>IFERROR(__xludf.DUMMYFUNCTION("""COMPUTED_VALUE"""),756827.0)</f>
        <v>756827</v>
      </c>
    </row>
    <row r="2059">
      <c r="A2059" s="3">
        <f>IFERROR(__xludf.DUMMYFUNCTION("""COMPUTED_VALUE"""),39540.645833333336)</f>
        <v>39540.64583</v>
      </c>
      <c r="B2059" s="2">
        <f>IFERROR(__xludf.DUMMYFUNCTION("""COMPUTED_VALUE"""),138.0)</f>
        <v>138</v>
      </c>
      <c r="C2059" s="2">
        <f>IFERROR(__xludf.DUMMYFUNCTION("""COMPUTED_VALUE"""),140.1)</f>
        <v>140.1</v>
      </c>
      <c r="D2059" s="2">
        <f>IFERROR(__xludf.DUMMYFUNCTION("""COMPUTED_VALUE"""),130.8)</f>
        <v>130.8</v>
      </c>
      <c r="E2059" s="2">
        <f>IFERROR(__xludf.DUMMYFUNCTION("""COMPUTED_VALUE"""),132.8)</f>
        <v>132.8</v>
      </c>
      <c r="F2059" s="2">
        <f>IFERROR(__xludf.DUMMYFUNCTION("""COMPUTED_VALUE"""),671183.0)</f>
        <v>671183</v>
      </c>
    </row>
    <row r="2060">
      <c r="A2060" s="3">
        <f>IFERROR(__xludf.DUMMYFUNCTION("""COMPUTED_VALUE"""),39541.645833333336)</f>
        <v>39541.64583</v>
      </c>
      <c r="B2060" s="2">
        <f>IFERROR(__xludf.DUMMYFUNCTION("""COMPUTED_VALUE"""),132.5)</f>
        <v>132.5</v>
      </c>
      <c r="C2060" s="2">
        <f>IFERROR(__xludf.DUMMYFUNCTION("""COMPUTED_VALUE"""),136.85)</f>
        <v>136.85</v>
      </c>
      <c r="D2060" s="2">
        <f>IFERROR(__xludf.DUMMYFUNCTION("""COMPUTED_VALUE"""),130.51)</f>
        <v>130.51</v>
      </c>
      <c r="E2060" s="2">
        <f>IFERROR(__xludf.DUMMYFUNCTION("""COMPUTED_VALUE"""),133.12)</f>
        <v>133.12</v>
      </c>
      <c r="F2060" s="2">
        <f>IFERROR(__xludf.DUMMYFUNCTION("""COMPUTED_VALUE"""),575905.0)</f>
        <v>575905</v>
      </c>
    </row>
    <row r="2061">
      <c r="A2061" s="3">
        <f>IFERROR(__xludf.DUMMYFUNCTION("""COMPUTED_VALUE"""),39542.645833333336)</f>
        <v>39542.64583</v>
      </c>
      <c r="B2061" s="2">
        <f>IFERROR(__xludf.DUMMYFUNCTION("""COMPUTED_VALUE"""),132.0)</f>
        <v>132</v>
      </c>
      <c r="C2061" s="2">
        <f>IFERROR(__xludf.DUMMYFUNCTION("""COMPUTED_VALUE"""),132.01)</f>
        <v>132.01</v>
      </c>
      <c r="D2061" s="2">
        <f>IFERROR(__xludf.DUMMYFUNCTION("""COMPUTED_VALUE"""),128.56)</f>
        <v>128.56</v>
      </c>
      <c r="E2061" s="2">
        <f>IFERROR(__xludf.DUMMYFUNCTION("""COMPUTED_VALUE"""),129.39)</f>
        <v>129.39</v>
      </c>
      <c r="F2061" s="2">
        <f>IFERROR(__xludf.DUMMYFUNCTION("""COMPUTED_VALUE"""),1164966.0)</f>
        <v>1164966</v>
      </c>
    </row>
    <row r="2062">
      <c r="A2062" s="3">
        <f>IFERROR(__xludf.DUMMYFUNCTION("""COMPUTED_VALUE"""),39545.645833333336)</f>
        <v>39545.64583</v>
      </c>
      <c r="B2062" s="2">
        <f>IFERROR(__xludf.DUMMYFUNCTION("""COMPUTED_VALUE"""),128.8)</f>
        <v>128.8</v>
      </c>
      <c r="C2062" s="2">
        <f>IFERROR(__xludf.DUMMYFUNCTION("""COMPUTED_VALUE"""),132.26)</f>
        <v>132.26</v>
      </c>
      <c r="D2062" s="2">
        <f>IFERROR(__xludf.DUMMYFUNCTION("""COMPUTED_VALUE"""),127.82)</f>
        <v>127.82</v>
      </c>
      <c r="E2062" s="2">
        <f>IFERROR(__xludf.DUMMYFUNCTION("""COMPUTED_VALUE"""),130.34)</f>
        <v>130.34</v>
      </c>
      <c r="F2062" s="2">
        <f>IFERROR(__xludf.DUMMYFUNCTION("""COMPUTED_VALUE"""),605200.0)</f>
        <v>605200</v>
      </c>
    </row>
    <row r="2063">
      <c r="A2063" s="3">
        <f>IFERROR(__xludf.DUMMYFUNCTION("""COMPUTED_VALUE"""),39546.645833333336)</f>
        <v>39546.64583</v>
      </c>
      <c r="B2063" s="2">
        <f>IFERROR(__xludf.DUMMYFUNCTION("""COMPUTED_VALUE"""),132.5)</f>
        <v>132.5</v>
      </c>
      <c r="C2063" s="2">
        <f>IFERROR(__xludf.DUMMYFUNCTION("""COMPUTED_VALUE"""),132.5)</f>
        <v>132.5</v>
      </c>
      <c r="D2063" s="2">
        <f>IFERROR(__xludf.DUMMYFUNCTION("""COMPUTED_VALUE"""),129.01)</f>
        <v>129.01</v>
      </c>
      <c r="E2063" s="2">
        <f>IFERROR(__xludf.DUMMYFUNCTION("""COMPUTED_VALUE"""),130.85)</f>
        <v>130.85</v>
      </c>
      <c r="F2063" s="2">
        <f>IFERROR(__xludf.DUMMYFUNCTION("""COMPUTED_VALUE"""),734923.0)</f>
        <v>734923</v>
      </c>
    </row>
    <row r="2064">
      <c r="A2064" s="3">
        <f>IFERROR(__xludf.DUMMYFUNCTION("""COMPUTED_VALUE"""),39547.645833333336)</f>
        <v>39547.64583</v>
      </c>
      <c r="B2064" s="2">
        <f>IFERROR(__xludf.DUMMYFUNCTION("""COMPUTED_VALUE"""),130.9)</f>
        <v>130.9</v>
      </c>
      <c r="C2064" s="2">
        <f>IFERROR(__xludf.DUMMYFUNCTION("""COMPUTED_VALUE"""),139.9)</f>
        <v>139.9</v>
      </c>
      <c r="D2064" s="2">
        <f>IFERROR(__xludf.DUMMYFUNCTION("""COMPUTED_VALUE"""),129.6)</f>
        <v>129.6</v>
      </c>
      <c r="E2064" s="2">
        <f>IFERROR(__xludf.DUMMYFUNCTION("""COMPUTED_VALUE"""),137.99)</f>
        <v>137.99</v>
      </c>
      <c r="F2064" s="2">
        <f>IFERROR(__xludf.DUMMYFUNCTION("""COMPUTED_VALUE"""),786766.0)</f>
        <v>786766</v>
      </c>
    </row>
    <row r="2065">
      <c r="A2065" s="3">
        <f>IFERROR(__xludf.DUMMYFUNCTION("""COMPUTED_VALUE"""),39548.645833333336)</f>
        <v>39548.64583</v>
      </c>
      <c r="B2065" s="2">
        <f>IFERROR(__xludf.DUMMYFUNCTION("""COMPUTED_VALUE"""),137.53)</f>
        <v>137.53</v>
      </c>
      <c r="C2065" s="2">
        <f>IFERROR(__xludf.DUMMYFUNCTION("""COMPUTED_VALUE"""),137.53)</f>
        <v>137.53</v>
      </c>
      <c r="D2065" s="2">
        <f>IFERROR(__xludf.DUMMYFUNCTION("""COMPUTED_VALUE"""),132.11)</f>
        <v>132.11</v>
      </c>
      <c r="E2065" s="2">
        <f>IFERROR(__xludf.DUMMYFUNCTION("""COMPUTED_VALUE"""),132.66)</f>
        <v>132.66</v>
      </c>
      <c r="F2065" s="2">
        <f>IFERROR(__xludf.DUMMYFUNCTION("""COMPUTED_VALUE"""),542363.0)</f>
        <v>542363</v>
      </c>
    </row>
    <row r="2066">
      <c r="A2066" s="3">
        <f>IFERROR(__xludf.DUMMYFUNCTION("""COMPUTED_VALUE"""),39549.645833333336)</f>
        <v>39549.64583</v>
      </c>
      <c r="B2066" s="2">
        <f>IFERROR(__xludf.DUMMYFUNCTION("""COMPUTED_VALUE"""),134.9)</f>
        <v>134.9</v>
      </c>
      <c r="C2066" s="2">
        <f>IFERROR(__xludf.DUMMYFUNCTION("""COMPUTED_VALUE"""),135.5)</f>
        <v>135.5</v>
      </c>
      <c r="D2066" s="2">
        <f>IFERROR(__xludf.DUMMYFUNCTION("""COMPUTED_VALUE"""),130.2)</f>
        <v>130.2</v>
      </c>
      <c r="E2066" s="2">
        <f>IFERROR(__xludf.DUMMYFUNCTION("""COMPUTED_VALUE"""),133.01)</f>
        <v>133.01</v>
      </c>
      <c r="F2066" s="2">
        <f>IFERROR(__xludf.DUMMYFUNCTION("""COMPUTED_VALUE"""),417952.0)</f>
        <v>417952</v>
      </c>
    </row>
    <row r="2067">
      <c r="A2067" s="3">
        <f>IFERROR(__xludf.DUMMYFUNCTION("""COMPUTED_VALUE"""),39553.645833333336)</f>
        <v>39553.64583</v>
      </c>
      <c r="B2067" s="2">
        <f>IFERROR(__xludf.DUMMYFUNCTION("""COMPUTED_VALUE"""),131.03)</f>
        <v>131.03</v>
      </c>
      <c r="C2067" s="2">
        <f>IFERROR(__xludf.DUMMYFUNCTION("""COMPUTED_VALUE"""),133.37)</f>
        <v>133.37</v>
      </c>
      <c r="D2067" s="2">
        <f>IFERROR(__xludf.DUMMYFUNCTION("""COMPUTED_VALUE"""),127.53)</f>
        <v>127.53</v>
      </c>
      <c r="E2067" s="2">
        <f>IFERROR(__xludf.DUMMYFUNCTION("""COMPUTED_VALUE"""),130.33)</f>
        <v>130.33</v>
      </c>
      <c r="F2067" s="2">
        <f>IFERROR(__xludf.DUMMYFUNCTION("""COMPUTED_VALUE"""),897138.0)</f>
        <v>897138</v>
      </c>
    </row>
    <row r="2068">
      <c r="A2068" s="3">
        <f>IFERROR(__xludf.DUMMYFUNCTION("""COMPUTED_VALUE"""),39554.645833333336)</f>
        <v>39554.64583</v>
      </c>
      <c r="B2068" s="2">
        <f>IFERROR(__xludf.DUMMYFUNCTION("""COMPUTED_VALUE"""),133.1)</f>
        <v>133.1</v>
      </c>
      <c r="C2068" s="2">
        <f>IFERROR(__xludf.DUMMYFUNCTION("""COMPUTED_VALUE"""),133.4)</f>
        <v>133.4</v>
      </c>
      <c r="D2068" s="2">
        <f>IFERROR(__xludf.DUMMYFUNCTION("""COMPUTED_VALUE"""),130.09)</f>
        <v>130.09</v>
      </c>
      <c r="E2068" s="2">
        <f>IFERROR(__xludf.DUMMYFUNCTION("""COMPUTED_VALUE"""),130.83)</f>
        <v>130.83</v>
      </c>
      <c r="F2068" s="2">
        <f>IFERROR(__xludf.DUMMYFUNCTION("""COMPUTED_VALUE"""),551595.0)</f>
        <v>551595</v>
      </c>
    </row>
    <row r="2069">
      <c r="A2069" s="3">
        <f>IFERROR(__xludf.DUMMYFUNCTION("""COMPUTED_VALUE"""),39555.645833333336)</f>
        <v>39555.64583</v>
      </c>
      <c r="B2069" s="2">
        <f>IFERROR(__xludf.DUMMYFUNCTION("""COMPUTED_VALUE"""),131.8)</f>
        <v>131.8</v>
      </c>
      <c r="C2069" s="2">
        <f>IFERROR(__xludf.DUMMYFUNCTION("""COMPUTED_VALUE"""),141.5)</f>
        <v>141.5</v>
      </c>
      <c r="D2069" s="2">
        <f>IFERROR(__xludf.DUMMYFUNCTION("""COMPUTED_VALUE"""),131.8)</f>
        <v>131.8</v>
      </c>
      <c r="E2069" s="2">
        <f>IFERROR(__xludf.DUMMYFUNCTION("""COMPUTED_VALUE"""),140.12)</f>
        <v>140.12</v>
      </c>
      <c r="F2069" s="2">
        <f>IFERROR(__xludf.DUMMYFUNCTION("""COMPUTED_VALUE"""),1813264.0)</f>
        <v>1813264</v>
      </c>
    </row>
    <row r="2070">
      <c r="A2070" s="3">
        <f>IFERROR(__xludf.DUMMYFUNCTION("""COMPUTED_VALUE"""),39559.645833333336)</f>
        <v>39559.64583</v>
      </c>
      <c r="B2070" s="2">
        <f>IFERROR(__xludf.DUMMYFUNCTION("""COMPUTED_VALUE"""),140.5)</f>
        <v>140.5</v>
      </c>
      <c r="C2070" s="2">
        <f>IFERROR(__xludf.DUMMYFUNCTION("""COMPUTED_VALUE"""),147.45)</f>
        <v>147.45</v>
      </c>
      <c r="D2070" s="2">
        <f>IFERROR(__xludf.DUMMYFUNCTION("""COMPUTED_VALUE"""),138.2)</f>
        <v>138.2</v>
      </c>
      <c r="E2070" s="2">
        <f>IFERROR(__xludf.DUMMYFUNCTION("""COMPUTED_VALUE"""),146.07)</f>
        <v>146.07</v>
      </c>
      <c r="F2070" s="2">
        <f>IFERROR(__xludf.DUMMYFUNCTION("""COMPUTED_VALUE"""),897536.0)</f>
        <v>897536</v>
      </c>
    </row>
    <row r="2071">
      <c r="A2071" s="3">
        <f>IFERROR(__xludf.DUMMYFUNCTION("""COMPUTED_VALUE"""),39560.645833333336)</f>
        <v>39560.64583</v>
      </c>
      <c r="B2071" s="2">
        <f>IFERROR(__xludf.DUMMYFUNCTION("""COMPUTED_VALUE"""),145.0)</f>
        <v>145</v>
      </c>
      <c r="C2071" s="2">
        <f>IFERROR(__xludf.DUMMYFUNCTION("""COMPUTED_VALUE"""),151.65)</f>
        <v>151.65</v>
      </c>
      <c r="D2071" s="2">
        <f>IFERROR(__xludf.DUMMYFUNCTION("""COMPUTED_VALUE"""),142.82)</f>
        <v>142.82</v>
      </c>
      <c r="E2071" s="2">
        <f>IFERROR(__xludf.DUMMYFUNCTION("""COMPUTED_VALUE"""),150.82)</f>
        <v>150.82</v>
      </c>
      <c r="F2071" s="2">
        <f>IFERROR(__xludf.DUMMYFUNCTION("""COMPUTED_VALUE"""),699571.0)</f>
        <v>699571</v>
      </c>
    </row>
    <row r="2072">
      <c r="A2072" s="3">
        <f>IFERROR(__xludf.DUMMYFUNCTION("""COMPUTED_VALUE"""),39561.645833333336)</f>
        <v>39561.64583</v>
      </c>
      <c r="B2072" s="2">
        <f>IFERROR(__xludf.DUMMYFUNCTION("""COMPUTED_VALUE"""),150.88)</f>
        <v>150.88</v>
      </c>
      <c r="C2072" s="2">
        <f>IFERROR(__xludf.DUMMYFUNCTION("""COMPUTED_VALUE"""),150.88)</f>
        <v>150.88</v>
      </c>
      <c r="D2072" s="2">
        <f>IFERROR(__xludf.DUMMYFUNCTION("""COMPUTED_VALUE"""),143.57)</f>
        <v>143.57</v>
      </c>
      <c r="E2072" s="2">
        <f>IFERROR(__xludf.DUMMYFUNCTION("""COMPUTED_VALUE"""),144.54)</f>
        <v>144.54</v>
      </c>
      <c r="F2072" s="2">
        <f>IFERROR(__xludf.DUMMYFUNCTION("""COMPUTED_VALUE"""),547987.0)</f>
        <v>547987</v>
      </c>
    </row>
    <row r="2073">
      <c r="A2073" s="3">
        <f>IFERROR(__xludf.DUMMYFUNCTION("""COMPUTED_VALUE"""),39562.645833333336)</f>
        <v>39562.64583</v>
      </c>
      <c r="B2073" s="2">
        <f>IFERROR(__xludf.DUMMYFUNCTION("""COMPUTED_VALUE"""),147.0)</f>
        <v>147</v>
      </c>
      <c r="C2073" s="2">
        <f>IFERROR(__xludf.DUMMYFUNCTION("""COMPUTED_VALUE"""),147.0)</f>
        <v>147</v>
      </c>
      <c r="D2073" s="2">
        <f>IFERROR(__xludf.DUMMYFUNCTION("""COMPUTED_VALUE"""),140.81)</f>
        <v>140.81</v>
      </c>
      <c r="E2073" s="2">
        <f>IFERROR(__xludf.DUMMYFUNCTION("""COMPUTED_VALUE"""),144.26)</f>
        <v>144.26</v>
      </c>
      <c r="F2073" s="2">
        <f>IFERROR(__xludf.DUMMYFUNCTION("""COMPUTED_VALUE"""),1221151.0)</f>
        <v>1221151</v>
      </c>
    </row>
    <row r="2074">
      <c r="A2074" s="3">
        <f>IFERROR(__xludf.DUMMYFUNCTION("""COMPUTED_VALUE"""),39563.645833333336)</f>
        <v>39563.64583</v>
      </c>
      <c r="B2074" s="2">
        <f>IFERROR(__xludf.DUMMYFUNCTION("""COMPUTED_VALUE"""),145.47)</f>
        <v>145.47</v>
      </c>
      <c r="C2074" s="2">
        <f>IFERROR(__xludf.DUMMYFUNCTION("""COMPUTED_VALUE"""),150.8)</f>
        <v>150.8</v>
      </c>
      <c r="D2074" s="2">
        <f>IFERROR(__xludf.DUMMYFUNCTION("""COMPUTED_VALUE"""),145.05)</f>
        <v>145.05</v>
      </c>
      <c r="E2074" s="2">
        <f>IFERROR(__xludf.DUMMYFUNCTION("""COMPUTED_VALUE"""),150.04)</f>
        <v>150.04</v>
      </c>
      <c r="F2074" s="2">
        <f>IFERROR(__xludf.DUMMYFUNCTION("""COMPUTED_VALUE"""),545164.0)</f>
        <v>545164</v>
      </c>
    </row>
    <row r="2075">
      <c r="A2075" s="3">
        <f>IFERROR(__xludf.DUMMYFUNCTION("""COMPUTED_VALUE"""),39566.645833333336)</f>
        <v>39566.64583</v>
      </c>
      <c r="B2075" s="2">
        <f>IFERROR(__xludf.DUMMYFUNCTION("""COMPUTED_VALUE"""),150.04)</f>
        <v>150.04</v>
      </c>
      <c r="C2075" s="2">
        <f>IFERROR(__xludf.DUMMYFUNCTION("""COMPUTED_VALUE"""),154.9)</f>
        <v>154.9</v>
      </c>
      <c r="D2075" s="2">
        <f>IFERROR(__xludf.DUMMYFUNCTION("""COMPUTED_VALUE"""),150.04)</f>
        <v>150.04</v>
      </c>
      <c r="E2075" s="2">
        <f>IFERROR(__xludf.DUMMYFUNCTION("""COMPUTED_VALUE"""),152.34)</f>
        <v>152.34</v>
      </c>
      <c r="F2075" s="2">
        <f>IFERROR(__xludf.DUMMYFUNCTION("""COMPUTED_VALUE"""),1156308.0)</f>
        <v>1156308</v>
      </c>
    </row>
    <row r="2076">
      <c r="A2076" s="3">
        <f>IFERROR(__xludf.DUMMYFUNCTION("""COMPUTED_VALUE"""),39567.645833333336)</f>
        <v>39567.64583</v>
      </c>
      <c r="B2076" s="2">
        <f>IFERROR(__xludf.DUMMYFUNCTION("""COMPUTED_VALUE"""),151.9)</f>
        <v>151.9</v>
      </c>
      <c r="C2076" s="2">
        <f>IFERROR(__xludf.DUMMYFUNCTION("""COMPUTED_VALUE"""),155.9)</f>
        <v>155.9</v>
      </c>
      <c r="D2076" s="2">
        <f>IFERROR(__xludf.DUMMYFUNCTION("""COMPUTED_VALUE"""),150.14)</f>
        <v>150.14</v>
      </c>
      <c r="E2076" s="2">
        <f>IFERROR(__xludf.DUMMYFUNCTION("""COMPUTED_VALUE"""),154.78)</f>
        <v>154.78</v>
      </c>
      <c r="F2076" s="2">
        <f>IFERROR(__xludf.DUMMYFUNCTION("""COMPUTED_VALUE"""),591569.0)</f>
        <v>591569</v>
      </c>
    </row>
    <row r="2077">
      <c r="A2077" s="3">
        <f>IFERROR(__xludf.DUMMYFUNCTION("""COMPUTED_VALUE"""),39568.645833333336)</f>
        <v>39568.64583</v>
      </c>
      <c r="B2077" s="2">
        <f>IFERROR(__xludf.DUMMYFUNCTION("""COMPUTED_VALUE"""),154.81)</f>
        <v>154.81</v>
      </c>
      <c r="C2077" s="2">
        <f>IFERROR(__xludf.DUMMYFUNCTION("""COMPUTED_VALUE"""),154.81)</f>
        <v>154.81</v>
      </c>
      <c r="D2077" s="2">
        <f>IFERROR(__xludf.DUMMYFUNCTION("""COMPUTED_VALUE"""),150.5)</f>
        <v>150.5</v>
      </c>
      <c r="E2077" s="2">
        <f>IFERROR(__xludf.DUMMYFUNCTION("""COMPUTED_VALUE"""),152.42)</f>
        <v>152.42</v>
      </c>
      <c r="F2077" s="2">
        <f>IFERROR(__xludf.DUMMYFUNCTION("""COMPUTED_VALUE"""),809071.0)</f>
        <v>809071</v>
      </c>
    </row>
    <row r="2078">
      <c r="A2078" s="3">
        <f>IFERROR(__xludf.DUMMYFUNCTION("""COMPUTED_VALUE"""),39570.645833333336)</f>
        <v>39570.64583</v>
      </c>
      <c r="B2078" s="2">
        <f>IFERROR(__xludf.DUMMYFUNCTION("""COMPUTED_VALUE"""),154.5)</f>
        <v>154.5</v>
      </c>
      <c r="C2078" s="2">
        <f>IFERROR(__xludf.DUMMYFUNCTION("""COMPUTED_VALUE"""),157.7)</f>
        <v>157.7</v>
      </c>
      <c r="D2078" s="2">
        <f>IFERROR(__xludf.DUMMYFUNCTION("""COMPUTED_VALUE"""),153.2)</f>
        <v>153.2</v>
      </c>
      <c r="E2078" s="2">
        <f>IFERROR(__xludf.DUMMYFUNCTION("""COMPUTED_VALUE"""),154.04)</f>
        <v>154.04</v>
      </c>
      <c r="F2078" s="2">
        <f>IFERROR(__xludf.DUMMYFUNCTION("""COMPUTED_VALUE"""),598388.0)</f>
        <v>598388</v>
      </c>
    </row>
    <row r="2079">
      <c r="A2079" s="3">
        <f>IFERROR(__xludf.DUMMYFUNCTION("""COMPUTED_VALUE"""),39573.645833333336)</f>
        <v>39573.64583</v>
      </c>
      <c r="B2079" s="2">
        <f>IFERROR(__xludf.DUMMYFUNCTION("""COMPUTED_VALUE"""),154.0)</f>
        <v>154</v>
      </c>
      <c r="C2079" s="2">
        <f>IFERROR(__xludf.DUMMYFUNCTION("""COMPUTED_VALUE"""),155.89)</f>
        <v>155.89</v>
      </c>
      <c r="D2079" s="2">
        <f>IFERROR(__xludf.DUMMYFUNCTION("""COMPUTED_VALUE"""),151.62)</f>
        <v>151.62</v>
      </c>
      <c r="E2079" s="2">
        <f>IFERROR(__xludf.DUMMYFUNCTION("""COMPUTED_VALUE"""),152.85)</f>
        <v>152.85</v>
      </c>
      <c r="F2079" s="2">
        <f>IFERROR(__xludf.DUMMYFUNCTION("""COMPUTED_VALUE"""),420155.0)</f>
        <v>420155</v>
      </c>
    </row>
    <row r="2080">
      <c r="A2080" s="3">
        <f>IFERROR(__xludf.DUMMYFUNCTION("""COMPUTED_VALUE"""),39574.645833333336)</f>
        <v>39574.64583</v>
      </c>
      <c r="B2080" s="2">
        <f>IFERROR(__xludf.DUMMYFUNCTION("""COMPUTED_VALUE"""),152.5)</f>
        <v>152.5</v>
      </c>
      <c r="C2080" s="2">
        <f>IFERROR(__xludf.DUMMYFUNCTION("""COMPUTED_VALUE"""),155.0)</f>
        <v>155</v>
      </c>
      <c r="D2080" s="2">
        <f>IFERROR(__xludf.DUMMYFUNCTION("""COMPUTED_VALUE"""),152.5)</f>
        <v>152.5</v>
      </c>
      <c r="E2080" s="2">
        <f>IFERROR(__xludf.DUMMYFUNCTION("""COMPUTED_VALUE"""),154.29)</f>
        <v>154.29</v>
      </c>
      <c r="F2080" s="2">
        <f>IFERROR(__xludf.DUMMYFUNCTION("""COMPUTED_VALUE"""),430998.0)</f>
        <v>430998</v>
      </c>
    </row>
    <row r="2081">
      <c r="A2081" s="3">
        <f>IFERROR(__xludf.DUMMYFUNCTION("""COMPUTED_VALUE"""),39575.645833333336)</f>
        <v>39575.64583</v>
      </c>
      <c r="B2081" s="2">
        <f>IFERROR(__xludf.DUMMYFUNCTION("""COMPUTED_VALUE"""),153.95)</f>
        <v>153.95</v>
      </c>
      <c r="C2081" s="2">
        <f>IFERROR(__xludf.DUMMYFUNCTION("""COMPUTED_VALUE"""),155.2)</f>
        <v>155.2</v>
      </c>
      <c r="D2081" s="2">
        <f>IFERROR(__xludf.DUMMYFUNCTION("""COMPUTED_VALUE"""),151.54)</f>
        <v>151.54</v>
      </c>
      <c r="E2081" s="2">
        <f>IFERROR(__xludf.DUMMYFUNCTION("""COMPUTED_VALUE"""),154.19)</f>
        <v>154.19</v>
      </c>
      <c r="F2081" s="2">
        <f>IFERROR(__xludf.DUMMYFUNCTION("""COMPUTED_VALUE"""),344058.0)</f>
        <v>344058</v>
      </c>
    </row>
    <row r="2082">
      <c r="A2082" s="3">
        <f>IFERROR(__xludf.DUMMYFUNCTION("""COMPUTED_VALUE"""),39576.645833333336)</f>
        <v>39576.64583</v>
      </c>
      <c r="B2082" s="2">
        <f>IFERROR(__xludf.DUMMYFUNCTION("""COMPUTED_VALUE"""),150.0)</f>
        <v>150</v>
      </c>
      <c r="C2082" s="2">
        <f>IFERROR(__xludf.DUMMYFUNCTION("""COMPUTED_VALUE"""),152.34)</f>
        <v>152.34</v>
      </c>
      <c r="D2082" s="2">
        <f>IFERROR(__xludf.DUMMYFUNCTION("""COMPUTED_VALUE"""),145.22)</f>
        <v>145.22</v>
      </c>
      <c r="E2082" s="2">
        <f>IFERROR(__xludf.DUMMYFUNCTION("""COMPUTED_VALUE"""),150.84)</f>
        <v>150.84</v>
      </c>
      <c r="F2082" s="2">
        <f>IFERROR(__xludf.DUMMYFUNCTION("""COMPUTED_VALUE"""),589068.0)</f>
        <v>589068</v>
      </c>
    </row>
    <row r="2083">
      <c r="A2083" s="3">
        <f>IFERROR(__xludf.DUMMYFUNCTION("""COMPUTED_VALUE"""),39577.645833333336)</f>
        <v>39577.64583</v>
      </c>
      <c r="B2083" s="2">
        <f>IFERROR(__xludf.DUMMYFUNCTION("""COMPUTED_VALUE"""),156.24)</f>
        <v>156.24</v>
      </c>
      <c r="C2083" s="2">
        <f>IFERROR(__xludf.DUMMYFUNCTION("""COMPUTED_VALUE"""),160.0)</f>
        <v>160</v>
      </c>
      <c r="D2083" s="2">
        <f>IFERROR(__xludf.DUMMYFUNCTION("""COMPUTED_VALUE"""),144.32)</f>
        <v>144.32</v>
      </c>
      <c r="E2083" s="2">
        <f>IFERROR(__xludf.DUMMYFUNCTION("""COMPUTED_VALUE"""),145.25)</f>
        <v>145.25</v>
      </c>
      <c r="F2083" s="2">
        <f>IFERROR(__xludf.DUMMYFUNCTION("""COMPUTED_VALUE"""),620423.0)</f>
        <v>620423</v>
      </c>
    </row>
    <row r="2084">
      <c r="A2084" s="3">
        <f>IFERROR(__xludf.DUMMYFUNCTION("""COMPUTED_VALUE"""),39580.645833333336)</f>
        <v>39580.64583</v>
      </c>
      <c r="B2084" s="2">
        <f>IFERROR(__xludf.DUMMYFUNCTION("""COMPUTED_VALUE"""),142.64)</f>
        <v>142.64</v>
      </c>
      <c r="C2084" s="2">
        <f>IFERROR(__xludf.DUMMYFUNCTION("""COMPUTED_VALUE"""),147.69)</f>
        <v>147.69</v>
      </c>
      <c r="D2084" s="2">
        <f>IFERROR(__xludf.DUMMYFUNCTION("""COMPUTED_VALUE"""),142.64)</f>
        <v>142.64</v>
      </c>
      <c r="E2084" s="2">
        <f>IFERROR(__xludf.DUMMYFUNCTION("""COMPUTED_VALUE"""),146.81)</f>
        <v>146.81</v>
      </c>
      <c r="F2084" s="2">
        <f>IFERROR(__xludf.DUMMYFUNCTION("""COMPUTED_VALUE"""),261763.0)</f>
        <v>261763</v>
      </c>
    </row>
    <row r="2085">
      <c r="A2085" s="3">
        <f>IFERROR(__xludf.DUMMYFUNCTION("""COMPUTED_VALUE"""),39581.645833333336)</f>
        <v>39581.64583</v>
      </c>
      <c r="B2085" s="2">
        <f>IFERROR(__xludf.DUMMYFUNCTION("""COMPUTED_VALUE"""),148.97)</f>
        <v>148.97</v>
      </c>
      <c r="C2085" s="2">
        <f>IFERROR(__xludf.DUMMYFUNCTION("""COMPUTED_VALUE"""),149.5)</f>
        <v>149.5</v>
      </c>
      <c r="D2085" s="2">
        <f>IFERROR(__xludf.DUMMYFUNCTION("""COMPUTED_VALUE"""),146.01)</f>
        <v>146.01</v>
      </c>
      <c r="E2085" s="2">
        <f>IFERROR(__xludf.DUMMYFUNCTION("""COMPUTED_VALUE"""),148.03)</f>
        <v>148.03</v>
      </c>
      <c r="F2085" s="2">
        <f>IFERROR(__xludf.DUMMYFUNCTION("""COMPUTED_VALUE"""),524162.0)</f>
        <v>524162</v>
      </c>
    </row>
    <row r="2086">
      <c r="A2086" s="3">
        <f>IFERROR(__xludf.DUMMYFUNCTION("""COMPUTED_VALUE"""),39582.645833333336)</f>
        <v>39582.64583</v>
      </c>
      <c r="B2086" s="2">
        <f>IFERROR(__xludf.DUMMYFUNCTION("""COMPUTED_VALUE"""),146.5)</f>
        <v>146.5</v>
      </c>
      <c r="C2086" s="2">
        <f>IFERROR(__xludf.DUMMYFUNCTION("""COMPUTED_VALUE"""),147.47)</f>
        <v>147.47</v>
      </c>
      <c r="D2086" s="2">
        <f>IFERROR(__xludf.DUMMYFUNCTION("""COMPUTED_VALUE"""),145.0)</f>
        <v>145</v>
      </c>
      <c r="E2086" s="2">
        <f>IFERROR(__xludf.DUMMYFUNCTION("""COMPUTED_VALUE"""),146.48)</f>
        <v>146.48</v>
      </c>
      <c r="F2086" s="2">
        <f>IFERROR(__xludf.DUMMYFUNCTION("""COMPUTED_VALUE"""),602688.0)</f>
        <v>602688</v>
      </c>
    </row>
    <row r="2087">
      <c r="A2087" s="3">
        <f>IFERROR(__xludf.DUMMYFUNCTION("""COMPUTED_VALUE"""),39583.645833333336)</f>
        <v>39583.64583</v>
      </c>
      <c r="B2087" s="2">
        <f>IFERROR(__xludf.DUMMYFUNCTION("""COMPUTED_VALUE"""),145.23)</f>
        <v>145.23</v>
      </c>
      <c r="C2087" s="2">
        <f>IFERROR(__xludf.DUMMYFUNCTION("""COMPUTED_VALUE"""),148.68)</f>
        <v>148.68</v>
      </c>
      <c r="D2087" s="2">
        <f>IFERROR(__xludf.DUMMYFUNCTION("""COMPUTED_VALUE"""),145.23)</f>
        <v>145.23</v>
      </c>
      <c r="E2087" s="2">
        <f>IFERROR(__xludf.DUMMYFUNCTION("""COMPUTED_VALUE"""),147.85)</f>
        <v>147.85</v>
      </c>
      <c r="F2087" s="2">
        <f>IFERROR(__xludf.DUMMYFUNCTION("""COMPUTED_VALUE"""),231794.0)</f>
        <v>231794</v>
      </c>
    </row>
    <row r="2088">
      <c r="A2088" s="3">
        <f>IFERROR(__xludf.DUMMYFUNCTION("""COMPUTED_VALUE"""),39584.645833333336)</f>
        <v>39584.64583</v>
      </c>
      <c r="B2088" s="2">
        <f>IFERROR(__xludf.DUMMYFUNCTION("""COMPUTED_VALUE"""),151.0)</f>
        <v>151</v>
      </c>
      <c r="C2088" s="2">
        <f>IFERROR(__xludf.DUMMYFUNCTION("""COMPUTED_VALUE"""),152.77)</f>
        <v>152.77</v>
      </c>
      <c r="D2088" s="2">
        <f>IFERROR(__xludf.DUMMYFUNCTION("""COMPUTED_VALUE"""),149.2)</f>
        <v>149.2</v>
      </c>
      <c r="E2088" s="2">
        <f>IFERROR(__xludf.DUMMYFUNCTION("""COMPUTED_VALUE"""),150.04)</f>
        <v>150.04</v>
      </c>
      <c r="F2088" s="2">
        <f>IFERROR(__xludf.DUMMYFUNCTION("""COMPUTED_VALUE"""),490926.0)</f>
        <v>490926</v>
      </c>
    </row>
    <row r="2089">
      <c r="A2089" s="3">
        <f>IFERROR(__xludf.DUMMYFUNCTION("""COMPUTED_VALUE"""),39588.645833333336)</f>
        <v>39588.64583</v>
      </c>
      <c r="B2089" s="2">
        <f>IFERROR(__xludf.DUMMYFUNCTION("""COMPUTED_VALUE"""),150.0)</f>
        <v>150</v>
      </c>
      <c r="C2089" s="2">
        <f>IFERROR(__xludf.DUMMYFUNCTION("""COMPUTED_VALUE"""),150.5)</f>
        <v>150.5</v>
      </c>
      <c r="D2089" s="2">
        <f>IFERROR(__xludf.DUMMYFUNCTION("""COMPUTED_VALUE"""),145.0)</f>
        <v>145</v>
      </c>
      <c r="E2089" s="2">
        <f>IFERROR(__xludf.DUMMYFUNCTION("""COMPUTED_VALUE"""),146.12)</f>
        <v>146.12</v>
      </c>
      <c r="F2089" s="2">
        <f>IFERROR(__xludf.DUMMYFUNCTION("""COMPUTED_VALUE"""),631312.0)</f>
        <v>631312</v>
      </c>
    </row>
    <row r="2090">
      <c r="A2090" s="3">
        <f>IFERROR(__xludf.DUMMYFUNCTION("""COMPUTED_VALUE"""),39589.645833333336)</f>
        <v>39589.64583</v>
      </c>
      <c r="B2090" s="2">
        <f>IFERROR(__xludf.DUMMYFUNCTION("""COMPUTED_VALUE"""),145.01)</f>
        <v>145.01</v>
      </c>
      <c r="C2090" s="2">
        <f>IFERROR(__xludf.DUMMYFUNCTION("""COMPUTED_VALUE"""),145.01)</f>
        <v>145.01</v>
      </c>
      <c r="D2090" s="2">
        <f>IFERROR(__xludf.DUMMYFUNCTION("""COMPUTED_VALUE"""),139.25)</f>
        <v>139.25</v>
      </c>
      <c r="E2090" s="2">
        <f>IFERROR(__xludf.DUMMYFUNCTION("""COMPUTED_VALUE"""),141.01)</f>
        <v>141.01</v>
      </c>
      <c r="F2090" s="2">
        <f>IFERROR(__xludf.DUMMYFUNCTION("""COMPUTED_VALUE"""),1445884.0)</f>
        <v>1445884</v>
      </c>
    </row>
    <row r="2091">
      <c r="A2091" s="3">
        <f>IFERROR(__xludf.DUMMYFUNCTION("""COMPUTED_VALUE"""),39590.645833333336)</f>
        <v>39590.64583</v>
      </c>
      <c r="B2091" s="2">
        <f>IFERROR(__xludf.DUMMYFUNCTION("""COMPUTED_VALUE"""),140.8)</f>
        <v>140.8</v>
      </c>
      <c r="C2091" s="2">
        <f>IFERROR(__xludf.DUMMYFUNCTION("""COMPUTED_VALUE"""),140.8)</f>
        <v>140.8</v>
      </c>
      <c r="D2091" s="2">
        <f>IFERROR(__xludf.DUMMYFUNCTION("""COMPUTED_VALUE"""),135.1)</f>
        <v>135.1</v>
      </c>
      <c r="E2091" s="2">
        <f>IFERROR(__xludf.DUMMYFUNCTION("""COMPUTED_VALUE"""),138.38)</f>
        <v>138.38</v>
      </c>
      <c r="F2091" s="2">
        <f>IFERROR(__xludf.DUMMYFUNCTION("""COMPUTED_VALUE"""),513401.0)</f>
        <v>513401</v>
      </c>
    </row>
    <row r="2092">
      <c r="A2092" s="3">
        <f>IFERROR(__xludf.DUMMYFUNCTION("""COMPUTED_VALUE"""),39591.645833333336)</f>
        <v>39591.64583</v>
      </c>
      <c r="B2092" s="2">
        <f>IFERROR(__xludf.DUMMYFUNCTION("""COMPUTED_VALUE"""),140.8)</f>
        <v>140.8</v>
      </c>
      <c r="C2092" s="2">
        <f>IFERROR(__xludf.DUMMYFUNCTION("""COMPUTED_VALUE"""),141.08)</f>
        <v>141.08</v>
      </c>
      <c r="D2092" s="2">
        <f>IFERROR(__xludf.DUMMYFUNCTION("""COMPUTED_VALUE"""),137.21)</f>
        <v>137.21</v>
      </c>
      <c r="E2092" s="2">
        <f>IFERROR(__xludf.DUMMYFUNCTION("""COMPUTED_VALUE"""),138.15)</f>
        <v>138.15</v>
      </c>
      <c r="F2092" s="2">
        <f>IFERROR(__xludf.DUMMYFUNCTION("""COMPUTED_VALUE"""),664342.0)</f>
        <v>664342</v>
      </c>
    </row>
    <row r="2093">
      <c r="A2093" s="3">
        <f>IFERROR(__xludf.DUMMYFUNCTION("""COMPUTED_VALUE"""),39594.645833333336)</f>
        <v>39594.64583</v>
      </c>
      <c r="B2093" s="2">
        <f>IFERROR(__xludf.DUMMYFUNCTION("""COMPUTED_VALUE"""),137.0)</f>
        <v>137</v>
      </c>
      <c r="C2093" s="2">
        <f>IFERROR(__xludf.DUMMYFUNCTION("""COMPUTED_VALUE"""),138.15)</f>
        <v>138.15</v>
      </c>
      <c r="D2093" s="2">
        <f>IFERROR(__xludf.DUMMYFUNCTION("""COMPUTED_VALUE"""),133.6)</f>
        <v>133.6</v>
      </c>
      <c r="E2093" s="2">
        <f>IFERROR(__xludf.DUMMYFUNCTION("""COMPUTED_VALUE"""),134.76)</f>
        <v>134.76</v>
      </c>
      <c r="F2093" s="2">
        <f>IFERROR(__xludf.DUMMYFUNCTION("""COMPUTED_VALUE"""),390859.0)</f>
        <v>390859</v>
      </c>
    </row>
    <row r="2094">
      <c r="A2094" s="3">
        <f>IFERROR(__xludf.DUMMYFUNCTION("""COMPUTED_VALUE"""),39595.645833333336)</f>
        <v>39595.64583</v>
      </c>
      <c r="B2094" s="2">
        <f>IFERROR(__xludf.DUMMYFUNCTION("""COMPUTED_VALUE"""),136.49)</f>
        <v>136.49</v>
      </c>
      <c r="C2094" s="2">
        <f>IFERROR(__xludf.DUMMYFUNCTION("""COMPUTED_VALUE"""),137.0)</f>
        <v>137</v>
      </c>
      <c r="D2094" s="2">
        <f>IFERROR(__xludf.DUMMYFUNCTION("""COMPUTED_VALUE"""),131.9)</f>
        <v>131.9</v>
      </c>
      <c r="E2094" s="2">
        <f>IFERROR(__xludf.DUMMYFUNCTION("""COMPUTED_VALUE"""),133.27)</f>
        <v>133.27</v>
      </c>
      <c r="F2094" s="2">
        <f>IFERROR(__xludf.DUMMYFUNCTION("""COMPUTED_VALUE"""),628255.0)</f>
        <v>628255</v>
      </c>
    </row>
    <row r="2095">
      <c r="A2095" s="3">
        <f>IFERROR(__xludf.DUMMYFUNCTION("""COMPUTED_VALUE"""),39596.645833333336)</f>
        <v>39596.64583</v>
      </c>
      <c r="B2095" s="2">
        <f>IFERROR(__xludf.DUMMYFUNCTION("""COMPUTED_VALUE"""),133.47)</f>
        <v>133.47</v>
      </c>
      <c r="C2095" s="2">
        <f>IFERROR(__xludf.DUMMYFUNCTION("""COMPUTED_VALUE"""),136.06)</f>
        <v>136.06</v>
      </c>
      <c r="D2095" s="2">
        <f>IFERROR(__xludf.DUMMYFUNCTION("""COMPUTED_VALUE"""),131.7)</f>
        <v>131.7</v>
      </c>
      <c r="E2095" s="2">
        <f>IFERROR(__xludf.DUMMYFUNCTION("""COMPUTED_VALUE"""),135.14)</f>
        <v>135.14</v>
      </c>
      <c r="F2095" s="2">
        <f>IFERROR(__xludf.DUMMYFUNCTION("""COMPUTED_VALUE"""),412701.0)</f>
        <v>412701</v>
      </c>
    </row>
    <row r="2096">
      <c r="A2096" s="3">
        <f>IFERROR(__xludf.DUMMYFUNCTION("""COMPUTED_VALUE"""),39597.645833333336)</f>
        <v>39597.64583</v>
      </c>
      <c r="B2096" s="2">
        <f>IFERROR(__xludf.DUMMYFUNCTION("""COMPUTED_VALUE"""),136.5)</f>
        <v>136.5</v>
      </c>
      <c r="C2096" s="2">
        <f>IFERROR(__xludf.DUMMYFUNCTION("""COMPUTED_VALUE"""),137.48)</f>
        <v>137.48</v>
      </c>
      <c r="D2096" s="2">
        <f>IFERROR(__xludf.DUMMYFUNCTION("""COMPUTED_VALUE"""),130.4)</f>
        <v>130.4</v>
      </c>
      <c r="E2096" s="2">
        <f>IFERROR(__xludf.DUMMYFUNCTION("""COMPUTED_VALUE"""),131.96)</f>
        <v>131.96</v>
      </c>
      <c r="F2096" s="2">
        <f>IFERROR(__xludf.DUMMYFUNCTION("""COMPUTED_VALUE"""),641726.0)</f>
        <v>641726</v>
      </c>
    </row>
    <row r="2097">
      <c r="A2097" s="3">
        <f>IFERROR(__xludf.DUMMYFUNCTION("""COMPUTED_VALUE"""),39598.645833333336)</f>
        <v>39598.64583</v>
      </c>
      <c r="B2097" s="2">
        <f>IFERROR(__xludf.DUMMYFUNCTION("""COMPUTED_VALUE"""),130.1)</f>
        <v>130.1</v>
      </c>
      <c r="C2097" s="2">
        <f>IFERROR(__xludf.DUMMYFUNCTION("""COMPUTED_VALUE"""),138.29)</f>
        <v>138.29</v>
      </c>
      <c r="D2097" s="2">
        <f>IFERROR(__xludf.DUMMYFUNCTION("""COMPUTED_VALUE"""),130.1)</f>
        <v>130.1</v>
      </c>
      <c r="E2097" s="2">
        <f>IFERROR(__xludf.DUMMYFUNCTION("""COMPUTED_VALUE"""),136.87)</f>
        <v>136.87</v>
      </c>
      <c r="F2097" s="2">
        <f>IFERROR(__xludf.DUMMYFUNCTION("""COMPUTED_VALUE"""),658076.0)</f>
        <v>658076</v>
      </c>
    </row>
    <row r="2098">
      <c r="A2098" s="3">
        <f>IFERROR(__xludf.DUMMYFUNCTION("""COMPUTED_VALUE"""),39601.645833333336)</f>
        <v>39601.64583</v>
      </c>
      <c r="B2098" s="2">
        <f>IFERROR(__xludf.DUMMYFUNCTION("""COMPUTED_VALUE"""),138.0)</f>
        <v>138</v>
      </c>
      <c r="C2098" s="2">
        <f>IFERROR(__xludf.DUMMYFUNCTION("""COMPUTED_VALUE"""),138.0)</f>
        <v>138</v>
      </c>
      <c r="D2098" s="2">
        <f>IFERROR(__xludf.DUMMYFUNCTION("""COMPUTED_VALUE"""),129.4)</f>
        <v>129.4</v>
      </c>
      <c r="E2098" s="2">
        <f>IFERROR(__xludf.DUMMYFUNCTION("""COMPUTED_VALUE"""),131.05)</f>
        <v>131.05</v>
      </c>
      <c r="F2098" s="2">
        <f>IFERROR(__xludf.DUMMYFUNCTION("""COMPUTED_VALUE"""),491097.0)</f>
        <v>491097</v>
      </c>
    </row>
    <row r="2099">
      <c r="A2099" s="3">
        <f>IFERROR(__xludf.DUMMYFUNCTION("""COMPUTED_VALUE"""),39602.645833333336)</f>
        <v>39602.64583</v>
      </c>
      <c r="B2099" s="2">
        <f>IFERROR(__xludf.DUMMYFUNCTION("""COMPUTED_VALUE"""),131.0)</f>
        <v>131</v>
      </c>
      <c r="C2099" s="2">
        <f>IFERROR(__xludf.DUMMYFUNCTION("""COMPUTED_VALUE"""),131.0)</f>
        <v>131</v>
      </c>
      <c r="D2099" s="2">
        <f>IFERROR(__xludf.DUMMYFUNCTION("""COMPUTED_VALUE"""),124.65)</f>
        <v>124.65</v>
      </c>
      <c r="E2099" s="2">
        <f>IFERROR(__xludf.DUMMYFUNCTION("""COMPUTED_VALUE"""),126.64)</f>
        <v>126.64</v>
      </c>
      <c r="F2099" s="2">
        <f>IFERROR(__xludf.DUMMYFUNCTION("""COMPUTED_VALUE"""),520041.0)</f>
        <v>520041</v>
      </c>
    </row>
    <row r="2100">
      <c r="A2100" s="3">
        <f>IFERROR(__xludf.DUMMYFUNCTION("""COMPUTED_VALUE"""),39603.645833333336)</f>
        <v>39603.64583</v>
      </c>
      <c r="B2100" s="2">
        <f>IFERROR(__xludf.DUMMYFUNCTION("""COMPUTED_VALUE"""),127.0)</f>
        <v>127</v>
      </c>
      <c r="C2100" s="2">
        <f>IFERROR(__xludf.DUMMYFUNCTION("""COMPUTED_VALUE"""),127.0)</f>
        <v>127</v>
      </c>
      <c r="D2100" s="2">
        <f>IFERROR(__xludf.DUMMYFUNCTION("""COMPUTED_VALUE"""),119.61)</f>
        <v>119.61</v>
      </c>
      <c r="E2100" s="2">
        <f>IFERROR(__xludf.DUMMYFUNCTION("""COMPUTED_VALUE"""),121.5)</f>
        <v>121.5</v>
      </c>
      <c r="F2100" s="2">
        <f>IFERROR(__xludf.DUMMYFUNCTION("""COMPUTED_VALUE"""),484459.0)</f>
        <v>484459</v>
      </c>
    </row>
    <row r="2101">
      <c r="A2101" s="3">
        <f>IFERROR(__xludf.DUMMYFUNCTION("""COMPUTED_VALUE"""),39604.645833333336)</f>
        <v>39604.64583</v>
      </c>
      <c r="B2101" s="2">
        <f>IFERROR(__xludf.DUMMYFUNCTION("""COMPUTED_VALUE"""),122.0)</f>
        <v>122</v>
      </c>
      <c r="C2101" s="2">
        <f>IFERROR(__xludf.DUMMYFUNCTION("""COMPUTED_VALUE"""),128.99)</f>
        <v>128.99</v>
      </c>
      <c r="D2101" s="2">
        <f>IFERROR(__xludf.DUMMYFUNCTION("""COMPUTED_VALUE"""),118.04)</f>
        <v>118.04</v>
      </c>
      <c r="E2101" s="2">
        <f>IFERROR(__xludf.DUMMYFUNCTION("""COMPUTED_VALUE"""),124.82)</f>
        <v>124.82</v>
      </c>
      <c r="F2101" s="2">
        <f>IFERROR(__xludf.DUMMYFUNCTION("""COMPUTED_VALUE"""),1061647.0)</f>
        <v>1061647</v>
      </c>
    </row>
    <row r="2102">
      <c r="A2102" s="3">
        <f>IFERROR(__xludf.DUMMYFUNCTION("""COMPUTED_VALUE"""),39605.645833333336)</f>
        <v>39605.64583</v>
      </c>
      <c r="B2102" s="2">
        <f>IFERROR(__xludf.DUMMYFUNCTION("""COMPUTED_VALUE"""),125.0)</f>
        <v>125</v>
      </c>
      <c r="C2102" s="2">
        <f>IFERROR(__xludf.DUMMYFUNCTION("""COMPUTED_VALUE"""),127.5)</f>
        <v>127.5</v>
      </c>
      <c r="D2102" s="2">
        <f>IFERROR(__xludf.DUMMYFUNCTION("""COMPUTED_VALUE"""),121.8)</f>
        <v>121.8</v>
      </c>
      <c r="E2102" s="2">
        <f>IFERROR(__xludf.DUMMYFUNCTION("""COMPUTED_VALUE"""),123.25)</f>
        <v>123.25</v>
      </c>
      <c r="F2102" s="2">
        <f>IFERROR(__xludf.DUMMYFUNCTION("""COMPUTED_VALUE"""),999658.0)</f>
        <v>999658</v>
      </c>
    </row>
    <row r="2103">
      <c r="A2103" s="3">
        <f>IFERROR(__xludf.DUMMYFUNCTION("""COMPUTED_VALUE"""),39608.645833333336)</f>
        <v>39608.64583</v>
      </c>
      <c r="B2103" s="2">
        <f>IFERROR(__xludf.DUMMYFUNCTION("""COMPUTED_VALUE"""),120.0)</f>
        <v>120</v>
      </c>
      <c r="C2103" s="2">
        <f>IFERROR(__xludf.DUMMYFUNCTION("""COMPUTED_VALUE"""),120.01)</f>
        <v>120.01</v>
      </c>
      <c r="D2103" s="2">
        <f>IFERROR(__xludf.DUMMYFUNCTION("""COMPUTED_VALUE"""),115.9)</f>
        <v>115.9</v>
      </c>
      <c r="E2103" s="2">
        <f>IFERROR(__xludf.DUMMYFUNCTION("""COMPUTED_VALUE"""),118.36)</f>
        <v>118.36</v>
      </c>
      <c r="F2103" s="2">
        <f>IFERROR(__xludf.DUMMYFUNCTION("""COMPUTED_VALUE"""),556189.0)</f>
        <v>556189</v>
      </c>
    </row>
    <row r="2104">
      <c r="A2104" s="3">
        <f>IFERROR(__xludf.DUMMYFUNCTION("""COMPUTED_VALUE"""),39609.645833333336)</f>
        <v>39609.64583</v>
      </c>
      <c r="B2104" s="2">
        <f>IFERROR(__xludf.DUMMYFUNCTION("""COMPUTED_VALUE"""),117.0)</f>
        <v>117</v>
      </c>
      <c r="C2104" s="2">
        <f>IFERROR(__xludf.DUMMYFUNCTION("""COMPUTED_VALUE"""),119.49)</f>
        <v>119.49</v>
      </c>
      <c r="D2104" s="2">
        <f>IFERROR(__xludf.DUMMYFUNCTION("""COMPUTED_VALUE"""),112.0)</f>
        <v>112</v>
      </c>
      <c r="E2104" s="2">
        <f>IFERROR(__xludf.DUMMYFUNCTION("""COMPUTED_VALUE"""),113.24)</f>
        <v>113.24</v>
      </c>
      <c r="F2104" s="2">
        <f>IFERROR(__xludf.DUMMYFUNCTION("""COMPUTED_VALUE"""),1557871.0)</f>
        <v>1557871</v>
      </c>
    </row>
    <row r="2105">
      <c r="A2105" s="3">
        <f>IFERROR(__xludf.DUMMYFUNCTION("""COMPUTED_VALUE"""),39610.645833333336)</f>
        <v>39610.64583</v>
      </c>
      <c r="B2105" s="2">
        <f>IFERROR(__xludf.DUMMYFUNCTION("""COMPUTED_VALUE"""),114.5)</f>
        <v>114.5</v>
      </c>
      <c r="C2105" s="2">
        <f>IFERROR(__xludf.DUMMYFUNCTION("""COMPUTED_VALUE"""),120.98)</f>
        <v>120.98</v>
      </c>
      <c r="D2105" s="2">
        <f>IFERROR(__xludf.DUMMYFUNCTION("""COMPUTED_VALUE"""),112.23)</f>
        <v>112.23</v>
      </c>
      <c r="E2105" s="2">
        <f>IFERROR(__xludf.DUMMYFUNCTION("""COMPUTED_VALUE"""),119.64)</f>
        <v>119.64</v>
      </c>
      <c r="F2105" s="2">
        <f>IFERROR(__xludf.DUMMYFUNCTION("""COMPUTED_VALUE"""),1278447.0)</f>
        <v>1278447</v>
      </c>
    </row>
    <row r="2106">
      <c r="A2106" s="3">
        <f>IFERROR(__xludf.DUMMYFUNCTION("""COMPUTED_VALUE"""),39611.645833333336)</f>
        <v>39611.64583</v>
      </c>
      <c r="B2106" s="2">
        <f>IFERROR(__xludf.DUMMYFUNCTION("""COMPUTED_VALUE"""),115.63)</f>
        <v>115.63</v>
      </c>
      <c r="C2106" s="2">
        <f>IFERROR(__xludf.DUMMYFUNCTION("""COMPUTED_VALUE"""),117.48)</f>
        <v>117.48</v>
      </c>
      <c r="D2106" s="2">
        <f>IFERROR(__xludf.DUMMYFUNCTION("""COMPUTED_VALUE"""),112.13)</f>
        <v>112.13</v>
      </c>
      <c r="E2106" s="2">
        <f>IFERROR(__xludf.DUMMYFUNCTION("""COMPUTED_VALUE"""),116.16)</f>
        <v>116.16</v>
      </c>
      <c r="F2106" s="2">
        <f>IFERROR(__xludf.DUMMYFUNCTION("""COMPUTED_VALUE"""),1233769.0)</f>
        <v>1233769</v>
      </c>
    </row>
    <row r="2107">
      <c r="A2107" s="3">
        <f>IFERROR(__xludf.DUMMYFUNCTION("""COMPUTED_VALUE"""),39612.645833333336)</f>
        <v>39612.64583</v>
      </c>
      <c r="B2107" s="2">
        <f>IFERROR(__xludf.DUMMYFUNCTION("""COMPUTED_VALUE"""),115.24)</f>
        <v>115.24</v>
      </c>
      <c r="C2107" s="2">
        <f>IFERROR(__xludf.DUMMYFUNCTION("""COMPUTED_VALUE"""),117.35)</f>
        <v>117.35</v>
      </c>
      <c r="D2107" s="2">
        <f>IFERROR(__xludf.DUMMYFUNCTION("""COMPUTED_VALUE"""),111.35)</f>
        <v>111.35</v>
      </c>
      <c r="E2107" s="2">
        <f>IFERROR(__xludf.DUMMYFUNCTION("""COMPUTED_VALUE"""),112.22)</f>
        <v>112.22</v>
      </c>
      <c r="F2107" s="2">
        <f>IFERROR(__xludf.DUMMYFUNCTION("""COMPUTED_VALUE"""),725327.0)</f>
        <v>725327</v>
      </c>
    </row>
    <row r="2108">
      <c r="A2108" s="3">
        <f>IFERROR(__xludf.DUMMYFUNCTION("""COMPUTED_VALUE"""),39615.645833333336)</f>
        <v>39615.64583</v>
      </c>
      <c r="B2108" s="2">
        <f>IFERROR(__xludf.DUMMYFUNCTION("""COMPUTED_VALUE"""),113.76)</f>
        <v>113.76</v>
      </c>
      <c r="C2108" s="2">
        <f>IFERROR(__xludf.DUMMYFUNCTION("""COMPUTED_VALUE"""),117.2)</f>
        <v>117.2</v>
      </c>
      <c r="D2108" s="2">
        <f>IFERROR(__xludf.DUMMYFUNCTION("""COMPUTED_VALUE"""),113.0)</f>
        <v>113</v>
      </c>
      <c r="E2108" s="2">
        <f>IFERROR(__xludf.DUMMYFUNCTION("""COMPUTED_VALUE"""),114.93)</f>
        <v>114.93</v>
      </c>
      <c r="F2108" s="2">
        <f>IFERROR(__xludf.DUMMYFUNCTION("""COMPUTED_VALUE"""),1005163.0)</f>
        <v>1005163</v>
      </c>
    </row>
    <row r="2109">
      <c r="A2109" s="3">
        <f>IFERROR(__xludf.DUMMYFUNCTION("""COMPUTED_VALUE"""),39616.645833333336)</f>
        <v>39616.64583</v>
      </c>
      <c r="B2109" s="2">
        <f>IFERROR(__xludf.DUMMYFUNCTION("""COMPUTED_VALUE"""),115.0)</f>
        <v>115</v>
      </c>
      <c r="C2109" s="2">
        <f>IFERROR(__xludf.DUMMYFUNCTION("""COMPUTED_VALUE"""),122.5)</f>
        <v>122.5</v>
      </c>
      <c r="D2109" s="2">
        <f>IFERROR(__xludf.DUMMYFUNCTION("""COMPUTED_VALUE"""),115.0)</f>
        <v>115</v>
      </c>
      <c r="E2109" s="2">
        <f>IFERROR(__xludf.DUMMYFUNCTION("""COMPUTED_VALUE"""),121.37)</f>
        <v>121.37</v>
      </c>
      <c r="F2109" s="2">
        <f>IFERROR(__xludf.DUMMYFUNCTION("""COMPUTED_VALUE"""),1287222.0)</f>
        <v>1287222</v>
      </c>
    </row>
    <row r="2110">
      <c r="A2110" s="3">
        <f>IFERROR(__xludf.DUMMYFUNCTION("""COMPUTED_VALUE"""),39617.645833333336)</f>
        <v>39617.64583</v>
      </c>
      <c r="B2110" s="2">
        <f>IFERROR(__xludf.DUMMYFUNCTION("""COMPUTED_VALUE"""),123.2)</f>
        <v>123.2</v>
      </c>
      <c r="C2110" s="2">
        <f>IFERROR(__xludf.DUMMYFUNCTION("""COMPUTED_VALUE"""),123.2)</f>
        <v>123.2</v>
      </c>
      <c r="D2110" s="2">
        <f>IFERROR(__xludf.DUMMYFUNCTION("""COMPUTED_VALUE"""),116.24)</f>
        <v>116.24</v>
      </c>
      <c r="E2110" s="2">
        <f>IFERROR(__xludf.DUMMYFUNCTION("""COMPUTED_VALUE"""),116.84)</f>
        <v>116.84</v>
      </c>
      <c r="F2110" s="2">
        <f>IFERROR(__xludf.DUMMYFUNCTION("""COMPUTED_VALUE"""),1073799.0)</f>
        <v>1073799</v>
      </c>
    </row>
    <row r="2111">
      <c r="A2111" s="3">
        <f>IFERROR(__xludf.DUMMYFUNCTION("""COMPUTED_VALUE"""),39618.645833333336)</f>
        <v>39618.64583</v>
      </c>
      <c r="B2111" s="2">
        <f>IFERROR(__xludf.DUMMYFUNCTION("""COMPUTED_VALUE"""),112.23)</f>
        <v>112.23</v>
      </c>
      <c r="C2111" s="2">
        <f>IFERROR(__xludf.DUMMYFUNCTION("""COMPUTED_VALUE"""),115.5)</f>
        <v>115.5</v>
      </c>
      <c r="D2111" s="2">
        <f>IFERROR(__xludf.DUMMYFUNCTION("""COMPUTED_VALUE"""),111.2)</f>
        <v>111.2</v>
      </c>
      <c r="E2111" s="2">
        <f>IFERROR(__xludf.DUMMYFUNCTION("""COMPUTED_VALUE"""),112.3)</f>
        <v>112.3</v>
      </c>
      <c r="F2111" s="2">
        <f>IFERROR(__xludf.DUMMYFUNCTION("""COMPUTED_VALUE"""),597000.0)</f>
        <v>597000</v>
      </c>
    </row>
    <row r="2112">
      <c r="A2112" s="3">
        <f>IFERROR(__xludf.DUMMYFUNCTION("""COMPUTED_VALUE"""),39619.645833333336)</f>
        <v>39619.64583</v>
      </c>
      <c r="B2112" s="2">
        <f>IFERROR(__xludf.DUMMYFUNCTION("""COMPUTED_VALUE"""),112.2)</f>
        <v>112.2</v>
      </c>
      <c r="C2112" s="2">
        <f>IFERROR(__xludf.DUMMYFUNCTION("""COMPUTED_VALUE"""),113.8)</f>
        <v>113.8</v>
      </c>
      <c r="D2112" s="2">
        <f>IFERROR(__xludf.DUMMYFUNCTION("""COMPUTED_VALUE"""),109.26)</f>
        <v>109.26</v>
      </c>
      <c r="E2112" s="2">
        <f>IFERROR(__xludf.DUMMYFUNCTION("""COMPUTED_VALUE"""),109.83)</f>
        <v>109.83</v>
      </c>
      <c r="F2112" s="2">
        <f>IFERROR(__xludf.DUMMYFUNCTION("""COMPUTED_VALUE"""),649085.0)</f>
        <v>649085</v>
      </c>
    </row>
    <row r="2113">
      <c r="A2113" s="3">
        <f>IFERROR(__xludf.DUMMYFUNCTION("""COMPUTED_VALUE"""),39622.645833333336)</f>
        <v>39622.64583</v>
      </c>
      <c r="B2113" s="2">
        <f>IFERROR(__xludf.DUMMYFUNCTION("""COMPUTED_VALUE"""),107.5)</f>
        <v>107.5</v>
      </c>
      <c r="C2113" s="2">
        <f>IFERROR(__xludf.DUMMYFUNCTION("""COMPUTED_VALUE"""),111.99)</f>
        <v>111.99</v>
      </c>
      <c r="D2113" s="2">
        <f>IFERROR(__xludf.DUMMYFUNCTION("""COMPUTED_VALUE"""),107.5)</f>
        <v>107.5</v>
      </c>
      <c r="E2113" s="2">
        <f>IFERROR(__xludf.DUMMYFUNCTION("""COMPUTED_VALUE"""),109.56)</f>
        <v>109.56</v>
      </c>
      <c r="F2113" s="2">
        <f>IFERROR(__xludf.DUMMYFUNCTION("""COMPUTED_VALUE"""),743423.0)</f>
        <v>743423</v>
      </c>
    </row>
    <row r="2114">
      <c r="A2114" s="3">
        <f>IFERROR(__xludf.DUMMYFUNCTION("""COMPUTED_VALUE"""),39623.645833333336)</f>
        <v>39623.64583</v>
      </c>
      <c r="B2114" s="2">
        <f>IFERROR(__xludf.DUMMYFUNCTION("""COMPUTED_VALUE"""),108.0)</f>
        <v>108</v>
      </c>
      <c r="C2114" s="2">
        <f>IFERROR(__xludf.DUMMYFUNCTION("""COMPUTED_VALUE"""),110.89)</f>
        <v>110.89</v>
      </c>
      <c r="D2114" s="2">
        <f>IFERROR(__xludf.DUMMYFUNCTION("""COMPUTED_VALUE"""),104.2)</f>
        <v>104.2</v>
      </c>
      <c r="E2114" s="2">
        <f>IFERROR(__xludf.DUMMYFUNCTION("""COMPUTED_VALUE"""),105.97)</f>
        <v>105.97</v>
      </c>
      <c r="F2114" s="2">
        <f>IFERROR(__xludf.DUMMYFUNCTION("""COMPUTED_VALUE"""),361141.0)</f>
        <v>361141</v>
      </c>
    </row>
    <row r="2115">
      <c r="A2115" s="3">
        <f>IFERROR(__xludf.DUMMYFUNCTION("""COMPUTED_VALUE"""),39624.645833333336)</f>
        <v>39624.64583</v>
      </c>
      <c r="B2115" s="2">
        <f>IFERROR(__xludf.DUMMYFUNCTION("""COMPUTED_VALUE"""),104.0)</f>
        <v>104</v>
      </c>
      <c r="C2115" s="2">
        <f>IFERROR(__xludf.DUMMYFUNCTION("""COMPUTED_VALUE"""),108.18)</f>
        <v>108.18</v>
      </c>
      <c r="D2115" s="2">
        <f>IFERROR(__xludf.DUMMYFUNCTION("""COMPUTED_VALUE"""),101.52)</f>
        <v>101.52</v>
      </c>
      <c r="E2115" s="2">
        <f>IFERROR(__xludf.DUMMYFUNCTION("""COMPUTED_VALUE"""),107.44)</f>
        <v>107.44</v>
      </c>
      <c r="F2115" s="2">
        <f>IFERROR(__xludf.DUMMYFUNCTION("""COMPUTED_VALUE"""),1297176.0)</f>
        <v>1297176</v>
      </c>
    </row>
    <row r="2116">
      <c r="A2116" s="3">
        <f>IFERROR(__xludf.DUMMYFUNCTION("""COMPUTED_VALUE"""),39625.645833333336)</f>
        <v>39625.64583</v>
      </c>
      <c r="B2116" s="2">
        <f>IFERROR(__xludf.DUMMYFUNCTION("""COMPUTED_VALUE"""),108.09)</f>
        <v>108.09</v>
      </c>
      <c r="C2116" s="2">
        <f>IFERROR(__xludf.DUMMYFUNCTION("""COMPUTED_VALUE"""),109.88)</f>
        <v>109.88</v>
      </c>
      <c r="D2116" s="2">
        <f>IFERROR(__xludf.DUMMYFUNCTION("""COMPUTED_VALUE"""),104.01)</f>
        <v>104.01</v>
      </c>
      <c r="E2116" s="2">
        <f>IFERROR(__xludf.DUMMYFUNCTION("""COMPUTED_VALUE"""),106.05)</f>
        <v>106.05</v>
      </c>
      <c r="F2116" s="2">
        <f>IFERROR(__xludf.DUMMYFUNCTION("""COMPUTED_VALUE"""),1398717.0)</f>
        <v>1398717</v>
      </c>
    </row>
    <row r="2117">
      <c r="A2117" s="3">
        <f>IFERROR(__xludf.DUMMYFUNCTION("""COMPUTED_VALUE"""),39626.645833333336)</f>
        <v>39626.64583</v>
      </c>
      <c r="B2117" s="2">
        <f>IFERROR(__xludf.DUMMYFUNCTION("""COMPUTED_VALUE"""),104.9)</f>
        <v>104.9</v>
      </c>
      <c r="C2117" s="2">
        <f>IFERROR(__xludf.DUMMYFUNCTION("""COMPUTED_VALUE"""),104.9)</f>
        <v>104.9</v>
      </c>
      <c r="D2117" s="2">
        <f>IFERROR(__xludf.DUMMYFUNCTION("""COMPUTED_VALUE"""),99.6)</f>
        <v>99.6</v>
      </c>
      <c r="E2117" s="2">
        <f>IFERROR(__xludf.DUMMYFUNCTION("""COMPUTED_VALUE"""),102.16)</f>
        <v>102.16</v>
      </c>
      <c r="F2117" s="2">
        <f>IFERROR(__xludf.DUMMYFUNCTION("""COMPUTED_VALUE"""),1045901.0)</f>
        <v>1045901</v>
      </c>
    </row>
    <row r="2118">
      <c r="A2118" s="3">
        <f>IFERROR(__xludf.DUMMYFUNCTION("""COMPUTED_VALUE"""),39629.645833333336)</f>
        <v>39629.64583</v>
      </c>
      <c r="B2118" s="2">
        <f>IFERROR(__xludf.DUMMYFUNCTION("""COMPUTED_VALUE"""),101.0)</f>
        <v>101</v>
      </c>
      <c r="C2118" s="2">
        <f>IFERROR(__xludf.DUMMYFUNCTION("""COMPUTED_VALUE"""),101.54)</f>
        <v>101.54</v>
      </c>
      <c r="D2118" s="2">
        <f>IFERROR(__xludf.DUMMYFUNCTION("""COMPUTED_VALUE"""),99.5)</f>
        <v>99.5</v>
      </c>
      <c r="E2118" s="2">
        <f>IFERROR(__xludf.DUMMYFUNCTION("""COMPUTED_VALUE"""),100.74)</f>
        <v>100.74</v>
      </c>
      <c r="F2118" s="2">
        <f>IFERROR(__xludf.DUMMYFUNCTION("""COMPUTED_VALUE"""),671164.0)</f>
        <v>671164</v>
      </c>
    </row>
    <row r="2119">
      <c r="A2119" s="3">
        <f>IFERROR(__xludf.DUMMYFUNCTION("""COMPUTED_VALUE"""),39630.645833333336)</f>
        <v>39630.64583</v>
      </c>
      <c r="B2119" s="2">
        <f>IFERROR(__xludf.DUMMYFUNCTION("""COMPUTED_VALUE"""),101.5)</f>
        <v>101.5</v>
      </c>
      <c r="C2119" s="2">
        <f>IFERROR(__xludf.DUMMYFUNCTION("""COMPUTED_VALUE"""),101.5)</f>
        <v>101.5</v>
      </c>
      <c r="D2119" s="2">
        <f>IFERROR(__xludf.DUMMYFUNCTION("""COMPUTED_VALUE"""),95.01)</f>
        <v>95.01</v>
      </c>
      <c r="E2119" s="2">
        <f>IFERROR(__xludf.DUMMYFUNCTION("""COMPUTED_VALUE"""),96.53)</f>
        <v>96.53</v>
      </c>
      <c r="F2119" s="2">
        <f>IFERROR(__xludf.DUMMYFUNCTION("""COMPUTED_VALUE"""),1023168.0)</f>
        <v>1023168</v>
      </c>
    </row>
    <row r="2120">
      <c r="A2120" s="3">
        <f>IFERROR(__xludf.DUMMYFUNCTION("""COMPUTED_VALUE"""),39631.645833333336)</f>
        <v>39631.64583</v>
      </c>
      <c r="B2120" s="2">
        <f>IFERROR(__xludf.DUMMYFUNCTION("""COMPUTED_VALUE"""),96.5)</f>
        <v>96.5</v>
      </c>
      <c r="C2120" s="2">
        <f>IFERROR(__xludf.DUMMYFUNCTION("""COMPUTED_VALUE"""),105.0)</f>
        <v>105</v>
      </c>
      <c r="D2120" s="2">
        <f>IFERROR(__xludf.DUMMYFUNCTION("""COMPUTED_VALUE"""),95.8)</f>
        <v>95.8</v>
      </c>
      <c r="E2120" s="2">
        <f>IFERROR(__xludf.DUMMYFUNCTION("""COMPUTED_VALUE"""),102.76)</f>
        <v>102.76</v>
      </c>
      <c r="F2120" s="2">
        <f>IFERROR(__xludf.DUMMYFUNCTION("""COMPUTED_VALUE"""),904017.0)</f>
        <v>904017</v>
      </c>
    </row>
    <row r="2121">
      <c r="A2121" s="3">
        <f>IFERROR(__xludf.DUMMYFUNCTION("""COMPUTED_VALUE"""),39632.645833333336)</f>
        <v>39632.64583</v>
      </c>
      <c r="B2121" s="2">
        <f>IFERROR(__xludf.DUMMYFUNCTION("""COMPUTED_VALUE"""),101.8)</f>
        <v>101.8</v>
      </c>
      <c r="C2121" s="2">
        <f>IFERROR(__xludf.DUMMYFUNCTION("""COMPUTED_VALUE"""),102.0)</f>
        <v>102</v>
      </c>
      <c r="D2121" s="2">
        <f>IFERROR(__xludf.DUMMYFUNCTION("""COMPUTED_VALUE"""),94.5)</f>
        <v>94.5</v>
      </c>
      <c r="E2121" s="2">
        <f>IFERROR(__xludf.DUMMYFUNCTION("""COMPUTED_VALUE"""),98.45)</f>
        <v>98.45</v>
      </c>
      <c r="F2121" s="2">
        <f>IFERROR(__xludf.DUMMYFUNCTION("""COMPUTED_VALUE"""),1702189.0)</f>
        <v>1702189</v>
      </c>
    </row>
    <row r="2122">
      <c r="A2122" s="3">
        <f>IFERROR(__xludf.DUMMYFUNCTION("""COMPUTED_VALUE"""),39633.645833333336)</f>
        <v>39633.64583</v>
      </c>
      <c r="B2122" s="2">
        <f>IFERROR(__xludf.DUMMYFUNCTION("""COMPUTED_VALUE"""),98.62)</f>
        <v>98.62</v>
      </c>
      <c r="C2122" s="2">
        <f>IFERROR(__xludf.DUMMYFUNCTION("""COMPUTED_VALUE"""),100.7)</f>
        <v>100.7</v>
      </c>
      <c r="D2122" s="2">
        <f>IFERROR(__xludf.DUMMYFUNCTION("""COMPUTED_VALUE"""),98.31)</f>
        <v>98.31</v>
      </c>
      <c r="E2122" s="2">
        <f>IFERROR(__xludf.DUMMYFUNCTION("""COMPUTED_VALUE"""),100.03)</f>
        <v>100.03</v>
      </c>
      <c r="F2122" s="2">
        <f>IFERROR(__xludf.DUMMYFUNCTION("""COMPUTED_VALUE"""),1401513.0)</f>
        <v>1401513</v>
      </c>
    </row>
    <row r="2123">
      <c r="A2123" s="3">
        <f>IFERROR(__xludf.DUMMYFUNCTION("""COMPUTED_VALUE"""),39636.645833333336)</f>
        <v>39636.64583</v>
      </c>
      <c r="B2123" s="2">
        <f>IFERROR(__xludf.DUMMYFUNCTION("""COMPUTED_VALUE"""),100.0)</f>
        <v>100</v>
      </c>
      <c r="C2123" s="2">
        <f>IFERROR(__xludf.DUMMYFUNCTION("""COMPUTED_VALUE"""),105.0)</f>
        <v>105</v>
      </c>
      <c r="D2123" s="2">
        <f>IFERROR(__xludf.DUMMYFUNCTION("""COMPUTED_VALUE"""),99.63)</f>
        <v>99.63</v>
      </c>
      <c r="E2123" s="2">
        <f>IFERROR(__xludf.DUMMYFUNCTION("""COMPUTED_VALUE"""),100.54)</f>
        <v>100.54</v>
      </c>
      <c r="F2123" s="2">
        <f>IFERROR(__xludf.DUMMYFUNCTION("""COMPUTED_VALUE"""),1395633.0)</f>
        <v>1395633</v>
      </c>
    </row>
    <row r="2124">
      <c r="A2124" s="3">
        <f>IFERROR(__xludf.DUMMYFUNCTION("""COMPUTED_VALUE"""),39637.645833333336)</f>
        <v>39637.64583</v>
      </c>
      <c r="B2124" s="2">
        <f>IFERROR(__xludf.DUMMYFUNCTION("""COMPUTED_VALUE"""),100.0)</f>
        <v>100</v>
      </c>
      <c r="C2124" s="2">
        <f>IFERROR(__xludf.DUMMYFUNCTION("""COMPUTED_VALUE"""),102.97)</f>
        <v>102.97</v>
      </c>
      <c r="D2124" s="2">
        <f>IFERROR(__xludf.DUMMYFUNCTION("""COMPUTED_VALUE"""),96.0)</f>
        <v>96</v>
      </c>
      <c r="E2124" s="2">
        <f>IFERROR(__xludf.DUMMYFUNCTION("""COMPUTED_VALUE"""),100.18)</f>
        <v>100.18</v>
      </c>
      <c r="F2124" s="2">
        <f>IFERROR(__xludf.DUMMYFUNCTION("""COMPUTED_VALUE"""),1208192.0)</f>
        <v>1208192</v>
      </c>
    </row>
    <row r="2125">
      <c r="A2125" s="3">
        <f>IFERROR(__xludf.DUMMYFUNCTION("""COMPUTED_VALUE"""),39638.645833333336)</f>
        <v>39638.64583</v>
      </c>
      <c r="B2125" s="2">
        <f>IFERROR(__xludf.DUMMYFUNCTION("""COMPUTED_VALUE"""),102.9)</f>
        <v>102.9</v>
      </c>
      <c r="C2125" s="2">
        <f>IFERROR(__xludf.DUMMYFUNCTION("""COMPUTED_VALUE"""),106.69)</f>
        <v>106.69</v>
      </c>
      <c r="D2125" s="2">
        <f>IFERROR(__xludf.DUMMYFUNCTION("""COMPUTED_VALUE"""),100.03)</f>
        <v>100.03</v>
      </c>
      <c r="E2125" s="2">
        <f>IFERROR(__xludf.DUMMYFUNCTION("""COMPUTED_VALUE"""),105.83)</f>
        <v>105.83</v>
      </c>
      <c r="F2125" s="2">
        <f>IFERROR(__xludf.DUMMYFUNCTION("""COMPUTED_VALUE"""),2331386.0)</f>
        <v>2331386</v>
      </c>
    </row>
    <row r="2126">
      <c r="A2126" s="3">
        <f>IFERROR(__xludf.DUMMYFUNCTION("""COMPUTED_VALUE"""),39639.645833333336)</f>
        <v>39639.64583</v>
      </c>
      <c r="B2126" s="2">
        <f>IFERROR(__xludf.DUMMYFUNCTION("""COMPUTED_VALUE"""),105.0)</f>
        <v>105</v>
      </c>
      <c r="C2126" s="2">
        <f>IFERROR(__xludf.DUMMYFUNCTION("""COMPUTED_VALUE"""),107.65)</f>
        <v>107.65</v>
      </c>
      <c r="D2126" s="2">
        <f>IFERROR(__xludf.DUMMYFUNCTION("""COMPUTED_VALUE"""),103.13)</f>
        <v>103.13</v>
      </c>
      <c r="E2126" s="2">
        <f>IFERROR(__xludf.DUMMYFUNCTION("""COMPUTED_VALUE"""),105.42)</f>
        <v>105.42</v>
      </c>
      <c r="F2126" s="2">
        <f>IFERROR(__xludf.DUMMYFUNCTION("""COMPUTED_VALUE"""),1309515.0)</f>
        <v>1309515</v>
      </c>
    </row>
    <row r="2127">
      <c r="A2127" s="3">
        <f>IFERROR(__xludf.DUMMYFUNCTION("""COMPUTED_VALUE"""),39640.645833333336)</f>
        <v>39640.64583</v>
      </c>
      <c r="B2127" s="2">
        <f>IFERROR(__xludf.DUMMYFUNCTION("""COMPUTED_VALUE"""),104.5)</f>
        <v>104.5</v>
      </c>
      <c r="C2127" s="2">
        <f>IFERROR(__xludf.DUMMYFUNCTION("""COMPUTED_VALUE"""),107.5)</f>
        <v>107.5</v>
      </c>
      <c r="D2127" s="2">
        <f>IFERROR(__xludf.DUMMYFUNCTION("""COMPUTED_VALUE"""),103.51)</f>
        <v>103.51</v>
      </c>
      <c r="E2127" s="2">
        <f>IFERROR(__xludf.DUMMYFUNCTION("""COMPUTED_VALUE"""),106.78)</f>
        <v>106.78</v>
      </c>
      <c r="F2127" s="2">
        <f>IFERROR(__xludf.DUMMYFUNCTION("""COMPUTED_VALUE"""),1052482.0)</f>
        <v>1052482</v>
      </c>
    </row>
    <row r="2128">
      <c r="A2128" s="3">
        <f>IFERROR(__xludf.DUMMYFUNCTION("""COMPUTED_VALUE"""),39643.645833333336)</f>
        <v>39643.64583</v>
      </c>
      <c r="B2128" s="2">
        <f>IFERROR(__xludf.DUMMYFUNCTION("""COMPUTED_VALUE"""),106.78)</f>
        <v>106.78</v>
      </c>
      <c r="C2128" s="2">
        <f>IFERROR(__xludf.DUMMYFUNCTION("""COMPUTED_VALUE"""),107.0)</f>
        <v>107</v>
      </c>
      <c r="D2128" s="2">
        <f>IFERROR(__xludf.DUMMYFUNCTION("""COMPUTED_VALUE"""),101.13)</f>
        <v>101.13</v>
      </c>
      <c r="E2128" s="2">
        <f>IFERROR(__xludf.DUMMYFUNCTION("""COMPUTED_VALUE"""),103.17)</f>
        <v>103.17</v>
      </c>
      <c r="F2128" s="2">
        <f>IFERROR(__xludf.DUMMYFUNCTION("""COMPUTED_VALUE"""),964840.0)</f>
        <v>964840</v>
      </c>
    </row>
    <row r="2129">
      <c r="A2129" s="3">
        <f>IFERROR(__xludf.DUMMYFUNCTION("""COMPUTED_VALUE"""),39644.645833333336)</f>
        <v>39644.64583</v>
      </c>
      <c r="B2129" s="2">
        <f>IFERROR(__xludf.DUMMYFUNCTION("""COMPUTED_VALUE"""),101.98)</f>
        <v>101.98</v>
      </c>
      <c r="C2129" s="2">
        <f>IFERROR(__xludf.DUMMYFUNCTION("""COMPUTED_VALUE"""),101.98)</f>
        <v>101.98</v>
      </c>
      <c r="D2129" s="2">
        <f>IFERROR(__xludf.DUMMYFUNCTION("""COMPUTED_VALUE"""),91.2)</f>
        <v>91.2</v>
      </c>
      <c r="E2129" s="2">
        <f>IFERROR(__xludf.DUMMYFUNCTION("""COMPUTED_VALUE"""),91.82)</f>
        <v>91.82</v>
      </c>
      <c r="F2129" s="2">
        <f>IFERROR(__xludf.DUMMYFUNCTION("""COMPUTED_VALUE"""),1856079.0)</f>
        <v>1856079</v>
      </c>
    </row>
    <row r="2130">
      <c r="A2130" s="3">
        <f>IFERROR(__xludf.DUMMYFUNCTION("""COMPUTED_VALUE"""),39645.645833333336)</f>
        <v>39645.64583</v>
      </c>
      <c r="B2130" s="2">
        <f>IFERROR(__xludf.DUMMYFUNCTION("""COMPUTED_VALUE"""),91.8)</f>
        <v>91.8</v>
      </c>
      <c r="C2130" s="2">
        <f>IFERROR(__xludf.DUMMYFUNCTION("""COMPUTED_VALUE"""),94.0)</f>
        <v>94</v>
      </c>
      <c r="D2130" s="2">
        <f>IFERROR(__xludf.DUMMYFUNCTION("""COMPUTED_VALUE"""),89.23)</f>
        <v>89.23</v>
      </c>
      <c r="E2130" s="2">
        <f>IFERROR(__xludf.DUMMYFUNCTION("""COMPUTED_VALUE"""),90.36)</f>
        <v>90.36</v>
      </c>
      <c r="F2130" s="2">
        <f>IFERROR(__xludf.DUMMYFUNCTION("""COMPUTED_VALUE"""),1091585.0)</f>
        <v>1091585</v>
      </c>
    </row>
    <row r="2131">
      <c r="A2131" s="3">
        <f>IFERROR(__xludf.DUMMYFUNCTION("""COMPUTED_VALUE"""),39646.645833333336)</f>
        <v>39646.64583</v>
      </c>
      <c r="B2131" s="2">
        <f>IFERROR(__xludf.DUMMYFUNCTION("""COMPUTED_VALUE"""),94.88)</f>
        <v>94.88</v>
      </c>
      <c r="C2131" s="2">
        <f>IFERROR(__xludf.DUMMYFUNCTION("""COMPUTED_VALUE"""),97.9)</f>
        <v>97.9</v>
      </c>
      <c r="D2131" s="2">
        <f>IFERROR(__xludf.DUMMYFUNCTION("""COMPUTED_VALUE"""),94.8)</f>
        <v>94.8</v>
      </c>
      <c r="E2131" s="2">
        <f>IFERROR(__xludf.DUMMYFUNCTION("""COMPUTED_VALUE"""),95.87)</f>
        <v>95.87</v>
      </c>
      <c r="F2131" s="2">
        <f>IFERROR(__xludf.DUMMYFUNCTION("""COMPUTED_VALUE"""),2324450.0)</f>
        <v>2324450</v>
      </c>
    </row>
    <row r="2132">
      <c r="A2132" s="3">
        <f>IFERROR(__xludf.DUMMYFUNCTION("""COMPUTED_VALUE"""),39647.645833333336)</f>
        <v>39647.64583</v>
      </c>
      <c r="B2132" s="2">
        <f>IFERROR(__xludf.DUMMYFUNCTION("""COMPUTED_VALUE"""),97.37)</f>
        <v>97.37</v>
      </c>
      <c r="C2132" s="2">
        <f>IFERROR(__xludf.DUMMYFUNCTION("""COMPUTED_VALUE"""),104.3)</f>
        <v>104.3</v>
      </c>
      <c r="D2132" s="2">
        <f>IFERROR(__xludf.DUMMYFUNCTION("""COMPUTED_VALUE"""),97.37)</f>
        <v>97.37</v>
      </c>
      <c r="E2132" s="2">
        <f>IFERROR(__xludf.DUMMYFUNCTION("""COMPUTED_VALUE"""),103.45)</f>
        <v>103.45</v>
      </c>
      <c r="F2132" s="2">
        <f>IFERROR(__xludf.DUMMYFUNCTION("""COMPUTED_VALUE"""),2833915.0)</f>
        <v>2833915</v>
      </c>
    </row>
    <row r="2133">
      <c r="A2133" s="3">
        <f>IFERROR(__xludf.DUMMYFUNCTION("""COMPUTED_VALUE"""),39650.645833333336)</f>
        <v>39650.64583</v>
      </c>
      <c r="B2133" s="2">
        <f>IFERROR(__xludf.DUMMYFUNCTION("""COMPUTED_VALUE"""),105.0)</f>
        <v>105</v>
      </c>
      <c r="C2133" s="2">
        <f>IFERROR(__xludf.DUMMYFUNCTION("""COMPUTED_VALUE"""),109.39)</f>
        <v>109.39</v>
      </c>
      <c r="D2133" s="2">
        <f>IFERROR(__xludf.DUMMYFUNCTION("""COMPUTED_VALUE"""),104.52)</f>
        <v>104.52</v>
      </c>
      <c r="E2133" s="2">
        <f>IFERROR(__xludf.DUMMYFUNCTION("""COMPUTED_VALUE"""),108.37)</f>
        <v>108.37</v>
      </c>
      <c r="F2133" s="2">
        <f>IFERROR(__xludf.DUMMYFUNCTION("""COMPUTED_VALUE"""),1236512.0)</f>
        <v>1236512</v>
      </c>
    </row>
    <row r="2134">
      <c r="A2134" s="3">
        <f>IFERROR(__xludf.DUMMYFUNCTION("""COMPUTED_VALUE"""),39651.645833333336)</f>
        <v>39651.64583</v>
      </c>
      <c r="B2134" s="2">
        <f>IFERROR(__xludf.DUMMYFUNCTION("""COMPUTED_VALUE"""),107.01)</f>
        <v>107.01</v>
      </c>
      <c r="C2134" s="2">
        <f>IFERROR(__xludf.DUMMYFUNCTION("""COMPUTED_VALUE"""),117.51)</f>
        <v>117.51</v>
      </c>
      <c r="D2134" s="2">
        <f>IFERROR(__xludf.DUMMYFUNCTION("""COMPUTED_VALUE"""),107.01)</f>
        <v>107.01</v>
      </c>
      <c r="E2134" s="2">
        <f>IFERROR(__xludf.DUMMYFUNCTION("""COMPUTED_VALUE"""),110.13)</f>
        <v>110.13</v>
      </c>
      <c r="F2134" s="2">
        <f>IFERROR(__xludf.DUMMYFUNCTION("""COMPUTED_VALUE"""),2257418.0)</f>
        <v>2257418</v>
      </c>
    </row>
    <row r="2135">
      <c r="A2135" s="3">
        <f>IFERROR(__xludf.DUMMYFUNCTION("""COMPUTED_VALUE"""),39652.645833333336)</f>
        <v>39652.64583</v>
      </c>
      <c r="B2135" s="2">
        <f>IFERROR(__xludf.DUMMYFUNCTION("""COMPUTED_VALUE"""),113.55)</f>
        <v>113.55</v>
      </c>
      <c r="C2135" s="2">
        <f>IFERROR(__xludf.DUMMYFUNCTION("""COMPUTED_VALUE"""),121.5)</f>
        <v>121.5</v>
      </c>
      <c r="D2135" s="2">
        <f>IFERROR(__xludf.DUMMYFUNCTION("""COMPUTED_VALUE"""),113.55)</f>
        <v>113.55</v>
      </c>
      <c r="E2135" s="2">
        <f>IFERROR(__xludf.DUMMYFUNCTION("""COMPUTED_VALUE"""),120.46)</f>
        <v>120.46</v>
      </c>
      <c r="F2135" s="2">
        <f>IFERROR(__xludf.DUMMYFUNCTION("""COMPUTED_VALUE"""),2378348.0)</f>
        <v>2378348</v>
      </c>
    </row>
    <row r="2136">
      <c r="A2136" s="3">
        <f>IFERROR(__xludf.DUMMYFUNCTION("""COMPUTED_VALUE"""),39653.645833333336)</f>
        <v>39653.64583</v>
      </c>
      <c r="B2136" s="2">
        <f>IFERROR(__xludf.DUMMYFUNCTION("""COMPUTED_VALUE"""),124.4)</f>
        <v>124.4</v>
      </c>
      <c r="C2136" s="2">
        <f>IFERROR(__xludf.DUMMYFUNCTION("""COMPUTED_VALUE"""),124.9)</f>
        <v>124.9</v>
      </c>
      <c r="D2136" s="2">
        <f>IFERROR(__xludf.DUMMYFUNCTION("""COMPUTED_VALUE"""),118.55)</f>
        <v>118.55</v>
      </c>
      <c r="E2136" s="2">
        <f>IFERROR(__xludf.DUMMYFUNCTION("""COMPUTED_VALUE"""),121.39)</f>
        <v>121.39</v>
      </c>
      <c r="F2136" s="2">
        <f>IFERROR(__xludf.DUMMYFUNCTION("""COMPUTED_VALUE"""),1323033.0)</f>
        <v>1323033</v>
      </c>
    </row>
    <row r="2137">
      <c r="A2137" s="3">
        <f>IFERROR(__xludf.DUMMYFUNCTION("""COMPUTED_VALUE"""),39654.645833333336)</f>
        <v>39654.64583</v>
      </c>
      <c r="B2137" s="2">
        <f>IFERROR(__xludf.DUMMYFUNCTION("""COMPUTED_VALUE"""),115.32)</f>
        <v>115.32</v>
      </c>
      <c r="C2137" s="2">
        <f>IFERROR(__xludf.DUMMYFUNCTION("""COMPUTED_VALUE"""),119.47)</f>
        <v>119.47</v>
      </c>
      <c r="D2137" s="2">
        <f>IFERROR(__xludf.DUMMYFUNCTION("""COMPUTED_VALUE"""),111.8)</f>
        <v>111.8</v>
      </c>
      <c r="E2137" s="2">
        <f>IFERROR(__xludf.DUMMYFUNCTION("""COMPUTED_VALUE"""),112.65)</f>
        <v>112.65</v>
      </c>
      <c r="F2137" s="2">
        <f>IFERROR(__xludf.DUMMYFUNCTION("""COMPUTED_VALUE"""),2006208.0)</f>
        <v>2006208</v>
      </c>
    </row>
    <row r="2138">
      <c r="A2138" s="3">
        <f>IFERROR(__xludf.DUMMYFUNCTION("""COMPUTED_VALUE"""),39657.645833333336)</f>
        <v>39657.64583</v>
      </c>
      <c r="B2138" s="2">
        <f>IFERROR(__xludf.DUMMYFUNCTION("""COMPUTED_VALUE"""),112.65)</f>
        <v>112.65</v>
      </c>
      <c r="C2138" s="2">
        <f>IFERROR(__xludf.DUMMYFUNCTION("""COMPUTED_VALUE"""),115.47)</f>
        <v>115.47</v>
      </c>
      <c r="D2138" s="2">
        <f>IFERROR(__xludf.DUMMYFUNCTION("""COMPUTED_VALUE"""),111.0)</f>
        <v>111</v>
      </c>
      <c r="E2138" s="2">
        <f>IFERROR(__xludf.DUMMYFUNCTION("""COMPUTED_VALUE"""),112.72)</f>
        <v>112.72</v>
      </c>
      <c r="F2138" s="2">
        <f>IFERROR(__xludf.DUMMYFUNCTION("""COMPUTED_VALUE"""),1488402.0)</f>
        <v>1488402</v>
      </c>
    </row>
    <row r="2139">
      <c r="A2139" s="3">
        <f>IFERROR(__xludf.DUMMYFUNCTION("""COMPUTED_VALUE"""),39658.645833333336)</f>
        <v>39658.64583</v>
      </c>
      <c r="B2139" s="2">
        <f>IFERROR(__xludf.DUMMYFUNCTION("""COMPUTED_VALUE"""),111.97)</f>
        <v>111.97</v>
      </c>
      <c r="C2139" s="2">
        <f>IFERROR(__xludf.DUMMYFUNCTION("""COMPUTED_VALUE"""),111.97)</f>
        <v>111.97</v>
      </c>
      <c r="D2139" s="2">
        <f>IFERROR(__xludf.DUMMYFUNCTION("""COMPUTED_VALUE"""),100.3)</f>
        <v>100.3</v>
      </c>
      <c r="E2139" s="2">
        <f>IFERROR(__xludf.DUMMYFUNCTION("""COMPUTED_VALUE"""),102.93)</f>
        <v>102.93</v>
      </c>
      <c r="F2139" s="2">
        <f>IFERROR(__xludf.DUMMYFUNCTION("""COMPUTED_VALUE"""),2473541.0)</f>
        <v>2473541</v>
      </c>
    </row>
    <row r="2140">
      <c r="A2140" s="3">
        <f>IFERROR(__xludf.DUMMYFUNCTION("""COMPUTED_VALUE"""),39659.645833333336)</f>
        <v>39659.64583</v>
      </c>
      <c r="B2140" s="2">
        <f>IFERROR(__xludf.DUMMYFUNCTION("""COMPUTED_VALUE"""),105.0)</f>
        <v>105</v>
      </c>
      <c r="C2140" s="2">
        <f>IFERROR(__xludf.DUMMYFUNCTION("""COMPUTED_VALUE"""),110.5)</f>
        <v>110.5</v>
      </c>
      <c r="D2140" s="2">
        <f>IFERROR(__xludf.DUMMYFUNCTION("""COMPUTED_VALUE"""),104.5)</f>
        <v>104.5</v>
      </c>
      <c r="E2140" s="2">
        <f>IFERROR(__xludf.DUMMYFUNCTION("""COMPUTED_VALUE"""),109.41)</f>
        <v>109.41</v>
      </c>
      <c r="F2140" s="2">
        <f>IFERROR(__xludf.DUMMYFUNCTION("""COMPUTED_VALUE"""),1811777.0)</f>
        <v>1811777</v>
      </c>
    </row>
    <row r="2141">
      <c r="A2141" s="3">
        <f>IFERROR(__xludf.DUMMYFUNCTION("""COMPUTED_VALUE"""),39660.645833333336)</f>
        <v>39660.64583</v>
      </c>
      <c r="B2141" s="2">
        <f>IFERROR(__xludf.DUMMYFUNCTION("""COMPUTED_VALUE"""),110.0)</f>
        <v>110</v>
      </c>
      <c r="C2141" s="2">
        <f>IFERROR(__xludf.DUMMYFUNCTION("""COMPUTED_VALUE"""),112.88)</f>
        <v>112.88</v>
      </c>
      <c r="D2141" s="2">
        <f>IFERROR(__xludf.DUMMYFUNCTION("""COMPUTED_VALUE"""),105.83)</f>
        <v>105.83</v>
      </c>
      <c r="E2141" s="2">
        <f>IFERROR(__xludf.DUMMYFUNCTION("""COMPUTED_VALUE"""),109.82)</f>
        <v>109.82</v>
      </c>
      <c r="F2141" s="2">
        <f>IFERROR(__xludf.DUMMYFUNCTION("""COMPUTED_VALUE"""),1803975.0)</f>
        <v>1803975</v>
      </c>
    </row>
    <row r="2142">
      <c r="A2142" s="3">
        <f>IFERROR(__xludf.DUMMYFUNCTION("""COMPUTED_VALUE"""),39661.645833333336)</f>
        <v>39661.64583</v>
      </c>
      <c r="B2142" s="2">
        <f>IFERROR(__xludf.DUMMYFUNCTION("""COMPUTED_VALUE"""),109.47)</f>
        <v>109.47</v>
      </c>
      <c r="C2142" s="2">
        <f>IFERROR(__xludf.DUMMYFUNCTION("""COMPUTED_VALUE"""),112.5)</f>
        <v>112.5</v>
      </c>
      <c r="D2142" s="2">
        <f>IFERROR(__xludf.DUMMYFUNCTION("""COMPUTED_VALUE"""),102.63)</f>
        <v>102.63</v>
      </c>
      <c r="E2142" s="2">
        <f>IFERROR(__xludf.DUMMYFUNCTION("""COMPUTED_VALUE"""),110.83)</f>
        <v>110.83</v>
      </c>
      <c r="F2142" s="2">
        <f>IFERROR(__xludf.DUMMYFUNCTION("""COMPUTED_VALUE"""),3068500.0)</f>
        <v>3068500</v>
      </c>
    </row>
    <row r="2143">
      <c r="A2143" s="3">
        <f>IFERROR(__xludf.DUMMYFUNCTION("""COMPUTED_VALUE"""),39664.645833333336)</f>
        <v>39664.64583</v>
      </c>
      <c r="B2143" s="2">
        <f>IFERROR(__xludf.DUMMYFUNCTION("""COMPUTED_VALUE"""),111.02)</f>
        <v>111.02</v>
      </c>
      <c r="C2143" s="2">
        <f>IFERROR(__xludf.DUMMYFUNCTION("""COMPUTED_VALUE"""),113.45)</f>
        <v>113.45</v>
      </c>
      <c r="D2143" s="2">
        <f>IFERROR(__xludf.DUMMYFUNCTION("""COMPUTED_VALUE"""),109.53)</f>
        <v>109.53</v>
      </c>
      <c r="E2143" s="2">
        <f>IFERROR(__xludf.DUMMYFUNCTION("""COMPUTED_VALUE"""),110.88)</f>
        <v>110.88</v>
      </c>
      <c r="F2143" s="2">
        <f>IFERROR(__xludf.DUMMYFUNCTION("""COMPUTED_VALUE"""),1005693.0)</f>
        <v>1005693</v>
      </c>
    </row>
    <row r="2144">
      <c r="A2144" s="3">
        <f>IFERROR(__xludf.DUMMYFUNCTION("""COMPUTED_VALUE"""),39665.645833333336)</f>
        <v>39665.64583</v>
      </c>
      <c r="B2144" s="2">
        <f>IFERROR(__xludf.DUMMYFUNCTION("""COMPUTED_VALUE"""),110.03)</f>
        <v>110.03</v>
      </c>
      <c r="C2144" s="2">
        <f>IFERROR(__xludf.DUMMYFUNCTION("""COMPUTED_VALUE"""),119.5)</f>
        <v>119.5</v>
      </c>
      <c r="D2144" s="2">
        <f>IFERROR(__xludf.DUMMYFUNCTION("""COMPUTED_VALUE"""),109.8)</f>
        <v>109.8</v>
      </c>
      <c r="E2144" s="2">
        <f>IFERROR(__xludf.DUMMYFUNCTION("""COMPUTED_VALUE"""),118.45)</f>
        <v>118.45</v>
      </c>
      <c r="F2144" s="2">
        <f>IFERROR(__xludf.DUMMYFUNCTION("""COMPUTED_VALUE"""),2085817.0)</f>
        <v>2085817</v>
      </c>
    </row>
    <row r="2145">
      <c r="A2145" s="3">
        <f>IFERROR(__xludf.DUMMYFUNCTION("""COMPUTED_VALUE"""),39666.645833333336)</f>
        <v>39666.64583</v>
      </c>
      <c r="B2145" s="2">
        <f>IFERROR(__xludf.DUMMYFUNCTION("""COMPUTED_VALUE"""),121.2)</f>
        <v>121.2</v>
      </c>
      <c r="C2145" s="2">
        <f>IFERROR(__xludf.DUMMYFUNCTION("""COMPUTED_VALUE"""),129.33)</f>
        <v>129.33</v>
      </c>
      <c r="D2145" s="2">
        <f>IFERROR(__xludf.DUMMYFUNCTION("""COMPUTED_VALUE"""),119.77)</f>
        <v>119.77</v>
      </c>
      <c r="E2145" s="2">
        <f>IFERROR(__xludf.DUMMYFUNCTION("""COMPUTED_VALUE"""),121.64)</f>
        <v>121.64</v>
      </c>
      <c r="F2145" s="2">
        <f>IFERROR(__xludf.DUMMYFUNCTION("""COMPUTED_VALUE"""),3327380.0)</f>
        <v>3327380</v>
      </c>
    </row>
    <row r="2146">
      <c r="A2146" s="3">
        <f>IFERROR(__xludf.DUMMYFUNCTION("""COMPUTED_VALUE"""),39667.645833333336)</f>
        <v>39667.64583</v>
      </c>
      <c r="B2146" s="2">
        <f>IFERROR(__xludf.DUMMYFUNCTION("""COMPUTED_VALUE"""),120.0)</f>
        <v>120</v>
      </c>
      <c r="C2146" s="2">
        <f>IFERROR(__xludf.DUMMYFUNCTION("""COMPUTED_VALUE"""),126.5)</f>
        <v>126.5</v>
      </c>
      <c r="D2146" s="2">
        <f>IFERROR(__xludf.DUMMYFUNCTION("""COMPUTED_VALUE"""),120.0)</f>
        <v>120</v>
      </c>
      <c r="E2146" s="2">
        <f>IFERROR(__xludf.DUMMYFUNCTION("""COMPUTED_VALUE"""),125.27)</f>
        <v>125.27</v>
      </c>
      <c r="F2146" s="2">
        <f>IFERROR(__xludf.DUMMYFUNCTION("""COMPUTED_VALUE"""),1889753.0)</f>
        <v>1889753</v>
      </c>
    </row>
    <row r="2147">
      <c r="A2147" s="3">
        <f>IFERROR(__xludf.DUMMYFUNCTION("""COMPUTED_VALUE"""),39668.645833333336)</f>
        <v>39668.64583</v>
      </c>
      <c r="B2147" s="2">
        <f>IFERROR(__xludf.DUMMYFUNCTION("""COMPUTED_VALUE"""),125.0)</f>
        <v>125</v>
      </c>
      <c r="C2147" s="2">
        <f>IFERROR(__xludf.DUMMYFUNCTION("""COMPUTED_VALUE"""),129.5)</f>
        <v>129.5</v>
      </c>
      <c r="D2147" s="2">
        <f>IFERROR(__xludf.DUMMYFUNCTION("""COMPUTED_VALUE"""),122.6)</f>
        <v>122.6</v>
      </c>
      <c r="E2147" s="2">
        <f>IFERROR(__xludf.DUMMYFUNCTION("""COMPUTED_VALUE"""),128.31)</f>
        <v>128.31</v>
      </c>
      <c r="F2147" s="2">
        <f>IFERROR(__xludf.DUMMYFUNCTION("""COMPUTED_VALUE"""),2124352.0)</f>
        <v>2124352</v>
      </c>
    </row>
    <row r="2148">
      <c r="A2148" s="3">
        <f>IFERROR(__xludf.DUMMYFUNCTION("""COMPUTED_VALUE"""),39671.645833333336)</f>
        <v>39671.64583</v>
      </c>
      <c r="B2148" s="2">
        <f>IFERROR(__xludf.DUMMYFUNCTION("""COMPUTED_VALUE"""),132.98)</f>
        <v>132.98</v>
      </c>
      <c r="C2148" s="2">
        <f>IFERROR(__xludf.DUMMYFUNCTION("""COMPUTED_VALUE"""),133.58)</f>
        <v>133.58</v>
      </c>
      <c r="D2148" s="2">
        <f>IFERROR(__xludf.DUMMYFUNCTION("""COMPUTED_VALUE"""),129.1)</f>
        <v>129.1</v>
      </c>
      <c r="E2148" s="2">
        <f>IFERROR(__xludf.DUMMYFUNCTION("""COMPUTED_VALUE"""),131.15)</f>
        <v>131.15</v>
      </c>
      <c r="F2148" s="2">
        <f>IFERROR(__xludf.DUMMYFUNCTION("""COMPUTED_VALUE"""),2662865.0)</f>
        <v>2662865</v>
      </c>
    </row>
    <row r="2149">
      <c r="A2149" s="3">
        <f>IFERROR(__xludf.DUMMYFUNCTION("""COMPUTED_VALUE"""),39672.645833333336)</f>
        <v>39672.64583</v>
      </c>
      <c r="B2149" s="2">
        <f>IFERROR(__xludf.DUMMYFUNCTION("""COMPUTED_VALUE"""),131.2)</f>
        <v>131.2</v>
      </c>
      <c r="C2149" s="2">
        <f>IFERROR(__xludf.DUMMYFUNCTION("""COMPUTED_VALUE"""),132.0)</f>
        <v>132</v>
      </c>
      <c r="D2149" s="2">
        <f>IFERROR(__xludf.DUMMYFUNCTION("""COMPUTED_VALUE"""),125.52)</f>
        <v>125.52</v>
      </c>
      <c r="E2149" s="2">
        <f>IFERROR(__xludf.DUMMYFUNCTION("""COMPUTED_VALUE"""),126.51)</f>
        <v>126.51</v>
      </c>
      <c r="F2149" s="2">
        <f>IFERROR(__xludf.DUMMYFUNCTION("""COMPUTED_VALUE"""),1359604.0)</f>
        <v>1359604</v>
      </c>
    </row>
    <row r="2150">
      <c r="A2150" s="3">
        <f>IFERROR(__xludf.DUMMYFUNCTION("""COMPUTED_VALUE"""),39673.645833333336)</f>
        <v>39673.64583</v>
      </c>
      <c r="B2150" s="2">
        <f>IFERROR(__xludf.DUMMYFUNCTION("""COMPUTED_VALUE"""),124.13)</f>
        <v>124.13</v>
      </c>
      <c r="C2150" s="2">
        <f>IFERROR(__xludf.DUMMYFUNCTION("""COMPUTED_VALUE"""),125.0)</f>
        <v>125</v>
      </c>
      <c r="D2150" s="2">
        <f>IFERROR(__xludf.DUMMYFUNCTION("""COMPUTED_VALUE"""),121.23)</f>
        <v>121.23</v>
      </c>
      <c r="E2150" s="2">
        <f>IFERROR(__xludf.DUMMYFUNCTION("""COMPUTED_VALUE"""),121.74)</f>
        <v>121.74</v>
      </c>
      <c r="F2150" s="2">
        <f>IFERROR(__xludf.DUMMYFUNCTION("""COMPUTED_VALUE"""),1215999.0)</f>
        <v>1215999</v>
      </c>
    </row>
    <row r="2151">
      <c r="A2151" s="3">
        <f>IFERROR(__xludf.DUMMYFUNCTION("""COMPUTED_VALUE"""),39674.645833333336)</f>
        <v>39674.64583</v>
      </c>
      <c r="B2151" s="2">
        <f>IFERROR(__xludf.DUMMYFUNCTION("""COMPUTED_VALUE"""),121.74)</f>
        <v>121.74</v>
      </c>
      <c r="C2151" s="2">
        <f>IFERROR(__xludf.DUMMYFUNCTION("""COMPUTED_VALUE"""),121.74)</f>
        <v>121.74</v>
      </c>
      <c r="D2151" s="2">
        <f>IFERROR(__xludf.DUMMYFUNCTION("""COMPUTED_VALUE"""),116.5)</f>
        <v>116.5</v>
      </c>
      <c r="E2151" s="2">
        <f>IFERROR(__xludf.DUMMYFUNCTION("""COMPUTED_VALUE"""),117.48)</f>
        <v>117.48</v>
      </c>
      <c r="F2151" s="2">
        <f>IFERROR(__xludf.DUMMYFUNCTION("""COMPUTED_VALUE"""),974292.0)</f>
        <v>974292</v>
      </c>
    </row>
    <row r="2152">
      <c r="A2152" s="3">
        <f>IFERROR(__xludf.DUMMYFUNCTION("""COMPUTED_VALUE"""),39678.645833333336)</f>
        <v>39678.64583</v>
      </c>
      <c r="B2152" s="2">
        <f>IFERROR(__xludf.DUMMYFUNCTION("""COMPUTED_VALUE"""),116.9)</f>
        <v>116.9</v>
      </c>
      <c r="C2152" s="2">
        <f>IFERROR(__xludf.DUMMYFUNCTION("""COMPUTED_VALUE"""),122.38)</f>
        <v>122.38</v>
      </c>
      <c r="D2152" s="2">
        <f>IFERROR(__xludf.DUMMYFUNCTION("""COMPUTED_VALUE"""),116.04)</f>
        <v>116.04</v>
      </c>
      <c r="E2152" s="2">
        <f>IFERROR(__xludf.DUMMYFUNCTION("""COMPUTED_VALUE"""),120.36)</f>
        <v>120.36</v>
      </c>
      <c r="F2152" s="2">
        <f>IFERROR(__xludf.DUMMYFUNCTION("""COMPUTED_VALUE"""),1504694.0)</f>
        <v>1504694</v>
      </c>
    </row>
    <row r="2153">
      <c r="A2153" s="3">
        <f>IFERROR(__xludf.DUMMYFUNCTION("""COMPUTED_VALUE"""),39679.645833333336)</f>
        <v>39679.64583</v>
      </c>
      <c r="B2153" s="2">
        <f>IFERROR(__xludf.DUMMYFUNCTION("""COMPUTED_VALUE"""),119.0)</f>
        <v>119</v>
      </c>
      <c r="C2153" s="2">
        <f>IFERROR(__xludf.DUMMYFUNCTION("""COMPUTED_VALUE"""),121.0)</f>
        <v>121</v>
      </c>
      <c r="D2153" s="2">
        <f>IFERROR(__xludf.DUMMYFUNCTION("""COMPUTED_VALUE"""),116.63)</f>
        <v>116.63</v>
      </c>
      <c r="E2153" s="2">
        <f>IFERROR(__xludf.DUMMYFUNCTION("""COMPUTED_VALUE"""),120.69)</f>
        <v>120.69</v>
      </c>
      <c r="F2153" s="2">
        <f>IFERROR(__xludf.DUMMYFUNCTION("""COMPUTED_VALUE"""),918024.0)</f>
        <v>918024</v>
      </c>
    </row>
    <row r="2154">
      <c r="A2154" s="3">
        <f>IFERROR(__xludf.DUMMYFUNCTION("""COMPUTED_VALUE"""),39680.645833333336)</f>
        <v>39680.64583</v>
      </c>
      <c r="B2154" s="2">
        <f>IFERROR(__xludf.DUMMYFUNCTION("""COMPUTED_VALUE"""),121.22)</f>
        <v>121.22</v>
      </c>
      <c r="C2154" s="2">
        <f>IFERROR(__xludf.DUMMYFUNCTION("""COMPUTED_VALUE"""),124.8)</f>
        <v>124.8</v>
      </c>
      <c r="D2154" s="2">
        <f>IFERROR(__xludf.DUMMYFUNCTION("""COMPUTED_VALUE"""),120.14)</f>
        <v>120.14</v>
      </c>
      <c r="E2154" s="2">
        <f>IFERROR(__xludf.DUMMYFUNCTION("""COMPUTED_VALUE"""),123.82)</f>
        <v>123.82</v>
      </c>
      <c r="F2154" s="2">
        <f>IFERROR(__xludf.DUMMYFUNCTION("""COMPUTED_VALUE"""),1090954.0)</f>
        <v>1090954</v>
      </c>
    </row>
    <row r="2155">
      <c r="A2155" s="3">
        <f>IFERROR(__xludf.DUMMYFUNCTION("""COMPUTED_VALUE"""),39681.645833333336)</f>
        <v>39681.64583</v>
      </c>
      <c r="B2155" s="2">
        <f>IFERROR(__xludf.DUMMYFUNCTION("""COMPUTED_VALUE"""),123.2)</f>
        <v>123.2</v>
      </c>
      <c r="C2155" s="2">
        <f>IFERROR(__xludf.DUMMYFUNCTION("""COMPUTED_VALUE"""),124.0)</f>
        <v>124</v>
      </c>
      <c r="D2155" s="2">
        <f>IFERROR(__xludf.DUMMYFUNCTION("""COMPUTED_VALUE"""),116.05)</f>
        <v>116.05</v>
      </c>
      <c r="E2155" s="2">
        <f>IFERROR(__xludf.DUMMYFUNCTION("""COMPUTED_VALUE"""),116.64)</f>
        <v>116.64</v>
      </c>
      <c r="F2155" s="2">
        <f>IFERROR(__xludf.DUMMYFUNCTION("""COMPUTED_VALUE"""),694118.0)</f>
        <v>694118</v>
      </c>
    </row>
    <row r="2156">
      <c r="A2156" s="3">
        <f>IFERROR(__xludf.DUMMYFUNCTION("""COMPUTED_VALUE"""),39682.645833333336)</f>
        <v>39682.64583</v>
      </c>
      <c r="B2156" s="2">
        <f>IFERROR(__xludf.DUMMYFUNCTION("""COMPUTED_VALUE"""),116.0)</f>
        <v>116</v>
      </c>
      <c r="C2156" s="2">
        <f>IFERROR(__xludf.DUMMYFUNCTION("""COMPUTED_VALUE"""),119.8)</f>
        <v>119.8</v>
      </c>
      <c r="D2156" s="2">
        <f>IFERROR(__xludf.DUMMYFUNCTION("""COMPUTED_VALUE"""),115.1)</f>
        <v>115.1</v>
      </c>
      <c r="E2156" s="2">
        <f>IFERROR(__xludf.DUMMYFUNCTION("""COMPUTED_VALUE"""),119.4)</f>
        <v>119.4</v>
      </c>
      <c r="F2156" s="2">
        <f>IFERROR(__xludf.DUMMYFUNCTION("""COMPUTED_VALUE"""),1006219.0)</f>
        <v>1006219</v>
      </c>
    </row>
    <row r="2157">
      <c r="A2157" s="3">
        <f>IFERROR(__xludf.DUMMYFUNCTION("""COMPUTED_VALUE"""),39685.645833333336)</f>
        <v>39685.64583</v>
      </c>
      <c r="B2157" s="2">
        <f>IFERROR(__xludf.DUMMYFUNCTION("""COMPUTED_VALUE"""),121.01)</f>
        <v>121.01</v>
      </c>
      <c r="C2157" s="2">
        <f>IFERROR(__xludf.DUMMYFUNCTION("""COMPUTED_VALUE"""),124.18)</f>
        <v>124.18</v>
      </c>
      <c r="D2157" s="2">
        <f>IFERROR(__xludf.DUMMYFUNCTION("""COMPUTED_VALUE"""),120.43)</f>
        <v>120.43</v>
      </c>
      <c r="E2157" s="2">
        <f>IFERROR(__xludf.DUMMYFUNCTION("""COMPUTED_VALUE"""),120.77)</f>
        <v>120.77</v>
      </c>
      <c r="F2157" s="2">
        <f>IFERROR(__xludf.DUMMYFUNCTION("""COMPUTED_VALUE"""),753135.0)</f>
        <v>753135</v>
      </c>
    </row>
    <row r="2158">
      <c r="A2158" s="3">
        <f>IFERROR(__xludf.DUMMYFUNCTION("""COMPUTED_VALUE"""),39686.645833333336)</f>
        <v>39686.64583</v>
      </c>
      <c r="B2158" s="2">
        <f>IFERROR(__xludf.DUMMYFUNCTION("""COMPUTED_VALUE"""),120.0)</f>
        <v>120</v>
      </c>
      <c r="C2158" s="2">
        <f>IFERROR(__xludf.DUMMYFUNCTION("""COMPUTED_VALUE"""),126.2)</f>
        <v>126.2</v>
      </c>
      <c r="D2158" s="2">
        <f>IFERROR(__xludf.DUMMYFUNCTION("""COMPUTED_VALUE"""),119.58)</f>
        <v>119.58</v>
      </c>
      <c r="E2158" s="2">
        <f>IFERROR(__xludf.DUMMYFUNCTION("""COMPUTED_VALUE"""),125.13)</f>
        <v>125.13</v>
      </c>
      <c r="F2158" s="2">
        <f>IFERROR(__xludf.DUMMYFUNCTION("""COMPUTED_VALUE"""),1430390.0)</f>
        <v>1430390</v>
      </c>
    </row>
    <row r="2159">
      <c r="A2159" s="3">
        <f>IFERROR(__xludf.DUMMYFUNCTION("""COMPUTED_VALUE"""),39687.645833333336)</f>
        <v>39687.64583</v>
      </c>
      <c r="B2159" s="2">
        <f>IFERROR(__xludf.DUMMYFUNCTION("""COMPUTED_VALUE"""),126.38)</f>
        <v>126.38</v>
      </c>
      <c r="C2159" s="2">
        <f>IFERROR(__xludf.DUMMYFUNCTION("""COMPUTED_VALUE"""),126.8)</f>
        <v>126.8</v>
      </c>
      <c r="D2159" s="2">
        <f>IFERROR(__xludf.DUMMYFUNCTION("""COMPUTED_VALUE"""),122.6)</f>
        <v>122.6</v>
      </c>
      <c r="E2159" s="2">
        <f>IFERROR(__xludf.DUMMYFUNCTION("""COMPUTED_VALUE"""),123.4)</f>
        <v>123.4</v>
      </c>
      <c r="F2159" s="2">
        <f>IFERROR(__xludf.DUMMYFUNCTION("""COMPUTED_VALUE"""),1424101.0)</f>
        <v>1424101</v>
      </c>
    </row>
    <row r="2160">
      <c r="A2160" s="3">
        <f>IFERROR(__xludf.DUMMYFUNCTION("""COMPUTED_VALUE"""),39688.645833333336)</f>
        <v>39688.64583</v>
      </c>
      <c r="B2160" s="2">
        <f>IFERROR(__xludf.DUMMYFUNCTION("""COMPUTED_VALUE"""),123.0)</f>
        <v>123</v>
      </c>
      <c r="C2160" s="2">
        <f>IFERROR(__xludf.DUMMYFUNCTION("""COMPUTED_VALUE"""),124.77)</f>
        <v>124.77</v>
      </c>
      <c r="D2160" s="2">
        <f>IFERROR(__xludf.DUMMYFUNCTION("""COMPUTED_VALUE"""),119.8)</f>
        <v>119.8</v>
      </c>
      <c r="E2160" s="2">
        <f>IFERROR(__xludf.DUMMYFUNCTION("""COMPUTED_VALUE"""),121.31)</f>
        <v>121.31</v>
      </c>
      <c r="F2160" s="2">
        <f>IFERROR(__xludf.DUMMYFUNCTION("""COMPUTED_VALUE"""),1356818.0)</f>
        <v>1356818</v>
      </c>
    </row>
    <row r="2161">
      <c r="A2161" s="3">
        <f>IFERROR(__xludf.DUMMYFUNCTION("""COMPUTED_VALUE"""),39689.645833333336)</f>
        <v>39689.64583</v>
      </c>
      <c r="B2161" s="2">
        <f>IFERROR(__xludf.DUMMYFUNCTION("""COMPUTED_VALUE"""),123.62)</f>
        <v>123.62</v>
      </c>
      <c r="C2161" s="2">
        <f>IFERROR(__xludf.DUMMYFUNCTION("""COMPUTED_VALUE"""),129.47)</f>
        <v>129.47</v>
      </c>
      <c r="D2161" s="2">
        <f>IFERROR(__xludf.DUMMYFUNCTION("""COMPUTED_VALUE"""),123.62)</f>
        <v>123.62</v>
      </c>
      <c r="E2161" s="2">
        <f>IFERROR(__xludf.DUMMYFUNCTION("""COMPUTED_VALUE"""),127.67)</f>
        <v>127.67</v>
      </c>
      <c r="F2161" s="2">
        <f>IFERROR(__xludf.DUMMYFUNCTION("""COMPUTED_VALUE"""),1244446.0)</f>
        <v>1244446</v>
      </c>
    </row>
    <row r="2162">
      <c r="A2162" s="3">
        <f>IFERROR(__xludf.DUMMYFUNCTION("""COMPUTED_VALUE"""),39692.645833333336)</f>
        <v>39692.64583</v>
      </c>
      <c r="B2162" s="2">
        <f>IFERROR(__xludf.DUMMYFUNCTION("""COMPUTED_VALUE"""),124.95)</f>
        <v>124.95</v>
      </c>
      <c r="C2162" s="2">
        <f>IFERROR(__xludf.DUMMYFUNCTION("""COMPUTED_VALUE"""),131.0)</f>
        <v>131</v>
      </c>
      <c r="D2162" s="2">
        <f>IFERROR(__xludf.DUMMYFUNCTION("""COMPUTED_VALUE"""),124.95)</f>
        <v>124.95</v>
      </c>
      <c r="E2162" s="2">
        <f>IFERROR(__xludf.DUMMYFUNCTION("""COMPUTED_VALUE"""),129.83)</f>
        <v>129.83</v>
      </c>
      <c r="F2162" s="2">
        <f>IFERROR(__xludf.DUMMYFUNCTION("""COMPUTED_VALUE"""),721174.0)</f>
        <v>721174</v>
      </c>
    </row>
    <row r="2163">
      <c r="A2163" s="3">
        <f>IFERROR(__xludf.DUMMYFUNCTION("""COMPUTED_VALUE"""),39693.645833333336)</f>
        <v>39693.64583</v>
      </c>
      <c r="B2163" s="2">
        <f>IFERROR(__xludf.DUMMYFUNCTION("""COMPUTED_VALUE"""),130.24)</f>
        <v>130.24</v>
      </c>
      <c r="C2163" s="2">
        <f>IFERROR(__xludf.DUMMYFUNCTION("""COMPUTED_VALUE"""),138.6)</f>
        <v>138.6</v>
      </c>
      <c r="D2163" s="2">
        <f>IFERROR(__xludf.DUMMYFUNCTION("""COMPUTED_VALUE"""),128.51)</f>
        <v>128.51</v>
      </c>
      <c r="E2163" s="2">
        <f>IFERROR(__xludf.DUMMYFUNCTION("""COMPUTED_VALUE"""),133.97)</f>
        <v>133.97</v>
      </c>
      <c r="F2163" s="2">
        <f>IFERROR(__xludf.DUMMYFUNCTION("""COMPUTED_VALUE"""),2856103.0)</f>
        <v>2856103</v>
      </c>
    </row>
    <row r="2164">
      <c r="A2164" s="3">
        <f>IFERROR(__xludf.DUMMYFUNCTION("""COMPUTED_VALUE"""),39695.645833333336)</f>
        <v>39695.64583</v>
      </c>
      <c r="B2164" s="2">
        <f>IFERROR(__xludf.DUMMYFUNCTION("""COMPUTED_VALUE"""),130.02)</f>
        <v>130.02</v>
      </c>
      <c r="C2164" s="2">
        <f>IFERROR(__xludf.DUMMYFUNCTION("""COMPUTED_VALUE"""),133.64)</f>
        <v>133.64</v>
      </c>
      <c r="D2164" s="2">
        <f>IFERROR(__xludf.DUMMYFUNCTION("""COMPUTED_VALUE"""),128.73)</f>
        <v>128.73</v>
      </c>
      <c r="E2164" s="2">
        <f>IFERROR(__xludf.DUMMYFUNCTION("""COMPUTED_VALUE"""),130.31)</f>
        <v>130.31</v>
      </c>
      <c r="F2164" s="2">
        <f>IFERROR(__xludf.DUMMYFUNCTION("""COMPUTED_VALUE"""),2519066.0)</f>
        <v>2519066</v>
      </c>
    </row>
    <row r="2165">
      <c r="A2165" s="3">
        <f>IFERROR(__xludf.DUMMYFUNCTION("""COMPUTED_VALUE"""),39696.645833333336)</f>
        <v>39696.64583</v>
      </c>
      <c r="B2165" s="2">
        <f>IFERROR(__xludf.DUMMYFUNCTION("""COMPUTED_VALUE"""),127.5)</f>
        <v>127.5</v>
      </c>
      <c r="C2165" s="2">
        <f>IFERROR(__xludf.DUMMYFUNCTION("""COMPUTED_VALUE"""),128.0)</f>
        <v>128</v>
      </c>
      <c r="D2165" s="2">
        <f>IFERROR(__xludf.DUMMYFUNCTION("""COMPUTED_VALUE"""),124.0)</f>
        <v>124</v>
      </c>
      <c r="E2165" s="2">
        <f>IFERROR(__xludf.DUMMYFUNCTION("""COMPUTED_VALUE"""),124.85)</f>
        <v>124.85</v>
      </c>
      <c r="F2165" s="2">
        <f>IFERROR(__xludf.DUMMYFUNCTION("""COMPUTED_VALUE"""),2396512.0)</f>
        <v>2396512</v>
      </c>
    </row>
    <row r="2166">
      <c r="A2166" s="3">
        <f>IFERROR(__xludf.DUMMYFUNCTION("""COMPUTED_VALUE"""),39699.645833333336)</f>
        <v>39699.64583</v>
      </c>
      <c r="B2166" s="2">
        <f>IFERROR(__xludf.DUMMYFUNCTION("""COMPUTED_VALUE"""),129.4)</f>
        <v>129.4</v>
      </c>
      <c r="C2166" s="2">
        <f>IFERROR(__xludf.DUMMYFUNCTION("""COMPUTED_VALUE"""),131.9)</f>
        <v>131.9</v>
      </c>
      <c r="D2166" s="2">
        <f>IFERROR(__xludf.DUMMYFUNCTION("""COMPUTED_VALUE"""),129.1)</f>
        <v>129.1</v>
      </c>
      <c r="E2166" s="2">
        <f>IFERROR(__xludf.DUMMYFUNCTION("""COMPUTED_VALUE"""),130.11)</f>
        <v>130.11</v>
      </c>
      <c r="F2166" s="2">
        <f>IFERROR(__xludf.DUMMYFUNCTION("""COMPUTED_VALUE"""),1710836.0)</f>
        <v>1710836</v>
      </c>
    </row>
    <row r="2167">
      <c r="A2167" s="3">
        <f>IFERROR(__xludf.DUMMYFUNCTION("""COMPUTED_VALUE"""),39700.645833333336)</f>
        <v>39700.64583</v>
      </c>
      <c r="B2167" s="2">
        <f>IFERROR(__xludf.DUMMYFUNCTION("""COMPUTED_VALUE"""),127.0)</f>
        <v>127</v>
      </c>
      <c r="C2167" s="2">
        <f>IFERROR(__xludf.DUMMYFUNCTION("""COMPUTED_VALUE"""),131.35)</f>
        <v>131.35</v>
      </c>
      <c r="D2167" s="2">
        <f>IFERROR(__xludf.DUMMYFUNCTION("""COMPUTED_VALUE"""),126.63)</f>
        <v>126.63</v>
      </c>
      <c r="E2167" s="2">
        <f>IFERROR(__xludf.DUMMYFUNCTION("""COMPUTED_VALUE"""),129.36)</f>
        <v>129.36</v>
      </c>
      <c r="F2167" s="2">
        <f>IFERROR(__xludf.DUMMYFUNCTION("""COMPUTED_VALUE"""),1793358.0)</f>
        <v>1793358</v>
      </c>
    </row>
    <row r="2168">
      <c r="A2168" s="3">
        <f>IFERROR(__xludf.DUMMYFUNCTION("""COMPUTED_VALUE"""),39701.645833333336)</f>
        <v>39701.64583</v>
      </c>
      <c r="B2168" s="2">
        <f>IFERROR(__xludf.DUMMYFUNCTION("""COMPUTED_VALUE"""),128.98)</f>
        <v>128.98</v>
      </c>
      <c r="C2168" s="2">
        <f>IFERROR(__xludf.DUMMYFUNCTION("""COMPUTED_VALUE"""),128.98)</f>
        <v>128.98</v>
      </c>
      <c r="D2168" s="2">
        <f>IFERROR(__xludf.DUMMYFUNCTION("""COMPUTED_VALUE"""),125.0)</f>
        <v>125</v>
      </c>
      <c r="E2168" s="2">
        <f>IFERROR(__xludf.DUMMYFUNCTION("""COMPUTED_VALUE"""),127.57)</f>
        <v>127.57</v>
      </c>
      <c r="F2168" s="2">
        <f>IFERROR(__xludf.DUMMYFUNCTION("""COMPUTED_VALUE"""),1669692.0)</f>
        <v>1669692</v>
      </c>
    </row>
    <row r="2169">
      <c r="A2169" s="3">
        <f>IFERROR(__xludf.DUMMYFUNCTION("""COMPUTED_VALUE"""),39702.645833333336)</f>
        <v>39702.64583</v>
      </c>
      <c r="B2169" s="2">
        <f>IFERROR(__xludf.DUMMYFUNCTION("""COMPUTED_VALUE"""),126.51)</f>
        <v>126.51</v>
      </c>
      <c r="C2169" s="2">
        <f>IFERROR(__xludf.DUMMYFUNCTION("""COMPUTED_VALUE"""),128.39)</f>
        <v>128.39</v>
      </c>
      <c r="D2169" s="2">
        <f>IFERROR(__xludf.DUMMYFUNCTION("""COMPUTED_VALUE"""),124.8)</f>
        <v>124.8</v>
      </c>
      <c r="E2169" s="2">
        <f>IFERROR(__xludf.DUMMYFUNCTION("""COMPUTED_VALUE"""),125.3)</f>
        <v>125.3</v>
      </c>
      <c r="F2169" s="2">
        <f>IFERROR(__xludf.DUMMYFUNCTION("""COMPUTED_VALUE"""),1217020.0)</f>
        <v>1217020</v>
      </c>
    </row>
    <row r="2170">
      <c r="A2170" s="3">
        <f>IFERROR(__xludf.DUMMYFUNCTION("""COMPUTED_VALUE"""),39703.645833333336)</f>
        <v>39703.64583</v>
      </c>
      <c r="B2170" s="2">
        <f>IFERROR(__xludf.DUMMYFUNCTION("""COMPUTED_VALUE"""),125.52)</f>
        <v>125.52</v>
      </c>
      <c r="C2170" s="2">
        <f>IFERROR(__xludf.DUMMYFUNCTION("""COMPUTED_VALUE"""),127.47)</f>
        <v>127.47</v>
      </c>
      <c r="D2170" s="2">
        <f>IFERROR(__xludf.DUMMYFUNCTION("""COMPUTED_VALUE"""),122.3)</f>
        <v>122.3</v>
      </c>
      <c r="E2170" s="2">
        <f>IFERROR(__xludf.DUMMYFUNCTION("""COMPUTED_VALUE"""),124.47)</f>
        <v>124.47</v>
      </c>
      <c r="F2170" s="2">
        <f>IFERROR(__xludf.DUMMYFUNCTION("""COMPUTED_VALUE"""),1303429.0)</f>
        <v>1303429</v>
      </c>
    </row>
    <row r="2171">
      <c r="A2171" s="3">
        <f>IFERROR(__xludf.DUMMYFUNCTION("""COMPUTED_VALUE"""),39706.645833333336)</f>
        <v>39706.64583</v>
      </c>
      <c r="B2171" s="2">
        <f>IFERROR(__xludf.DUMMYFUNCTION("""COMPUTED_VALUE"""),120.53)</f>
        <v>120.53</v>
      </c>
      <c r="C2171" s="2">
        <f>IFERROR(__xludf.DUMMYFUNCTION("""COMPUTED_VALUE"""),121.5)</f>
        <v>121.5</v>
      </c>
      <c r="D2171" s="2">
        <f>IFERROR(__xludf.DUMMYFUNCTION("""COMPUTED_VALUE"""),115.59)</f>
        <v>115.59</v>
      </c>
      <c r="E2171" s="2">
        <f>IFERROR(__xludf.DUMMYFUNCTION("""COMPUTED_VALUE"""),120.34)</f>
        <v>120.34</v>
      </c>
      <c r="F2171" s="2">
        <f>IFERROR(__xludf.DUMMYFUNCTION("""COMPUTED_VALUE"""),1741333.0)</f>
        <v>1741333</v>
      </c>
    </row>
    <row r="2172">
      <c r="A2172" s="3">
        <f>IFERROR(__xludf.DUMMYFUNCTION("""COMPUTED_VALUE"""),39707.645833333336)</f>
        <v>39707.64583</v>
      </c>
      <c r="B2172" s="2">
        <f>IFERROR(__xludf.DUMMYFUNCTION("""COMPUTED_VALUE"""),115.0)</f>
        <v>115</v>
      </c>
      <c r="C2172" s="2">
        <f>IFERROR(__xludf.DUMMYFUNCTION("""COMPUTED_VALUE"""),124.4)</f>
        <v>124.4</v>
      </c>
      <c r="D2172" s="2">
        <f>IFERROR(__xludf.DUMMYFUNCTION("""COMPUTED_VALUE"""),107.58)</f>
        <v>107.58</v>
      </c>
      <c r="E2172" s="2">
        <f>IFERROR(__xludf.DUMMYFUNCTION("""COMPUTED_VALUE"""),123.04)</f>
        <v>123.04</v>
      </c>
      <c r="F2172" s="2">
        <f>IFERROR(__xludf.DUMMYFUNCTION("""COMPUTED_VALUE"""),1414679.0)</f>
        <v>1414679</v>
      </c>
    </row>
    <row r="2173">
      <c r="A2173" s="3">
        <f>IFERROR(__xludf.DUMMYFUNCTION("""COMPUTED_VALUE"""),39708.645833333336)</f>
        <v>39708.64583</v>
      </c>
      <c r="B2173" s="2">
        <f>IFERROR(__xludf.DUMMYFUNCTION("""COMPUTED_VALUE"""),124.77)</f>
        <v>124.77</v>
      </c>
      <c r="C2173" s="2">
        <f>IFERROR(__xludf.DUMMYFUNCTION("""COMPUTED_VALUE"""),124.8)</f>
        <v>124.8</v>
      </c>
      <c r="D2173" s="2">
        <f>IFERROR(__xludf.DUMMYFUNCTION("""COMPUTED_VALUE"""),116.53)</f>
        <v>116.53</v>
      </c>
      <c r="E2173" s="2">
        <f>IFERROR(__xludf.DUMMYFUNCTION("""COMPUTED_VALUE"""),118.74)</f>
        <v>118.74</v>
      </c>
      <c r="F2173" s="2">
        <f>IFERROR(__xludf.DUMMYFUNCTION("""COMPUTED_VALUE"""),1668649.0)</f>
        <v>1668649</v>
      </c>
    </row>
    <row r="2174">
      <c r="A2174" s="3">
        <f>IFERROR(__xludf.DUMMYFUNCTION("""COMPUTED_VALUE"""),39709.645833333336)</f>
        <v>39709.64583</v>
      </c>
      <c r="B2174" s="2">
        <f>IFERROR(__xludf.DUMMYFUNCTION("""COMPUTED_VALUE"""),117.89)</f>
        <v>117.89</v>
      </c>
      <c r="C2174" s="2">
        <f>IFERROR(__xludf.DUMMYFUNCTION("""COMPUTED_VALUE"""),123.4)</f>
        <v>123.4</v>
      </c>
      <c r="D2174" s="2">
        <f>IFERROR(__xludf.DUMMYFUNCTION("""COMPUTED_VALUE"""),108.7)</f>
        <v>108.7</v>
      </c>
      <c r="E2174" s="2">
        <f>IFERROR(__xludf.DUMMYFUNCTION("""COMPUTED_VALUE"""),122.38)</f>
        <v>122.38</v>
      </c>
      <c r="F2174" s="2">
        <f>IFERROR(__xludf.DUMMYFUNCTION("""COMPUTED_VALUE"""),2710572.0)</f>
        <v>2710572</v>
      </c>
    </row>
    <row r="2175">
      <c r="A2175" s="3">
        <f>IFERROR(__xludf.DUMMYFUNCTION("""COMPUTED_VALUE"""),39710.645833333336)</f>
        <v>39710.64583</v>
      </c>
      <c r="B2175" s="2">
        <f>IFERROR(__xludf.DUMMYFUNCTION("""COMPUTED_VALUE"""),126.03)</f>
        <v>126.03</v>
      </c>
      <c r="C2175" s="2">
        <f>IFERROR(__xludf.DUMMYFUNCTION("""COMPUTED_VALUE"""),130.4)</f>
        <v>130.4</v>
      </c>
      <c r="D2175" s="2">
        <f>IFERROR(__xludf.DUMMYFUNCTION("""COMPUTED_VALUE"""),125.52)</f>
        <v>125.52</v>
      </c>
      <c r="E2175" s="2">
        <f>IFERROR(__xludf.DUMMYFUNCTION("""COMPUTED_VALUE"""),129.96)</f>
        <v>129.96</v>
      </c>
      <c r="F2175" s="2">
        <f>IFERROR(__xludf.DUMMYFUNCTION("""COMPUTED_VALUE"""),1816313.0)</f>
        <v>1816313</v>
      </c>
    </row>
    <row r="2176">
      <c r="A2176" s="3">
        <f>IFERROR(__xludf.DUMMYFUNCTION("""COMPUTED_VALUE"""),39713.645833333336)</f>
        <v>39713.64583</v>
      </c>
      <c r="B2176" s="2">
        <f>IFERROR(__xludf.DUMMYFUNCTION("""COMPUTED_VALUE"""),130.6)</f>
        <v>130.6</v>
      </c>
      <c r="C2176" s="2">
        <f>IFERROR(__xludf.DUMMYFUNCTION("""COMPUTED_VALUE"""),132.21)</f>
        <v>132.21</v>
      </c>
      <c r="D2176" s="2">
        <f>IFERROR(__xludf.DUMMYFUNCTION("""COMPUTED_VALUE"""),128.22)</f>
        <v>128.22</v>
      </c>
      <c r="E2176" s="2">
        <f>IFERROR(__xludf.DUMMYFUNCTION("""COMPUTED_VALUE"""),130.07)</f>
        <v>130.07</v>
      </c>
      <c r="F2176" s="2">
        <f>IFERROR(__xludf.DUMMYFUNCTION("""COMPUTED_VALUE"""),1137709.0)</f>
        <v>1137709</v>
      </c>
    </row>
    <row r="2177">
      <c r="A2177" s="3">
        <f>IFERROR(__xludf.DUMMYFUNCTION("""COMPUTED_VALUE"""),39714.645833333336)</f>
        <v>39714.64583</v>
      </c>
      <c r="B2177" s="2">
        <f>IFERROR(__xludf.DUMMYFUNCTION("""COMPUTED_VALUE"""),127.51)</f>
        <v>127.51</v>
      </c>
      <c r="C2177" s="2">
        <f>IFERROR(__xludf.DUMMYFUNCTION("""COMPUTED_VALUE"""),129.18)</f>
        <v>129.18</v>
      </c>
      <c r="D2177" s="2">
        <f>IFERROR(__xludf.DUMMYFUNCTION("""COMPUTED_VALUE"""),122.23)</f>
        <v>122.23</v>
      </c>
      <c r="E2177" s="2">
        <f>IFERROR(__xludf.DUMMYFUNCTION("""COMPUTED_VALUE"""),123.38)</f>
        <v>123.38</v>
      </c>
      <c r="F2177" s="2">
        <f>IFERROR(__xludf.DUMMYFUNCTION("""COMPUTED_VALUE"""),1105494.0)</f>
        <v>1105494</v>
      </c>
    </row>
    <row r="2178">
      <c r="A2178" s="3">
        <f>IFERROR(__xludf.DUMMYFUNCTION("""COMPUTED_VALUE"""),39715.645833333336)</f>
        <v>39715.64583</v>
      </c>
      <c r="B2178" s="2">
        <f>IFERROR(__xludf.DUMMYFUNCTION("""COMPUTED_VALUE"""),124.88)</f>
        <v>124.88</v>
      </c>
      <c r="C2178" s="2">
        <f>IFERROR(__xludf.DUMMYFUNCTION("""COMPUTED_VALUE"""),129.5)</f>
        <v>129.5</v>
      </c>
      <c r="D2178" s="2">
        <f>IFERROR(__xludf.DUMMYFUNCTION("""COMPUTED_VALUE"""),124.88)</f>
        <v>124.88</v>
      </c>
      <c r="E2178" s="2">
        <f>IFERROR(__xludf.DUMMYFUNCTION("""COMPUTED_VALUE"""),128.06)</f>
        <v>128.06</v>
      </c>
      <c r="F2178" s="2">
        <f>IFERROR(__xludf.DUMMYFUNCTION("""COMPUTED_VALUE"""),1307997.0)</f>
        <v>1307997</v>
      </c>
    </row>
    <row r="2179">
      <c r="A2179" s="3">
        <f>IFERROR(__xludf.DUMMYFUNCTION("""COMPUTED_VALUE"""),39716.645833333336)</f>
        <v>39716.64583</v>
      </c>
      <c r="B2179" s="2">
        <f>IFERROR(__xludf.DUMMYFUNCTION("""COMPUTED_VALUE"""),127.51)</f>
        <v>127.51</v>
      </c>
      <c r="C2179" s="2">
        <f>IFERROR(__xludf.DUMMYFUNCTION("""COMPUTED_VALUE"""),131.48)</f>
        <v>131.48</v>
      </c>
      <c r="D2179" s="2">
        <f>IFERROR(__xludf.DUMMYFUNCTION("""COMPUTED_VALUE"""),126.81)</f>
        <v>126.81</v>
      </c>
      <c r="E2179" s="2">
        <f>IFERROR(__xludf.DUMMYFUNCTION("""COMPUTED_VALUE"""),130.07)</f>
        <v>130.07</v>
      </c>
      <c r="F2179" s="2">
        <f>IFERROR(__xludf.DUMMYFUNCTION("""COMPUTED_VALUE"""),1741234.0)</f>
        <v>1741234</v>
      </c>
    </row>
    <row r="2180">
      <c r="A2180" s="3">
        <f>IFERROR(__xludf.DUMMYFUNCTION("""COMPUTED_VALUE"""),39717.645833333336)</f>
        <v>39717.64583</v>
      </c>
      <c r="B2180" s="2">
        <f>IFERROR(__xludf.DUMMYFUNCTION("""COMPUTED_VALUE"""),130.0)</f>
        <v>130</v>
      </c>
      <c r="C2180" s="2">
        <f>IFERROR(__xludf.DUMMYFUNCTION("""COMPUTED_VALUE"""),130.0)</f>
        <v>130</v>
      </c>
      <c r="D2180" s="2">
        <f>IFERROR(__xludf.DUMMYFUNCTION("""COMPUTED_VALUE"""),123.02)</f>
        <v>123.02</v>
      </c>
      <c r="E2180" s="2">
        <f>IFERROR(__xludf.DUMMYFUNCTION("""COMPUTED_VALUE"""),124.46)</f>
        <v>124.46</v>
      </c>
      <c r="F2180" s="2">
        <f>IFERROR(__xludf.DUMMYFUNCTION("""COMPUTED_VALUE"""),1308633.0)</f>
        <v>1308633</v>
      </c>
    </row>
    <row r="2181">
      <c r="A2181" s="3">
        <f>IFERROR(__xludf.DUMMYFUNCTION("""COMPUTED_VALUE"""),39720.645833333336)</f>
        <v>39720.64583</v>
      </c>
      <c r="B2181" s="2">
        <f>IFERROR(__xludf.DUMMYFUNCTION("""COMPUTED_VALUE"""),126.7)</f>
        <v>126.7</v>
      </c>
      <c r="C2181" s="2">
        <f>IFERROR(__xludf.DUMMYFUNCTION("""COMPUTED_VALUE"""),126.7)</f>
        <v>126.7</v>
      </c>
      <c r="D2181" s="2">
        <f>IFERROR(__xludf.DUMMYFUNCTION("""COMPUTED_VALUE"""),118.52)</f>
        <v>118.52</v>
      </c>
      <c r="E2181" s="2">
        <f>IFERROR(__xludf.DUMMYFUNCTION("""COMPUTED_VALUE"""),120.04)</f>
        <v>120.04</v>
      </c>
      <c r="F2181" s="2">
        <f>IFERROR(__xludf.DUMMYFUNCTION("""COMPUTED_VALUE"""),1426073.0)</f>
        <v>1426073</v>
      </c>
    </row>
    <row r="2182">
      <c r="A2182" s="3">
        <f>IFERROR(__xludf.DUMMYFUNCTION("""COMPUTED_VALUE"""),39721.645833333336)</f>
        <v>39721.64583</v>
      </c>
      <c r="B2182" s="2">
        <f>IFERROR(__xludf.DUMMYFUNCTION("""COMPUTED_VALUE"""),114.0)</f>
        <v>114</v>
      </c>
      <c r="C2182" s="2">
        <f>IFERROR(__xludf.DUMMYFUNCTION("""COMPUTED_VALUE"""),124.32)</f>
        <v>124.32</v>
      </c>
      <c r="D2182" s="2">
        <f>IFERROR(__xludf.DUMMYFUNCTION("""COMPUTED_VALUE"""),114.0)</f>
        <v>114</v>
      </c>
      <c r="E2182" s="2">
        <f>IFERROR(__xludf.DUMMYFUNCTION("""COMPUTED_VALUE"""),122.97)</f>
        <v>122.97</v>
      </c>
      <c r="F2182" s="2">
        <f>IFERROR(__xludf.DUMMYFUNCTION("""COMPUTED_VALUE"""),2316320.0)</f>
        <v>2316320</v>
      </c>
    </row>
    <row r="2183">
      <c r="A2183" s="3">
        <f>IFERROR(__xludf.DUMMYFUNCTION("""COMPUTED_VALUE"""),39722.645833333336)</f>
        <v>39722.64583</v>
      </c>
      <c r="B2183" s="2">
        <f>IFERROR(__xludf.DUMMYFUNCTION("""COMPUTED_VALUE"""),123.8)</f>
        <v>123.8</v>
      </c>
      <c r="C2183" s="2">
        <f>IFERROR(__xludf.DUMMYFUNCTION("""COMPUTED_VALUE"""),130.5)</f>
        <v>130.5</v>
      </c>
      <c r="D2183" s="2">
        <f>IFERROR(__xludf.DUMMYFUNCTION("""COMPUTED_VALUE"""),121.14)</f>
        <v>121.14</v>
      </c>
      <c r="E2183" s="2">
        <f>IFERROR(__xludf.DUMMYFUNCTION("""COMPUTED_VALUE"""),129.53)</f>
        <v>129.53</v>
      </c>
      <c r="F2183" s="2">
        <f>IFERROR(__xludf.DUMMYFUNCTION("""COMPUTED_VALUE"""),1366940.0)</f>
        <v>1366940</v>
      </c>
    </row>
    <row r="2184">
      <c r="A2184" s="3">
        <f>IFERROR(__xludf.DUMMYFUNCTION("""COMPUTED_VALUE"""),39724.645833333336)</f>
        <v>39724.64583</v>
      </c>
      <c r="B2184" s="2">
        <f>IFERROR(__xludf.DUMMYFUNCTION("""COMPUTED_VALUE"""),128.0)</f>
        <v>128</v>
      </c>
      <c r="C2184" s="2">
        <f>IFERROR(__xludf.DUMMYFUNCTION("""COMPUTED_VALUE"""),130.87)</f>
        <v>130.87</v>
      </c>
      <c r="D2184" s="2">
        <f>IFERROR(__xludf.DUMMYFUNCTION("""COMPUTED_VALUE"""),126.34)</f>
        <v>126.34</v>
      </c>
      <c r="E2184" s="2">
        <f>IFERROR(__xludf.DUMMYFUNCTION("""COMPUTED_VALUE"""),127.58)</f>
        <v>127.58</v>
      </c>
      <c r="F2184" s="2">
        <f>IFERROR(__xludf.DUMMYFUNCTION("""COMPUTED_VALUE"""),1395342.0)</f>
        <v>1395342</v>
      </c>
    </row>
    <row r="2185">
      <c r="A2185" s="3">
        <f>IFERROR(__xludf.DUMMYFUNCTION("""COMPUTED_VALUE"""),39727.645833333336)</f>
        <v>39727.64583</v>
      </c>
      <c r="B2185" s="2">
        <f>IFERROR(__xludf.DUMMYFUNCTION("""COMPUTED_VALUE"""),125.0)</f>
        <v>125</v>
      </c>
      <c r="C2185" s="2">
        <f>IFERROR(__xludf.DUMMYFUNCTION("""COMPUTED_VALUE"""),126.0)</f>
        <v>126</v>
      </c>
      <c r="D2185" s="2">
        <f>IFERROR(__xludf.DUMMYFUNCTION("""COMPUTED_VALUE"""),119.23)</f>
        <v>119.23</v>
      </c>
      <c r="E2185" s="2">
        <f>IFERROR(__xludf.DUMMYFUNCTION("""COMPUTED_VALUE"""),120.28)</f>
        <v>120.28</v>
      </c>
      <c r="F2185" s="2">
        <f>IFERROR(__xludf.DUMMYFUNCTION("""COMPUTED_VALUE"""),1501859.0)</f>
        <v>1501859</v>
      </c>
    </row>
    <row r="2186">
      <c r="A2186" s="3">
        <f>IFERROR(__xludf.DUMMYFUNCTION("""COMPUTED_VALUE"""),39728.645833333336)</f>
        <v>39728.64583</v>
      </c>
      <c r="B2186" s="2">
        <f>IFERROR(__xludf.DUMMYFUNCTION("""COMPUTED_VALUE"""),123.02)</f>
        <v>123.02</v>
      </c>
      <c r="C2186" s="2">
        <f>IFERROR(__xludf.DUMMYFUNCTION("""COMPUTED_VALUE"""),125.0)</f>
        <v>125</v>
      </c>
      <c r="D2186" s="2">
        <f>IFERROR(__xludf.DUMMYFUNCTION("""COMPUTED_VALUE"""),109.31)</f>
        <v>109.31</v>
      </c>
      <c r="E2186" s="2">
        <f>IFERROR(__xludf.DUMMYFUNCTION("""COMPUTED_VALUE"""),112.89)</f>
        <v>112.89</v>
      </c>
      <c r="F2186" s="2">
        <f>IFERROR(__xludf.DUMMYFUNCTION("""COMPUTED_VALUE"""),2864269.0)</f>
        <v>2864269</v>
      </c>
    </row>
    <row r="2187">
      <c r="A2187" s="3">
        <f>IFERROR(__xludf.DUMMYFUNCTION("""COMPUTED_VALUE"""),39729.645833333336)</f>
        <v>39729.64583</v>
      </c>
      <c r="B2187" s="2">
        <f>IFERROR(__xludf.DUMMYFUNCTION("""COMPUTED_VALUE"""),109.4)</f>
        <v>109.4</v>
      </c>
      <c r="C2187" s="2">
        <f>IFERROR(__xludf.DUMMYFUNCTION("""COMPUTED_VALUE"""),113.1)</f>
        <v>113.1</v>
      </c>
      <c r="D2187" s="2">
        <f>IFERROR(__xludf.DUMMYFUNCTION("""COMPUTED_VALUE"""),97.5)</f>
        <v>97.5</v>
      </c>
      <c r="E2187" s="2">
        <f>IFERROR(__xludf.DUMMYFUNCTION("""COMPUTED_VALUE"""),110.61)</f>
        <v>110.61</v>
      </c>
      <c r="F2187" s="2">
        <f>IFERROR(__xludf.DUMMYFUNCTION("""COMPUTED_VALUE"""),3381315.0)</f>
        <v>3381315</v>
      </c>
    </row>
    <row r="2188">
      <c r="A2188" s="3">
        <f>IFERROR(__xludf.DUMMYFUNCTION("""COMPUTED_VALUE"""),39731.645833333336)</f>
        <v>39731.64583</v>
      </c>
      <c r="B2188" s="2">
        <f>IFERROR(__xludf.DUMMYFUNCTION("""COMPUTED_VALUE"""),104.01)</f>
        <v>104.01</v>
      </c>
      <c r="C2188" s="2">
        <f>IFERROR(__xludf.DUMMYFUNCTION("""COMPUTED_VALUE"""),109.8)</f>
        <v>109.8</v>
      </c>
      <c r="D2188" s="2">
        <f>IFERROR(__xludf.DUMMYFUNCTION("""COMPUTED_VALUE"""),97.51)</f>
        <v>97.51</v>
      </c>
      <c r="E2188" s="2">
        <f>IFERROR(__xludf.DUMMYFUNCTION("""COMPUTED_VALUE"""),104.78)</f>
        <v>104.78</v>
      </c>
      <c r="F2188" s="2">
        <f>IFERROR(__xludf.DUMMYFUNCTION("""COMPUTED_VALUE"""),4538696.0)</f>
        <v>4538696</v>
      </c>
    </row>
    <row r="2189">
      <c r="A2189" s="3">
        <f>IFERROR(__xludf.DUMMYFUNCTION("""COMPUTED_VALUE"""),39734.645833333336)</f>
        <v>39734.64583</v>
      </c>
      <c r="B2189" s="2">
        <f>IFERROR(__xludf.DUMMYFUNCTION("""COMPUTED_VALUE"""),107.05)</f>
        <v>107.05</v>
      </c>
      <c r="C2189" s="2">
        <f>IFERROR(__xludf.DUMMYFUNCTION("""COMPUTED_VALUE"""),119.0)</f>
        <v>119</v>
      </c>
      <c r="D2189" s="2">
        <f>IFERROR(__xludf.DUMMYFUNCTION("""COMPUTED_VALUE"""),104.91)</f>
        <v>104.91</v>
      </c>
      <c r="E2189" s="2">
        <f>IFERROR(__xludf.DUMMYFUNCTION("""COMPUTED_VALUE"""),117.31)</f>
        <v>117.31</v>
      </c>
      <c r="F2189" s="2">
        <f>IFERROR(__xludf.DUMMYFUNCTION("""COMPUTED_VALUE"""),2204642.0)</f>
        <v>2204642</v>
      </c>
    </row>
    <row r="2190">
      <c r="A2190" s="3">
        <f>IFERROR(__xludf.DUMMYFUNCTION("""COMPUTED_VALUE"""),39735.645833333336)</f>
        <v>39735.64583</v>
      </c>
      <c r="B2190" s="2">
        <f>IFERROR(__xludf.DUMMYFUNCTION("""COMPUTED_VALUE"""),122.5)</f>
        <v>122.5</v>
      </c>
      <c r="C2190" s="2">
        <f>IFERROR(__xludf.DUMMYFUNCTION("""COMPUTED_VALUE"""),124.8)</f>
        <v>124.8</v>
      </c>
      <c r="D2190" s="2">
        <f>IFERROR(__xludf.DUMMYFUNCTION("""COMPUTED_VALUE"""),112.6)</f>
        <v>112.6</v>
      </c>
      <c r="E2190" s="2">
        <f>IFERROR(__xludf.DUMMYFUNCTION("""COMPUTED_VALUE"""),114.1)</f>
        <v>114.1</v>
      </c>
      <c r="F2190" s="2">
        <f>IFERROR(__xludf.DUMMYFUNCTION("""COMPUTED_VALUE"""),2197531.0)</f>
        <v>2197531</v>
      </c>
    </row>
    <row r="2191">
      <c r="A2191" s="3">
        <f>IFERROR(__xludf.DUMMYFUNCTION("""COMPUTED_VALUE"""),39736.645833333336)</f>
        <v>39736.64583</v>
      </c>
      <c r="B2191" s="2">
        <f>IFERROR(__xludf.DUMMYFUNCTION("""COMPUTED_VALUE"""),111.5)</f>
        <v>111.5</v>
      </c>
      <c r="C2191" s="2">
        <f>IFERROR(__xludf.DUMMYFUNCTION("""COMPUTED_VALUE"""),115.39)</f>
        <v>115.39</v>
      </c>
      <c r="D2191" s="2">
        <f>IFERROR(__xludf.DUMMYFUNCTION("""COMPUTED_VALUE"""),110.3)</f>
        <v>110.3</v>
      </c>
      <c r="E2191" s="2">
        <f>IFERROR(__xludf.DUMMYFUNCTION("""COMPUTED_VALUE"""),113.68)</f>
        <v>113.68</v>
      </c>
      <c r="F2191" s="2">
        <f>IFERROR(__xludf.DUMMYFUNCTION("""COMPUTED_VALUE"""),1644536.0)</f>
        <v>1644536</v>
      </c>
    </row>
    <row r="2192">
      <c r="A2192" s="3">
        <f>IFERROR(__xludf.DUMMYFUNCTION("""COMPUTED_VALUE"""),39737.645833333336)</f>
        <v>39737.64583</v>
      </c>
      <c r="B2192" s="2">
        <f>IFERROR(__xludf.DUMMYFUNCTION("""COMPUTED_VALUE"""),109.9)</f>
        <v>109.9</v>
      </c>
      <c r="C2192" s="2">
        <f>IFERROR(__xludf.DUMMYFUNCTION("""COMPUTED_VALUE"""),112.13)</f>
        <v>112.13</v>
      </c>
      <c r="D2192" s="2">
        <f>IFERROR(__xludf.DUMMYFUNCTION("""COMPUTED_VALUE"""),104.1)</f>
        <v>104.1</v>
      </c>
      <c r="E2192" s="2">
        <f>IFERROR(__xludf.DUMMYFUNCTION("""COMPUTED_VALUE"""),109.33)</f>
        <v>109.33</v>
      </c>
      <c r="F2192" s="2">
        <f>IFERROR(__xludf.DUMMYFUNCTION("""COMPUTED_VALUE"""),2731362.0)</f>
        <v>2731362</v>
      </c>
    </row>
    <row r="2193">
      <c r="A2193" s="3">
        <f>IFERROR(__xludf.DUMMYFUNCTION("""COMPUTED_VALUE"""),39738.645833333336)</f>
        <v>39738.64583</v>
      </c>
      <c r="B2193" s="2">
        <f>IFERROR(__xludf.DUMMYFUNCTION("""COMPUTED_VALUE"""),112.8)</f>
        <v>112.8</v>
      </c>
      <c r="C2193" s="2">
        <f>IFERROR(__xludf.DUMMYFUNCTION("""COMPUTED_VALUE"""),114.5)</f>
        <v>114.5</v>
      </c>
      <c r="D2193" s="2">
        <f>IFERROR(__xludf.DUMMYFUNCTION("""COMPUTED_VALUE"""),100.5)</f>
        <v>100.5</v>
      </c>
      <c r="E2193" s="2">
        <f>IFERROR(__xludf.DUMMYFUNCTION("""COMPUTED_VALUE"""),102.64)</f>
        <v>102.64</v>
      </c>
      <c r="F2193" s="2">
        <f>IFERROR(__xludf.DUMMYFUNCTION("""COMPUTED_VALUE"""),1711714.0)</f>
        <v>1711714</v>
      </c>
    </row>
    <row r="2194">
      <c r="A2194" s="3">
        <f>IFERROR(__xludf.DUMMYFUNCTION("""COMPUTED_VALUE"""),39741.645833333336)</f>
        <v>39741.64583</v>
      </c>
      <c r="B2194" s="2">
        <f>IFERROR(__xludf.DUMMYFUNCTION("""COMPUTED_VALUE"""),103.5)</f>
        <v>103.5</v>
      </c>
      <c r="C2194" s="2">
        <f>IFERROR(__xludf.DUMMYFUNCTION("""COMPUTED_VALUE"""),111.29)</f>
        <v>111.29</v>
      </c>
      <c r="D2194" s="2">
        <f>IFERROR(__xludf.DUMMYFUNCTION("""COMPUTED_VALUE"""),103.1)</f>
        <v>103.1</v>
      </c>
      <c r="E2194" s="2">
        <f>IFERROR(__xludf.DUMMYFUNCTION("""COMPUTED_VALUE"""),108.04)</f>
        <v>108.04</v>
      </c>
      <c r="F2194" s="2">
        <f>IFERROR(__xludf.DUMMYFUNCTION("""COMPUTED_VALUE"""),1218281.0)</f>
        <v>1218281</v>
      </c>
    </row>
    <row r="2195">
      <c r="A2195" s="3">
        <f>IFERROR(__xludf.DUMMYFUNCTION("""COMPUTED_VALUE"""),39742.645833333336)</f>
        <v>39742.64583</v>
      </c>
      <c r="B2195" s="2">
        <f>IFERROR(__xludf.DUMMYFUNCTION("""COMPUTED_VALUE"""),110.0)</f>
        <v>110</v>
      </c>
      <c r="C2195" s="2">
        <f>IFERROR(__xludf.DUMMYFUNCTION("""COMPUTED_VALUE"""),112.2)</f>
        <v>112.2</v>
      </c>
      <c r="D2195" s="2">
        <f>IFERROR(__xludf.DUMMYFUNCTION("""COMPUTED_VALUE"""),107.21)</f>
        <v>107.21</v>
      </c>
      <c r="E2195" s="2">
        <f>IFERROR(__xludf.DUMMYFUNCTION("""COMPUTED_VALUE"""),108.96)</f>
        <v>108.96</v>
      </c>
      <c r="F2195" s="2">
        <f>IFERROR(__xludf.DUMMYFUNCTION("""COMPUTED_VALUE"""),1544768.0)</f>
        <v>1544768</v>
      </c>
    </row>
    <row r="2196">
      <c r="A2196" s="3">
        <f>IFERROR(__xludf.DUMMYFUNCTION("""COMPUTED_VALUE"""),39743.645833333336)</f>
        <v>39743.64583</v>
      </c>
      <c r="B2196" s="2">
        <f>IFERROR(__xludf.DUMMYFUNCTION("""COMPUTED_VALUE"""),107.0)</f>
        <v>107</v>
      </c>
      <c r="C2196" s="2">
        <f>IFERROR(__xludf.DUMMYFUNCTION("""COMPUTED_VALUE"""),110.5)</f>
        <v>110.5</v>
      </c>
      <c r="D2196" s="2">
        <f>IFERROR(__xludf.DUMMYFUNCTION("""COMPUTED_VALUE"""),104.0)</f>
        <v>104</v>
      </c>
      <c r="E2196" s="2">
        <f>IFERROR(__xludf.DUMMYFUNCTION("""COMPUTED_VALUE"""),104.85)</f>
        <v>104.85</v>
      </c>
      <c r="F2196" s="2">
        <f>IFERROR(__xludf.DUMMYFUNCTION("""COMPUTED_VALUE"""),1296022.0)</f>
        <v>1296022</v>
      </c>
    </row>
    <row r="2197">
      <c r="A2197" s="3">
        <f>IFERROR(__xludf.DUMMYFUNCTION("""COMPUTED_VALUE"""),39744.645833333336)</f>
        <v>39744.64583</v>
      </c>
      <c r="B2197" s="2">
        <f>IFERROR(__xludf.DUMMYFUNCTION("""COMPUTED_VALUE"""),102.5)</f>
        <v>102.5</v>
      </c>
      <c r="C2197" s="2">
        <f>IFERROR(__xludf.DUMMYFUNCTION("""COMPUTED_VALUE"""),111.8)</f>
        <v>111.8</v>
      </c>
      <c r="D2197" s="2">
        <f>IFERROR(__xludf.DUMMYFUNCTION("""COMPUTED_VALUE"""),99.71)</f>
        <v>99.71</v>
      </c>
      <c r="E2197" s="2">
        <f>IFERROR(__xludf.DUMMYFUNCTION("""COMPUTED_VALUE"""),107.43)</f>
        <v>107.43</v>
      </c>
      <c r="F2197" s="2">
        <f>IFERROR(__xludf.DUMMYFUNCTION("""COMPUTED_VALUE"""),1706757.0)</f>
        <v>1706757</v>
      </c>
    </row>
    <row r="2198">
      <c r="A2198" s="3">
        <f>IFERROR(__xludf.DUMMYFUNCTION("""COMPUTED_VALUE"""),39745.645833333336)</f>
        <v>39745.64583</v>
      </c>
      <c r="B2198" s="2">
        <f>IFERROR(__xludf.DUMMYFUNCTION("""COMPUTED_VALUE"""),105.0)</f>
        <v>105</v>
      </c>
      <c r="C2198" s="2">
        <f>IFERROR(__xludf.DUMMYFUNCTION("""COMPUTED_VALUE"""),105.0)</f>
        <v>105</v>
      </c>
      <c r="D2198" s="2">
        <f>IFERROR(__xludf.DUMMYFUNCTION("""COMPUTED_VALUE"""),92.23)</f>
        <v>92.23</v>
      </c>
      <c r="E2198" s="2">
        <f>IFERROR(__xludf.DUMMYFUNCTION("""COMPUTED_VALUE"""),97.29)</f>
        <v>97.29</v>
      </c>
      <c r="F2198" s="2">
        <f>IFERROR(__xludf.DUMMYFUNCTION("""COMPUTED_VALUE"""),3196762.0)</f>
        <v>3196762</v>
      </c>
    </row>
    <row r="2199">
      <c r="A2199" s="3">
        <f>IFERROR(__xludf.DUMMYFUNCTION("""COMPUTED_VALUE"""),39748.645833333336)</f>
        <v>39748.64583</v>
      </c>
      <c r="B2199" s="2">
        <f>IFERROR(__xludf.DUMMYFUNCTION("""COMPUTED_VALUE"""),95.0)</f>
        <v>95</v>
      </c>
      <c r="C2199" s="2">
        <f>IFERROR(__xludf.DUMMYFUNCTION("""COMPUTED_VALUE"""),95.0)</f>
        <v>95</v>
      </c>
      <c r="D2199" s="2">
        <f>IFERROR(__xludf.DUMMYFUNCTION("""COMPUTED_VALUE"""),86.2)</f>
        <v>86.2</v>
      </c>
      <c r="E2199" s="2">
        <f>IFERROR(__xludf.DUMMYFUNCTION("""COMPUTED_VALUE"""),93.23)</f>
        <v>93.23</v>
      </c>
      <c r="F2199" s="2">
        <f>IFERROR(__xludf.DUMMYFUNCTION("""COMPUTED_VALUE"""),1710811.0)</f>
        <v>1710811</v>
      </c>
    </row>
    <row r="2200">
      <c r="A2200" s="3">
        <f>IFERROR(__xludf.DUMMYFUNCTION("""COMPUTED_VALUE"""),39750.645833333336)</f>
        <v>39750.64583</v>
      </c>
      <c r="B2200" s="2">
        <f>IFERROR(__xludf.DUMMYFUNCTION("""COMPUTED_VALUE"""),99.0)</f>
        <v>99</v>
      </c>
      <c r="C2200" s="2">
        <f>IFERROR(__xludf.DUMMYFUNCTION("""COMPUTED_VALUE"""),100.0)</f>
        <v>100</v>
      </c>
      <c r="D2200" s="2">
        <f>IFERROR(__xludf.DUMMYFUNCTION("""COMPUTED_VALUE"""),92.03)</f>
        <v>92.03</v>
      </c>
      <c r="E2200" s="2">
        <f>IFERROR(__xludf.DUMMYFUNCTION("""COMPUTED_VALUE"""),95.1)</f>
        <v>95.1</v>
      </c>
      <c r="F2200" s="2">
        <f>IFERROR(__xludf.DUMMYFUNCTION("""COMPUTED_VALUE"""),2398279.0)</f>
        <v>2398279</v>
      </c>
    </row>
    <row r="2201">
      <c r="A2201" s="3">
        <f>IFERROR(__xludf.DUMMYFUNCTION("""COMPUTED_VALUE"""),39752.645833333336)</f>
        <v>39752.64583</v>
      </c>
      <c r="B2201" s="2">
        <f>IFERROR(__xludf.DUMMYFUNCTION("""COMPUTED_VALUE"""),96.5)</f>
        <v>96.5</v>
      </c>
      <c r="C2201" s="2">
        <f>IFERROR(__xludf.DUMMYFUNCTION("""COMPUTED_VALUE"""),106.0)</f>
        <v>106</v>
      </c>
      <c r="D2201" s="2">
        <f>IFERROR(__xludf.DUMMYFUNCTION("""COMPUTED_VALUE"""),96.5)</f>
        <v>96.5</v>
      </c>
      <c r="E2201" s="2">
        <f>IFERROR(__xludf.DUMMYFUNCTION("""COMPUTED_VALUE"""),102.26)</f>
        <v>102.26</v>
      </c>
      <c r="F2201" s="2">
        <f>IFERROR(__xludf.DUMMYFUNCTION("""COMPUTED_VALUE"""),2937279.0)</f>
        <v>2937279</v>
      </c>
    </row>
    <row r="2202">
      <c r="A2202" s="3">
        <f>IFERROR(__xludf.DUMMYFUNCTION("""COMPUTED_VALUE"""),39755.645833333336)</f>
        <v>39755.64583</v>
      </c>
      <c r="B2202" s="2">
        <f>IFERROR(__xludf.DUMMYFUNCTION("""COMPUTED_VALUE"""),105.52)</f>
        <v>105.52</v>
      </c>
      <c r="C2202" s="2">
        <f>IFERROR(__xludf.DUMMYFUNCTION("""COMPUTED_VALUE"""),109.8)</f>
        <v>109.8</v>
      </c>
      <c r="D2202" s="2">
        <f>IFERROR(__xludf.DUMMYFUNCTION("""COMPUTED_VALUE"""),104.0)</f>
        <v>104</v>
      </c>
      <c r="E2202" s="2">
        <f>IFERROR(__xludf.DUMMYFUNCTION("""COMPUTED_VALUE"""),107.06)</f>
        <v>107.06</v>
      </c>
      <c r="F2202" s="2">
        <f>IFERROR(__xludf.DUMMYFUNCTION("""COMPUTED_VALUE"""),2155036.0)</f>
        <v>2155036</v>
      </c>
    </row>
    <row r="2203">
      <c r="A2203" s="3">
        <f>IFERROR(__xludf.DUMMYFUNCTION("""COMPUTED_VALUE"""),39756.645833333336)</f>
        <v>39756.64583</v>
      </c>
      <c r="B2203" s="2">
        <f>IFERROR(__xludf.DUMMYFUNCTION("""COMPUTED_VALUE"""),107.95)</f>
        <v>107.95</v>
      </c>
      <c r="C2203" s="2">
        <f>IFERROR(__xludf.DUMMYFUNCTION("""COMPUTED_VALUE"""),113.18)</f>
        <v>113.18</v>
      </c>
      <c r="D2203" s="2">
        <f>IFERROR(__xludf.DUMMYFUNCTION("""COMPUTED_VALUE"""),105.02)</f>
        <v>105.02</v>
      </c>
      <c r="E2203" s="2">
        <f>IFERROR(__xludf.DUMMYFUNCTION("""COMPUTED_VALUE"""),111.27)</f>
        <v>111.27</v>
      </c>
      <c r="F2203" s="2">
        <f>IFERROR(__xludf.DUMMYFUNCTION("""COMPUTED_VALUE"""),2104769.0)</f>
        <v>2104769</v>
      </c>
    </row>
    <row r="2204">
      <c r="A2204" s="3">
        <f>IFERROR(__xludf.DUMMYFUNCTION("""COMPUTED_VALUE"""),39757.645833333336)</f>
        <v>39757.64583</v>
      </c>
      <c r="B2204" s="2">
        <f>IFERROR(__xludf.DUMMYFUNCTION("""COMPUTED_VALUE"""),114.51)</f>
        <v>114.51</v>
      </c>
      <c r="C2204" s="2">
        <f>IFERROR(__xludf.DUMMYFUNCTION("""COMPUTED_VALUE"""),116.8)</f>
        <v>116.8</v>
      </c>
      <c r="D2204" s="2">
        <f>IFERROR(__xludf.DUMMYFUNCTION("""COMPUTED_VALUE"""),108.0)</f>
        <v>108</v>
      </c>
      <c r="E2204" s="2">
        <f>IFERROR(__xludf.DUMMYFUNCTION("""COMPUTED_VALUE"""),109.84)</f>
        <v>109.84</v>
      </c>
      <c r="F2204" s="2">
        <f>IFERROR(__xludf.DUMMYFUNCTION("""COMPUTED_VALUE"""),1501276.0)</f>
        <v>1501276</v>
      </c>
    </row>
    <row r="2205">
      <c r="A2205" s="3">
        <f>IFERROR(__xludf.DUMMYFUNCTION("""COMPUTED_VALUE"""),39758.645833333336)</f>
        <v>39758.64583</v>
      </c>
      <c r="B2205" s="2">
        <f>IFERROR(__xludf.DUMMYFUNCTION("""COMPUTED_VALUE"""),106.01)</f>
        <v>106.01</v>
      </c>
      <c r="C2205" s="2">
        <f>IFERROR(__xludf.DUMMYFUNCTION("""COMPUTED_VALUE"""),110.5)</f>
        <v>110.5</v>
      </c>
      <c r="D2205" s="2">
        <f>IFERROR(__xludf.DUMMYFUNCTION("""COMPUTED_VALUE"""),103.13)</f>
        <v>103.13</v>
      </c>
      <c r="E2205" s="2">
        <f>IFERROR(__xludf.DUMMYFUNCTION("""COMPUTED_VALUE"""),106.23)</f>
        <v>106.23</v>
      </c>
      <c r="F2205" s="2">
        <f>IFERROR(__xludf.DUMMYFUNCTION("""COMPUTED_VALUE"""),1305438.0)</f>
        <v>1305438</v>
      </c>
    </row>
    <row r="2206">
      <c r="A2206" s="3">
        <f>IFERROR(__xludf.DUMMYFUNCTION("""COMPUTED_VALUE"""),39759.645833333336)</f>
        <v>39759.64583</v>
      </c>
      <c r="B2206" s="2">
        <f>IFERROR(__xludf.DUMMYFUNCTION("""COMPUTED_VALUE"""),106.6)</f>
        <v>106.6</v>
      </c>
      <c r="C2206" s="2">
        <f>IFERROR(__xludf.DUMMYFUNCTION("""COMPUTED_VALUE"""),111.5)</f>
        <v>111.5</v>
      </c>
      <c r="D2206" s="2">
        <f>IFERROR(__xludf.DUMMYFUNCTION("""COMPUTED_VALUE"""),103.2)</f>
        <v>103.2</v>
      </c>
      <c r="E2206" s="2">
        <f>IFERROR(__xludf.DUMMYFUNCTION("""COMPUTED_VALUE"""),108.98)</f>
        <v>108.98</v>
      </c>
      <c r="F2206" s="2">
        <f>IFERROR(__xludf.DUMMYFUNCTION("""COMPUTED_VALUE"""),1378037.0)</f>
        <v>1378037</v>
      </c>
    </row>
    <row r="2207">
      <c r="A2207" s="3">
        <f>IFERROR(__xludf.DUMMYFUNCTION("""COMPUTED_VALUE"""),39762.645833333336)</f>
        <v>39762.64583</v>
      </c>
      <c r="B2207" s="2">
        <f>IFERROR(__xludf.DUMMYFUNCTION("""COMPUTED_VALUE"""),111.0)</f>
        <v>111</v>
      </c>
      <c r="C2207" s="2">
        <f>IFERROR(__xludf.DUMMYFUNCTION("""COMPUTED_VALUE"""),111.47)</f>
        <v>111.47</v>
      </c>
      <c r="D2207" s="2">
        <f>IFERROR(__xludf.DUMMYFUNCTION("""COMPUTED_VALUE"""),105.25)</f>
        <v>105.25</v>
      </c>
      <c r="E2207" s="2">
        <f>IFERROR(__xludf.DUMMYFUNCTION("""COMPUTED_VALUE"""),110.07)</f>
        <v>110.07</v>
      </c>
      <c r="F2207" s="2">
        <f>IFERROR(__xludf.DUMMYFUNCTION("""COMPUTED_VALUE"""),1849357.0)</f>
        <v>1849357</v>
      </c>
    </row>
    <row r="2208">
      <c r="A2208" s="3">
        <f>IFERROR(__xludf.DUMMYFUNCTION("""COMPUTED_VALUE"""),39763.645833333336)</f>
        <v>39763.64583</v>
      </c>
      <c r="B2208" s="2">
        <f>IFERROR(__xludf.DUMMYFUNCTION("""COMPUTED_VALUE"""),108.2)</f>
        <v>108.2</v>
      </c>
      <c r="C2208" s="2">
        <f>IFERROR(__xludf.DUMMYFUNCTION("""COMPUTED_VALUE"""),108.8)</f>
        <v>108.8</v>
      </c>
      <c r="D2208" s="2">
        <f>IFERROR(__xludf.DUMMYFUNCTION("""COMPUTED_VALUE"""),101.52)</f>
        <v>101.52</v>
      </c>
      <c r="E2208" s="2">
        <f>IFERROR(__xludf.DUMMYFUNCTION("""COMPUTED_VALUE"""),102.34)</f>
        <v>102.34</v>
      </c>
      <c r="F2208" s="2">
        <f>IFERROR(__xludf.DUMMYFUNCTION("""COMPUTED_VALUE"""),1235410.0)</f>
        <v>1235410</v>
      </c>
    </row>
    <row r="2209">
      <c r="A2209" s="3">
        <f>IFERROR(__xludf.DUMMYFUNCTION("""COMPUTED_VALUE"""),39764.645833333336)</f>
        <v>39764.64583</v>
      </c>
      <c r="B2209" s="2">
        <f>IFERROR(__xludf.DUMMYFUNCTION("""COMPUTED_VALUE"""),100.01)</f>
        <v>100.01</v>
      </c>
      <c r="C2209" s="2">
        <f>IFERROR(__xludf.DUMMYFUNCTION("""COMPUTED_VALUE"""),106.1)</f>
        <v>106.1</v>
      </c>
      <c r="D2209" s="2">
        <f>IFERROR(__xludf.DUMMYFUNCTION("""COMPUTED_VALUE"""),99.22)</f>
        <v>99.22</v>
      </c>
      <c r="E2209" s="2">
        <f>IFERROR(__xludf.DUMMYFUNCTION("""COMPUTED_VALUE"""),100.67)</f>
        <v>100.67</v>
      </c>
      <c r="F2209" s="2">
        <f>IFERROR(__xludf.DUMMYFUNCTION("""COMPUTED_VALUE"""),1901122.0)</f>
        <v>1901122</v>
      </c>
    </row>
    <row r="2210">
      <c r="A2210" s="3">
        <f>IFERROR(__xludf.DUMMYFUNCTION("""COMPUTED_VALUE"""),39766.645833333336)</f>
        <v>39766.64583</v>
      </c>
      <c r="B2210" s="2">
        <f>IFERROR(__xludf.DUMMYFUNCTION("""COMPUTED_VALUE"""),103.1)</f>
        <v>103.1</v>
      </c>
      <c r="C2210" s="2">
        <f>IFERROR(__xludf.DUMMYFUNCTION("""COMPUTED_VALUE"""),105.9)</f>
        <v>105.9</v>
      </c>
      <c r="D2210" s="2">
        <f>IFERROR(__xludf.DUMMYFUNCTION("""COMPUTED_VALUE"""),100.24)</f>
        <v>100.24</v>
      </c>
      <c r="E2210" s="2">
        <f>IFERROR(__xludf.DUMMYFUNCTION("""COMPUTED_VALUE"""),100.9)</f>
        <v>100.9</v>
      </c>
      <c r="F2210" s="2">
        <f>IFERROR(__xludf.DUMMYFUNCTION("""COMPUTED_VALUE"""),1788903.0)</f>
        <v>1788903</v>
      </c>
    </row>
    <row r="2211">
      <c r="A2211" s="3">
        <f>IFERROR(__xludf.DUMMYFUNCTION("""COMPUTED_VALUE"""),39769.645833333336)</f>
        <v>39769.64583</v>
      </c>
      <c r="B2211" s="2">
        <f>IFERROR(__xludf.DUMMYFUNCTION("""COMPUTED_VALUE"""),101.11)</f>
        <v>101.11</v>
      </c>
      <c r="C2211" s="2">
        <f>IFERROR(__xludf.DUMMYFUNCTION("""COMPUTED_VALUE"""),101.48)</f>
        <v>101.48</v>
      </c>
      <c r="D2211" s="2">
        <f>IFERROR(__xludf.DUMMYFUNCTION("""COMPUTED_VALUE"""),90.63)</f>
        <v>90.63</v>
      </c>
      <c r="E2211" s="2">
        <f>IFERROR(__xludf.DUMMYFUNCTION("""COMPUTED_VALUE"""),93.65)</f>
        <v>93.65</v>
      </c>
      <c r="F2211" s="2">
        <f>IFERROR(__xludf.DUMMYFUNCTION("""COMPUTED_VALUE"""),3584611.0)</f>
        <v>3584611</v>
      </c>
    </row>
    <row r="2212">
      <c r="A2212" s="3">
        <f>IFERROR(__xludf.DUMMYFUNCTION("""COMPUTED_VALUE"""),39770.645833333336)</f>
        <v>39770.64583</v>
      </c>
      <c r="B2212" s="2">
        <f>IFERROR(__xludf.DUMMYFUNCTION("""COMPUTED_VALUE"""),92.0)</f>
        <v>92</v>
      </c>
      <c r="C2212" s="2">
        <f>IFERROR(__xludf.DUMMYFUNCTION("""COMPUTED_VALUE"""),93.08)</f>
        <v>93.08</v>
      </c>
      <c r="D2212" s="2">
        <f>IFERROR(__xludf.DUMMYFUNCTION("""COMPUTED_VALUE"""),88.57)</f>
        <v>88.57</v>
      </c>
      <c r="E2212" s="2">
        <f>IFERROR(__xludf.DUMMYFUNCTION("""COMPUTED_VALUE"""),91.51)</f>
        <v>91.51</v>
      </c>
      <c r="F2212" s="2">
        <f>IFERROR(__xludf.DUMMYFUNCTION("""COMPUTED_VALUE"""),2512091.0)</f>
        <v>2512091</v>
      </c>
    </row>
    <row r="2213">
      <c r="A2213" s="3">
        <f>IFERROR(__xludf.DUMMYFUNCTION("""COMPUTED_VALUE"""),39771.645833333336)</f>
        <v>39771.64583</v>
      </c>
      <c r="B2213" s="2">
        <f>IFERROR(__xludf.DUMMYFUNCTION("""COMPUTED_VALUE"""),92.5)</f>
        <v>92.5</v>
      </c>
      <c r="C2213" s="2">
        <f>IFERROR(__xludf.DUMMYFUNCTION("""COMPUTED_VALUE"""),97.4)</f>
        <v>97.4</v>
      </c>
      <c r="D2213" s="2">
        <f>IFERROR(__xludf.DUMMYFUNCTION("""COMPUTED_VALUE"""),87.01)</f>
        <v>87.01</v>
      </c>
      <c r="E2213" s="2">
        <f>IFERROR(__xludf.DUMMYFUNCTION("""COMPUTED_VALUE"""),88.46)</f>
        <v>88.46</v>
      </c>
      <c r="F2213" s="2">
        <f>IFERROR(__xludf.DUMMYFUNCTION("""COMPUTED_VALUE"""),2438869.0)</f>
        <v>2438869</v>
      </c>
    </row>
    <row r="2214">
      <c r="A2214" s="3">
        <f>IFERROR(__xludf.DUMMYFUNCTION("""COMPUTED_VALUE"""),39773.645833333336)</f>
        <v>39773.64583</v>
      </c>
      <c r="B2214" s="2">
        <f>IFERROR(__xludf.DUMMYFUNCTION("""COMPUTED_VALUE"""),83.01)</f>
        <v>83.01</v>
      </c>
      <c r="C2214" s="2">
        <f>IFERROR(__xludf.DUMMYFUNCTION("""COMPUTED_VALUE"""),86.8)</f>
        <v>86.8</v>
      </c>
      <c r="D2214" s="2">
        <f>IFERROR(__xludf.DUMMYFUNCTION("""COMPUTED_VALUE"""),79.8)</f>
        <v>79.8</v>
      </c>
      <c r="E2214" s="2">
        <f>IFERROR(__xludf.DUMMYFUNCTION("""COMPUTED_VALUE"""),85.65)</f>
        <v>85.65</v>
      </c>
      <c r="F2214" s="2">
        <f>IFERROR(__xludf.DUMMYFUNCTION("""COMPUTED_VALUE"""),3100795.0)</f>
        <v>3100795</v>
      </c>
    </row>
    <row r="2215">
      <c r="A2215" s="3">
        <f>IFERROR(__xludf.DUMMYFUNCTION("""COMPUTED_VALUE"""),39776.645833333336)</f>
        <v>39776.64583</v>
      </c>
      <c r="B2215" s="2">
        <f>IFERROR(__xludf.DUMMYFUNCTION("""COMPUTED_VALUE"""),85.5)</f>
        <v>85.5</v>
      </c>
      <c r="C2215" s="2">
        <f>IFERROR(__xludf.DUMMYFUNCTION("""COMPUTED_VALUE"""),85.71)</f>
        <v>85.71</v>
      </c>
      <c r="D2215" s="2">
        <f>IFERROR(__xludf.DUMMYFUNCTION("""COMPUTED_VALUE"""),80.8)</f>
        <v>80.8</v>
      </c>
      <c r="E2215" s="2">
        <f>IFERROR(__xludf.DUMMYFUNCTION("""COMPUTED_VALUE"""),82.91)</f>
        <v>82.91</v>
      </c>
      <c r="F2215" s="2">
        <f>IFERROR(__xludf.DUMMYFUNCTION("""COMPUTED_VALUE"""),1803667.0)</f>
        <v>1803667</v>
      </c>
    </row>
    <row r="2216">
      <c r="A2216" s="3">
        <f>IFERROR(__xludf.DUMMYFUNCTION("""COMPUTED_VALUE"""),39777.645833333336)</f>
        <v>39777.64583</v>
      </c>
      <c r="B2216" s="2">
        <f>IFERROR(__xludf.DUMMYFUNCTION("""COMPUTED_VALUE"""),84.5)</f>
        <v>84.5</v>
      </c>
      <c r="C2216" s="2">
        <f>IFERROR(__xludf.DUMMYFUNCTION("""COMPUTED_VALUE"""),88.5)</f>
        <v>88.5</v>
      </c>
      <c r="D2216" s="2">
        <f>IFERROR(__xludf.DUMMYFUNCTION("""COMPUTED_VALUE"""),82.83)</f>
        <v>82.83</v>
      </c>
      <c r="E2216" s="2">
        <f>IFERROR(__xludf.DUMMYFUNCTION("""COMPUTED_VALUE"""),83.54)</f>
        <v>83.54</v>
      </c>
      <c r="F2216" s="2">
        <f>IFERROR(__xludf.DUMMYFUNCTION("""COMPUTED_VALUE"""),2416995.0)</f>
        <v>2416995</v>
      </c>
    </row>
    <row r="2217">
      <c r="A2217" s="3">
        <f>IFERROR(__xludf.DUMMYFUNCTION("""COMPUTED_VALUE"""),39778.645833333336)</f>
        <v>39778.64583</v>
      </c>
      <c r="B2217" s="2">
        <f>IFERROR(__xludf.DUMMYFUNCTION("""COMPUTED_VALUE"""),85.0)</f>
        <v>85</v>
      </c>
      <c r="C2217" s="2">
        <f>IFERROR(__xludf.DUMMYFUNCTION("""COMPUTED_VALUE"""),92.45)</f>
        <v>92.45</v>
      </c>
      <c r="D2217" s="2">
        <f>IFERROR(__xludf.DUMMYFUNCTION("""COMPUTED_VALUE"""),83.5)</f>
        <v>83.5</v>
      </c>
      <c r="E2217" s="2">
        <f>IFERROR(__xludf.DUMMYFUNCTION("""COMPUTED_VALUE"""),90.61)</f>
        <v>90.61</v>
      </c>
      <c r="F2217" s="2">
        <f>IFERROR(__xludf.DUMMYFUNCTION("""COMPUTED_VALUE"""),2427380.0)</f>
        <v>2427380</v>
      </c>
    </row>
    <row r="2218">
      <c r="A2218" s="3">
        <f>IFERROR(__xludf.DUMMYFUNCTION("""COMPUTED_VALUE"""),39780.645833333336)</f>
        <v>39780.64583</v>
      </c>
      <c r="B2218" s="2">
        <f>IFERROR(__xludf.DUMMYFUNCTION("""COMPUTED_VALUE"""),81.01)</f>
        <v>81.01</v>
      </c>
      <c r="C2218" s="2">
        <f>IFERROR(__xludf.DUMMYFUNCTION("""COMPUTED_VALUE"""),93.6)</f>
        <v>93.6</v>
      </c>
      <c r="D2218" s="2">
        <f>IFERROR(__xludf.DUMMYFUNCTION("""COMPUTED_VALUE"""),79.16)</f>
        <v>79.16</v>
      </c>
      <c r="E2218" s="2">
        <f>IFERROR(__xludf.DUMMYFUNCTION("""COMPUTED_VALUE"""),92.28)</f>
        <v>92.28</v>
      </c>
      <c r="F2218" s="2">
        <f>IFERROR(__xludf.DUMMYFUNCTION("""COMPUTED_VALUE"""),2759252.0)</f>
        <v>2759252</v>
      </c>
    </row>
    <row r="2219">
      <c r="A2219" s="3">
        <f>IFERROR(__xludf.DUMMYFUNCTION("""COMPUTED_VALUE"""),39783.645833333336)</f>
        <v>39783.64583</v>
      </c>
      <c r="B2219" s="2">
        <f>IFERROR(__xludf.DUMMYFUNCTION("""COMPUTED_VALUE"""),92.5)</f>
        <v>92.5</v>
      </c>
      <c r="C2219" s="2">
        <f>IFERROR(__xludf.DUMMYFUNCTION("""COMPUTED_VALUE"""),97.0)</f>
        <v>97</v>
      </c>
      <c r="D2219" s="2">
        <f>IFERROR(__xludf.DUMMYFUNCTION("""COMPUTED_VALUE"""),89.0)</f>
        <v>89</v>
      </c>
      <c r="E2219" s="2">
        <f>IFERROR(__xludf.DUMMYFUNCTION("""COMPUTED_VALUE"""),89.88)</f>
        <v>89.88</v>
      </c>
      <c r="F2219" s="2">
        <f>IFERROR(__xludf.DUMMYFUNCTION("""COMPUTED_VALUE"""),2147850.0)</f>
        <v>2147850</v>
      </c>
    </row>
    <row r="2220">
      <c r="A2220" s="3">
        <f>IFERROR(__xludf.DUMMYFUNCTION("""COMPUTED_VALUE"""),39784.645833333336)</f>
        <v>39784.64583</v>
      </c>
      <c r="B2220" s="2">
        <f>IFERROR(__xludf.DUMMYFUNCTION("""COMPUTED_VALUE"""),88.0)</f>
        <v>88</v>
      </c>
      <c r="C2220" s="2">
        <f>IFERROR(__xludf.DUMMYFUNCTION("""COMPUTED_VALUE"""),89.48)</f>
        <v>89.48</v>
      </c>
      <c r="D2220" s="2">
        <f>IFERROR(__xludf.DUMMYFUNCTION("""COMPUTED_VALUE"""),84.51)</f>
        <v>84.51</v>
      </c>
      <c r="E2220" s="2">
        <f>IFERROR(__xludf.DUMMYFUNCTION("""COMPUTED_VALUE"""),88.59)</f>
        <v>88.59</v>
      </c>
      <c r="F2220" s="2">
        <f>IFERROR(__xludf.DUMMYFUNCTION("""COMPUTED_VALUE"""),1736484.0)</f>
        <v>1736484</v>
      </c>
    </row>
    <row r="2221">
      <c r="A2221" s="3">
        <f>IFERROR(__xludf.DUMMYFUNCTION("""COMPUTED_VALUE"""),39785.645833333336)</f>
        <v>39785.64583</v>
      </c>
      <c r="B2221" s="2">
        <f>IFERROR(__xludf.DUMMYFUNCTION("""COMPUTED_VALUE"""),90.2)</f>
        <v>90.2</v>
      </c>
      <c r="C2221" s="2">
        <f>IFERROR(__xludf.DUMMYFUNCTION("""COMPUTED_VALUE"""),90.2)</f>
        <v>90.2</v>
      </c>
      <c r="D2221" s="2">
        <f>IFERROR(__xludf.DUMMYFUNCTION("""COMPUTED_VALUE"""),86.11)</f>
        <v>86.11</v>
      </c>
      <c r="E2221" s="2">
        <f>IFERROR(__xludf.DUMMYFUNCTION("""COMPUTED_VALUE"""),88.04)</f>
        <v>88.04</v>
      </c>
      <c r="F2221" s="2">
        <f>IFERROR(__xludf.DUMMYFUNCTION("""COMPUTED_VALUE"""),1971726.0)</f>
        <v>1971726</v>
      </c>
    </row>
    <row r="2222">
      <c r="A2222" s="3">
        <f>IFERROR(__xludf.DUMMYFUNCTION("""COMPUTED_VALUE"""),39786.645833333336)</f>
        <v>39786.64583</v>
      </c>
      <c r="B2222" s="2">
        <f>IFERROR(__xludf.DUMMYFUNCTION("""COMPUTED_VALUE"""),87.2)</f>
        <v>87.2</v>
      </c>
      <c r="C2222" s="2">
        <f>IFERROR(__xludf.DUMMYFUNCTION("""COMPUTED_VALUE"""),91.87)</f>
        <v>91.87</v>
      </c>
      <c r="D2222" s="2">
        <f>IFERROR(__xludf.DUMMYFUNCTION("""COMPUTED_VALUE"""),87.2)</f>
        <v>87.2</v>
      </c>
      <c r="E2222" s="2">
        <f>IFERROR(__xludf.DUMMYFUNCTION("""COMPUTED_VALUE"""),91.2)</f>
        <v>91.2</v>
      </c>
      <c r="F2222" s="2">
        <f>IFERROR(__xludf.DUMMYFUNCTION("""COMPUTED_VALUE"""),1789549.0)</f>
        <v>1789549</v>
      </c>
    </row>
    <row r="2223">
      <c r="A2223" s="3">
        <f>IFERROR(__xludf.DUMMYFUNCTION("""COMPUTED_VALUE"""),39787.645833333336)</f>
        <v>39787.64583</v>
      </c>
      <c r="B2223" s="2">
        <f>IFERROR(__xludf.DUMMYFUNCTION("""COMPUTED_VALUE"""),92.0)</f>
        <v>92</v>
      </c>
      <c r="C2223" s="2">
        <f>IFERROR(__xludf.DUMMYFUNCTION("""COMPUTED_VALUE"""),93.6)</f>
        <v>93.6</v>
      </c>
      <c r="D2223" s="2">
        <f>IFERROR(__xludf.DUMMYFUNCTION("""COMPUTED_VALUE"""),86.5)</f>
        <v>86.5</v>
      </c>
      <c r="E2223" s="2">
        <f>IFERROR(__xludf.DUMMYFUNCTION("""COMPUTED_VALUE"""),89.03)</f>
        <v>89.03</v>
      </c>
      <c r="F2223" s="2">
        <f>IFERROR(__xludf.DUMMYFUNCTION("""COMPUTED_VALUE"""),1992039.0)</f>
        <v>1992039</v>
      </c>
    </row>
    <row r="2224">
      <c r="A2224" s="3">
        <f>IFERROR(__xludf.DUMMYFUNCTION("""COMPUTED_VALUE"""),39790.645833333336)</f>
        <v>39790.64583</v>
      </c>
      <c r="B2224" s="2">
        <f>IFERROR(__xludf.DUMMYFUNCTION("""COMPUTED_VALUE"""),92.45)</f>
        <v>92.45</v>
      </c>
      <c r="C2224" s="2">
        <f>IFERROR(__xludf.DUMMYFUNCTION("""COMPUTED_VALUE"""),95.4)</f>
        <v>95.4</v>
      </c>
      <c r="D2224" s="2">
        <f>IFERROR(__xludf.DUMMYFUNCTION("""COMPUTED_VALUE"""),88.21)</f>
        <v>88.21</v>
      </c>
      <c r="E2224" s="2">
        <f>IFERROR(__xludf.DUMMYFUNCTION("""COMPUTED_VALUE"""),89.8)</f>
        <v>89.8</v>
      </c>
      <c r="F2224" s="2">
        <f>IFERROR(__xludf.DUMMYFUNCTION("""COMPUTED_VALUE"""),2464332.0)</f>
        <v>2464332</v>
      </c>
    </row>
    <row r="2225">
      <c r="A2225" s="3">
        <f>IFERROR(__xludf.DUMMYFUNCTION("""COMPUTED_VALUE"""),39792.645833333336)</f>
        <v>39792.64583</v>
      </c>
      <c r="B2225" s="2">
        <f>IFERROR(__xludf.DUMMYFUNCTION("""COMPUTED_VALUE"""),90.3)</f>
        <v>90.3</v>
      </c>
      <c r="C2225" s="2">
        <f>IFERROR(__xludf.DUMMYFUNCTION("""COMPUTED_VALUE"""),94.0)</f>
        <v>94</v>
      </c>
      <c r="D2225" s="2">
        <f>IFERROR(__xludf.DUMMYFUNCTION("""COMPUTED_VALUE"""),90.3)</f>
        <v>90.3</v>
      </c>
      <c r="E2225" s="2">
        <f>IFERROR(__xludf.DUMMYFUNCTION("""COMPUTED_VALUE"""),92.38)</f>
        <v>92.38</v>
      </c>
      <c r="F2225" s="2">
        <f>IFERROR(__xludf.DUMMYFUNCTION("""COMPUTED_VALUE"""),3229937.0)</f>
        <v>3229937</v>
      </c>
    </row>
    <row r="2226">
      <c r="A2226" s="3">
        <f>IFERROR(__xludf.DUMMYFUNCTION("""COMPUTED_VALUE"""),39793.645833333336)</f>
        <v>39793.64583</v>
      </c>
      <c r="B2226" s="2">
        <f>IFERROR(__xludf.DUMMYFUNCTION("""COMPUTED_VALUE"""),92.5)</f>
        <v>92.5</v>
      </c>
      <c r="C2226" s="2">
        <f>IFERROR(__xludf.DUMMYFUNCTION("""COMPUTED_VALUE"""),94.9)</f>
        <v>94.9</v>
      </c>
      <c r="D2226" s="2">
        <f>IFERROR(__xludf.DUMMYFUNCTION("""COMPUTED_VALUE"""),90.22)</f>
        <v>90.22</v>
      </c>
      <c r="E2226" s="2">
        <f>IFERROR(__xludf.DUMMYFUNCTION("""COMPUTED_VALUE"""),91.86)</f>
        <v>91.86</v>
      </c>
      <c r="F2226" s="2">
        <f>IFERROR(__xludf.DUMMYFUNCTION("""COMPUTED_VALUE"""),2232919.0)</f>
        <v>2232919</v>
      </c>
    </row>
    <row r="2227">
      <c r="A2227" s="3">
        <f>IFERROR(__xludf.DUMMYFUNCTION("""COMPUTED_VALUE"""),39794.645833333336)</f>
        <v>39794.64583</v>
      </c>
      <c r="B2227" s="2">
        <f>IFERROR(__xludf.DUMMYFUNCTION("""COMPUTED_VALUE"""),90.5)</f>
        <v>90.5</v>
      </c>
      <c r="C2227" s="2">
        <f>IFERROR(__xludf.DUMMYFUNCTION("""COMPUTED_VALUE"""),93.0)</f>
        <v>93</v>
      </c>
      <c r="D2227" s="2">
        <f>IFERROR(__xludf.DUMMYFUNCTION("""COMPUTED_VALUE"""),87.6)</f>
        <v>87.6</v>
      </c>
      <c r="E2227" s="2">
        <f>IFERROR(__xludf.DUMMYFUNCTION("""COMPUTED_VALUE"""),92.0)</f>
        <v>92</v>
      </c>
      <c r="F2227" s="2">
        <f>IFERROR(__xludf.DUMMYFUNCTION("""COMPUTED_VALUE"""),1607552.0)</f>
        <v>1607552</v>
      </c>
    </row>
    <row r="2228">
      <c r="A2228" s="3">
        <f>IFERROR(__xludf.DUMMYFUNCTION("""COMPUTED_VALUE"""),39797.645833333336)</f>
        <v>39797.64583</v>
      </c>
      <c r="B2228" s="2">
        <f>IFERROR(__xludf.DUMMYFUNCTION("""COMPUTED_VALUE"""),93.52)</f>
        <v>93.52</v>
      </c>
      <c r="C2228" s="2">
        <f>IFERROR(__xludf.DUMMYFUNCTION("""COMPUTED_VALUE"""),95.87)</f>
        <v>95.87</v>
      </c>
      <c r="D2228" s="2">
        <f>IFERROR(__xludf.DUMMYFUNCTION("""COMPUTED_VALUE"""),92.5)</f>
        <v>92.5</v>
      </c>
      <c r="E2228" s="2">
        <f>IFERROR(__xludf.DUMMYFUNCTION("""COMPUTED_VALUE"""),94.43)</f>
        <v>94.43</v>
      </c>
      <c r="F2228" s="2">
        <f>IFERROR(__xludf.DUMMYFUNCTION("""COMPUTED_VALUE"""),1535339.0)</f>
        <v>1535339</v>
      </c>
    </row>
    <row r="2229">
      <c r="A2229" s="3">
        <f>IFERROR(__xludf.DUMMYFUNCTION("""COMPUTED_VALUE"""),39798.645833333336)</f>
        <v>39798.64583</v>
      </c>
      <c r="B2229" s="2">
        <f>IFERROR(__xludf.DUMMYFUNCTION("""COMPUTED_VALUE"""),93.7)</f>
        <v>93.7</v>
      </c>
      <c r="C2229" s="2">
        <f>IFERROR(__xludf.DUMMYFUNCTION("""COMPUTED_VALUE"""),99.9)</f>
        <v>99.9</v>
      </c>
      <c r="D2229" s="2">
        <f>IFERROR(__xludf.DUMMYFUNCTION("""COMPUTED_VALUE"""),93.23)</f>
        <v>93.23</v>
      </c>
      <c r="E2229" s="2">
        <f>IFERROR(__xludf.DUMMYFUNCTION("""COMPUTED_VALUE"""),98.5)</f>
        <v>98.5</v>
      </c>
      <c r="F2229" s="2">
        <f>IFERROR(__xludf.DUMMYFUNCTION("""COMPUTED_VALUE"""),1893925.0)</f>
        <v>1893925</v>
      </c>
    </row>
    <row r="2230">
      <c r="A2230" s="3">
        <f>IFERROR(__xludf.DUMMYFUNCTION("""COMPUTED_VALUE"""),39799.645833333336)</f>
        <v>39799.64583</v>
      </c>
      <c r="B2230" s="2">
        <f>IFERROR(__xludf.DUMMYFUNCTION("""COMPUTED_VALUE"""),100.32)</f>
        <v>100.32</v>
      </c>
      <c r="C2230" s="2">
        <f>IFERROR(__xludf.DUMMYFUNCTION("""COMPUTED_VALUE"""),102.0)</f>
        <v>102</v>
      </c>
      <c r="D2230" s="2">
        <f>IFERROR(__xludf.DUMMYFUNCTION("""COMPUTED_VALUE"""),98.8)</f>
        <v>98.8</v>
      </c>
      <c r="E2230" s="2">
        <f>IFERROR(__xludf.DUMMYFUNCTION("""COMPUTED_VALUE"""),100.22)</f>
        <v>100.22</v>
      </c>
      <c r="F2230" s="2">
        <f>IFERROR(__xludf.DUMMYFUNCTION("""COMPUTED_VALUE"""),2579839.0)</f>
        <v>2579839</v>
      </c>
    </row>
    <row r="2231">
      <c r="A2231" s="3">
        <f>IFERROR(__xludf.DUMMYFUNCTION("""COMPUTED_VALUE"""),39800.645833333336)</f>
        <v>39800.64583</v>
      </c>
      <c r="B2231" s="2">
        <f>IFERROR(__xludf.DUMMYFUNCTION("""COMPUTED_VALUE"""),99.81)</f>
        <v>99.81</v>
      </c>
      <c r="C2231" s="2">
        <f>IFERROR(__xludf.DUMMYFUNCTION("""COMPUTED_VALUE"""),106.99)</f>
        <v>106.99</v>
      </c>
      <c r="D2231" s="2">
        <f>IFERROR(__xludf.DUMMYFUNCTION("""COMPUTED_VALUE"""),99.3)</f>
        <v>99.3</v>
      </c>
      <c r="E2231" s="2">
        <f>IFERROR(__xludf.DUMMYFUNCTION("""COMPUTED_VALUE"""),105.87)</f>
        <v>105.87</v>
      </c>
      <c r="F2231" s="2">
        <f>IFERROR(__xludf.DUMMYFUNCTION("""COMPUTED_VALUE"""),1985265.0)</f>
        <v>1985265</v>
      </c>
    </row>
    <row r="2232">
      <c r="A2232" s="3">
        <f>IFERROR(__xludf.DUMMYFUNCTION("""COMPUTED_VALUE"""),39801.645833333336)</f>
        <v>39801.64583</v>
      </c>
      <c r="B2232" s="2">
        <f>IFERROR(__xludf.DUMMYFUNCTION("""COMPUTED_VALUE"""),105.1)</f>
        <v>105.1</v>
      </c>
      <c r="C2232" s="2">
        <f>IFERROR(__xludf.DUMMYFUNCTION("""COMPUTED_VALUE"""),108.44)</f>
        <v>108.44</v>
      </c>
      <c r="D2232" s="2">
        <f>IFERROR(__xludf.DUMMYFUNCTION("""COMPUTED_VALUE"""),103.26)</f>
        <v>103.26</v>
      </c>
      <c r="E2232" s="2">
        <f>IFERROR(__xludf.DUMMYFUNCTION("""COMPUTED_VALUE"""),105.21)</f>
        <v>105.21</v>
      </c>
      <c r="F2232" s="2">
        <f>IFERROR(__xludf.DUMMYFUNCTION("""COMPUTED_VALUE"""),2029169.0)</f>
        <v>2029169</v>
      </c>
    </row>
    <row r="2233">
      <c r="A2233" s="3">
        <f>IFERROR(__xludf.DUMMYFUNCTION("""COMPUTED_VALUE"""),39804.645833333336)</f>
        <v>39804.64583</v>
      </c>
      <c r="B2233" s="2">
        <f>IFERROR(__xludf.DUMMYFUNCTION("""COMPUTED_VALUE"""),105.2)</f>
        <v>105.2</v>
      </c>
      <c r="C2233" s="2">
        <f>IFERROR(__xludf.DUMMYFUNCTION("""COMPUTED_VALUE"""),106.5)</f>
        <v>106.5</v>
      </c>
      <c r="D2233" s="2">
        <f>IFERROR(__xludf.DUMMYFUNCTION("""COMPUTED_VALUE"""),100.8)</f>
        <v>100.8</v>
      </c>
      <c r="E2233" s="2">
        <f>IFERROR(__xludf.DUMMYFUNCTION("""COMPUTED_VALUE"""),101.85)</f>
        <v>101.85</v>
      </c>
      <c r="F2233" s="2">
        <f>IFERROR(__xludf.DUMMYFUNCTION("""COMPUTED_VALUE"""),1194269.0)</f>
        <v>1194269</v>
      </c>
    </row>
    <row r="2234">
      <c r="A2234" s="3">
        <f>IFERROR(__xludf.DUMMYFUNCTION("""COMPUTED_VALUE"""),39805.645833333336)</f>
        <v>39805.64583</v>
      </c>
      <c r="B2234" s="2">
        <f>IFERROR(__xludf.DUMMYFUNCTION("""COMPUTED_VALUE"""),101.2)</f>
        <v>101.2</v>
      </c>
      <c r="C2234" s="2">
        <f>IFERROR(__xludf.DUMMYFUNCTION("""COMPUTED_VALUE"""),101.8)</f>
        <v>101.8</v>
      </c>
      <c r="D2234" s="2">
        <f>IFERROR(__xludf.DUMMYFUNCTION("""COMPUTED_VALUE"""),97.32)</f>
        <v>97.32</v>
      </c>
      <c r="E2234" s="2">
        <f>IFERROR(__xludf.DUMMYFUNCTION("""COMPUTED_VALUE"""),97.98)</f>
        <v>97.98</v>
      </c>
      <c r="F2234" s="2">
        <f>IFERROR(__xludf.DUMMYFUNCTION("""COMPUTED_VALUE"""),1316943.0)</f>
        <v>1316943</v>
      </c>
    </row>
    <row r="2235">
      <c r="A2235" s="3">
        <f>IFERROR(__xludf.DUMMYFUNCTION("""COMPUTED_VALUE"""),39806.645833333336)</f>
        <v>39806.64583</v>
      </c>
      <c r="B2235" s="2">
        <f>IFERROR(__xludf.DUMMYFUNCTION("""COMPUTED_VALUE"""),99.44)</f>
        <v>99.44</v>
      </c>
      <c r="C2235" s="2">
        <f>IFERROR(__xludf.DUMMYFUNCTION("""COMPUTED_VALUE"""),100.0)</f>
        <v>100</v>
      </c>
      <c r="D2235" s="2">
        <f>IFERROR(__xludf.DUMMYFUNCTION("""COMPUTED_VALUE"""),94.2)</f>
        <v>94.2</v>
      </c>
      <c r="E2235" s="2">
        <f>IFERROR(__xludf.DUMMYFUNCTION("""COMPUTED_VALUE"""),98.42)</f>
        <v>98.42</v>
      </c>
      <c r="F2235" s="2">
        <f>IFERROR(__xludf.DUMMYFUNCTION("""COMPUTED_VALUE"""),1354874.0)</f>
        <v>1354874</v>
      </c>
    </row>
    <row r="2236">
      <c r="A2236" s="3">
        <f>IFERROR(__xludf.DUMMYFUNCTION("""COMPUTED_VALUE"""),39808.645833333336)</f>
        <v>39808.64583</v>
      </c>
      <c r="B2236" s="2">
        <f>IFERROR(__xludf.DUMMYFUNCTION("""COMPUTED_VALUE"""),99.5)</f>
        <v>99.5</v>
      </c>
      <c r="C2236" s="2">
        <f>IFERROR(__xludf.DUMMYFUNCTION("""COMPUTED_VALUE"""),101.99)</f>
        <v>101.99</v>
      </c>
      <c r="D2236" s="2">
        <f>IFERROR(__xludf.DUMMYFUNCTION("""COMPUTED_VALUE"""),96.6)</f>
        <v>96.6</v>
      </c>
      <c r="E2236" s="2">
        <f>IFERROR(__xludf.DUMMYFUNCTION("""COMPUTED_VALUE"""),97.28)</f>
        <v>97.28</v>
      </c>
      <c r="F2236" s="2">
        <f>IFERROR(__xludf.DUMMYFUNCTION("""COMPUTED_VALUE"""),838857.0)</f>
        <v>838857</v>
      </c>
    </row>
    <row r="2237">
      <c r="A2237" s="3">
        <f>IFERROR(__xludf.DUMMYFUNCTION("""COMPUTED_VALUE"""),39811.645833333336)</f>
        <v>39811.64583</v>
      </c>
      <c r="B2237" s="2">
        <f>IFERROR(__xludf.DUMMYFUNCTION("""COMPUTED_VALUE"""),95.64)</f>
        <v>95.64</v>
      </c>
      <c r="C2237" s="2">
        <f>IFERROR(__xludf.DUMMYFUNCTION("""COMPUTED_VALUE"""),101.0)</f>
        <v>101</v>
      </c>
      <c r="D2237" s="2">
        <f>IFERROR(__xludf.DUMMYFUNCTION("""COMPUTED_VALUE"""),95.6)</f>
        <v>95.6</v>
      </c>
      <c r="E2237" s="2">
        <f>IFERROR(__xludf.DUMMYFUNCTION("""COMPUTED_VALUE"""),100.24)</f>
        <v>100.24</v>
      </c>
      <c r="F2237" s="2">
        <f>IFERROR(__xludf.DUMMYFUNCTION("""COMPUTED_VALUE"""),1303029.0)</f>
        <v>1303029</v>
      </c>
    </row>
    <row r="2238">
      <c r="A2238" s="3">
        <f>IFERROR(__xludf.DUMMYFUNCTION("""COMPUTED_VALUE"""),39812.645833333336)</f>
        <v>39812.64583</v>
      </c>
      <c r="B2238" s="2">
        <f>IFERROR(__xludf.DUMMYFUNCTION("""COMPUTED_VALUE"""),99.91)</f>
        <v>99.91</v>
      </c>
      <c r="C2238" s="2">
        <f>IFERROR(__xludf.DUMMYFUNCTION("""COMPUTED_VALUE"""),103.43)</f>
        <v>103.43</v>
      </c>
      <c r="D2238" s="2">
        <f>IFERROR(__xludf.DUMMYFUNCTION("""COMPUTED_VALUE"""),99.53)</f>
        <v>99.53</v>
      </c>
      <c r="E2238" s="2">
        <f>IFERROR(__xludf.DUMMYFUNCTION("""COMPUTED_VALUE"""),101.9)</f>
        <v>101.9</v>
      </c>
      <c r="F2238" s="2">
        <f>IFERROR(__xludf.DUMMYFUNCTION("""COMPUTED_VALUE"""),1885538.0)</f>
        <v>1885538</v>
      </c>
    </row>
    <row r="2239">
      <c r="A2239" s="3">
        <f>IFERROR(__xludf.DUMMYFUNCTION("""COMPUTED_VALUE"""),39813.645833333336)</f>
        <v>39813.64583</v>
      </c>
      <c r="B2239" s="2">
        <f>IFERROR(__xludf.DUMMYFUNCTION("""COMPUTED_VALUE"""),103.2)</f>
        <v>103.2</v>
      </c>
      <c r="C2239" s="2">
        <f>IFERROR(__xludf.DUMMYFUNCTION("""COMPUTED_VALUE"""),103.2)</f>
        <v>103.2</v>
      </c>
      <c r="D2239" s="2">
        <f>IFERROR(__xludf.DUMMYFUNCTION("""COMPUTED_VALUE"""),98.85)</f>
        <v>98.85</v>
      </c>
      <c r="E2239" s="2">
        <f>IFERROR(__xludf.DUMMYFUNCTION("""COMPUTED_VALUE"""),99.83)</f>
        <v>99.83</v>
      </c>
      <c r="F2239" s="2">
        <f>IFERROR(__xludf.DUMMYFUNCTION("""COMPUTED_VALUE"""),1039337.0)</f>
        <v>1039337</v>
      </c>
    </row>
    <row r="2240">
      <c r="A2240" s="3">
        <f>IFERROR(__xludf.DUMMYFUNCTION("""COMPUTED_VALUE"""),39814.645833333336)</f>
        <v>39814.64583</v>
      </c>
      <c r="B2240" s="2">
        <f>IFERROR(__xludf.DUMMYFUNCTION("""COMPUTED_VALUE"""),99.6)</f>
        <v>99.6</v>
      </c>
      <c r="C2240" s="2">
        <f>IFERROR(__xludf.DUMMYFUNCTION("""COMPUTED_VALUE"""),101.98)</f>
        <v>101.98</v>
      </c>
      <c r="D2240" s="2">
        <f>IFERROR(__xludf.DUMMYFUNCTION("""COMPUTED_VALUE"""),99.6)</f>
        <v>99.6</v>
      </c>
      <c r="E2240" s="2">
        <f>IFERROR(__xludf.DUMMYFUNCTION("""COMPUTED_VALUE"""),101.38)</f>
        <v>101.38</v>
      </c>
      <c r="F2240" s="2">
        <f>IFERROR(__xludf.DUMMYFUNCTION("""COMPUTED_VALUE"""),528750.0)</f>
        <v>528750</v>
      </c>
    </row>
    <row r="2241">
      <c r="A2241" s="3">
        <f>IFERROR(__xludf.DUMMYFUNCTION("""COMPUTED_VALUE"""),39815.645833333336)</f>
        <v>39815.64583</v>
      </c>
      <c r="B2241" s="2">
        <f>IFERROR(__xludf.DUMMYFUNCTION("""COMPUTED_VALUE"""),102.0)</f>
        <v>102</v>
      </c>
      <c r="C2241" s="2">
        <f>IFERROR(__xludf.DUMMYFUNCTION("""COMPUTED_VALUE"""),103.2)</f>
        <v>103.2</v>
      </c>
      <c r="D2241" s="2">
        <f>IFERROR(__xludf.DUMMYFUNCTION("""COMPUTED_VALUE"""),100.32)</f>
        <v>100.32</v>
      </c>
      <c r="E2241" s="2">
        <f>IFERROR(__xludf.DUMMYFUNCTION("""COMPUTED_VALUE"""),101.57)</f>
        <v>101.57</v>
      </c>
      <c r="F2241" s="2">
        <f>IFERROR(__xludf.DUMMYFUNCTION("""COMPUTED_VALUE"""),1046852.0)</f>
        <v>1046852</v>
      </c>
    </row>
    <row r="2242">
      <c r="A2242" s="3">
        <f>IFERROR(__xludf.DUMMYFUNCTION("""COMPUTED_VALUE"""),39818.645833333336)</f>
        <v>39818.64583</v>
      </c>
      <c r="B2242" s="2">
        <f>IFERROR(__xludf.DUMMYFUNCTION("""COMPUTED_VALUE"""),103.0)</f>
        <v>103</v>
      </c>
      <c r="C2242" s="2">
        <f>IFERROR(__xludf.DUMMYFUNCTION("""COMPUTED_VALUE"""),104.95)</f>
        <v>104.95</v>
      </c>
      <c r="D2242" s="2">
        <f>IFERROR(__xludf.DUMMYFUNCTION("""COMPUTED_VALUE"""),102.81)</f>
        <v>102.81</v>
      </c>
      <c r="E2242" s="2">
        <f>IFERROR(__xludf.DUMMYFUNCTION("""COMPUTED_VALUE"""),104.41)</f>
        <v>104.41</v>
      </c>
      <c r="F2242" s="2">
        <f>IFERROR(__xludf.DUMMYFUNCTION("""COMPUTED_VALUE"""),1005908.0)</f>
        <v>1005908</v>
      </c>
    </row>
    <row r="2243">
      <c r="A2243" s="3">
        <f>IFERROR(__xludf.DUMMYFUNCTION("""COMPUTED_VALUE"""),39819.645833333336)</f>
        <v>39819.64583</v>
      </c>
      <c r="B2243" s="2">
        <f>IFERROR(__xludf.DUMMYFUNCTION("""COMPUTED_VALUE"""),104.42)</f>
        <v>104.42</v>
      </c>
      <c r="C2243" s="2">
        <f>IFERROR(__xludf.DUMMYFUNCTION("""COMPUTED_VALUE"""),111.3)</f>
        <v>111.3</v>
      </c>
      <c r="D2243" s="2">
        <f>IFERROR(__xludf.DUMMYFUNCTION("""COMPUTED_VALUE"""),103.4)</f>
        <v>103.4</v>
      </c>
      <c r="E2243" s="2">
        <f>IFERROR(__xludf.DUMMYFUNCTION("""COMPUTED_VALUE"""),110.04)</f>
        <v>110.04</v>
      </c>
      <c r="F2243" s="2">
        <f>IFERROR(__xludf.DUMMYFUNCTION("""COMPUTED_VALUE"""),1828993.0)</f>
        <v>1828993</v>
      </c>
    </row>
    <row r="2244">
      <c r="A2244" s="3">
        <f>IFERROR(__xludf.DUMMYFUNCTION("""COMPUTED_VALUE"""),39820.645833333336)</f>
        <v>39820.64583</v>
      </c>
      <c r="B2244" s="2">
        <f>IFERROR(__xludf.DUMMYFUNCTION("""COMPUTED_VALUE"""),111.5)</f>
        <v>111.5</v>
      </c>
      <c r="C2244" s="2">
        <f>IFERROR(__xludf.DUMMYFUNCTION("""COMPUTED_VALUE"""),112.53)</f>
        <v>112.53</v>
      </c>
      <c r="D2244" s="2">
        <f>IFERROR(__xludf.DUMMYFUNCTION("""COMPUTED_VALUE"""),99.6)</f>
        <v>99.6</v>
      </c>
      <c r="E2244" s="2">
        <f>IFERROR(__xludf.DUMMYFUNCTION("""COMPUTED_VALUE"""),100.93)</f>
        <v>100.93</v>
      </c>
      <c r="F2244" s="2">
        <f>IFERROR(__xludf.DUMMYFUNCTION("""COMPUTED_VALUE"""),3778238.0)</f>
        <v>3778238</v>
      </c>
    </row>
    <row r="2245">
      <c r="A2245" s="3">
        <f>IFERROR(__xludf.DUMMYFUNCTION("""COMPUTED_VALUE"""),39822.645833333336)</f>
        <v>39822.64583</v>
      </c>
      <c r="B2245" s="2">
        <f>IFERROR(__xludf.DUMMYFUNCTION("""COMPUTED_VALUE"""),100.0)</f>
        <v>100</v>
      </c>
      <c r="C2245" s="2">
        <f>IFERROR(__xludf.DUMMYFUNCTION("""COMPUTED_VALUE"""),105.7)</f>
        <v>105.7</v>
      </c>
      <c r="D2245" s="2">
        <f>IFERROR(__xludf.DUMMYFUNCTION("""COMPUTED_VALUE"""),97.5)</f>
        <v>97.5</v>
      </c>
      <c r="E2245" s="2">
        <f>IFERROR(__xludf.DUMMYFUNCTION("""COMPUTED_VALUE"""),101.75)</f>
        <v>101.75</v>
      </c>
      <c r="F2245" s="2">
        <f>IFERROR(__xludf.DUMMYFUNCTION("""COMPUTED_VALUE"""),2141357.0)</f>
        <v>2141357</v>
      </c>
    </row>
    <row r="2246">
      <c r="A2246" s="3">
        <f>IFERROR(__xludf.DUMMYFUNCTION("""COMPUTED_VALUE"""),39825.645833333336)</f>
        <v>39825.64583</v>
      </c>
      <c r="B2246" s="2">
        <f>IFERROR(__xludf.DUMMYFUNCTION("""COMPUTED_VALUE"""),101.2)</f>
        <v>101.2</v>
      </c>
      <c r="C2246" s="2">
        <f>IFERROR(__xludf.DUMMYFUNCTION("""COMPUTED_VALUE"""),102.2)</f>
        <v>102.2</v>
      </c>
      <c r="D2246" s="2">
        <f>IFERROR(__xludf.DUMMYFUNCTION("""COMPUTED_VALUE"""),99.0)</f>
        <v>99</v>
      </c>
      <c r="E2246" s="2">
        <f>IFERROR(__xludf.DUMMYFUNCTION("""COMPUTED_VALUE"""),100.37)</f>
        <v>100.37</v>
      </c>
      <c r="F2246" s="2">
        <f>IFERROR(__xludf.DUMMYFUNCTION("""COMPUTED_VALUE"""),1805657.0)</f>
        <v>1805657</v>
      </c>
    </row>
    <row r="2247">
      <c r="A2247" s="3">
        <f>IFERROR(__xludf.DUMMYFUNCTION("""COMPUTED_VALUE"""),39826.645833333336)</f>
        <v>39826.64583</v>
      </c>
      <c r="B2247" s="2">
        <f>IFERROR(__xludf.DUMMYFUNCTION("""COMPUTED_VALUE"""),100.0)</f>
        <v>100</v>
      </c>
      <c r="C2247" s="2">
        <f>IFERROR(__xludf.DUMMYFUNCTION("""COMPUTED_VALUE"""),101.2)</f>
        <v>101.2</v>
      </c>
      <c r="D2247" s="2">
        <f>IFERROR(__xludf.DUMMYFUNCTION("""COMPUTED_VALUE"""),97.51)</f>
        <v>97.51</v>
      </c>
      <c r="E2247" s="2">
        <f>IFERROR(__xludf.DUMMYFUNCTION("""COMPUTED_VALUE"""),98.88)</f>
        <v>98.88</v>
      </c>
      <c r="F2247" s="2">
        <f>IFERROR(__xludf.DUMMYFUNCTION("""COMPUTED_VALUE"""),1252811.0)</f>
        <v>1252811</v>
      </c>
    </row>
    <row r="2248">
      <c r="A2248" s="3">
        <f>IFERROR(__xludf.DUMMYFUNCTION("""COMPUTED_VALUE"""),39827.645833333336)</f>
        <v>39827.64583</v>
      </c>
      <c r="B2248" s="2">
        <f>IFERROR(__xludf.DUMMYFUNCTION("""COMPUTED_VALUE"""),104.47)</f>
        <v>104.47</v>
      </c>
      <c r="C2248" s="2">
        <f>IFERROR(__xludf.DUMMYFUNCTION("""COMPUTED_VALUE"""),104.47)</f>
        <v>104.47</v>
      </c>
      <c r="D2248" s="2">
        <f>IFERROR(__xludf.DUMMYFUNCTION("""COMPUTED_VALUE"""),96.69)</f>
        <v>96.69</v>
      </c>
      <c r="E2248" s="2">
        <f>IFERROR(__xludf.DUMMYFUNCTION("""COMPUTED_VALUE"""),97.76)</f>
        <v>97.76</v>
      </c>
      <c r="F2248" s="2">
        <f>IFERROR(__xludf.DUMMYFUNCTION("""COMPUTED_VALUE"""),2832517.0)</f>
        <v>2832517</v>
      </c>
    </row>
    <row r="2249">
      <c r="A2249" s="3">
        <f>IFERROR(__xludf.DUMMYFUNCTION("""COMPUTED_VALUE"""),39828.645833333336)</f>
        <v>39828.64583</v>
      </c>
      <c r="B2249" s="2">
        <f>IFERROR(__xludf.DUMMYFUNCTION("""COMPUTED_VALUE"""),96.0)</f>
        <v>96</v>
      </c>
      <c r="C2249" s="2">
        <f>IFERROR(__xludf.DUMMYFUNCTION("""COMPUTED_VALUE"""),96.0)</f>
        <v>96</v>
      </c>
      <c r="D2249" s="2">
        <f>IFERROR(__xludf.DUMMYFUNCTION("""COMPUTED_VALUE"""),90.71)</f>
        <v>90.71</v>
      </c>
      <c r="E2249" s="2">
        <f>IFERROR(__xludf.DUMMYFUNCTION("""COMPUTED_VALUE"""),92.48)</f>
        <v>92.48</v>
      </c>
      <c r="F2249" s="2">
        <f>IFERROR(__xludf.DUMMYFUNCTION("""COMPUTED_VALUE"""),2924749.0)</f>
        <v>2924749</v>
      </c>
    </row>
    <row r="2250">
      <c r="A2250" s="3">
        <f>IFERROR(__xludf.DUMMYFUNCTION("""COMPUTED_VALUE"""),39829.645833333336)</f>
        <v>39829.64583</v>
      </c>
      <c r="B2250" s="2">
        <f>IFERROR(__xludf.DUMMYFUNCTION("""COMPUTED_VALUE"""),93.8)</f>
        <v>93.8</v>
      </c>
      <c r="C2250" s="2">
        <f>IFERROR(__xludf.DUMMYFUNCTION("""COMPUTED_VALUE"""),94.46)</f>
        <v>94.46</v>
      </c>
      <c r="D2250" s="2">
        <f>IFERROR(__xludf.DUMMYFUNCTION("""COMPUTED_VALUE"""),92.22)</f>
        <v>92.22</v>
      </c>
      <c r="E2250" s="2">
        <f>IFERROR(__xludf.DUMMYFUNCTION("""COMPUTED_VALUE"""),93.76)</f>
        <v>93.76</v>
      </c>
      <c r="F2250" s="2">
        <f>IFERROR(__xludf.DUMMYFUNCTION("""COMPUTED_VALUE"""),780880.0)</f>
        <v>780880</v>
      </c>
    </row>
    <row r="2251">
      <c r="A2251" s="3">
        <f>IFERROR(__xludf.DUMMYFUNCTION("""COMPUTED_VALUE"""),39832.645833333336)</f>
        <v>39832.64583</v>
      </c>
      <c r="B2251" s="2">
        <f>IFERROR(__xludf.DUMMYFUNCTION("""COMPUTED_VALUE"""),94.9)</f>
        <v>94.9</v>
      </c>
      <c r="C2251" s="2">
        <f>IFERROR(__xludf.DUMMYFUNCTION("""COMPUTED_VALUE"""),95.45)</f>
        <v>95.45</v>
      </c>
      <c r="D2251" s="2">
        <f>IFERROR(__xludf.DUMMYFUNCTION("""COMPUTED_VALUE"""),93.15)</f>
        <v>93.15</v>
      </c>
      <c r="E2251" s="2">
        <f>IFERROR(__xludf.DUMMYFUNCTION("""COMPUTED_VALUE"""),94.11)</f>
        <v>94.11</v>
      </c>
      <c r="F2251" s="2">
        <f>IFERROR(__xludf.DUMMYFUNCTION("""COMPUTED_VALUE"""),1014845.0)</f>
        <v>1014845</v>
      </c>
    </row>
    <row r="2252">
      <c r="A2252" s="3">
        <f>IFERROR(__xludf.DUMMYFUNCTION("""COMPUTED_VALUE"""),39833.645833333336)</f>
        <v>39833.64583</v>
      </c>
      <c r="B2252" s="2">
        <f>IFERROR(__xludf.DUMMYFUNCTION("""COMPUTED_VALUE"""),92.5)</f>
        <v>92.5</v>
      </c>
      <c r="C2252" s="2">
        <f>IFERROR(__xludf.DUMMYFUNCTION("""COMPUTED_VALUE"""),92.5)</f>
        <v>92.5</v>
      </c>
      <c r="D2252" s="2">
        <f>IFERROR(__xludf.DUMMYFUNCTION("""COMPUTED_VALUE"""),90.2)</f>
        <v>90.2</v>
      </c>
      <c r="E2252" s="2">
        <f>IFERROR(__xludf.DUMMYFUNCTION("""COMPUTED_VALUE"""),91.25)</f>
        <v>91.25</v>
      </c>
      <c r="F2252" s="2">
        <f>IFERROR(__xludf.DUMMYFUNCTION("""COMPUTED_VALUE"""),801111.0)</f>
        <v>801111</v>
      </c>
    </row>
    <row r="2253">
      <c r="A2253" s="3">
        <f>IFERROR(__xludf.DUMMYFUNCTION("""COMPUTED_VALUE"""),39834.645833333336)</f>
        <v>39834.64583</v>
      </c>
      <c r="B2253" s="2">
        <f>IFERROR(__xludf.DUMMYFUNCTION("""COMPUTED_VALUE"""),90.68)</f>
        <v>90.68</v>
      </c>
      <c r="C2253" s="2">
        <f>IFERROR(__xludf.DUMMYFUNCTION("""COMPUTED_VALUE"""),90.68)</f>
        <v>90.68</v>
      </c>
      <c r="D2253" s="2">
        <f>IFERROR(__xludf.DUMMYFUNCTION("""COMPUTED_VALUE"""),88.0)</f>
        <v>88</v>
      </c>
      <c r="E2253" s="2">
        <f>IFERROR(__xludf.DUMMYFUNCTION("""COMPUTED_VALUE"""),88.95)</f>
        <v>88.95</v>
      </c>
      <c r="F2253" s="2">
        <f>IFERROR(__xludf.DUMMYFUNCTION("""COMPUTED_VALUE"""),1976040.0)</f>
        <v>1976040</v>
      </c>
    </row>
    <row r="2254">
      <c r="A2254" s="3">
        <f>IFERROR(__xludf.DUMMYFUNCTION("""COMPUTED_VALUE"""),39835.645833333336)</f>
        <v>39835.64583</v>
      </c>
      <c r="B2254" s="2">
        <f>IFERROR(__xludf.DUMMYFUNCTION("""COMPUTED_VALUE"""),90.0)</f>
        <v>90</v>
      </c>
      <c r="C2254" s="2">
        <f>IFERROR(__xludf.DUMMYFUNCTION("""COMPUTED_VALUE"""),91.7)</f>
        <v>91.7</v>
      </c>
      <c r="D2254" s="2">
        <f>IFERROR(__xludf.DUMMYFUNCTION("""COMPUTED_VALUE"""),88.2)</f>
        <v>88.2</v>
      </c>
      <c r="E2254" s="2">
        <f>IFERROR(__xludf.DUMMYFUNCTION("""COMPUTED_VALUE"""),90.05)</f>
        <v>90.05</v>
      </c>
      <c r="F2254" s="2">
        <f>IFERROR(__xludf.DUMMYFUNCTION("""COMPUTED_VALUE"""),1629960.0)</f>
        <v>1629960</v>
      </c>
    </row>
    <row r="2255">
      <c r="A2255" s="3">
        <f>IFERROR(__xludf.DUMMYFUNCTION("""COMPUTED_VALUE"""),39836.645833333336)</f>
        <v>39836.64583</v>
      </c>
      <c r="B2255" s="2">
        <f>IFERROR(__xludf.DUMMYFUNCTION("""COMPUTED_VALUE"""),89.26)</f>
        <v>89.26</v>
      </c>
      <c r="C2255" s="2">
        <f>IFERROR(__xludf.DUMMYFUNCTION("""COMPUTED_VALUE"""),91.13)</f>
        <v>91.13</v>
      </c>
      <c r="D2255" s="2">
        <f>IFERROR(__xludf.DUMMYFUNCTION("""COMPUTED_VALUE"""),86.51)</f>
        <v>86.51</v>
      </c>
      <c r="E2255" s="2">
        <f>IFERROR(__xludf.DUMMYFUNCTION("""COMPUTED_VALUE"""),87.25)</f>
        <v>87.25</v>
      </c>
      <c r="F2255" s="2">
        <f>IFERROR(__xludf.DUMMYFUNCTION("""COMPUTED_VALUE"""),1592970.0)</f>
        <v>1592970</v>
      </c>
    </row>
    <row r="2256">
      <c r="A2256" s="3">
        <f>IFERROR(__xludf.DUMMYFUNCTION("""COMPUTED_VALUE"""),39840.645833333336)</f>
        <v>39840.64583</v>
      </c>
      <c r="B2256" s="2">
        <f>IFERROR(__xludf.DUMMYFUNCTION("""COMPUTED_VALUE"""),89.7)</f>
        <v>89.7</v>
      </c>
      <c r="C2256" s="2">
        <f>IFERROR(__xludf.DUMMYFUNCTION("""COMPUTED_VALUE"""),90.4)</f>
        <v>90.4</v>
      </c>
      <c r="D2256" s="2">
        <f>IFERROR(__xludf.DUMMYFUNCTION("""COMPUTED_VALUE"""),88.0)</f>
        <v>88</v>
      </c>
      <c r="E2256" s="2">
        <f>IFERROR(__xludf.DUMMYFUNCTION("""COMPUTED_VALUE"""),88.95)</f>
        <v>88.95</v>
      </c>
      <c r="F2256" s="2">
        <f>IFERROR(__xludf.DUMMYFUNCTION("""COMPUTED_VALUE"""),1227493.0)</f>
        <v>1227493</v>
      </c>
    </row>
    <row r="2257">
      <c r="A2257" s="3">
        <f>IFERROR(__xludf.DUMMYFUNCTION("""COMPUTED_VALUE"""),39841.645833333336)</f>
        <v>39841.64583</v>
      </c>
      <c r="B2257" s="2">
        <f>IFERROR(__xludf.DUMMYFUNCTION("""COMPUTED_VALUE"""),89.8)</f>
        <v>89.8</v>
      </c>
      <c r="C2257" s="2">
        <f>IFERROR(__xludf.DUMMYFUNCTION("""COMPUTED_VALUE"""),91.58)</f>
        <v>91.58</v>
      </c>
      <c r="D2257" s="2">
        <f>IFERROR(__xludf.DUMMYFUNCTION("""COMPUTED_VALUE"""),89.53)</f>
        <v>89.53</v>
      </c>
      <c r="E2257" s="2">
        <f>IFERROR(__xludf.DUMMYFUNCTION("""COMPUTED_VALUE"""),91.18)</f>
        <v>91.18</v>
      </c>
      <c r="F2257" s="2">
        <f>IFERROR(__xludf.DUMMYFUNCTION("""COMPUTED_VALUE"""),1317459.0)</f>
        <v>1317459</v>
      </c>
    </row>
    <row r="2258">
      <c r="A2258" s="3">
        <f>IFERROR(__xludf.DUMMYFUNCTION("""COMPUTED_VALUE"""),39842.645833333336)</f>
        <v>39842.64583</v>
      </c>
      <c r="B2258" s="2">
        <f>IFERROR(__xludf.DUMMYFUNCTION("""COMPUTED_VALUE"""),92.49)</f>
        <v>92.49</v>
      </c>
      <c r="C2258" s="2">
        <f>IFERROR(__xludf.DUMMYFUNCTION("""COMPUTED_VALUE"""),93.76)</f>
        <v>93.76</v>
      </c>
      <c r="D2258" s="2">
        <f>IFERROR(__xludf.DUMMYFUNCTION("""COMPUTED_VALUE"""),91.0)</f>
        <v>91</v>
      </c>
      <c r="E2258" s="2">
        <f>IFERROR(__xludf.DUMMYFUNCTION("""COMPUTED_VALUE"""),92.35)</f>
        <v>92.35</v>
      </c>
      <c r="F2258" s="2">
        <f>IFERROR(__xludf.DUMMYFUNCTION("""COMPUTED_VALUE"""),2343698.0)</f>
        <v>2343698</v>
      </c>
    </row>
    <row r="2259">
      <c r="A2259" s="3">
        <f>IFERROR(__xludf.DUMMYFUNCTION("""COMPUTED_VALUE"""),39843.645833333336)</f>
        <v>39843.64583</v>
      </c>
      <c r="B2259" s="2">
        <f>IFERROR(__xludf.DUMMYFUNCTION("""COMPUTED_VALUE"""),89.24)</f>
        <v>89.24</v>
      </c>
      <c r="C2259" s="2">
        <f>IFERROR(__xludf.DUMMYFUNCTION("""COMPUTED_VALUE"""),93.5)</f>
        <v>93.5</v>
      </c>
      <c r="D2259" s="2">
        <f>IFERROR(__xludf.DUMMYFUNCTION("""COMPUTED_VALUE"""),89.24)</f>
        <v>89.24</v>
      </c>
      <c r="E2259" s="2">
        <f>IFERROR(__xludf.DUMMYFUNCTION("""COMPUTED_VALUE"""),92.56)</f>
        <v>92.56</v>
      </c>
      <c r="F2259" s="2">
        <f>IFERROR(__xludf.DUMMYFUNCTION("""COMPUTED_VALUE"""),748451.0)</f>
        <v>748451</v>
      </c>
    </row>
    <row r="2260">
      <c r="A2260" s="3">
        <f>IFERROR(__xludf.DUMMYFUNCTION("""COMPUTED_VALUE"""),39846.645833333336)</f>
        <v>39846.64583</v>
      </c>
      <c r="B2260" s="2">
        <f>IFERROR(__xludf.DUMMYFUNCTION("""COMPUTED_VALUE"""),92.0)</f>
        <v>92</v>
      </c>
      <c r="C2260" s="2">
        <f>IFERROR(__xludf.DUMMYFUNCTION("""COMPUTED_VALUE"""),92.05)</f>
        <v>92.05</v>
      </c>
      <c r="D2260" s="2">
        <f>IFERROR(__xludf.DUMMYFUNCTION("""COMPUTED_VALUE"""),87.7)</f>
        <v>87.7</v>
      </c>
      <c r="E2260" s="2">
        <f>IFERROR(__xludf.DUMMYFUNCTION("""COMPUTED_VALUE"""),88.87)</f>
        <v>88.87</v>
      </c>
      <c r="F2260" s="2">
        <f>IFERROR(__xludf.DUMMYFUNCTION("""COMPUTED_VALUE"""),1307972.0)</f>
        <v>1307972</v>
      </c>
    </row>
    <row r="2261">
      <c r="A2261" s="3">
        <f>IFERROR(__xludf.DUMMYFUNCTION("""COMPUTED_VALUE"""),39847.645833333336)</f>
        <v>39847.64583</v>
      </c>
      <c r="B2261" s="2">
        <f>IFERROR(__xludf.DUMMYFUNCTION("""COMPUTED_VALUE"""),89.53)</f>
        <v>89.53</v>
      </c>
      <c r="C2261" s="2">
        <f>IFERROR(__xludf.DUMMYFUNCTION("""COMPUTED_VALUE"""),90.98)</f>
        <v>90.98</v>
      </c>
      <c r="D2261" s="2">
        <f>IFERROR(__xludf.DUMMYFUNCTION("""COMPUTED_VALUE"""),89.0)</f>
        <v>89</v>
      </c>
      <c r="E2261" s="2">
        <f>IFERROR(__xludf.DUMMYFUNCTION("""COMPUTED_VALUE"""),89.82)</f>
        <v>89.82</v>
      </c>
      <c r="F2261" s="2">
        <f>IFERROR(__xludf.DUMMYFUNCTION("""COMPUTED_VALUE"""),1148020.0)</f>
        <v>1148020</v>
      </c>
    </row>
    <row r="2262">
      <c r="A2262" s="3">
        <f>IFERROR(__xludf.DUMMYFUNCTION("""COMPUTED_VALUE"""),39848.645833333336)</f>
        <v>39848.64583</v>
      </c>
      <c r="B2262" s="2">
        <f>IFERROR(__xludf.DUMMYFUNCTION("""COMPUTED_VALUE"""),91.0)</f>
        <v>91</v>
      </c>
      <c r="C2262" s="2">
        <f>IFERROR(__xludf.DUMMYFUNCTION("""COMPUTED_VALUE"""),92.26)</f>
        <v>92.26</v>
      </c>
      <c r="D2262" s="2">
        <f>IFERROR(__xludf.DUMMYFUNCTION("""COMPUTED_VALUE"""),88.22)</f>
        <v>88.22</v>
      </c>
      <c r="E2262" s="2">
        <f>IFERROR(__xludf.DUMMYFUNCTION("""COMPUTED_VALUE"""),88.58)</f>
        <v>88.58</v>
      </c>
      <c r="F2262" s="2">
        <f>IFERROR(__xludf.DUMMYFUNCTION("""COMPUTED_VALUE"""),3799356.0)</f>
        <v>3799356</v>
      </c>
    </row>
    <row r="2263">
      <c r="A2263" s="3">
        <f>IFERROR(__xludf.DUMMYFUNCTION("""COMPUTED_VALUE"""),39849.645833333336)</f>
        <v>39849.64583</v>
      </c>
      <c r="B2263" s="2">
        <f>IFERROR(__xludf.DUMMYFUNCTION("""COMPUTED_VALUE"""),89.5)</f>
        <v>89.5</v>
      </c>
      <c r="C2263" s="2">
        <f>IFERROR(__xludf.DUMMYFUNCTION("""COMPUTED_VALUE"""),89.97)</f>
        <v>89.97</v>
      </c>
      <c r="D2263" s="2">
        <f>IFERROR(__xludf.DUMMYFUNCTION("""COMPUTED_VALUE"""),88.01)</f>
        <v>88.01</v>
      </c>
      <c r="E2263" s="2">
        <f>IFERROR(__xludf.DUMMYFUNCTION("""COMPUTED_VALUE"""),88.43)</f>
        <v>88.43</v>
      </c>
      <c r="F2263" s="2">
        <f>IFERROR(__xludf.DUMMYFUNCTION("""COMPUTED_VALUE"""),1077301.0)</f>
        <v>1077301</v>
      </c>
    </row>
    <row r="2264">
      <c r="A2264" s="3">
        <f>IFERROR(__xludf.DUMMYFUNCTION("""COMPUTED_VALUE"""),39850.645833333336)</f>
        <v>39850.64583</v>
      </c>
      <c r="B2264" s="2">
        <f>IFERROR(__xludf.DUMMYFUNCTION("""COMPUTED_VALUE"""),89.3)</f>
        <v>89.3</v>
      </c>
      <c r="C2264" s="2">
        <f>IFERROR(__xludf.DUMMYFUNCTION("""COMPUTED_VALUE"""),90.48)</f>
        <v>90.48</v>
      </c>
      <c r="D2264" s="2">
        <f>IFERROR(__xludf.DUMMYFUNCTION("""COMPUTED_VALUE"""),88.64)</f>
        <v>88.64</v>
      </c>
      <c r="E2264" s="2">
        <f>IFERROR(__xludf.DUMMYFUNCTION("""COMPUTED_VALUE"""),89.84)</f>
        <v>89.84</v>
      </c>
      <c r="F2264" s="2">
        <f>IFERROR(__xludf.DUMMYFUNCTION("""COMPUTED_VALUE"""),1170983.0)</f>
        <v>1170983</v>
      </c>
    </row>
    <row r="2265">
      <c r="A2265" s="3">
        <f>IFERROR(__xludf.DUMMYFUNCTION("""COMPUTED_VALUE"""),39853.645833333336)</f>
        <v>39853.64583</v>
      </c>
      <c r="B2265" s="2">
        <f>IFERROR(__xludf.DUMMYFUNCTION("""COMPUTED_VALUE"""),90.8)</f>
        <v>90.8</v>
      </c>
      <c r="C2265" s="2">
        <f>IFERROR(__xludf.DUMMYFUNCTION("""COMPUTED_VALUE"""),92.2)</f>
        <v>92.2</v>
      </c>
      <c r="D2265" s="2">
        <f>IFERROR(__xludf.DUMMYFUNCTION("""COMPUTED_VALUE"""),90.3)</f>
        <v>90.3</v>
      </c>
      <c r="E2265" s="2">
        <f>IFERROR(__xludf.DUMMYFUNCTION("""COMPUTED_VALUE"""),91.95)</f>
        <v>91.95</v>
      </c>
      <c r="F2265" s="2">
        <f>IFERROR(__xludf.DUMMYFUNCTION("""COMPUTED_VALUE"""),1029056.0)</f>
        <v>1029056</v>
      </c>
    </row>
    <row r="2266">
      <c r="A2266" s="3">
        <f>IFERROR(__xludf.DUMMYFUNCTION("""COMPUTED_VALUE"""),39854.645833333336)</f>
        <v>39854.64583</v>
      </c>
      <c r="B2266" s="2">
        <f>IFERROR(__xludf.DUMMYFUNCTION("""COMPUTED_VALUE"""),92.53)</f>
        <v>92.53</v>
      </c>
      <c r="C2266" s="2">
        <f>IFERROR(__xludf.DUMMYFUNCTION("""COMPUTED_VALUE"""),95.82)</f>
        <v>95.82</v>
      </c>
      <c r="D2266" s="2">
        <f>IFERROR(__xludf.DUMMYFUNCTION("""COMPUTED_VALUE"""),92.13)</f>
        <v>92.13</v>
      </c>
      <c r="E2266" s="2">
        <f>IFERROR(__xludf.DUMMYFUNCTION("""COMPUTED_VALUE"""),94.7)</f>
        <v>94.7</v>
      </c>
      <c r="F2266" s="2">
        <f>IFERROR(__xludf.DUMMYFUNCTION("""COMPUTED_VALUE"""),832199.0)</f>
        <v>832199</v>
      </c>
    </row>
    <row r="2267">
      <c r="A2267" s="3">
        <f>IFERROR(__xludf.DUMMYFUNCTION("""COMPUTED_VALUE"""),39855.645833333336)</f>
        <v>39855.64583</v>
      </c>
      <c r="B2267" s="2">
        <f>IFERROR(__xludf.DUMMYFUNCTION("""COMPUTED_VALUE"""),92.7)</f>
        <v>92.7</v>
      </c>
      <c r="C2267" s="2">
        <f>IFERROR(__xludf.DUMMYFUNCTION("""COMPUTED_VALUE"""),94.3)</f>
        <v>94.3</v>
      </c>
      <c r="D2267" s="2">
        <f>IFERROR(__xludf.DUMMYFUNCTION("""COMPUTED_VALUE"""),90.7)</f>
        <v>90.7</v>
      </c>
      <c r="E2267" s="2">
        <f>IFERROR(__xludf.DUMMYFUNCTION("""COMPUTED_VALUE"""),93.45)</f>
        <v>93.45</v>
      </c>
      <c r="F2267" s="2">
        <f>IFERROR(__xludf.DUMMYFUNCTION("""COMPUTED_VALUE"""),932139.0)</f>
        <v>932139</v>
      </c>
    </row>
    <row r="2268">
      <c r="A2268" s="3">
        <f>IFERROR(__xludf.DUMMYFUNCTION("""COMPUTED_VALUE"""),39856.645833333336)</f>
        <v>39856.64583</v>
      </c>
      <c r="B2268" s="2">
        <f>IFERROR(__xludf.DUMMYFUNCTION("""COMPUTED_VALUE"""),93.52)</f>
        <v>93.52</v>
      </c>
      <c r="C2268" s="2">
        <f>IFERROR(__xludf.DUMMYFUNCTION("""COMPUTED_VALUE"""),94.1)</f>
        <v>94.1</v>
      </c>
      <c r="D2268" s="2">
        <f>IFERROR(__xludf.DUMMYFUNCTION("""COMPUTED_VALUE"""),92.46)</f>
        <v>92.46</v>
      </c>
      <c r="E2268" s="2">
        <f>IFERROR(__xludf.DUMMYFUNCTION("""COMPUTED_VALUE"""),93.38)</f>
        <v>93.38</v>
      </c>
      <c r="F2268" s="2">
        <f>IFERROR(__xludf.DUMMYFUNCTION("""COMPUTED_VALUE"""),714032.0)</f>
        <v>714032</v>
      </c>
    </row>
    <row r="2269">
      <c r="A2269" s="3">
        <f>IFERROR(__xludf.DUMMYFUNCTION("""COMPUTED_VALUE"""),39857.645833333336)</f>
        <v>39857.64583</v>
      </c>
      <c r="B2269" s="2">
        <f>IFERROR(__xludf.DUMMYFUNCTION("""COMPUTED_VALUE"""),94.0)</f>
        <v>94</v>
      </c>
      <c r="C2269" s="2">
        <f>IFERROR(__xludf.DUMMYFUNCTION("""COMPUTED_VALUE"""),95.39)</f>
        <v>95.39</v>
      </c>
      <c r="D2269" s="2">
        <f>IFERROR(__xludf.DUMMYFUNCTION("""COMPUTED_VALUE"""),93.7)</f>
        <v>93.7</v>
      </c>
      <c r="E2269" s="2">
        <f>IFERROR(__xludf.DUMMYFUNCTION("""COMPUTED_VALUE"""),94.42)</f>
        <v>94.42</v>
      </c>
      <c r="F2269" s="2">
        <f>IFERROR(__xludf.DUMMYFUNCTION("""COMPUTED_VALUE"""),760790.0)</f>
        <v>760790</v>
      </c>
    </row>
    <row r="2270">
      <c r="A2270" s="3">
        <f>IFERROR(__xludf.DUMMYFUNCTION("""COMPUTED_VALUE"""),39860.645833333336)</f>
        <v>39860.64583</v>
      </c>
      <c r="B2270" s="2">
        <f>IFERROR(__xludf.DUMMYFUNCTION("""COMPUTED_VALUE"""),94.0)</f>
        <v>94</v>
      </c>
      <c r="C2270" s="2">
        <f>IFERROR(__xludf.DUMMYFUNCTION("""COMPUTED_VALUE"""),94.0)</f>
        <v>94</v>
      </c>
      <c r="D2270" s="2">
        <f>IFERROR(__xludf.DUMMYFUNCTION("""COMPUTED_VALUE"""),90.8)</f>
        <v>90.8</v>
      </c>
      <c r="E2270" s="2">
        <f>IFERROR(__xludf.DUMMYFUNCTION("""COMPUTED_VALUE"""),91.4)</f>
        <v>91.4</v>
      </c>
      <c r="F2270" s="2">
        <f>IFERROR(__xludf.DUMMYFUNCTION("""COMPUTED_VALUE"""),1399768.0)</f>
        <v>1399768</v>
      </c>
    </row>
    <row r="2271">
      <c r="A2271" s="3">
        <f>IFERROR(__xludf.DUMMYFUNCTION("""COMPUTED_VALUE"""),39861.645833333336)</f>
        <v>39861.64583</v>
      </c>
      <c r="B2271" s="2">
        <f>IFERROR(__xludf.DUMMYFUNCTION("""COMPUTED_VALUE"""),90.7)</f>
        <v>90.7</v>
      </c>
      <c r="C2271" s="2">
        <f>IFERROR(__xludf.DUMMYFUNCTION("""COMPUTED_VALUE"""),91.44)</f>
        <v>91.44</v>
      </c>
      <c r="D2271" s="2">
        <f>IFERROR(__xludf.DUMMYFUNCTION("""COMPUTED_VALUE"""),87.03)</f>
        <v>87.03</v>
      </c>
      <c r="E2271" s="2">
        <f>IFERROR(__xludf.DUMMYFUNCTION("""COMPUTED_VALUE"""),88.03)</f>
        <v>88.03</v>
      </c>
      <c r="F2271" s="2">
        <f>IFERROR(__xludf.DUMMYFUNCTION("""COMPUTED_VALUE"""),1718267.0)</f>
        <v>1718267</v>
      </c>
    </row>
    <row r="2272">
      <c r="A2272" s="3">
        <f>IFERROR(__xludf.DUMMYFUNCTION("""COMPUTED_VALUE"""),39862.645833333336)</f>
        <v>39862.64583</v>
      </c>
      <c r="B2272" s="2">
        <f>IFERROR(__xludf.DUMMYFUNCTION("""COMPUTED_VALUE"""),87.5)</f>
        <v>87.5</v>
      </c>
      <c r="C2272" s="2">
        <f>IFERROR(__xludf.DUMMYFUNCTION("""COMPUTED_VALUE"""),88.8)</f>
        <v>88.8</v>
      </c>
      <c r="D2272" s="2">
        <f>IFERROR(__xludf.DUMMYFUNCTION("""COMPUTED_VALUE"""),86.5)</f>
        <v>86.5</v>
      </c>
      <c r="E2272" s="2">
        <f>IFERROR(__xludf.DUMMYFUNCTION("""COMPUTED_VALUE"""),87.64)</f>
        <v>87.64</v>
      </c>
      <c r="F2272" s="2">
        <f>IFERROR(__xludf.DUMMYFUNCTION("""COMPUTED_VALUE"""),783049.0)</f>
        <v>783049</v>
      </c>
    </row>
    <row r="2273">
      <c r="A2273" s="3">
        <f>IFERROR(__xludf.DUMMYFUNCTION("""COMPUTED_VALUE"""),39863.645833333336)</f>
        <v>39863.64583</v>
      </c>
      <c r="B2273" s="2">
        <f>IFERROR(__xludf.DUMMYFUNCTION("""COMPUTED_VALUE"""),88.4)</f>
        <v>88.4</v>
      </c>
      <c r="C2273" s="2">
        <f>IFERROR(__xludf.DUMMYFUNCTION("""COMPUTED_VALUE"""),89.22)</f>
        <v>89.22</v>
      </c>
      <c r="D2273" s="2">
        <f>IFERROR(__xludf.DUMMYFUNCTION("""COMPUTED_VALUE"""),87.43)</f>
        <v>87.43</v>
      </c>
      <c r="E2273" s="2">
        <f>IFERROR(__xludf.DUMMYFUNCTION("""COMPUTED_VALUE"""),88.46)</f>
        <v>88.46</v>
      </c>
      <c r="F2273" s="2">
        <f>IFERROR(__xludf.DUMMYFUNCTION("""COMPUTED_VALUE"""),896079.0)</f>
        <v>896079</v>
      </c>
    </row>
    <row r="2274">
      <c r="A2274" s="3">
        <f>IFERROR(__xludf.DUMMYFUNCTION("""COMPUTED_VALUE"""),39864.645833333336)</f>
        <v>39864.64583</v>
      </c>
      <c r="B2274" s="2">
        <f>IFERROR(__xludf.DUMMYFUNCTION("""COMPUTED_VALUE"""),87.6)</f>
        <v>87.6</v>
      </c>
      <c r="C2274" s="2">
        <f>IFERROR(__xludf.DUMMYFUNCTION("""COMPUTED_VALUE"""),87.89)</f>
        <v>87.89</v>
      </c>
      <c r="D2274" s="2">
        <f>IFERROR(__xludf.DUMMYFUNCTION("""COMPUTED_VALUE"""),85.36)</f>
        <v>85.36</v>
      </c>
      <c r="E2274" s="2">
        <f>IFERROR(__xludf.DUMMYFUNCTION("""COMPUTED_VALUE"""),86.65)</f>
        <v>86.65</v>
      </c>
      <c r="F2274" s="2">
        <f>IFERROR(__xludf.DUMMYFUNCTION("""COMPUTED_VALUE"""),999745.0)</f>
        <v>999745</v>
      </c>
    </row>
    <row r="2275">
      <c r="A2275" s="3">
        <f>IFERROR(__xludf.DUMMYFUNCTION("""COMPUTED_VALUE"""),39868.645833333336)</f>
        <v>39868.64583</v>
      </c>
      <c r="B2275" s="2">
        <f>IFERROR(__xludf.DUMMYFUNCTION("""COMPUTED_VALUE"""),85.3)</f>
        <v>85.3</v>
      </c>
      <c r="C2275" s="2">
        <f>IFERROR(__xludf.DUMMYFUNCTION("""COMPUTED_VALUE"""),86.0)</f>
        <v>86</v>
      </c>
      <c r="D2275" s="2">
        <f>IFERROR(__xludf.DUMMYFUNCTION("""COMPUTED_VALUE"""),83.5)</f>
        <v>83.5</v>
      </c>
      <c r="E2275" s="2">
        <f>IFERROR(__xludf.DUMMYFUNCTION("""COMPUTED_VALUE"""),85.45)</f>
        <v>85.45</v>
      </c>
      <c r="F2275" s="2">
        <f>IFERROR(__xludf.DUMMYFUNCTION("""COMPUTED_VALUE"""),768521.0)</f>
        <v>768521</v>
      </c>
    </row>
    <row r="2276">
      <c r="A2276" s="3">
        <f>IFERROR(__xludf.DUMMYFUNCTION("""COMPUTED_VALUE"""),39869.645833333336)</f>
        <v>39869.64583</v>
      </c>
      <c r="B2276" s="2">
        <f>IFERROR(__xludf.DUMMYFUNCTION("""COMPUTED_VALUE"""),86.49)</f>
        <v>86.49</v>
      </c>
      <c r="C2276" s="2">
        <f>IFERROR(__xludf.DUMMYFUNCTION("""COMPUTED_VALUE"""),87.13)</f>
        <v>87.13</v>
      </c>
      <c r="D2276" s="2">
        <f>IFERROR(__xludf.DUMMYFUNCTION("""COMPUTED_VALUE"""),86.02)</f>
        <v>86.02</v>
      </c>
      <c r="E2276" s="2">
        <f>IFERROR(__xludf.DUMMYFUNCTION("""COMPUTED_VALUE"""),86.43)</f>
        <v>86.43</v>
      </c>
      <c r="F2276" s="2">
        <f>IFERROR(__xludf.DUMMYFUNCTION("""COMPUTED_VALUE"""),1092631.0)</f>
        <v>1092631</v>
      </c>
    </row>
    <row r="2277">
      <c r="A2277" s="3">
        <f>IFERROR(__xludf.DUMMYFUNCTION("""COMPUTED_VALUE"""),39870.645833333336)</f>
        <v>39870.64583</v>
      </c>
      <c r="B2277" s="2">
        <f>IFERROR(__xludf.DUMMYFUNCTION("""COMPUTED_VALUE"""),86.63)</f>
        <v>86.63</v>
      </c>
      <c r="C2277" s="2">
        <f>IFERROR(__xludf.DUMMYFUNCTION("""COMPUTED_VALUE"""),88.28)</f>
        <v>88.28</v>
      </c>
      <c r="D2277" s="2">
        <f>IFERROR(__xludf.DUMMYFUNCTION("""COMPUTED_VALUE"""),84.1)</f>
        <v>84.1</v>
      </c>
      <c r="E2277" s="2">
        <f>IFERROR(__xludf.DUMMYFUNCTION("""COMPUTED_VALUE"""),87.48)</f>
        <v>87.48</v>
      </c>
      <c r="F2277" s="2">
        <f>IFERROR(__xludf.DUMMYFUNCTION("""COMPUTED_VALUE"""),3243762.0)</f>
        <v>3243762</v>
      </c>
    </row>
    <row r="2278">
      <c r="A2278" s="3">
        <f>IFERROR(__xludf.DUMMYFUNCTION("""COMPUTED_VALUE"""),39871.645833333336)</f>
        <v>39871.64583</v>
      </c>
      <c r="B2278" s="2">
        <f>IFERROR(__xludf.DUMMYFUNCTION("""COMPUTED_VALUE"""),87.1)</f>
        <v>87.1</v>
      </c>
      <c r="C2278" s="2">
        <f>IFERROR(__xludf.DUMMYFUNCTION("""COMPUTED_VALUE"""),89.79)</f>
        <v>89.79</v>
      </c>
      <c r="D2278" s="2">
        <f>IFERROR(__xludf.DUMMYFUNCTION("""COMPUTED_VALUE"""),84.3)</f>
        <v>84.3</v>
      </c>
      <c r="E2278" s="2">
        <f>IFERROR(__xludf.DUMMYFUNCTION("""COMPUTED_VALUE"""),88.95)</f>
        <v>88.95</v>
      </c>
      <c r="F2278" s="2">
        <f>IFERROR(__xludf.DUMMYFUNCTION("""COMPUTED_VALUE"""),1355194.0)</f>
        <v>1355194</v>
      </c>
    </row>
    <row r="2279">
      <c r="A2279" s="3">
        <f>IFERROR(__xludf.DUMMYFUNCTION("""COMPUTED_VALUE"""),39874.645833333336)</f>
        <v>39874.64583</v>
      </c>
      <c r="B2279" s="2">
        <f>IFERROR(__xludf.DUMMYFUNCTION("""COMPUTED_VALUE"""),87.31)</f>
        <v>87.31</v>
      </c>
      <c r="C2279" s="2">
        <f>IFERROR(__xludf.DUMMYFUNCTION("""COMPUTED_VALUE"""),87.7)</f>
        <v>87.7</v>
      </c>
      <c r="D2279" s="2">
        <f>IFERROR(__xludf.DUMMYFUNCTION("""COMPUTED_VALUE"""),83.75)</f>
        <v>83.75</v>
      </c>
      <c r="E2279" s="2">
        <f>IFERROR(__xludf.DUMMYFUNCTION("""COMPUTED_VALUE"""),84.57)</f>
        <v>84.57</v>
      </c>
      <c r="F2279" s="2">
        <f>IFERROR(__xludf.DUMMYFUNCTION("""COMPUTED_VALUE"""),1856911.0)</f>
        <v>1856911</v>
      </c>
    </row>
    <row r="2280">
      <c r="A2280" s="3">
        <f>IFERROR(__xludf.DUMMYFUNCTION("""COMPUTED_VALUE"""),39875.645833333336)</f>
        <v>39875.64583</v>
      </c>
      <c r="B2280" s="2">
        <f>IFERROR(__xludf.DUMMYFUNCTION("""COMPUTED_VALUE"""),83.7)</f>
        <v>83.7</v>
      </c>
      <c r="C2280" s="2">
        <f>IFERROR(__xludf.DUMMYFUNCTION("""COMPUTED_VALUE"""),84.32)</f>
        <v>84.32</v>
      </c>
      <c r="D2280" s="2">
        <f>IFERROR(__xludf.DUMMYFUNCTION("""COMPUTED_VALUE"""),82.0)</f>
        <v>82</v>
      </c>
      <c r="E2280" s="2">
        <f>IFERROR(__xludf.DUMMYFUNCTION("""COMPUTED_VALUE"""),83.15)</f>
        <v>83.15</v>
      </c>
      <c r="F2280" s="2">
        <f>IFERROR(__xludf.DUMMYFUNCTION("""COMPUTED_VALUE"""),1671492.0)</f>
        <v>1671492</v>
      </c>
    </row>
    <row r="2281">
      <c r="A2281" s="3">
        <f>IFERROR(__xludf.DUMMYFUNCTION("""COMPUTED_VALUE"""),39876.645833333336)</f>
        <v>39876.64583</v>
      </c>
      <c r="B2281" s="2">
        <f>IFERROR(__xludf.DUMMYFUNCTION("""COMPUTED_VALUE"""),83.1)</f>
        <v>83.1</v>
      </c>
      <c r="C2281" s="2">
        <f>IFERROR(__xludf.DUMMYFUNCTION("""COMPUTED_VALUE"""),85.0)</f>
        <v>85</v>
      </c>
      <c r="D2281" s="2">
        <f>IFERROR(__xludf.DUMMYFUNCTION("""COMPUTED_VALUE"""),83.0)</f>
        <v>83</v>
      </c>
      <c r="E2281" s="2">
        <f>IFERROR(__xludf.DUMMYFUNCTION("""COMPUTED_VALUE"""),83.9)</f>
        <v>83.9</v>
      </c>
      <c r="F2281" s="2">
        <f>IFERROR(__xludf.DUMMYFUNCTION("""COMPUTED_VALUE"""),1711999.0)</f>
        <v>1711999</v>
      </c>
    </row>
    <row r="2282">
      <c r="A2282" s="3">
        <f>IFERROR(__xludf.DUMMYFUNCTION("""COMPUTED_VALUE"""),39877.645833333336)</f>
        <v>39877.64583</v>
      </c>
      <c r="B2282" s="2">
        <f>IFERROR(__xludf.DUMMYFUNCTION("""COMPUTED_VALUE"""),84.97)</f>
        <v>84.97</v>
      </c>
      <c r="C2282" s="2">
        <f>IFERROR(__xludf.DUMMYFUNCTION("""COMPUTED_VALUE"""),85.45)</f>
        <v>85.45</v>
      </c>
      <c r="D2282" s="2">
        <f>IFERROR(__xludf.DUMMYFUNCTION("""COMPUTED_VALUE"""),79.12)</f>
        <v>79.12</v>
      </c>
      <c r="E2282" s="2">
        <f>IFERROR(__xludf.DUMMYFUNCTION("""COMPUTED_VALUE"""),80.14)</f>
        <v>80.14</v>
      </c>
      <c r="F2282" s="2">
        <f>IFERROR(__xludf.DUMMYFUNCTION("""COMPUTED_VALUE"""),2422479.0)</f>
        <v>2422479</v>
      </c>
    </row>
    <row r="2283">
      <c r="A2283" s="3">
        <f>IFERROR(__xludf.DUMMYFUNCTION("""COMPUTED_VALUE"""),39878.645833333336)</f>
        <v>39878.64583</v>
      </c>
      <c r="B2283" s="2">
        <f>IFERROR(__xludf.DUMMYFUNCTION("""COMPUTED_VALUE"""),80.0)</f>
        <v>80</v>
      </c>
      <c r="C2283" s="2">
        <f>IFERROR(__xludf.DUMMYFUNCTION("""COMPUTED_VALUE"""),82.8)</f>
        <v>82.8</v>
      </c>
      <c r="D2283" s="2">
        <f>IFERROR(__xludf.DUMMYFUNCTION("""COMPUTED_VALUE"""),77.4)</f>
        <v>77.4</v>
      </c>
      <c r="E2283" s="2">
        <f>IFERROR(__xludf.DUMMYFUNCTION("""COMPUTED_VALUE"""),80.18)</f>
        <v>80.18</v>
      </c>
      <c r="F2283" s="2">
        <f>IFERROR(__xludf.DUMMYFUNCTION("""COMPUTED_VALUE"""),2370854.0)</f>
        <v>2370854</v>
      </c>
    </row>
    <row r="2284">
      <c r="A2284" s="3">
        <f>IFERROR(__xludf.DUMMYFUNCTION("""COMPUTED_VALUE"""),39881.645833333336)</f>
        <v>39881.64583</v>
      </c>
      <c r="B2284" s="2">
        <f>IFERROR(__xludf.DUMMYFUNCTION("""COMPUTED_VALUE"""),79.9)</f>
        <v>79.9</v>
      </c>
      <c r="C2284" s="2">
        <f>IFERROR(__xludf.DUMMYFUNCTION("""COMPUTED_VALUE"""),81.47)</f>
        <v>81.47</v>
      </c>
      <c r="D2284" s="2">
        <f>IFERROR(__xludf.DUMMYFUNCTION("""COMPUTED_VALUE"""),78.22)</f>
        <v>78.22</v>
      </c>
      <c r="E2284" s="2">
        <f>IFERROR(__xludf.DUMMYFUNCTION("""COMPUTED_VALUE"""),79.88)</f>
        <v>79.88</v>
      </c>
      <c r="F2284" s="2">
        <f>IFERROR(__xludf.DUMMYFUNCTION("""COMPUTED_VALUE"""),1758946.0)</f>
        <v>1758946</v>
      </c>
    </row>
    <row r="2285">
      <c r="A2285" s="3">
        <f>IFERROR(__xludf.DUMMYFUNCTION("""COMPUTED_VALUE"""),39884.645833333336)</f>
        <v>39884.64583</v>
      </c>
      <c r="B2285" s="2">
        <f>IFERROR(__xludf.DUMMYFUNCTION("""COMPUTED_VALUE"""),81.5)</f>
        <v>81.5</v>
      </c>
      <c r="C2285" s="2">
        <f>IFERROR(__xludf.DUMMYFUNCTION("""COMPUTED_VALUE"""),83.4)</f>
        <v>83.4</v>
      </c>
      <c r="D2285" s="2">
        <f>IFERROR(__xludf.DUMMYFUNCTION("""COMPUTED_VALUE"""),79.12)</f>
        <v>79.12</v>
      </c>
      <c r="E2285" s="2">
        <f>IFERROR(__xludf.DUMMYFUNCTION("""COMPUTED_VALUE"""),79.87)</f>
        <v>79.87</v>
      </c>
      <c r="F2285" s="2">
        <f>IFERROR(__xludf.DUMMYFUNCTION("""COMPUTED_VALUE"""),2870544.0)</f>
        <v>2870544</v>
      </c>
    </row>
    <row r="2286">
      <c r="A2286" s="3">
        <f>IFERROR(__xludf.DUMMYFUNCTION("""COMPUTED_VALUE"""),39885.645833333336)</f>
        <v>39885.64583</v>
      </c>
      <c r="B2286" s="2">
        <f>IFERROR(__xludf.DUMMYFUNCTION("""COMPUTED_VALUE"""),81.5)</f>
        <v>81.5</v>
      </c>
      <c r="C2286" s="2">
        <f>IFERROR(__xludf.DUMMYFUNCTION("""COMPUTED_VALUE"""),83.68)</f>
        <v>83.68</v>
      </c>
      <c r="D2286" s="2">
        <f>IFERROR(__xludf.DUMMYFUNCTION("""COMPUTED_VALUE"""),81.22)</f>
        <v>81.22</v>
      </c>
      <c r="E2286" s="2">
        <f>IFERROR(__xludf.DUMMYFUNCTION("""COMPUTED_VALUE"""),83.43)</f>
        <v>83.43</v>
      </c>
      <c r="F2286" s="2">
        <f>IFERROR(__xludf.DUMMYFUNCTION("""COMPUTED_VALUE"""),4572630.0)</f>
        <v>4572630</v>
      </c>
    </row>
    <row r="2287">
      <c r="A2287" s="3">
        <f>IFERROR(__xludf.DUMMYFUNCTION("""COMPUTED_VALUE"""),39888.645833333336)</f>
        <v>39888.64583</v>
      </c>
      <c r="B2287" s="2">
        <f>IFERROR(__xludf.DUMMYFUNCTION("""COMPUTED_VALUE"""),84.0)</f>
        <v>84</v>
      </c>
      <c r="C2287" s="2">
        <f>IFERROR(__xludf.DUMMYFUNCTION("""COMPUTED_VALUE"""),85.26)</f>
        <v>85.26</v>
      </c>
      <c r="D2287" s="2">
        <f>IFERROR(__xludf.DUMMYFUNCTION("""COMPUTED_VALUE"""),82.67)</f>
        <v>82.67</v>
      </c>
      <c r="E2287" s="2">
        <f>IFERROR(__xludf.DUMMYFUNCTION("""COMPUTED_VALUE"""),84.48)</f>
        <v>84.48</v>
      </c>
      <c r="F2287" s="2">
        <f>IFERROR(__xludf.DUMMYFUNCTION("""COMPUTED_VALUE"""),2725511.0)</f>
        <v>2725511</v>
      </c>
    </row>
    <row r="2288">
      <c r="A2288" s="3">
        <f>IFERROR(__xludf.DUMMYFUNCTION("""COMPUTED_VALUE"""),39889.645833333336)</f>
        <v>39889.64583</v>
      </c>
      <c r="B2288" s="2">
        <f>IFERROR(__xludf.DUMMYFUNCTION("""COMPUTED_VALUE"""),84.4)</f>
        <v>84.4</v>
      </c>
      <c r="C2288" s="2">
        <f>IFERROR(__xludf.DUMMYFUNCTION("""COMPUTED_VALUE"""),85.9)</f>
        <v>85.9</v>
      </c>
      <c r="D2288" s="2">
        <f>IFERROR(__xludf.DUMMYFUNCTION("""COMPUTED_VALUE"""),80.91)</f>
        <v>80.91</v>
      </c>
      <c r="E2288" s="2">
        <f>IFERROR(__xludf.DUMMYFUNCTION("""COMPUTED_VALUE"""),82.82)</f>
        <v>82.82</v>
      </c>
      <c r="F2288" s="2">
        <f>IFERROR(__xludf.DUMMYFUNCTION("""COMPUTED_VALUE"""),2092351.0)</f>
        <v>2092351</v>
      </c>
    </row>
    <row r="2289">
      <c r="A2289" s="3">
        <f>IFERROR(__xludf.DUMMYFUNCTION("""COMPUTED_VALUE"""),39890.645833333336)</f>
        <v>39890.64583</v>
      </c>
      <c r="B2289" s="2">
        <f>IFERROR(__xludf.DUMMYFUNCTION("""COMPUTED_VALUE"""),83.99)</f>
        <v>83.99</v>
      </c>
      <c r="C2289" s="2">
        <f>IFERROR(__xludf.DUMMYFUNCTION("""COMPUTED_VALUE"""),86.0)</f>
        <v>86</v>
      </c>
      <c r="D2289" s="2">
        <f>IFERROR(__xludf.DUMMYFUNCTION("""COMPUTED_VALUE"""),83.22)</f>
        <v>83.22</v>
      </c>
      <c r="E2289" s="2">
        <f>IFERROR(__xludf.DUMMYFUNCTION("""COMPUTED_VALUE"""),84.3)</f>
        <v>84.3</v>
      </c>
      <c r="F2289" s="2">
        <f>IFERROR(__xludf.DUMMYFUNCTION("""COMPUTED_VALUE"""),1891041.0)</f>
        <v>1891041</v>
      </c>
    </row>
    <row r="2290">
      <c r="A2290" s="3">
        <f>IFERROR(__xludf.DUMMYFUNCTION("""COMPUTED_VALUE"""),39891.645833333336)</f>
        <v>39891.64583</v>
      </c>
      <c r="B2290" s="2">
        <f>IFERROR(__xludf.DUMMYFUNCTION("""COMPUTED_VALUE"""),84.87)</f>
        <v>84.87</v>
      </c>
      <c r="C2290" s="2">
        <f>IFERROR(__xludf.DUMMYFUNCTION("""COMPUTED_VALUE"""),86.3)</f>
        <v>86.3</v>
      </c>
      <c r="D2290" s="2">
        <f>IFERROR(__xludf.DUMMYFUNCTION("""COMPUTED_VALUE"""),81.9)</f>
        <v>81.9</v>
      </c>
      <c r="E2290" s="2">
        <f>IFERROR(__xludf.DUMMYFUNCTION("""COMPUTED_VALUE"""),83.24)</f>
        <v>83.24</v>
      </c>
      <c r="F2290" s="2">
        <f>IFERROR(__xludf.DUMMYFUNCTION("""COMPUTED_VALUE"""),2442611.0)</f>
        <v>2442611</v>
      </c>
    </row>
    <row r="2291">
      <c r="A2291" s="3">
        <f>IFERROR(__xludf.DUMMYFUNCTION("""COMPUTED_VALUE"""),39892.645833333336)</f>
        <v>39892.64583</v>
      </c>
      <c r="B2291" s="2">
        <f>IFERROR(__xludf.DUMMYFUNCTION("""COMPUTED_VALUE"""),82.98)</f>
        <v>82.98</v>
      </c>
      <c r="C2291" s="2">
        <f>IFERROR(__xludf.DUMMYFUNCTION("""COMPUTED_VALUE"""),84.17)</f>
        <v>84.17</v>
      </c>
      <c r="D2291" s="2">
        <f>IFERROR(__xludf.DUMMYFUNCTION("""COMPUTED_VALUE"""),81.1)</f>
        <v>81.1</v>
      </c>
      <c r="E2291" s="2">
        <f>IFERROR(__xludf.DUMMYFUNCTION("""COMPUTED_VALUE"""),83.93)</f>
        <v>83.93</v>
      </c>
      <c r="F2291" s="2">
        <f>IFERROR(__xludf.DUMMYFUNCTION("""COMPUTED_VALUE"""),2028607.0)</f>
        <v>2028607</v>
      </c>
    </row>
    <row r="2292">
      <c r="A2292" s="3">
        <f>IFERROR(__xludf.DUMMYFUNCTION("""COMPUTED_VALUE"""),39895.645833333336)</f>
        <v>39895.64583</v>
      </c>
      <c r="B2292" s="2">
        <f>IFERROR(__xludf.DUMMYFUNCTION("""COMPUTED_VALUE"""),85.38)</f>
        <v>85.38</v>
      </c>
      <c r="C2292" s="2">
        <f>IFERROR(__xludf.DUMMYFUNCTION("""COMPUTED_VALUE"""),89.98)</f>
        <v>89.98</v>
      </c>
      <c r="D2292" s="2">
        <f>IFERROR(__xludf.DUMMYFUNCTION("""COMPUTED_VALUE"""),84.2)</f>
        <v>84.2</v>
      </c>
      <c r="E2292" s="2">
        <f>IFERROR(__xludf.DUMMYFUNCTION("""COMPUTED_VALUE"""),88.5)</f>
        <v>88.5</v>
      </c>
      <c r="F2292" s="2">
        <f>IFERROR(__xludf.DUMMYFUNCTION("""COMPUTED_VALUE"""),2044973.0)</f>
        <v>2044973</v>
      </c>
    </row>
    <row r="2293">
      <c r="A2293" s="3">
        <f>IFERROR(__xludf.DUMMYFUNCTION("""COMPUTED_VALUE"""),39896.645833333336)</f>
        <v>39896.64583</v>
      </c>
      <c r="B2293" s="2">
        <f>IFERROR(__xludf.DUMMYFUNCTION("""COMPUTED_VALUE"""),91.63)</f>
        <v>91.63</v>
      </c>
      <c r="C2293" s="2">
        <f>IFERROR(__xludf.DUMMYFUNCTION("""COMPUTED_VALUE"""),97.4)</f>
        <v>97.4</v>
      </c>
      <c r="D2293" s="2">
        <f>IFERROR(__xludf.DUMMYFUNCTION("""COMPUTED_VALUE"""),91.0)</f>
        <v>91</v>
      </c>
      <c r="E2293" s="2">
        <f>IFERROR(__xludf.DUMMYFUNCTION("""COMPUTED_VALUE"""),94.17)</f>
        <v>94.17</v>
      </c>
      <c r="F2293" s="2">
        <f>IFERROR(__xludf.DUMMYFUNCTION("""COMPUTED_VALUE"""),3770054.0)</f>
        <v>3770054</v>
      </c>
    </row>
    <row r="2294">
      <c r="A2294" s="3">
        <f>IFERROR(__xludf.DUMMYFUNCTION("""COMPUTED_VALUE"""),39897.645833333336)</f>
        <v>39897.64583</v>
      </c>
      <c r="B2294" s="2">
        <f>IFERROR(__xludf.DUMMYFUNCTION("""COMPUTED_VALUE"""),94.79)</f>
        <v>94.79</v>
      </c>
      <c r="C2294" s="2">
        <f>IFERROR(__xludf.DUMMYFUNCTION("""COMPUTED_VALUE"""),97.69)</f>
        <v>97.69</v>
      </c>
      <c r="D2294" s="2">
        <f>IFERROR(__xludf.DUMMYFUNCTION("""COMPUTED_VALUE"""),93.7)</f>
        <v>93.7</v>
      </c>
      <c r="E2294" s="2">
        <f>IFERROR(__xludf.DUMMYFUNCTION("""COMPUTED_VALUE"""),97.22)</f>
        <v>97.22</v>
      </c>
      <c r="F2294" s="2">
        <f>IFERROR(__xludf.DUMMYFUNCTION("""COMPUTED_VALUE"""),1790900.0)</f>
        <v>1790900</v>
      </c>
    </row>
    <row r="2295">
      <c r="A2295" s="3">
        <f>IFERROR(__xludf.DUMMYFUNCTION("""COMPUTED_VALUE"""),39898.645833333336)</f>
        <v>39898.64583</v>
      </c>
      <c r="B2295" s="2">
        <f>IFERROR(__xludf.DUMMYFUNCTION("""COMPUTED_VALUE"""),98.8)</f>
        <v>98.8</v>
      </c>
      <c r="C2295" s="2">
        <f>IFERROR(__xludf.DUMMYFUNCTION("""COMPUTED_VALUE"""),100.5)</f>
        <v>100.5</v>
      </c>
      <c r="D2295" s="2">
        <f>IFERROR(__xludf.DUMMYFUNCTION("""COMPUTED_VALUE"""),97.52)</f>
        <v>97.52</v>
      </c>
      <c r="E2295" s="2">
        <f>IFERROR(__xludf.DUMMYFUNCTION("""COMPUTED_VALUE"""),99.34)</f>
        <v>99.34</v>
      </c>
      <c r="F2295" s="2">
        <f>IFERROR(__xludf.DUMMYFUNCTION("""COMPUTED_VALUE"""),2315642.0)</f>
        <v>2315642</v>
      </c>
    </row>
    <row r="2296">
      <c r="A2296" s="3">
        <f>IFERROR(__xludf.DUMMYFUNCTION("""COMPUTED_VALUE"""),39899.645833333336)</f>
        <v>39899.64583</v>
      </c>
      <c r="B2296" s="2">
        <f>IFERROR(__xludf.DUMMYFUNCTION("""COMPUTED_VALUE"""),98.1)</f>
        <v>98.1</v>
      </c>
      <c r="C2296" s="2">
        <f>IFERROR(__xludf.DUMMYFUNCTION("""COMPUTED_VALUE"""),101.3)</f>
        <v>101.3</v>
      </c>
      <c r="D2296" s="2">
        <f>IFERROR(__xludf.DUMMYFUNCTION("""COMPUTED_VALUE"""),98.09)</f>
        <v>98.09</v>
      </c>
      <c r="E2296" s="2">
        <f>IFERROR(__xludf.DUMMYFUNCTION("""COMPUTED_VALUE"""),100.15)</f>
        <v>100.15</v>
      </c>
      <c r="F2296" s="2">
        <f>IFERROR(__xludf.DUMMYFUNCTION("""COMPUTED_VALUE"""),2288078.0)</f>
        <v>2288078</v>
      </c>
    </row>
    <row r="2297">
      <c r="A2297" s="3">
        <f>IFERROR(__xludf.DUMMYFUNCTION("""COMPUTED_VALUE"""),39902.645833333336)</f>
        <v>39902.64583</v>
      </c>
      <c r="B2297" s="2">
        <f>IFERROR(__xludf.DUMMYFUNCTION("""COMPUTED_VALUE"""),98.0)</f>
        <v>98</v>
      </c>
      <c r="C2297" s="2">
        <f>IFERROR(__xludf.DUMMYFUNCTION("""COMPUTED_VALUE"""),98.0)</f>
        <v>98</v>
      </c>
      <c r="D2297" s="2">
        <f>IFERROR(__xludf.DUMMYFUNCTION("""COMPUTED_VALUE"""),94.07)</f>
        <v>94.07</v>
      </c>
      <c r="E2297" s="2">
        <f>IFERROR(__xludf.DUMMYFUNCTION("""COMPUTED_VALUE"""),94.55)</f>
        <v>94.55</v>
      </c>
      <c r="F2297" s="2">
        <f>IFERROR(__xludf.DUMMYFUNCTION("""COMPUTED_VALUE"""),1325484.0)</f>
        <v>1325484</v>
      </c>
    </row>
    <row r="2298">
      <c r="A2298" s="3">
        <f>IFERROR(__xludf.DUMMYFUNCTION("""COMPUTED_VALUE"""),39903.645833333336)</f>
        <v>39903.64583</v>
      </c>
      <c r="B2298" s="2">
        <f>IFERROR(__xludf.DUMMYFUNCTION("""COMPUTED_VALUE"""),95.2)</f>
        <v>95.2</v>
      </c>
      <c r="C2298" s="2">
        <f>IFERROR(__xludf.DUMMYFUNCTION("""COMPUTED_VALUE"""),98.79)</f>
        <v>98.79</v>
      </c>
      <c r="D2298" s="2">
        <f>IFERROR(__xludf.DUMMYFUNCTION("""COMPUTED_VALUE"""),90.44)</f>
        <v>90.44</v>
      </c>
      <c r="E2298" s="2">
        <f>IFERROR(__xludf.DUMMYFUNCTION("""COMPUTED_VALUE"""),97.34)</f>
        <v>97.34</v>
      </c>
      <c r="F2298" s="2">
        <f>IFERROR(__xludf.DUMMYFUNCTION("""COMPUTED_VALUE"""),3720270.0)</f>
        <v>3720270</v>
      </c>
    </row>
    <row r="2299">
      <c r="A2299" s="3">
        <f>IFERROR(__xludf.DUMMYFUNCTION("""COMPUTED_VALUE"""),39904.645833333336)</f>
        <v>39904.64583</v>
      </c>
      <c r="B2299" s="2">
        <f>IFERROR(__xludf.DUMMYFUNCTION("""COMPUTED_VALUE"""),98.5)</f>
        <v>98.5</v>
      </c>
      <c r="C2299" s="2">
        <f>IFERROR(__xludf.DUMMYFUNCTION("""COMPUTED_VALUE"""),100.5)</f>
        <v>100.5</v>
      </c>
      <c r="D2299" s="2">
        <f>IFERROR(__xludf.DUMMYFUNCTION("""COMPUTED_VALUE"""),95.16)</f>
        <v>95.16</v>
      </c>
      <c r="E2299" s="2">
        <f>IFERROR(__xludf.DUMMYFUNCTION("""COMPUTED_VALUE"""),100.0)</f>
        <v>100</v>
      </c>
      <c r="F2299" s="2">
        <f>IFERROR(__xludf.DUMMYFUNCTION("""COMPUTED_VALUE"""),1294682.0)</f>
        <v>1294682</v>
      </c>
    </row>
    <row r="2300">
      <c r="A2300" s="3">
        <f>IFERROR(__xludf.DUMMYFUNCTION("""COMPUTED_VALUE"""),39905.645833333336)</f>
        <v>39905.64583</v>
      </c>
      <c r="B2300" s="2">
        <f>IFERROR(__xludf.DUMMYFUNCTION("""COMPUTED_VALUE"""),101.1)</f>
        <v>101.1</v>
      </c>
      <c r="C2300" s="2">
        <f>IFERROR(__xludf.DUMMYFUNCTION("""COMPUTED_VALUE"""),105.19)</f>
        <v>105.19</v>
      </c>
      <c r="D2300" s="2">
        <f>IFERROR(__xludf.DUMMYFUNCTION("""COMPUTED_VALUE"""),101.1)</f>
        <v>101.1</v>
      </c>
      <c r="E2300" s="2">
        <f>IFERROR(__xludf.DUMMYFUNCTION("""COMPUTED_VALUE"""),103.66)</f>
        <v>103.66</v>
      </c>
      <c r="F2300" s="2">
        <f>IFERROR(__xludf.DUMMYFUNCTION("""COMPUTED_VALUE"""),1779566.0)</f>
        <v>1779566</v>
      </c>
    </row>
    <row r="2301">
      <c r="A2301" s="3">
        <f>IFERROR(__xludf.DUMMYFUNCTION("""COMPUTED_VALUE"""),39909.645833333336)</f>
        <v>39909.64583</v>
      </c>
      <c r="B2301" s="2">
        <f>IFERROR(__xludf.DUMMYFUNCTION("""COMPUTED_VALUE"""),105.5)</f>
        <v>105.5</v>
      </c>
      <c r="C2301" s="2">
        <f>IFERROR(__xludf.DUMMYFUNCTION("""COMPUTED_VALUE"""),107.5)</f>
        <v>107.5</v>
      </c>
      <c r="D2301" s="2">
        <f>IFERROR(__xludf.DUMMYFUNCTION("""COMPUTED_VALUE"""),104.03)</f>
        <v>104.03</v>
      </c>
      <c r="E2301" s="2">
        <f>IFERROR(__xludf.DUMMYFUNCTION("""COMPUTED_VALUE"""),106.42)</f>
        <v>106.42</v>
      </c>
      <c r="F2301" s="2">
        <f>IFERROR(__xludf.DUMMYFUNCTION("""COMPUTED_VALUE"""),1347288.0)</f>
        <v>1347288</v>
      </c>
    </row>
    <row r="2302">
      <c r="A2302" s="3">
        <f>IFERROR(__xludf.DUMMYFUNCTION("""COMPUTED_VALUE"""),39911.645833333336)</f>
        <v>39911.64583</v>
      </c>
      <c r="B2302" s="2">
        <f>IFERROR(__xludf.DUMMYFUNCTION("""COMPUTED_VALUE"""),106.5)</f>
        <v>106.5</v>
      </c>
      <c r="C2302" s="2">
        <f>IFERROR(__xludf.DUMMYFUNCTION("""COMPUTED_VALUE"""),106.5)</f>
        <v>106.5</v>
      </c>
      <c r="D2302" s="2">
        <f>IFERROR(__xludf.DUMMYFUNCTION("""COMPUTED_VALUE"""),99.23)</f>
        <v>99.23</v>
      </c>
      <c r="E2302" s="2">
        <f>IFERROR(__xludf.DUMMYFUNCTION("""COMPUTED_VALUE"""),104.68)</f>
        <v>104.68</v>
      </c>
      <c r="F2302" s="2">
        <f>IFERROR(__xludf.DUMMYFUNCTION("""COMPUTED_VALUE"""),2651426.0)</f>
        <v>2651426</v>
      </c>
    </row>
    <row r="2303">
      <c r="A2303" s="3">
        <f>IFERROR(__xludf.DUMMYFUNCTION("""COMPUTED_VALUE"""),39912.645833333336)</f>
        <v>39912.64583</v>
      </c>
      <c r="B2303" s="2">
        <f>IFERROR(__xludf.DUMMYFUNCTION("""COMPUTED_VALUE"""),106.38)</f>
        <v>106.38</v>
      </c>
      <c r="C2303" s="2">
        <f>IFERROR(__xludf.DUMMYFUNCTION("""COMPUTED_VALUE"""),108.0)</f>
        <v>108</v>
      </c>
      <c r="D2303" s="2">
        <f>IFERROR(__xludf.DUMMYFUNCTION("""COMPUTED_VALUE"""),103.21)</f>
        <v>103.21</v>
      </c>
      <c r="E2303" s="2">
        <f>IFERROR(__xludf.DUMMYFUNCTION("""COMPUTED_VALUE"""),104.44)</f>
        <v>104.44</v>
      </c>
      <c r="F2303" s="2">
        <f>IFERROR(__xludf.DUMMYFUNCTION("""COMPUTED_VALUE"""),1488619.0)</f>
        <v>1488619</v>
      </c>
    </row>
    <row r="2304">
      <c r="A2304" s="3">
        <f>IFERROR(__xludf.DUMMYFUNCTION("""COMPUTED_VALUE"""),39916.645833333336)</f>
        <v>39916.64583</v>
      </c>
      <c r="B2304" s="2">
        <f>IFERROR(__xludf.DUMMYFUNCTION("""COMPUTED_VALUE"""),104.0)</f>
        <v>104</v>
      </c>
      <c r="C2304" s="2">
        <f>IFERROR(__xludf.DUMMYFUNCTION("""COMPUTED_VALUE"""),111.5)</f>
        <v>111.5</v>
      </c>
      <c r="D2304" s="2">
        <f>IFERROR(__xludf.DUMMYFUNCTION("""COMPUTED_VALUE"""),104.0)</f>
        <v>104</v>
      </c>
      <c r="E2304" s="2">
        <f>IFERROR(__xludf.DUMMYFUNCTION("""COMPUTED_VALUE"""),109.84)</f>
        <v>109.84</v>
      </c>
      <c r="F2304" s="2">
        <f>IFERROR(__xludf.DUMMYFUNCTION("""COMPUTED_VALUE"""),1711101.0)</f>
        <v>1711101</v>
      </c>
    </row>
    <row r="2305">
      <c r="A2305" s="3">
        <f>IFERROR(__xludf.DUMMYFUNCTION("""COMPUTED_VALUE"""),39918.645833333336)</f>
        <v>39918.64583</v>
      </c>
      <c r="B2305" s="2">
        <f>IFERROR(__xludf.DUMMYFUNCTION("""COMPUTED_VALUE"""),105.49)</f>
        <v>105.49</v>
      </c>
      <c r="C2305" s="2">
        <f>IFERROR(__xludf.DUMMYFUNCTION("""COMPUTED_VALUE"""),110.47)</f>
        <v>110.47</v>
      </c>
      <c r="D2305" s="2">
        <f>IFERROR(__xludf.DUMMYFUNCTION("""COMPUTED_VALUE"""),104.25)</f>
        <v>104.25</v>
      </c>
      <c r="E2305" s="2">
        <f>IFERROR(__xludf.DUMMYFUNCTION("""COMPUTED_VALUE"""),108.28)</f>
        <v>108.28</v>
      </c>
      <c r="F2305" s="2">
        <f>IFERROR(__xludf.DUMMYFUNCTION("""COMPUTED_VALUE"""),3133776.0)</f>
        <v>3133776</v>
      </c>
    </row>
    <row r="2306">
      <c r="A2306" s="3">
        <f>IFERROR(__xludf.DUMMYFUNCTION("""COMPUTED_VALUE"""),39919.645833333336)</f>
        <v>39919.64583</v>
      </c>
      <c r="B2306" s="2">
        <f>IFERROR(__xludf.DUMMYFUNCTION("""COMPUTED_VALUE"""),109.88)</f>
        <v>109.88</v>
      </c>
      <c r="C2306" s="2">
        <f>IFERROR(__xludf.DUMMYFUNCTION("""COMPUTED_VALUE"""),110.78)</f>
        <v>110.78</v>
      </c>
      <c r="D2306" s="2">
        <f>IFERROR(__xludf.DUMMYFUNCTION("""COMPUTED_VALUE"""),105.73)</f>
        <v>105.73</v>
      </c>
      <c r="E2306" s="2">
        <f>IFERROR(__xludf.DUMMYFUNCTION("""COMPUTED_VALUE"""),106.61)</f>
        <v>106.61</v>
      </c>
      <c r="F2306" s="2">
        <f>IFERROR(__xludf.DUMMYFUNCTION("""COMPUTED_VALUE"""),1952075.0)</f>
        <v>1952075</v>
      </c>
    </row>
    <row r="2307">
      <c r="A2307" s="3">
        <f>IFERROR(__xludf.DUMMYFUNCTION("""COMPUTED_VALUE"""),39920.645833333336)</f>
        <v>39920.64583</v>
      </c>
      <c r="B2307" s="2">
        <f>IFERROR(__xludf.DUMMYFUNCTION("""COMPUTED_VALUE"""),108.4)</f>
        <v>108.4</v>
      </c>
      <c r="C2307" s="2">
        <f>IFERROR(__xludf.DUMMYFUNCTION("""COMPUTED_VALUE"""),109.8)</f>
        <v>109.8</v>
      </c>
      <c r="D2307" s="2">
        <f>IFERROR(__xludf.DUMMYFUNCTION("""COMPUTED_VALUE"""),105.66)</f>
        <v>105.66</v>
      </c>
      <c r="E2307" s="2">
        <f>IFERROR(__xludf.DUMMYFUNCTION("""COMPUTED_VALUE"""),107.19)</f>
        <v>107.19</v>
      </c>
      <c r="F2307" s="2">
        <f>IFERROR(__xludf.DUMMYFUNCTION("""COMPUTED_VALUE"""),2352106.0)</f>
        <v>2352106</v>
      </c>
    </row>
    <row r="2308">
      <c r="A2308" s="3">
        <f>IFERROR(__xludf.DUMMYFUNCTION("""COMPUTED_VALUE"""),39923.645833333336)</f>
        <v>39923.64583</v>
      </c>
      <c r="B2308" s="2">
        <f>IFERROR(__xludf.DUMMYFUNCTION("""COMPUTED_VALUE"""),107.0)</f>
        <v>107</v>
      </c>
      <c r="C2308" s="2">
        <f>IFERROR(__xludf.DUMMYFUNCTION("""COMPUTED_VALUE"""),110.0)</f>
        <v>110</v>
      </c>
      <c r="D2308" s="2">
        <f>IFERROR(__xludf.DUMMYFUNCTION("""COMPUTED_VALUE"""),104.83)</f>
        <v>104.83</v>
      </c>
      <c r="E2308" s="2">
        <f>IFERROR(__xludf.DUMMYFUNCTION("""COMPUTED_VALUE"""),106.71)</f>
        <v>106.71</v>
      </c>
      <c r="F2308" s="2">
        <f>IFERROR(__xludf.DUMMYFUNCTION("""COMPUTED_VALUE"""),1146589.0)</f>
        <v>1146589</v>
      </c>
    </row>
    <row r="2309">
      <c r="A2309" s="3">
        <f>IFERROR(__xludf.DUMMYFUNCTION("""COMPUTED_VALUE"""),39924.645833333336)</f>
        <v>39924.64583</v>
      </c>
      <c r="B2309" s="2">
        <f>IFERROR(__xludf.DUMMYFUNCTION("""COMPUTED_VALUE"""),104.0)</f>
        <v>104</v>
      </c>
      <c r="C2309" s="2">
        <f>IFERROR(__xludf.DUMMYFUNCTION("""COMPUTED_VALUE"""),110.0)</f>
        <v>110</v>
      </c>
      <c r="D2309" s="2">
        <f>IFERROR(__xludf.DUMMYFUNCTION("""COMPUTED_VALUE"""),103.48)</f>
        <v>103.48</v>
      </c>
      <c r="E2309" s="2">
        <f>IFERROR(__xludf.DUMMYFUNCTION("""COMPUTED_VALUE"""),108.71)</f>
        <v>108.71</v>
      </c>
      <c r="F2309" s="2">
        <f>IFERROR(__xludf.DUMMYFUNCTION("""COMPUTED_VALUE"""),1504805.0)</f>
        <v>1504805</v>
      </c>
    </row>
    <row r="2310">
      <c r="A2310" s="3">
        <f>IFERROR(__xludf.DUMMYFUNCTION("""COMPUTED_VALUE"""),39925.645833333336)</f>
        <v>39925.64583</v>
      </c>
      <c r="B2310" s="2">
        <f>IFERROR(__xludf.DUMMYFUNCTION("""COMPUTED_VALUE"""),109.0)</f>
        <v>109</v>
      </c>
      <c r="C2310" s="2">
        <f>IFERROR(__xludf.DUMMYFUNCTION("""COMPUTED_VALUE"""),110.24)</f>
        <v>110.24</v>
      </c>
      <c r="D2310" s="2">
        <f>IFERROR(__xludf.DUMMYFUNCTION("""COMPUTED_VALUE"""),106.5)</f>
        <v>106.5</v>
      </c>
      <c r="E2310" s="2">
        <f>IFERROR(__xludf.DUMMYFUNCTION("""COMPUTED_VALUE"""),108.94)</f>
        <v>108.94</v>
      </c>
      <c r="F2310" s="2">
        <f>IFERROR(__xludf.DUMMYFUNCTION("""COMPUTED_VALUE"""),1209122.0)</f>
        <v>1209122</v>
      </c>
    </row>
    <row r="2311">
      <c r="A2311" s="3">
        <f>IFERROR(__xludf.DUMMYFUNCTION("""COMPUTED_VALUE"""),39926.645833333336)</f>
        <v>39926.64583</v>
      </c>
      <c r="B2311" s="2">
        <f>IFERROR(__xludf.DUMMYFUNCTION("""COMPUTED_VALUE"""),109.5)</f>
        <v>109.5</v>
      </c>
      <c r="C2311" s="2">
        <f>IFERROR(__xludf.DUMMYFUNCTION("""COMPUTED_VALUE"""),110.0)</f>
        <v>110</v>
      </c>
      <c r="D2311" s="2">
        <f>IFERROR(__xludf.DUMMYFUNCTION("""COMPUTED_VALUE"""),106.55)</f>
        <v>106.55</v>
      </c>
      <c r="E2311" s="2">
        <f>IFERROR(__xludf.DUMMYFUNCTION("""COMPUTED_VALUE"""),109.25)</f>
        <v>109.25</v>
      </c>
      <c r="F2311" s="2">
        <f>IFERROR(__xludf.DUMMYFUNCTION("""COMPUTED_VALUE"""),1441155.0)</f>
        <v>1441155</v>
      </c>
    </row>
    <row r="2312">
      <c r="A2312" s="3">
        <f>IFERROR(__xludf.DUMMYFUNCTION("""COMPUTED_VALUE"""),39927.645833333336)</f>
        <v>39927.64583</v>
      </c>
      <c r="B2312" s="2">
        <f>IFERROR(__xludf.DUMMYFUNCTION("""COMPUTED_VALUE"""),110.0)</f>
        <v>110</v>
      </c>
      <c r="C2312" s="2">
        <f>IFERROR(__xludf.DUMMYFUNCTION("""COMPUTED_VALUE"""),112.29)</f>
        <v>112.29</v>
      </c>
      <c r="D2312" s="2">
        <f>IFERROR(__xludf.DUMMYFUNCTION("""COMPUTED_VALUE"""),107.7)</f>
        <v>107.7</v>
      </c>
      <c r="E2312" s="2">
        <f>IFERROR(__xludf.DUMMYFUNCTION("""COMPUTED_VALUE"""),111.03)</f>
        <v>111.03</v>
      </c>
      <c r="F2312" s="2">
        <f>IFERROR(__xludf.DUMMYFUNCTION("""COMPUTED_VALUE"""),1865513.0)</f>
        <v>1865513</v>
      </c>
    </row>
    <row r="2313">
      <c r="A2313" s="3">
        <f>IFERROR(__xludf.DUMMYFUNCTION("""COMPUTED_VALUE"""),39930.645833333336)</f>
        <v>39930.64583</v>
      </c>
      <c r="B2313" s="2">
        <f>IFERROR(__xludf.DUMMYFUNCTION("""COMPUTED_VALUE"""),110.0)</f>
        <v>110</v>
      </c>
      <c r="C2313" s="2">
        <f>IFERROR(__xludf.DUMMYFUNCTION("""COMPUTED_VALUE"""),114.0)</f>
        <v>114</v>
      </c>
      <c r="D2313" s="2">
        <f>IFERROR(__xludf.DUMMYFUNCTION("""COMPUTED_VALUE"""),109.0)</f>
        <v>109</v>
      </c>
      <c r="E2313" s="2">
        <f>IFERROR(__xludf.DUMMYFUNCTION("""COMPUTED_VALUE"""),111.54)</f>
        <v>111.54</v>
      </c>
      <c r="F2313" s="2">
        <f>IFERROR(__xludf.DUMMYFUNCTION("""COMPUTED_VALUE"""),1439279.0)</f>
        <v>1439279</v>
      </c>
    </row>
    <row r="2314">
      <c r="A2314" s="3">
        <f>IFERROR(__xludf.DUMMYFUNCTION("""COMPUTED_VALUE"""),39931.645833333336)</f>
        <v>39931.64583</v>
      </c>
      <c r="B2314" s="2">
        <f>IFERROR(__xludf.DUMMYFUNCTION("""COMPUTED_VALUE"""),111.83)</f>
        <v>111.83</v>
      </c>
      <c r="C2314" s="2">
        <f>IFERROR(__xludf.DUMMYFUNCTION("""COMPUTED_VALUE"""),112.7)</f>
        <v>112.7</v>
      </c>
      <c r="D2314" s="2">
        <f>IFERROR(__xludf.DUMMYFUNCTION("""COMPUTED_VALUE"""),106.3)</f>
        <v>106.3</v>
      </c>
      <c r="E2314" s="2">
        <f>IFERROR(__xludf.DUMMYFUNCTION("""COMPUTED_VALUE"""),107.19)</f>
        <v>107.19</v>
      </c>
      <c r="F2314" s="2">
        <f>IFERROR(__xludf.DUMMYFUNCTION("""COMPUTED_VALUE"""),1480088.0)</f>
        <v>1480088</v>
      </c>
    </row>
    <row r="2315">
      <c r="A2315" s="3">
        <f>IFERROR(__xludf.DUMMYFUNCTION("""COMPUTED_VALUE"""),39932.645833333336)</f>
        <v>39932.64583</v>
      </c>
      <c r="B2315" s="2">
        <f>IFERROR(__xludf.DUMMYFUNCTION("""COMPUTED_VALUE"""),108.6)</f>
        <v>108.6</v>
      </c>
      <c r="C2315" s="2">
        <f>IFERROR(__xludf.DUMMYFUNCTION("""COMPUTED_VALUE"""),111.0)</f>
        <v>111</v>
      </c>
      <c r="D2315" s="2">
        <f>IFERROR(__xludf.DUMMYFUNCTION("""COMPUTED_VALUE"""),107.2)</f>
        <v>107.2</v>
      </c>
      <c r="E2315" s="2">
        <f>IFERROR(__xludf.DUMMYFUNCTION("""COMPUTED_VALUE"""),110.04)</f>
        <v>110.04</v>
      </c>
      <c r="F2315" s="2">
        <f>IFERROR(__xludf.DUMMYFUNCTION("""COMPUTED_VALUE"""),2142815.0)</f>
        <v>2142815</v>
      </c>
    </row>
    <row r="2316">
      <c r="A2316" s="3">
        <f>IFERROR(__xludf.DUMMYFUNCTION("""COMPUTED_VALUE"""),39937.645833333336)</f>
        <v>39937.64583</v>
      </c>
      <c r="B2316" s="2">
        <f>IFERROR(__xludf.DUMMYFUNCTION("""COMPUTED_VALUE"""),115.01)</f>
        <v>115.01</v>
      </c>
      <c r="C2316" s="2">
        <f>IFERROR(__xludf.DUMMYFUNCTION("""COMPUTED_VALUE"""),120.7)</f>
        <v>120.7</v>
      </c>
      <c r="D2316" s="2">
        <f>IFERROR(__xludf.DUMMYFUNCTION("""COMPUTED_VALUE"""),112.03)</f>
        <v>112.03</v>
      </c>
      <c r="E2316" s="2">
        <f>IFERROR(__xludf.DUMMYFUNCTION("""COMPUTED_VALUE"""),119.94)</f>
        <v>119.94</v>
      </c>
      <c r="F2316" s="2">
        <f>IFERROR(__xludf.DUMMYFUNCTION("""COMPUTED_VALUE"""),2263307.0)</f>
        <v>2263307</v>
      </c>
    </row>
    <row r="2317">
      <c r="A2317" s="3">
        <f>IFERROR(__xludf.DUMMYFUNCTION("""COMPUTED_VALUE"""),39938.645833333336)</f>
        <v>39938.64583</v>
      </c>
      <c r="B2317" s="2">
        <f>IFERROR(__xludf.DUMMYFUNCTION("""COMPUTED_VALUE"""),120.68)</f>
        <v>120.68</v>
      </c>
      <c r="C2317" s="2">
        <f>IFERROR(__xludf.DUMMYFUNCTION("""COMPUTED_VALUE"""),121.0)</f>
        <v>121</v>
      </c>
      <c r="D2317" s="2">
        <f>IFERROR(__xludf.DUMMYFUNCTION("""COMPUTED_VALUE"""),116.5)</f>
        <v>116.5</v>
      </c>
      <c r="E2317" s="2">
        <f>IFERROR(__xludf.DUMMYFUNCTION("""COMPUTED_VALUE"""),119.33)</f>
        <v>119.33</v>
      </c>
      <c r="F2317" s="2">
        <f>IFERROR(__xludf.DUMMYFUNCTION("""COMPUTED_VALUE"""),1523194.0)</f>
        <v>1523194</v>
      </c>
    </row>
    <row r="2318">
      <c r="A2318" s="3">
        <f>IFERROR(__xludf.DUMMYFUNCTION("""COMPUTED_VALUE"""),39939.645833333336)</f>
        <v>39939.64583</v>
      </c>
      <c r="B2318" s="2">
        <f>IFERROR(__xludf.DUMMYFUNCTION("""COMPUTED_VALUE"""),119.01)</f>
        <v>119.01</v>
      </c>
      <c r="C2318" s="2">
        <f>IFERROR(__xludf.DUMMYFUNCTION("""COMPUTED_VALUE"""),119.9)</f>
        <v>119.9</v>
      </c>
      <c r="D2318" s="2">
        <f>IFERROR(__xludf.DUMMYFUNCTION("""COMPUTED_VALUE"""),116.1)</f>
        <v>116.1</v>
      </c>
      <c r="E2318" s="2">
        <f>IFERROR(__xludf.DUMMYFUNCTION("""COMPUTED_VALUE"""),117.2)</f>
        <v>117.2</v>
      </c>
      <c r="F2318" s="2">
        <f>IFERROR(__xludf.DUMMYFUNCTION("""COMPUTED_VALUE"""),1214309.0)</f>
        <v>1214309</v>
      </c>
    </row>
    <row r="2319">
      <c r="A2319" s="3">
        <f>IFERROR(__xludf.DUMMYFUNCTION("""COMPUTED_VALUE"""),39940.645833333336)</f>
        <v>39940.64583</v>
      </c>
      <c r="B2319" s="2">
        <f>IFERROR(__xludf.DUMMYFUNCTION("""COMPUTED_VALUE"""),118.0)</f>
        <v>118</v>
      </c>
      <c r="C2319" s="2">
        <f>IFERROR(__xludf.DUMMYFUNCTION("""COMPUTED_VALUE"""),118.8)</f>
        <v>118.8</v>
      </c>
      <c r="D2319" s="2">
        <f>IFERROR(__xludf.DUMMYFUNCTION("""COMPUTED_VALUE"""),116.67)</f>
        <v>116.67</v>
      </c>
      <c r="E2319" s="2">
        <f>IFERROR(__xludf.DUMMYFUNCTION("""COMPUTED_VALUE"""),117.64)</f>
        <v>117.64</v>
      </c>
      <c r="F2319" s="2">
        <f>IFERROR(__xludf.DUMMYFUNCTION("""COMPUTED_VALUE"""),772884.0)</f>
        <v>772884</v>
      </c>
    </row>
    <row r="2320">
      <c r="A2320" s="3">
        <f>IFERROR(__xludf.DUMMYFUNCTION("""COMPUTED_VALUE"""),39941.645833333336)</f>
        <v>39941.64583</v>
      </c>
      <c r="B2320" s="2">
        <f>IFERROR(__xludf.DUMMYFUNCTION("""COMPUTED_VALUE"""),116.0)</f>
        <v>116</v>
      </c>
      <c r="C2320" s="2">
        <f>IFERROR(__xludf.DUMMYFUNCTION("""COMPUTED_VALUE"""),117.5)</f>
        <v>117.5</v>
      </c>
      <c r="D2320" s="2">
        <f>IFERROR(__xludf.DUMMYFUNCTION("""COMPUTED_VALUE"""),111.46)</f>
        <v>111.46</v>
      </c>
      <c r="E2320" s="2">
        <f>IFERROR(__xludf.DUMMYFUNCTION("""COMPUTED_VALUE"""),114.41)</f>
        <v>114.41</v>
      </c>
      <c r="F2320" s="2">
        <f>IFERROR(__xludf.DUMMYFUNCTION("""COMPUTED_VALUE"""),2256933.0)</f>
        <v>2256933</v>
      </c>
    </row>
    <row r="2321">
      <c r="A2321" s="3">
        <f>IFERROR(__xludf.DUMMYFUNCTION("""COMPUTED_VALUE"""),39944.645833333336)</f>
        <v>39944.64583</v>
      </c>
      <c r="B2321" s="2">
        <f>IFERROR(__xludf.DUMMYFUNCTION("""COMPUTED_VALUE"""),118.77)</f>
        <v>118.77</v>
      </c>
      <c r="C2321" s="2">
        <f>IFERROR(__xludf.DUMMYFUNCTION("""COMPUTED_VALUE"""),118.77)</f>
        <v>118.77</v>
      </c>
      <c r="D2321" s="2">
        <f>IFERROR(__xludf.DUMMYFUNCTION("""COMPUTED_VALUE"""),113.8)</f>
        <v>113.8</v>
      </c>
      <c r="E2321" s="2">
        <f>IFERROR(__xludf.DUMMYFUNCTION("""COMPUTED_VALUE"""),114.7)</f>
        <v>114.7</v>
      </c>
      <c r="F2321" s="2">
        <f>IFERROR(__xludf.DUMMYFUNCTION("""COMPUTED_VALUE"""),1691836.0)</f>
        <v>1691836</v>
      </c>
    </row>
    <row r="2322">
      <c r="A2322" s="3">
        <f>IFERROR(__xludf.DUMMYFUNCTION("""COMPUTED_VALUE"""),39945.645833333336)</f>
        <v>39945.64583</v>
      </c>
      <c r="B2322" s="2">
        <f>IFERROR(__xludf.DUMMYFUNCTION("""COMPUTED_VALUE"""),114.4)</f>
        <v>114.4</v>
      </c>
      <c r="C2322" s="2">
        <f>IFERROR(__xludf.DUMMYFUNCTION("""COMPUTED_VALUE"""),120.4)</f>
        <v>120.4</v>
      </c>
      <c r="D2322" s="2">
        <f>IFERROR(__xludf.DUMMYFUNCTION("""COMPUTED_VALUE"""),113.93)</f>
        <v>113.93</v>
      </c>
      <c r="E2322" s="2">
        <f>IFERROR(__xludf.DUMMYFUNCTION("""COMPUTED_VALUE"""),119.53)</f>
        <v>119.53</v>
      </c>
      <c r="F2322" s="2">
        <f>IFERROR(__xludf.DUMMYFUNCTION("""COMPUTED_VALUE"""),1730442.0)</f>
        <v>1730442</v>
      </c>
    </row>
    <row r="2323">
      <c r="A2323" s="3">
        <f>IFERROR(__xludf.DUMMYFUNCTION("""COMPUTED_VALUE"""),39946.645833333336)</f>
        <v>39946.64583</v>
      </c>
      <c r="B2323" s="2">
        <f>IFERROR(__xludf.DUMMYFUNCTION("""COMPUTED_VALUE"""),119.5)</f>
        <v>119.5</v>
      </c>
      <c r="C2323" s="2">
        <f>IFERROR(__xludf.DUMMYFUNCTION("""COMPUTED_VALUE"""),119.88)</f>
        <v>119.88</v>
      </c>
      <c r="D2323" s="2">
        <f>IFERROR(__xludf.DUMMYFUNCTION("""COMPUTED_VALUE"""),114.7)</f>
        <v>114.7</v>
      </c>
      <c r="E2323" s="2">
        <f>IFERROR(__xludf.DUMMYFUNCTION("""COMPUTED_VALUE"""),116.43)</f>
        <v>116.43</v>
      </c>
      <c r="F2323" s="2">
        <f>IFERROR(__xludf.DUMMYFUNCTION("""COMPUTED_VALUE"""),2375976.0)</f>
        <v>2375976</v>
      </c>
    </row>
    <row r="2324">
      <c r="A2324" s="3">
        <f>IFERROR(__xludf.DUMMYFUNCTION("""COMPUTED_VALUE"""),39947.645833333336)</f>
        <v>39947.64583</v>
      </c>
      <c r="B2324" s="2">
        <f>IFERROR(__xludf.DUMMYFUNCTION("""COMPUTED_VALUE"""),115.23)</f>
        <v>115.23</v>
      </c>
      <c r="C2324" s="2">
        <f>IFERROR(__xludf.DUMMYFUNCTION("""COMPUTED_VALUE"""),116.9)</f>
        <v>116.9</v>
      </c>
      <c r="D2324" s="2">
        <f>IFERROR(__xludf.DUMMYFUNCTION("""COMPUTED_VALUE"""),112.13)</f>
        <v>112.13</v>
      </c>
      <c r="E2324" s="2">
        <f>IFERROR(__xludf.DUMMYFUNCTION("""COMPUTED_VALUE"""),116.37)</f>
        <v>116.37</v>
      </c>
      <c r="F2324" s="2">
        <f>IFERROR(__xludf.DUMMYFUNCTION("""COMPUTED_VALUE"""),960165.0)</f>
        <v>960165</v>
      </c>
    </row>
    <row r="2325">
      <c r="A2325" s="3">
        <f>IFERROR(__xludf.DUMMYFUNCTION("""COMPUTED_VALUE"""),39948.645833333336)</f>
        <v>39948.64583</v>
      </c>
      <c r="B2325" s="2">
        <f>IFERROR(__xludf.DUMMYFUNCTION("""COMPUTED_VALUE"""),117.5)</f>
        <v>117.5</v>
      </c>
      <c r="C2325" s="2">
        <f>IFERROR(__xludf.DUMMYFUNCTION("""COMPUTED_VALUE"""),119.2)</f>
        <v>119.2</v>
      </c>
      <c r="D2325" s="2">
        <f>IFERROR(__xludf.DUMMYFUNCTION("""COMPUTED_VALUE"""),115.72)</f>
        <v>115.72</v>
      </c>
      <c r="E2325" s="2">
        <f>IFERROR(__xludf.DUMMYFUNCTION("""COMPUTED_VALUE"""),118.5)</f>
        <v>118.5</v>
      </c>
      <c r="F2325" s="2">
        <f>IFERROR(__xludf.DUMMYFUNCTION("""COMPUTED_VALUE"""),2075996.0)</f>
        <v>2075996</v>
      </c>
    </row>
    <row r="2326">
      <c r="A2326" s="3">
        <f>IFERROR(__xludf.DUMMYFUNCTION("""COMPUTED_VALUE"""),39951.645833333336)</f>
        <v>39951.64583</v>
      </c>
      <c r="B2326" s="2">
        <f>IFERROR(__xludf.DUMMYFUNCTION("""COMPUTED_VALUE"""),126.12)</f>
        <v>126.12</v>
      </c>
      <c r="C2326" s="2">
        <f>IFERROR(__xludf.DUMMYFUNCTION("""COMPUTED_VALUE"""),153.97)</f>
        <v>153.97</v>
      </c>
      <c r="D2326" s="2">
        <f>IFERROR(__xludf.DUMMYFUNCTION("""COMPUTED_VALUE"""),126.12)</f>
        <v>126.12</v>
      </c>
      <c r="E2326" s="2">
        <f>IFERROR(__xludf.DUMMYFUNCTION("""COMPUTED_VALUE"""),137.81)</f>
        <v>137.81</v>
      </c>
      <c r="F2326" s="2">
        <f>IFERROR(__xludf.DUMMYFUNCTION("""COMPUTED_VALUE"""),13575.0)</f>
        <v>13575</v>
      </c>
    </row>
    <row r="2327">
      <c r="A2327" s="3">
        <f>IFERROR(__xludf.DUMMYFUNCTION("""COMPUTED_VALUE"""),39952.645833333336)</f>
        <v>39952.64583</v>
      </c>
      <c r="B2327" s="2">
        <f>IFERROR(__xludf.DUMMYFUNCTION("""COMPUTED_VALUE"""),139.2)</f>
        <v>139.2</v>
      </c>
      <c r="C2327" s="2">
        <f>IFERROR(__xludf.DUMMYFUNCTION("""COMPUTED_VALUE"""),149.9)</f>
        <v>149.9</v>
      </c>
      <c r="D2327" s="2">
        <f>IFERROR(__xludf.DUMMYFUNCTION("""COMPUTED_VALUE"""),120.63)</f>
        <v>120.63</v>
      </c>
      <c r="E2327" s="2">
        <f>IFERROR(__xludf.DUMMYFUNCTION("""COMPUTED_VALUE"""),141.18)</f>
        <v>141.18</v>
      </c>
      <c r="F2327" s="2">
        <f>IFERROR(__xludf.DUMMYFUNCTION("""COMPUTED_VALUE"""),4965348.0)</f>
        <v>4965348</v>
      </c>
    </row>
    <row r="2328">
      <c r="A2328" s="3">
        <f>IFERROR(__xludf.DUMMYFUNCTION("""COMPUTED_VALUE"""),39953.645833333336)</f>
        <v>39953.64583</v>
      </c>
      <c r="B2328" s="2">
        <f>IFERROR(__xludf.DUMMYFUNCTION("""COMPUTED_VALUE"""),139.7)</f>
        <v>139.7</v>
      </c>
      <c r="C2328" s="2">
        <f>IFERROR(__xludf.DUMMYFUNCTION("""COMPUTED_VALUE"""),141.1)</f>
        <v>141.1</v>
      </c>
      <c r="D2328" s="2">
        <f>IFERROR(__xludf.DUMMYFUNCTION("""COMPUTED_VALUE"""),135.1)</f>
        <v>135.1</v>
      </c>
      <c r="E2328" s="2">
        <f>IFERROR(__xludf.DUMMYFUNCTION("""COMPUTED_VALUE"""),138.06)</f>
        <v>138.06</v>
      </c>
      <c r="F2328" s="2">
        <f>IFERROR(__xludf.DUMMYFUNCTION("""COMPUTED_VALUE"""),1451899.0)</f>
        <v>1451899</v>
      </c>
    </row>
    <row r="2329">
      <c r="A2329" s="3">
        <f>IFERROR(__xludf.DUMMYFUNCTION("""COMPUTED_VALUE"""),39954.645833333336)</f>
        <v>39954.64583</v>
      </c>
      <c r="B2329" s="2">
        <f>IFERROR(__xludf.DUMMYFUNCTION("""COMPUTED_VALUE"""),137.44)</f>
        <v>137.44</v>
      </c>
      <c r="C2329" s="2">
        <f>IFERROR(__xludf.DUMMYFUNCTION("""COMPUTED_VALUE"""),140.5)</f>
        <v>140.5</v>
      </c>
      <c r="D2329" s="2">
        <f>IFERROR(__xludf.DUMMYFUNCTION("""COMPUTED_VALUE"""),133.42)</f>
        <v>133.42</v>
      </c>
      <c r="E2329" s="2">
        <f>IFERROR(__xludf.DUMMYFUNCTION("""COMPUTED_VALUE"""),137.1)</f>
        <v>137.1</v>
      </c>
      <c r="F2329" s="2">
        <f>IFERROR(__xludf.DUMMYFUNCTION("""COMPUTED_VALUE"""),1908835.0)</f>
        <v>1908835</v>
      </c>
    </row>
    <row r="2330">
      <c r="A2330" s="3">
        <f>IFERROR(__xludf.DUMMYFUNCTION("""COMPUTED_VALUE"""),39955.645833333336)</f>
        <v>39955.64583</v>
      </c>
      <c r="B2330" s="2">
        <f>IFERROR(__xludf.DUMMYFUNCTION("""COMPUTED_VALUE"""),135.9)</f>
        <v>135.9</v>
      </c>
      <c r="C2330" s="2">
        <f>IFERROR(__xludf.DUMMYFUNCTION("""COMPUTED_VALUE"""),139.39)</f>
        <v>139.39</v>
      </c>
      <c r="D2330" s="2">
        <f>IFERROR(__xludf.DUMMYFUNCTION("""COMPUTED_VALUE"""),134.12)</f>
        <v>134.12</v>
      </c>
      <c r="E2330" s="2">
        <f>IFERROR(__xludf.DUMMYFUNCTION("""COMPUTED_VALUE"""),136.99)</f>
        <v>136.99</v>
      </c>
      <c r="F2330" s="2">
        <f>IFERROR(__xludf.DUMMYFUNCTION("""COMPUTED_VALUE"""),913804.0)</f>
        <v>913804</v>
      </c>
    </row>
    <row r="2331">
      <c r="A2331" s="3">
        <f>IFERROR(__xludf.DUMMYFUNCTION("""COMPUTED_VALUE"""),39958.645833333336)</f>
        <v>39958.64583</v>
      </c>
      <c r="B2331" s="2">
        <f>IFERROR(__xludf.DUMMYFUNCTION("""COMPUTED_VALUE"""),137.5)</f>
        <v>137.5</v>
      </c>
      <c r="C2331" s="2">
        <f>IFERROR(__xludf.DUMMYFUNCTION("""COMPUTED_VALUE"""),138.99)</f>
        <v>138.99</v>
      </c>
      <c r="D2331" s="2">
        <f>IFERROR(__xludf.DUMMYFUNCTION("""COMPUTED_VALUE"""),134.64)</f>
        <v>134.64</v>
      </c>
      <c r="E2331" s="2">
        <f>IFERROR(__xludf.DUMMYFUNCTION("""COMPUTED_VALUE"""),136.36)</f>
        <v>136.36</v>
      </c>
      <c r="F2331" s="2">
        <f>IFERROR(__xludf.DUMMYFUNCTION("""COMPUTED_VALUE"""),838067.0)</f>
        <v>838067</v>
      </c>
    </row>
    <row r="2332">
      <c r="A2332" s="3">
        <f>IFERROR(__xludf.DUMMYFUNCTION("""COMPUTED_VALUE"""),39959.645833333336)</f>
        <v>39959.64583</v>
      </c>
      <c r="B2332" s="2">
        <f>IFERROR(__xludf.DUMMYFUNCTION("""COMPUTED_VALUE"""),136.85)</f>
        <v>136.85</v>
      </c>
      <c r="C2332" s="2">
        <f>IFERROR(__xludf.DUMMYFUNCTION("""COMPUTED_VALUE"""),139.2)</f>
        <v>139.2</v>
      </c>
      <c r="D2332" s="2">
        <f>IFERROR(__xludf.DUMMYFUNCTION("""COMPUTED_VALUE"""),132.5)</f>
        <v>132.5</v>
      </c>
      <c r="E2332" s="2">
        <f>IFERROR(__xludf.DUMMYFUNCTION("""COMPUTED_VALUE"""),133.6)</f>
        <v>133.6</v>
      </c>
      <c r="F2332" s="2">
        <f>IFERROR(__xludf.DUMMYFUNCTION("""COMPUTED_VALUE"""),1247581.0)</f>
        <v>1247581</v>
      </c>
    </row>
    <row r="2333">
      <c r="A2333" s="3">
        <f>IFERROR(__xludf.DUMMYFUNCTION("""COMPUTED_VALUE"""),39960.645833333336)</f>
        <v>39960.64583</v>
      </c>
      <c r="B2333" s="2">
        <f>IFERROR(__xludf.DUMMYFUNCTION("""COMPUTED_VALUE"""),137.01)</f>
        <v>137.01</v>
      </c>
      <c r="C2333" s="2">
        <f>IFERROR(__xludf.DUMMYFUNCTION("""COMPUTED_VALUE"""),141.9)</f>
        <v>141.9</v>
      </c>
      <c r="D2333" s="2">
        <f>IFERROR(__xludf.DUMMYFUNCTION("""COMPUTED_VALUE"""),136.73)</f>
        <v>136.73</v>
      </c>
      <c r="E2333" s="2">
        <f>IFERROR(__xludf.DUMMYFUNCTION("""COMPUTED_VALUE"""),140.91)</f>
        <v>140.91</v>
      </c>
      <c r="F2333" s="2">
        <f>IFERROR(__xludf.DUMMYFUNCTION("""COMPUTED_VALUE"""),2697054.0)</f>
        <v>2697054</v>
      </c>
    </row>
    <row r="2334">
      <c r="A2334" s="3">
        <f>IFERROR(__xludf.DUMMYFUNCTION("""COMPUTED_VALUE"""),39961.645833333336)</f>
        <v>39961.64583</v>
      </c>
      <c r="B2334" s="2">
        <f>IFERROR(__xludf.DUMMYFUNCTION("""COMPUTED_VALUE"""),140.1)</f>
        <v>140.1</v>
      </c>
      <c r="C2334" s="2">
        <f>IFERROR(__xludf.DUMMYFUNCTION("""COMPUTED_VALUE"""),145.37)</f>
        <v>145.37</v>
      </c>
      <c r="D2334" s="2">
        <f>IFERROR(__xludf.DUMMYFUNCTION("""COMPUTED_VALUE"""),138.4)</f>
        <v>138.4</v>
      </c>
      <c r="E2334" s="2">
        <f>IFERROR(__xludf.DUMMYFUNCTION("""COMPUTED_VALUE"""),144.0)</f>
        <v>144</v>
      </c>
      <c r="F2334" s="2">
        <f>IFERROR(__xludf.DUMMYFUNCTION("""COMPUTED_VALUE"""),3515443.0)</f>
        <v>3515443</v>
      </c>
    </row>
    <row r="2335">
      <c r="A2335" s="3">
        <f>IFERROR(__xludf.DUMMYFUNCTION("""COMPUTED_VALUE"""),39962.645833333336)</f>
        <v>39962.64583</v>
      </c>
      <c r="B2335" s="2">
        <f>IFERROR(__xludf.DUMMYFUNCTION("""COMPUTED_VALUE"""),144.46)</f>
        <v>144.46</v>
      </c>
      <c r="C2335" s="2">
        <f>IFERROR(__xludf.DUMMYFUNCTION("""COMPUTED_VALUE"""),145.99)</f>
        <v>145.99</v>
      </c>
      <c r="D2335" s="2">
        <f>IFERROR(__xludf.DUMMYFUNCTION("""COMPUTED_VALUE"""),142.1)</f>
        <v>142.1</v>
      </c>
      <c r="E2335" s="2">
        <f>IFERROR(__xludf.DUMMYFUNCTION("""COMPUTED_VALUE"""),144.45)</f>
        <v>144.45</v>
      </c>
      <c r="F2335" s="2">
        <f>IFERROR(__xludf.DUMMYFUNCTION("""COMPUTED_VALUE"""),1536070.0)</f>
        <v>1536070</v>
      </c>
    </row>
    <row r="2336">
      <c r="A2336" s="3">
        <f>IFERROR(__xludf.DUMMYFUNCTION("""COMPUTED_VALUE"""),39965.645833333336)</f>
        <v>39965.64583</v>
      </c>
      <c r="B2336" s="2">
        <f>IFERROR(__xludf.DUMMYFUNCTION("""COMPUTED_VALUE"""),145.4)</f>
        <v>145.4</v>
      </c>
      <c r="C2336" s="2">
        <f>IFERROR(__xludf.DUMMYFUNCTION("""COMPUTED_VALUE"""),148.4)</f>
        <v>148.4</v>
      </c>
      <c r="D2336" s="2">
        <f>IFERROR(__xludf.DUMMYFUNCTION("""COMPUTED_VALUE"""),141.68)</f>
        <v>141.68</v>
      </c>
      <c r="E2336" s="2">
        <f>IFERROR(__xludf.DUMMYFUNCTION("""COMPUTED_VALUE"""),143.37)</f>
        <v>143.37</v>
      </c>
      <c r="F2336" s="2">
        <f>IFERROR(__xludf.DUMMYFUNCTION("""COMPUTED_VALUE"""),1111118.0)</f>
        <v>1111118</v>
      </c>
    </row>
    <row r="2337">
      <c r="A2337" s="3">
        <f>IFERROR(__xludf.DUMMYFUNCTION("""COMPUTED_VALUE"""),39966.645833333336)</f>
        <v>39966.64583</v>
      </c>
      <c r="B2337" s="2">
        <f>IFERROR(__xludf.DUMMYFUNCTION("""COMPUTED_VALUE"""),143.45)</f>
        <v>143.45</v>
      </c>
      <c r="C2337" s="2">
        <f>IFERROR(__xludf.DUMMYFUNCTION("""COMPUTED_VALUE"""),145.0)</f>
        <v>145</v>
      </c>
      <c r="D2337" s="2">
        <f>IFERROR(__xludf.DUMMYFUNCTION("""COMPUTED_VALUE"""),137.9)</f>
        <v>137.9</v>
      </c>
      <c r="E2337" s="2">
        <f>IFERROR(__xludf.DUMMYFUNCTION("""COMPUTED_VALUE"""),139.78)</f>
        <v>139.78</v>
      </c>
      <c r="F2337" s="2">
        <f>IFERROR(__xludf.DUMMYFUNCTION("""COMPUTED_VALUE"""),978862.0)</f>
        <v>978862</v>
      </c>
    </row>
    <row r="2338">
      <c r="A2338" s="3">
        <f>IFERROR(__xludf.DUMMYFUNCTION("""COMPUTED_VALUE"""),39967.645833333336)</f>
        <v>39967.64583</v>
      </c>
      <c r="B2338" s="2">
        <f>IFERROR(__xludf.DUMMYFUNCTION("""COMPUTED_VALUE"""),142.0)</f>
        <v>142</v>
      </c>
      <c r="C2338" s="2">
        <f>IFERROR(__xludf.DUMMYFUNCTION("""COMPUTED_VALUE"""),142.8)</f>
        <v>142.8</v>
      </c>
      <c r="D2338" s="2">
        <f>IFERROR(__xludf.DUMMYFUNCTION("""COMPUTED_VALUE"""),134.79)</f>
        <v>134.79</v>
      </c>
      <c r="E2338" s="2">
        <f>IFERROR(__xludf.DUMMYFUNCTION("""COMPUTED_VALUE"""),137.07)</f>
        <v>137.07</v>
      </c>
      <c r="F2338" s="2">
        <f>IFERROR(__xludf.DUMMYFUNCTION("""COMPUTED_VALUE"""),1432976.0)</f>
        <v>1432976</v>
      </c>
    </row>
    <row r="2339">
      <c r="A2339" s="3">
        <f>IFERROR(__xludf.DUMMYFUNCTION("""COMPUTED_VALUE"""),39968.645833333336)</f>
        <v>39968.64583</v>
      </c>
      <c r="B2339" s="2">
        <f>IFERROR(__xludf.DUMMYFUNCTION("""COMPUTED_VALUE"""),136.1)</f>
        <v>136.1</v>
      </c>
      <c r="C2339" s="2">
        <f>IFERROR(__xludf.DUMMYFUNCTION("""COMPUTED_VALUE"""),139.97)</f>
        <v>139.97</v>
      </c>
      <c r="D2339" s="2">
        <f>IFERROR(__xludf.DUMMYFUNCTION("""COMPUTED_VALUE"""),135.2)</f>
        <v>135.2</v>
      </c>
      <c r="E2339" s="2">
        <f>IFERROR(__xludf.DUMMYFUNCTION("""COMPUTED_VALUE"""),138.88)</f>
        <v>138.88</v>
      </c>
      <c r="F2339" s="2">
        <f>IFERROR(__xludf.DUMMYFUNCTION("""COMPUTED_VALUE"""),1213148.0)</f>
        <v>1213148</v>
      </c>
    </row>
    <row r="2340">
      <c r="A2340" s="3">
        <f>IFERROR(__xludf.DUMMYFUNCTION("""COMPUTED_VALUE"""),39969.645833333336)</f>
        <v>39969.64583</v>
      </c>
      <c r="B2340" s="2">
        <f>IFERROR(__xludf.DUMMYFUNCTION("""COMPUTED_VALUE"""),139.89)</f>
        <v>139.89</v>
      </c>
      <c r="C2340" s="2">
        <f>IFERROR(__xludf.DUMMYFUNCTION("""COMPUTED_VALUE"""),143.1)</f>
        <v>143.1</v>
      </c>
      <c r="D2340" s="2">
        <f>IFERROR(__xludf.DUMMYFUNCTION("""COMPUTED_VALUE"""),138.51)</f>
        <v>138.51</v>
      </c>
      <c r="E2340" s="2">
        <f>IFERROR(__xludf.DUMMYFUNCTION("""COMPUTED_VALUE"""),141.86)</f>
        <v>141.86</v>
      </c>
      <c r="F2340" s="2">
        <f>IFERROR(__xludf.DUMMYFUNCTION("""COMPUTED_VALUE"""),1010742.0)</f>
        <v>1010742</v>
      </c>
    </row>
    <row r="2341">
      <c r="A2341" s="3">
        <f>IFERROR(__xludf.DUMMYFUNCTION("""COMPUTED_VALUE"""),39972.645833333336)</f>
        <v>39972.64583</v>
      </c>
      <c r="B2341" s="2">
        <f>IFERROR(__xludf.DUMMYFUNCTION("""COMPUTED_VALUE"""),142.0)</f>
        <v>142</v>
      </c>
      <c r="C2341" s="2">
        <f>IFERROR(__xludf.DUMMYFUNCTION("""COMPUTED_VALUE"""),142.5)</f>
        <v>142.5</v>
      </c>
      <c r="D2341" s="2">
        <f>IFERROR(__xludf.DUMMYFUNCTION("""COMPUTED_VALUE"""),138.5)</f>
        <v>138.5</v>
      </c>
      <c r="E2341" s="2">
        <f>IFERROR(__xludf.DUMMYFUNCTION("""COMPUTED_VALUE"""),140.01)</f>
        <v>140.01</v>
      </c>
      <c r="F2341" s="2">
        <f>IFERROR(__xludf.DUMMYFUNCTION("""COMPUTED_VALUE"""),785474.0)</f>
        <v>785474</v>
      </c>
    </row>
    <row r="2342">
      <c r="A2342" s="3">
        <f>IFERROR(__xludf.DUMMYFUNCTION("""COMPUTED_VALUE"""),39973.645833333336)</f>
        <v>39973.64583</v>
      </c>
      <c r="B2342" s="2">
        <f>IFERROR(__xludf.DUMMYFUNCTION("""COMPUTED_VALUE"""),138.99)</f>
        <v>138.99</v>
      </c>
      <c r="C2342" s="2">
        <f>IFERROR(__xludf.DUMMYFUNCTION("""COMPUTED_VALUE"""),143.0)</f>
        <v>143</v>
      </c>
      <c r="D2342" s="2">
        <f>IFERROR(__xludf.DUMMYFUNCTION("""COMPUTED_VALUE"""),137.82)</f>
        <v>137.82</v>
      </c>
      <c r="E2342" s="2">
        <f>IFERROR(__xludf.DUMMYFUNCTION("""COMPUTED_VALUE"""),142.03)</f>
        <v>142.03</v>
      </c>
      <c r="F2342" s="2">
        <f>IFERROR(__xludf.DUMMYFUNCTION("""COMPUTED_VALUE"""),644665.0)</f>
        <v>644665</v>
      </c>
    </row>
    <row r="2343">
      <c r="A2343" s="3">
        <f>IFERROR(__xludf.DUMMYFUNCTION("""COMPUTED_VALUE"""),39974.645833333336)</f>
        <v>39974.64583</v>
      </c>
      <c r="B2343" s="2">
        <f>IFERROR(__xludf.DUMMYFUNCTION("""COMPUTED_VALUE"""),144.03)</f>
        <v>144.03</v>
      </c>
      <c r="C2343" s="2">
        <f>IFERROR(__xludf.DUMMYFUNCTION("""COMPUTED_VALUE"""),154.9)</f>
        <v>154.9</v>
      </c>
      <c r="D2343" s="2">
        <f>IFERROR(__xludf.DUMMYFUNCTION("""COMPUTED_VALUE"""),143.5)</f>
        <v>143.5</v>
      </c>
      <c r="E2343" s="2">
        <f>IFERROR(__xludf.DUMMYFUNCTION("""COMPUTED_VALUE"""),150.13)</f>
        <v>150.13</v>
      </c>
      <c r="F2343" s="2">
        <f>IFERROR(__xludf.DUMMYFUNCTION("""COMPUTED_VALUE"""),1623823.0)</f>
        <v>1623823</v>
      </c>
    </row>
    <row r="2344">
      <c r="A2344" s="3">
        <f>IFERROR(__xludf.DUMMYFUNCTION("""COMPUTED_VALUE"""),39975.645833333336)</f>
        <v>39975.64583</v>
      </c>
      <c r="B2344" s="2">
        <f>IFERROR(__xludf.DUMMYFUNCTION("""COMPUTED_VALUE"""),152.5)</f>
        <v>152.5</v>
      </c>
      <c r="C2344" s="2">
        <f>IFERROR(__xludf.DUMMYFUNCTION("""COMPUTED_VALUE"""),157.0)</f>
        <v>157</v>
      </c>
      <c r="D2344" s="2">
        <f>IFERROR(__xludf.DUMMYFUNCTION("""COMPUTED_VALUE"""),150.13)</f>
        <v>150.13</v>
      </c>
      <c r="E2344" s="2">
        <f>IFERROR(__xludf.DUMMYFUNCTION("""COMPUTED_VALUE"""),155.65)</f>
        <v>155.65</v>
      </c>
      <c r="F2344" s="2">
        <f>IFERROR(__xludf.DUMMYFUNCTION("""COMPUTED_VALUE"""),1813649.0)</f>
        <v>1813649</v>
      </c>
    </row>
    <row r="2345">
      <c r="A2345" s="3">
        <f>IFERROR(__xludf.DUMMYFUNCTION("""COMPUTED_VALUE"""),39976.645833333336)</f>
        <v>39976.64583</v>
      </c>
      <c r="B2345" s="2">
        <f>IFERROR(__xludf.DUMMYFUNCTION("""COMPUTED_VALUE"""),156.65)</f>
        <v>156.65</v>
      </c>
      <c r="C2345" s="2">
        <f>IFERROR(__xludf.DUMMYFUNCTION("""COMPUTED_VALUE"""),157.9)</f>
        <v>157.9</v>
      </c>
      <c r="D2345" s="2">
        <f>IFERROR(__xludf.DUMMYFUNCTION("""COMPUTED_VALUE"""),151.6)</f>
        <v>151.6</v>
      </c>
      <c r="E2345" s="2">
        <f>IFERROR(__xludf.DUMMYFUNCTION("""COMPUTED_VALUE"""),152.82)</f>
        <v>152.82</v>
      </c>
      <c r="F2345" s="2">
        <f>IFERROR(__xludf.DUMMYFUNCTION("""COMPUTED_VALUE"""),1174378.0)</f>
        <v>1174378</v>
      </c>
    </row>
    <row r="2346">
      <c r="A2346" s="3">
        <f>IFERROR(__xludf.DUMMYFUNCTION("""COMPUTED_VALUE"""),39979.645833333336)</f>
        <v>39979.64583</v>
      </c>
      <c r="B2346" s="2">
        <f>IFERROR(__xludf.DUMMYFUNCTION("""COMPUTED_VALUE"""),152.37)</f>
        <v>152.37</v>
      </c>
      <c r="C2346" s="2">
        <f>IFERROR(__xludf.DUMMYFUNCTION("""COMPUTED_VALUE"""),156.05)</f>
        <v>156.05</v>
      </c>
      <c r="D2346" s="2">
        <f>IFERROR(__xludf.DUMMYFUNCTION("""COMPUTED_VALUE"""),150.2)</f>
        <v>150.2</v>
      </c>
      <c r="E2346" s="2">
        <f>IFERROR(__xludf.DUMMYFUNCTION("""COMPUTED_VALUE"""),153.31)</f>
        <v>153.31</v>
      </c>
      <c r="F2346" s="2">
        <f>IFERROR(__xludf.DUMMYFUNCTION("""COMPUTED_VALUE"""),920967.0)</f>
        <v>920967</v>
      </c>
    </row>
    <row r="2347">
      <c r="A2347" s="3">
        <f>IFERROR(__xludf.DUMMYFUNCTION("""COMPUTED_VALUE"""),39980.645833333336)</f>
        <v>39980.64583</v>
      </c>
      <c r="B2347" s="2">
        <f>IFERROR(__xludf.DUMMYFUNCTION("""COMPUTED_VALUE"""),150.8)</f>
        <v>150.8</v>
      </c>
      <c r="C2347" s="2">
        <f>IFERROR(__xludf.DUMMYFUNCTION("""COMPUTED_VALUE"""),155.0)</f>
        <v>155</v>
      </c>
      <c r="D2347" s="2">
        <f>IFERROR(__xludf.DUMMYFUNCTION("""COMPUTED_VALUE"""),148.65)</f>
        <v>148.65</v>
      </c>
      <c r="E2347" s="2">
        <f>IFERROR(__xludf.DUMMYFUNCTION("""COMPUTED_VALUE"""),154.62)</f>
        <v>154.62</v>
      </c>
      <c r="F2347" s="2">
        <f>IFERROR(__xludf.DUMMYFUNCTION("""COMPUTED_VALUE"""),1372904.0)</f>
        <v>1372904</v>
      </c>
    </row>
    <row r="2348">
      <c r="A2348" s="3">
        <f>IFERROR(__xludf.DUMMYFUNCTION("""COMPUTED_VALUE"""),39981.645833333336)</f>
        <v>39981.64583</v>
      </c>
      <c r="B2348" s="2">
        <f>IFERROR(__xludf.DUMMYFUNCTION("""COMPUTED_VALUE"""),154.0)</f>
        <v>154</v>
      </c>
      <c r="C2348" s="2">
        <f>IFERROR(__xludf.DUMMYFUNCTION("""COMPUTED_VALUE"""),158.4)</f>
        <v>158.4</v>
      </c>
      <c r="D2348" s="2">
        <f>IFERROR(__xludf.DUMMYFUNCTION("""COMPUTED_VALUE"""),152.0)</f>
        <v>152</v>
      </c>
      <c r="E2348" s="2">
        <f>IFERROR(__xludf.DUMMYFUNCTION("""COMPUTED_VALUE"""),154.48)</f>
        <v>154.48</v>
      </c>
      <c r="F2348" s="2">
        <f>IFERROR(__xludf.DUMMYFUNCTION("""COMPUTED_VALUE"""),1785571.0)</f>
        <v>1785571</v>
      </c>
    </row>
    <row r="2349">
      <c r="A2349" s="3">
        <f>IFERROR(__xludf.DUMMYFUNCTION("""COMPUTED_VALUE"""),39982.645833333336)</f>
        <v>39982.64583</v>
      </c>
      <c r="B2349" s="2">
        <f>IFERROR(__xludf.DUMMYFUNCTION("""COMPUTED_VALUE"""),153.0)</f>
        <v>153</v>
      </c>
      <c r="C2349" s="2">
        <f>IFERROR(__xludf.DUMMYFUNCTION("""COMPUTED_VALUE"""),156.47)</f>
        <v>156.47</v>
      </c>
      <c r="D2349" s="2">
        <f>IFERROR(__xludf.DUMMYFUNCTION("""COMPUTED_VALUE"""),150.68)</f>
        <v>150.68</v>
      </c>
      <c r="E2349" s="2">
        <f>IFERROR(__xludf.DUMMYFUNCTION("""COMPUTED_VALUE"""),152.49)</f>
        <v>152.49</v>
      </c>
      <c r="F2349" s="2">
        <f>IFERROR(__xludf.DUMMYFUNCTION("""COMPUTED_VALUE"""),1566776.0)</f>
        <v>1566776</v>
      </c>
    </row>
    <row r="2350">
      <c r="A2350" s="3">
        <f>IFERROR(__xludf.DUMMYFUNCTION("""COMPUTED_VALUE"""),39983.645833333336)</f>
        <v>39983.64583</v>
      </c>
      <c r="B2350" s="2">
        <f>IFERROR(__xludf.DUMMYFUNCTION("""COMPUTED_VALUE"""),153.51)</f>
        <v>153.51</v>
      </c>
      <c r="C2350" s="2">
        <f>IFERROR(__xludf.DUMMYFUNCTION("""COMPUTED_VALUE"""),156.89)</f>
        <v>156.89</v>
      </c>
      <c r="D2350" s="2">
        <f>IFERROR(__xludf.DUMMYFUNCTION("""COMPUTED_VALUE"""),152.5)</f>
        <v>152.5</v>
      </c>
      <c r="E2350" s="2">
        <f>IFERROR(__xludf.DUMMYFUNCTION("""COMPUTED_VALUE"""),155.89)</f>
        <v>155.89</v>
      </c>
      <c r="F2350" s="2">
        <f>IFERROR(__xludf.DUMMYFUNCTION("""COMPUTED_VALUE"""),891522.0)</f>
        <v>891522</v>
      </c>
    </row>
    <row r="2351">
      <c r="A2351" s="3">
        <f>IFERROR(__xludf.DUMMYFUNCTION("""COMPUTED_VALUE"""),39986.645833333336)</f>
        <v>39986.64583</v>
      </c>
      <c r="B2351" s="2">
        <f>IFERROR(__xludf.DUMMYFUNCTION("""COMPUTED_VALUE"""),157.87)</f>
        <v>157.87</v>
      </c>
      <c r="C2351" s="2">
        <f>IFERROR(__xludf.DUMMYFUNCTION("""COMPUTED_VALUE"""),157.87)</f>
        <v>157.87</v>
      </c>
      <c r="D2351" s="2">
        <f>IFERROR(__xludf.DUMMYFUNCTION("""COMPUTED_VALUE"""),152.42)</f>
        <v>152.42</v>
      </c>
      <c r="E2351" s="2">
        <f>IFERROR(__xludf.DUMMYFUNCTION("""COMPUTED_VALUE"""),154.31)</f>
        <v>154.31</v>
      </c>
      <c r="F2351" s="2">
        <f>IFERROR(__xludf.DUMMYFUNCTION("""COMPUTED_VALUE"""),1021653.0)</f>
        <v>1021653</v>
      </c>
    </row>
    <row r="2352">
      <c r="A2352" s="3">
        <f>IFERROR(__xludf.DUMMYFUNCTION("""COMPUTED_VALUE"""),39987.645833333336)</f>
        <v>39987.64583</v>
      </c>
      <c r="B2352" s="2">
        <f>IFERROR(__xludf.DUMMYFUNCTION("""COMPUTED_VALUE"""),151.47)</f>
        <v>151.47</v>
      </c>
      <c r="C2352" s="2">
        <f>IFERROR(__xludf.DUMMYFUNCTION("""COMPUTED_VALUE"""),151.47)</f>
        <v>151.47</v>
      </c>
      <c r="D2352" s="2">
        <f>IFERROR(__xludf.DUMMYFUNCTION("""COMPUTED_VALUE"""),145.64)</f>
        <v>145.64</v>
      </c>
      <c r="E2352" s="2">
        <f>IFERROR(__xludf.DUMMYFUNCTION("""COMPUTED_VALUE"""),148.54)</f>
        <v>148.54</v>
      </c>
      <c r="F2352" s="2">
        <f>IFERROR(__xludf.DUMMYFUNCTION("""COMPUTED_VALUE"""),1470650.0)</f>
        <v>1470650</v>
      </c>
    </row>
    <row r="2353">
      <c r="A2353" s="3">
        <f>IFERROR(__xludf.DUMMYFUNCTION("""COMPUTED_VALUE"""),39988.645833333336)</f>
        <v>39988.64583</v>
      </c>
      <c r="B2353" s="2">
        <f>IFERROR(__xludf.DUMMYFUNCTION("""COMPUTED_VALUE"""),153.66)</f>
        <v>153.66</v>
      </c>
      <c r="C2353" s="2">
        <f>IFERROR(__xludf.DUMMYFUNCTION("""COMPUTED_VALUE"""),153.66)</f>
        <v>153.66</v>
      </c>
      <c r="D2353" s="2">
        <f>IFERROR(__xludf.DUMMYFUNCTION("""COMPUTED_VALUE"""),145.12)</f>
        <v>145.12</v>
      </c>
      <c r="E2353" s="2">
        <f>IFERROR(__xludf.DUMMYFUNCTION("""COMPUTED_VALUE"""),145.77)</f>
        <v>145.77</v>
      </c>
      <c r="F2353" s="2">
        <f>IFERROR(__xludf.DUMMYFUNCTION("""COMPUTED_VALUE"""),1189181.0)</f>
        <v>1189181</v>
      </c>
    </row>
    <row r="2354">
      <c r="A2354" s="3">
        <f>IFERROR(__xludf.DUMMYFUNCTION("""COMPUTED_VALUE"""),39989.645833333336)</f>
        <v>39989.64583</v>
      </c>
      <c r="B2354" s="2">
        <f>IFERROR(__xludf.DUMMYFUNCTION("""COMPUTED_VALUE"""),149.97)</f>
        <v>149.97</v>
      </c>
      <c r="C2354" s="2">
        <f>IFERROR(__xludf.DUMMYFUNCTION("""COMPUTED_VALUE"""),149.97)</f>
        <v>149.97</v>
      </c>
      <c r="D2354" s="2">
        <f>IFERROR(__xludf.DUMMYFUNCTION("""COMPUTED_VALUE"""),145.6)</f>
        <v>145.6</v>
      </c>
      <c r="E2354" s="2">
        <f>IFERROR(__xludf.DUMMYFUNCTION("""COMPUTED_VALUE"""),146.45)</f>
        <v>146.45</v>
      </c>
      <c r="F2354" s="2">
        <f>IFERROR(__xludf.DUMMYFUNCTION("""COMPUTED_VALUE"""),1989117.0)</f>
        <v>1989117</v>
      </c>
    </row>
    <row r="2355">
      <c r="A2355" s="3">
        <f>IFERROR(__xludf.DUMMYFUNCTION("""COMPUTED_VALUE"""),39990.645833333336)</f>
        <v>39990.64583</v>
      </c>
      <c r="B2355" s="2">
        <f>IFERROR(__xludf.DUMMYFUNCTION("""COMPUTED_VALUE"""),148.0)</f>
        <v>148</v>
      </c>
      <c r="C2355" s="2">
        <f>IFERROR(__xludf.DUMMYFUNCTION("""COMPUTED_VALUE"""),150.12)</f>
        <v>150.12</v>
      </c>
      <c r="D2355" s="2">
        <f>IFERROR(__xludf.DUMMYFUNCTION("""COMPUTED_VALUE"""),147.1)</f>
        <v>147.1</v>
      </c>
      <c r="E2355" s="2">
        <f>IFERROR(__xludf.DUMMYFUNCTION("""COMPUTED_VALUE"""),149.83)</f>
        <v>149.83</v>
      </c>
      <c r="F2355" s="2">
        <f>IFERROR(__xludf.DUMMYFUNCTION("""COMPUTED_VALUE"""),1838766.0)</f>
        <v>1838766</v>
      </c>
    </row>
    <row r="2356">
      <c r="A2356" s="3">
        <f>IFERROR(__xludf.DUMMYFUNCTION("""COMPUTED_VALUE"""),39993.645833333336)</f>
        <v>39993.64583</v>
      </c>
      <c r="B2356" s="2">
        <f>IFERROR(__xludf.DUMMYFUNCTION("""COMPUTED_VALUE"""),150.5)</f>
        <v>150.5</v>
      </c>
      <c r="C2356" s="2">
        <f>IFERROR(__xludf.DUMMYFUNCTION("""COMPUTED_VALUE"""),153.29)</f>
        <v>153.29</v>
      </c>
      <c r="D2356" s="2">
        <f>IFERROR(__xludf.DUMMYFUNCTION("""COMPUTED_VALUE"""),149.2)</f>
        <v>149.2</v>
      </c>
      <c r="E2356" s="2">
        <f>IFERROR(__xludf.DUMMYFUNCTION("""COMPUTED_VALUE"""),150.78)</f>
        <v>150.78</v>
      </c>
      <c r="F2356" s="2">
        <f>IFERROR(__xludf.DUMMYFUNCTION("""COMPUTED_VALUE"""),1810024.0)</f>
        <v>1810024</v>
      </c>
    </row>
    <row r="2357">
      <c r="A2357" s="3">
        <f>IFERROR(__xludf.DUMMYFUNCTION("""COMPUTED_VALUE"""),39994.645833333336)</f>
        <v>39994.64583</v>
      </c>
      <c r="B2357" s="2">
        <f>IFERROR(__xludf.DUMMYFUNCTION("""COMPUTED_VALUE"""),152.4)</f>
        <v>152.4</v>
      </c>
      <c r="C2357" s="2">
        <f>IFERROR(__xludf.DUMMYFUNCTION("""COMPUTED_VALUE"""),152.5)</f>
        <v>152.5</v>
      </c>
      <c r="D2357" s="2">
        <f>IFERROR(__xludf.DUMMYFUNCTION("""COMPUTED_VALUE"""),147.93)</f>
        <v>147.93</v>
      </c>
      <c r="E2357" s="2">
        <f>IFERROR(__xludf.DUMMYFUNCTION("""COMPUTED_VALUE"""),149.32)</f>
        <v>149.32</v>
      </c>
      <c r="F2357" s="2">
        <f>IFERROR(__xludf.DUMMYFUNCTION("""COMPUTED_VALUE"""),1029242.0)</f>
        <v>1029242</v>
      </c>
    </row>
    <row r="2358">
      <c r="A2358" s="3">
        <f>IFERROR(__xludf.DUMMYFUNCTION("""COMPUTED_VALUE"""),39995.645833333336)</f>
        <v>39995.64583</v>
      </c>
      <c r="B2358" s="2">
        <f>IFERROR(__xludf.DUMMYFUNCTION("""COMPUTED_VALUE"""),149.8)</f>
        <v>149.8</v>
      </c>
      <c r="C2358" s="2">
        <f>IFERROR(__xludf.DUMMYFUNCTION("""COMPUTED_VALUE"""),151.8)</f>
        <v>151.8</v>
      </c>
      <c r="D2358" s="2">
        <f>IFERROR(__xludf.DUMMYFUNCTION("""COMPUTED_VALUE"""),148.32)</f>
        <v>148.32</v>
      </c>
      <c r="E2358" s="2">
        <f>IFERROR(__xludf.DUMMYFUNCTION("""COMPUTED_VALUE"""),150.25)</f>
        <v>150.25</v>
      </c>
      <c r="F2358" s="2">
        <f>IFERROR(__xludf.DUMMYFUNCTION("""COMPUTED_VALUE"""),592728.0)</f>
        <v>592728</v>
      </c>
    </row>
    <row r="2359">
      <c r="A2359" s="3">
        <f>IFERROR(__xludf.DUMMYFUNCTION("""COMPUTED_VALUE"""),39996.645833333336)</f>
        <v>39996.64583</v>
      </c>
      <c r="B2359" s="2">
        <f>IFERROR(__xludf.DUMMYFUNCTION("""COMPUTED_VALUE"""),150.9)</f>
        <v>150.9</v>
      </c>
      <c r="C2359" s="2">
        <f>IFERROR(__xludf.DUMMYFUNCTION("""COMPUTED_VALUE"""),150.9)</f>
        <v>150.9</v>
      </c>
      <c r="D2359" s="2">
        <f>IFERROR(__xludf.DUMMYFUNCTION("""COMPUTED_VALUE"""),146.53)</f>
        <v>146.53</v>
      </c>
      <c r="E2359" s="2">
        <f>IFERROR(__xludf.DUMMYFUNCTION("""COMPUTED_VALUE"""),150.05)</f>
        <v>150.05</v>
      </c>
      <c r="F2359" s="2">
        <f>IFERROR(__xludf.DUMMYFUNCTION("""COMPUTED_VALUE"""),679260.0)</f>
        <v>679260</v>
      </c>
    </row>
    <row r="2360">
      <c r="A2360" s="3">
        <f>IFERROR(__xludf.DUMMYFUNCTION("""COMPUTED_VALUE"""),39997.645833333336)</f>
        <v>39997.64583</v>
      </c>
      <c r="B2360" s="2">
        <f>IFERROR(__xludf.DUMMYFUNCTION("""COMPUTED_VALUE"""),148.99)</f>
        <v>148.99</v>
      </c>
      <c r="C2360" s="2">
        <f>IFERROR(__xludf.DUMMYFUNCTION("""COMPUTED_VALUE"""),152.5)</f>
        <v>152.5</v>
      </c>
      <c r="D2360" s="2">
        <f>IFERROR(__xludf.DUMMYFUNCTION("""COMPUTED_VALUE"""),148.3)</f>
        <v>148.3</v>
      </c>
      <c r="E2360" s="2">
        <f>IFERROR(__xludf.DUMMYFUNCTION("""COMPUTED_VALUE"""),151.57)</f>
        <v>151.57</v>
      </c>
      <c r="F2360" s="2">
        <f>IFERROR(__xludf.DUMMYFUNCTION("""COMPUTED_VALUE"""),980527.0)</f>
        <v>980527</v>
      </c>
    </row>
    <row r="2361">
      <c r="A2361" s="3">
        <f>IFERROR(__xludf.DUMMYFUNCTION("""COMPUTED_VALUE"""),40000.645833333336)</f>
        <v>40000.64583</v>
      </c>
      <c r="B2361" s="2">
        <f>IFERROR(__xludf.DUMMYFUNCTION("""COMPUTED_VALUE"""),152.5)</f>
        <v>152.5</v>
      </c>
      <c r="C2361" s="2">
        <f>IFERROR(__xludf.DUMMYFUNCTION("""COMPUTED_VALUE"""),154.8)</f>
        <v>154.8</v>
      </c>
      <c r="D2361" s="2">
        <f>IFERROR(__xludf.DUMMYFUNCTION("""COMPUTED_VALUE"""),140.0)</f>
        <v>140</v>
      </c>
      <c r="E2361" s="2">
        <f>IFERROR(__xludf.DUMMYFUNCTION("""COMPUTED_VALUE"""),142.4)</f>
        <v>142.4</v>
      </c>
      <c r="F2361" s="2">
        <f>IFERROR(__xludf.DUMMYFUNCTION("""COMPUTED_VALUE"""),1525041.0)</f>
        <v>1525041</v>
      </c>
    </row>
    <row r="2362">
      <c r="A2362" s="3">
        <f>IFERROR(__xludf.DUMMYFUNCTION("""COMPUTED_VALUE"""),40001.645833333336)</f>
        <v>40001.64583</v>
      </c>
      <c r="B2362" s="2">
        <f>IFERROR(__xludf.DUMMYFUNCTION("""COMPUTED_VALUE"""),144.0)</f>
        <v>144</v>
      </c>
      <c r="C2362" s="2">
        <f>IFERROR(__xludf.DUMMYFUNCTION("""COMPUTED_VALUE"""),144.97)</f>
        <v>144.97</v>
      </c>
      <c r="D2362" s="2">
        <f>IFERROR(__xludf.DUMMYFUNCTION("""COMPUTED_VALUE"""),140.5)</f>
        <v>140.5</v>
      </c>
      <c r="E2362" s="2">
        <f>IFERROR(__xludf.DUMMYFUNCTION("""COMPUTED_VALUE"""),142.73)</f>
        <v>142.73</v>
      </c>
      <c r="F2362" s="2">
        <f>IFERROR(__xludf.DUMMYFUNCTION("""COMPUTED_VALUE"""),1033987.0)</f>
        <v>1033987</v>
      </c>
    </row>
    <row r="2363">
      <c r="A2363" s="3">
        <f>IFERROR(__xludf.DUMMYFUNCTION("""COMPUTED_VALUE"""),40002.645833333336)</f>
        <v>40002.64583</v>
      </c>
      <c r="B2363" s="2">
        <f>IFERROR(__xludf.DUMMYFUNCTION("""COMPUTED_VALUE"""),141.47)</f>
        <v>141.47</v>
      </c>
      <c r="C2363" s="2">
        <f>IFERROR(__xludf.DUMMYFUNCTION("""COMPUTED_VALUE"""),141.5)</f>
        <v>141.5</v>
      </c>
      <c r="D2363" s="2">
        <f>IFERROR(__xludf.DUMMYFUNCTION("""COMPUTED_VALUE"""),136.03)</f>
        <v>136.03</v>
      </c>
      <c r="E2363" s="2">
        <f>IFERROR(__xludf.DUMMYFUNCTION("""COMPUTED_VALUE"""),137.53)</f>
        <v>137.53</v>
      </c>
      <c r="F2363" s="2">
        <f>IFERROR(__xludf.DUMMYFUNCTION("""COMPUTED_VALUE"""),1080970.0)</f>
        <v>1080970</v>
      </c>
    </row>
    <row r="2364">
      <c r="A2364" s="3">
        <f>IFERROR(__xludf.DUMMYFUNCTION("""COMPUTED_VALUE"""),40003.645833333336)</f>
        <v>40003.64583</v>
      </c>
      <c r="B2364" s="2">
        <f>IFERROR(__xludf.DUMMYFUNCTION("""COMPUTED_VALUE"""),137.6)</f>
        <v>137.6</v>
      </c>
      <c r="C2364" s="2">
        <f>IFERROR(__xludf.DUMMYFUNCTION("""COMPUTED_VALUE"""),140.9)</f>
        <v>140.9</v>
      </c>
      <c r="D2364" s="2">
        <f>IFERROR(__xludf.DUMMYFUNCTION("""COMPUTED_VALUE"""),136.5)</f>
        <v>136.5</v>
      </c>
      <c r="E2364" s="2">
        <f>IFERROR(__xludf.DUMMYFUNCTION("""COMPUTED_VALUE"""),139.99)</f>
        <v>139.99</v>
      </c>
      <c r="F2364" s="2">
        <f>IFERROR(__xludf.DUMMYFUNCTION("""COMPUTED_VALUE"""),584574.0)</f>
        <v>584574</v>
      </c>
    </row>
    <row r="2365">
      <c r="A2365" s="3">
        <f>IFERROR(__xludf.DUMMYFUNCTION("""COMPUTED_VALUE"""),40004.645833333336)</f>
        <v>40004.64583</v>
      </c>
      <c r="B2365" s="2">
        <f>IFERROR(__xludf.DUMMYFUNCTION("""COMPUTED_VALUE"""),140.5)</f>
        <v>140.5</v>
      </c>
      <c r="C2365" s="2">
        <f>IFERROR(__xludf.DUMMYFUNCTION("""COMPUTED_VALUE"""),141.48)</f>
        <v>141.48</v>
      </c>
      <c r="D2365" s="2">
        <f>IFERROR(__xludf.DUMMYFUNCTION("""COMPUTED_VALUE"""),136.03)</f>
        <v>136.03</v>
      </c>
      <c r="E2365" s="2">
        <f>IFERROR(__xludf.DUMMYFUNCTION("""COMPUTED_VALUE"""),137.89)</f>
        <v>137.89</v>
      </c>
      <c r="F2365" s="2">
        <f>IFERROR(__xludf.DUMMYFUNCTION("""COMPUTED_VALUE"""),1073391.0)</f>
        <v>1073391</v>
      </c>
    </row>
    <row r="2366">
      <c r="A2366" s="3">
        <f>IFERROR(__xludf.DUMMYFUNCTION("""COMPUTED_VALUE"""),40007.645833333336)</f>
        <v>40007.64583</v>
      </c>
      <c r="B2366" s="2">
        <f>IFERROR(__xludf.DUMMYFUNCTION("""COMPUTED_VALUE"""),137.0)</f>
        <v>137</v>
      </c>
      <c r="C2366" s="2">
        <f>IFERROR(__xludf.DUMMYFUNCTION("""COMPUTED_VALUE"""),138.19)</f>
        <v>138.19</v>
      </c>
      <c r="D2366" s="2">
        <f>IFERROR(__xludf.DUMMYFUNCTION("""COMPUTED_VALUE"""),135.0)</f>
        <v>135</v>
      </c>
      <c r="E2366" s="2">
        <f>IFERROR(__xludf.DUMMYFUNCTION("""COMPUTED_VALUE"""),137.38)</f>
        <v>137.38</v>
      </c>
      <c r="F2366" s="2">
        <f>IFERROR(__xludf.DUMMYFUNCTION("""COMPUTED_VALUE"""),764128.0)</f>
        <v>764128</v>
      </c>
    </row>
    <row r="2367">
      <c r="A2367" s="3">
        <f>IFERROR(__xludf.DUMMYFUNCTION("""COMPUTED_VALUE"""),40008.645833333336)</f>
        <v>40008.64583</v>
      </c>
      <c r="B2367" s="2">
        <f>IFERROR(__xludf.DUMMYFUNCTION("""COMPUTED_VALUE"""),139.12)</f>
        <v>139.12</v>
      </c>
      <c r="C2367" s="2">
        <f>IFERROR(__xludf.DUMMYFUNCTION("""COMPUTED_VALUE"""),142.98)</f>
        <v>142.98</v>
      </c>
      <c r="D2367" s="2">
        <f>IFERROR(__xludf.DUMMYFUNCTION("""COMPUTED_VALUE"""),134.22)</f>
        <v>134.22</v>
      </c>
      <c r="E2367" s="2">
        <f>IFERROR(__xludf.DUMMYFUNCTION("""COMPUTED_VALUE"""),136.26)</f>
        <v>136.26</v>
      </c>
      <c r="F2367" s="2">
        <f>IFERROR(__xludf.DUMMYFUNCTION("""COMPUTED_VALUE"""),2553512.0)</f>
        <v>2553512</v>
      </c>
    </row>
    <row r="2368">
      <c r="A2368" s="3">
        <f>IFERROR(__xludf.DUMMYFUNCTION("""COMPUTED_VALUE"""),40009.645833333336)</f>
        <v>40009.64583</v>
      </c>
      <c r="B2368" s="2">
        <f>IFERROR(__xludf.DUMMYFUNCTION("""COMPUTED_VALUE"""),139.0)</f>
        <v>139</v>
      </c>
      <c r="C2368" s="2">
        <f>IFERROR(__xludf.DUMMYFUNCTION("""COMPUTED_VALUE"""),139.0)</f>
        <v>139</v>
      </c>
      <c r="D2368" s="2">
        <f>IFERROR(__xludf.DUMMYFUNCTION("""COMPUTED_VALUE"""),133.31)</f>
        <v>133.31</v>
      </c>
      <c r="E2368" s="2">
        <f>IFERROR(__xludf.DUMMYFUNCTION("""COMPUTED_VALUE"""),138.18)</f>
        <v>138.18</v>
      </c>
      <c r="F2368" s="2">
        <f>IFERROR(__xludf.DUMMYFUNCTION("""COMPUTED_VALUE"""),2129169.0)</f>
        <v>2129169</v>
      </c>
    </row>
    <row r="2369">
      <c r="A2369" s="3">
        <f>IFERROR(__xludf.DUMMYFUNCTION("""COMPUTED_VALUE"""),40010.645833333336)</f>
        <v>40010.64583</v>
      </c>
      <c r="B2369" s="2">
        <f>IFERROR(__xludf.DUMMYFUNCTION("""COMPUTED_VALUE"""),140.0)</f>
        <v>140</v>
      </c>
      <c r="C2369" s="2">
        <f>IFERROR(__xludf.DUMMYFUNCTION("""COMPUTED_VALUE"""),140.7)</f>
        <v>140.7</v>
      </c>
      <c r="D2369" s="2">
        <f>IFERROR(__xludf.DUMMYFUNCTION("""COMPUTED_VALUE"""),136.2)</f>
        <v>136.2</v>
      </c>
      <c r="E2369" s="2">
        <f>IFERROR(__xludf.DUMMYFUNCTION("""COMPUTED_VALUE"""),139.04)</f>
        <v>139.04</v>
      </c>
      <c r="F2369" s="2">
        <f>IFERROR(__xludf.DUMMYFUNCTION("""COMPUTED_VALUE"""),1442320.0)</f>
        <v>1442320</v>
      </c>
    </row>
    <row r="2370">
      <c r="A2370" s="3">
        <f>IFERROR(__xludf.DUMMYFUNCTION("""COMPUTED_VALUE"""),40011.645833333336)</f>
        <v>40011.64583</v>
      </c>
      <c r="B2370" s="2">
        <f>IFERROR(__xludf.DUMMYFUNCTION("""COMPUTED_VALUE"""),139.0)</f>
        <v>139</v>
      </c>
      <c r="C2370" s="2">
        <f>IFERROR(__xludf.DUMMYFUNCTION("""COMPUTED_VALUE"""),144.89)</f>
        <v>144.89</v>
      </c>
      <c r="D2370" s="2">
        <f>IFERROR(__xludf.DUMMYFUNCTION("""COMPUTED_VALUE"""),137.41)</f>
        <v>137.41</v>
      </c>
      <c r="E2370" s="2">
        <f>IFERROR(__xludf.DUMMYFUNCTION("""COMPUTED_VALUE"""),143.67)</f>
        <v>143.67</v>
      </c>
      <c r="F2370" s="2">
        <f>IFERROR(__xludf.DUMMYFUNCTION("""COMPUTED_VALUE"""),1248867.0)</f>
        <v>1248867</v>
      </c>
    </row>
    <row r="2371">
      <c r="A2371" s="3">
        <f>IFERROR(__xludf.DUMMYFUNCTION("""COMPUTED_VALUE"""),40014.645833333336)</f>
        <v>40014.64583</v>
      </c>
      <c r="B2371" s="2">
        <f>IFERROR(__xludf.DUMMYFUNCTION("""COMPUTED_VALUE"""),145.1)</f>
        <v>145.1</v>
      </c>
      <c r="C2371" s="2">
        <f>IFERROR(__xludf.DUMMYFUNCTION("""COMPUTED_VALUE"""),148.6)</f>
        <v>148.6</v>
      </c>
      <c r="D2371" s="2">
        <f>IFERROR(__xludf.DUMMYFUNCTION("""COMPUTED_VALUE"""),142.03)</f>
        <v>142.03</v>
      </c>
      <c r="E2371" s="2">
        <f>IFERROR(__xludf.DUMMYFUNCTION("""COMPUTED_VALUE"""),147.38)</f>
        <v>147.38</v>
      </c>
      <c r="F2371" s="2">
        <f>IFERROR(__xludf.DUMMYFUNCTION("""COMPUTED_VALUE"""),1125678.0)</f>
        <v>1125678</v>
      </c>
    </row>
    <row r="2372">
      <c r="A2372" s="3">
        <f>IFERROR(__xludf.DUMMYFUNCTION("""COMPUTED_VALUE"""),40015.645833333336)</f>
        <v>40015.64583</v>
      </c>
      <c r="B2372" s="2">
        <f>IFERROR(__xludf.DUMMYFUNCTION("""COMPUTED_VALUE"""),146.7)</f>
        <v>146.7</v>
      </c>
      <c r="C2372" s="2">
        <f>IFERROR(__xludf.DUMMYFUNCTION("""COMPUTED_VALUE"""),147.96)</f>
        <v>147.96</v>
      </c>
      <c r="D2372" s="2">
        <f>IFERROR(__xludf.DUMMYFUNCTION("""COMPUTED_VALUE"""),145.17)</f>
        <v>145.17</v>
      </c>
      <c r="E2372" s="2">
        <f>IFERROR(__xludf.DUMMYFUNCTION("""COMPUTED_VALUE"""),146.09)</f>
        <v>146.09</v>
      </c>
      <c r="F2372" s="2">
        <f>IFERROR(__xludf.DUMMYFUNCTION("""COMPUTED_VALUE"""),838661.0)</f>
        <v>838661</v>
      </c>
    </row>
    <row r="2373">
      <c r="A2373" s="3">
        <f>IFERROR(__xludf.DUMMYFUNCTION("""COMPUTED_VALUE"""),40016.645833333336)</f>
        <v>40016.64583</v>
      </c>
      <c r="B2373" s="2">
        <f>IFERROR(__xludf.DUMMYFUNCTION("""COMPUTED_VALUE"""),147.0)</f>
        <v>147</v>
      </c>
      <c r="C2373" s="2">
        <f>IFERROR(__xludf.DUMMYFUNCTION("""COMPUTED_VALUE"""),147.37)</f>
        <v>147.37</v>
      </c>
      <c r="D2373" s="2">
        <f>IFERROR(__xludf.DUMMYFUNCTION("""COMPUTED_VALUE"""),143.3)</f>
        <v>143.3</v>
      </c>
      <c r="E2373" s="2">
        <f>IFERROR(__xludf.DUMMYFUNCTION("""COMPUTED_VALUE"""),144.51)</f>
        <v>144.51</v>
      </c>
      <c r="F2373" s="2">
        <f>IFERROR(__xludf.DUMMYFUNCTION("""COMPUTED_VALUE"""),1493461.0)</f>
        <v>1493461</v>
      </c>
    </row>
    <row r="2374">
      <c r="A2374" s="3">
        <f>IFERROR(__xludf.DUMMYFUNCTION("""COMPUTED_VALUE"""),40017.645833333336)</f>
        <v>40017.64583</v>
      </c>
      <c r="B2374" s="2">
        <f>IFERROR(__xludf.DUMMYFUNCTION("""COMPUTED_VALUE"""),145.97)</f>
        <v>145.97</v>
      </c>
      <c r="C2374" s="2">
        <f>IFERROR(__xludf.DUMMYFUNCTION("""COMPUTED_VALUE"""),147.03)</f>
        <v>147.03</v>
      </c>
      <c r="D2374" s="2">
        <f>IFERROR(__xludf.DUMMYFUNCTION("""COMPUTED_VALUE"""),143.47)</f>
        <v>143.47</v>
      </c>
      <c r="E2374" s="2">
        <f>IFERROR(__xludf.DUMMYFUNCTION("""COMPUTED_VALUE"""),145.91)</f>
        <v>145.91</v>
      </c>
      <c r="F2374" s="2">
        <f>IFERROR(__xludf.DUMMYFUNCTION("""COMPUTED_VALUE"""),1293926.0)</f>
        <v>1293926</v>
      </c>
    </row>
    <row r="2375">
      <c r="A2375" s="3">
        <f>IFERROR(__xludf.DUMMYFUNCTION("""COMPUTED_VALUE"""),40018.645833333336)</f>
        <v>40018.64583</v>
      </c>
      <c r="B2375" s="2">
        <f>IFERROR(__xludf.DUMMYFUNCTION("""COMPUTED_VALUE"""),146.0)</f>
        <v>146</v>
      </c>
      <c r="C2375" s="2">
        <f>IFERROR(__xludf.DUMMYFUNCTION("""COMPUTED_VALUE"""),146.8)</f>
        <v>146.8</v>
      </c>
      <c r="D2375" s="2">
        <f>IFERROR(__xludf.DUMMYFUNCTION("""COMPUTED_VALUE"""),142.9)</f>
        <v>142.9</v>
      </c>
      <c r="E2375" s="2">
        <f>IFERROR(__xludf.DUMMYFUNCTION("""COMPUTED_VALUE"""),145.0)</f>
        <v>145</v>
      </c>
      <c r="F2375" s="2">
        <f>IFERROR(__xludf.DUMMYFUNCTION("""COMPUTED_VALUE"""),1105560.0)</f>
        <v>1105560</v>
      </c>
    </row>
    <row r="2376">
      <c r="A2376" s="3">
        <f>IFERROR(__xludf.DUMMYFUNCTION("""COMPUTED_VALUE"""),40021.645833333336)</f>
        <v>40021.64583</v>
      </c>
      <c r="B2376" s="2">
        <f>IFERROR(__xludf.DUMMYFUNCTION("""COMPUTED_VALUE"""),145.7)</f>
        <v>145.7</v>
      </c>
      <c r="C2376" s="2">
        <f>IFERROR(__xludf.DUMMYFUNCTION("""COMPUTED_VALUE"""),147.0)</f>
        <v>147</v>
      </c>
      <c r="D2376" s="2">
        <f>IFERROR(__xludf.DUMMYFUNCTION("""COMPUTED_VALUE"""),142.5)</f>
        <v>142.5</v>
      </c>
      <c r="E2376" s="2">
        <f>IFERROR(__xludf.DUMMYFUNCTION("""COMPUTED_VALUE"""),143.34)</f>
        <v>143.34</v>
      </c>
      <c r="F2376" s="2">
        <f>IFERROR(__xludf.DUMMYFUNCTION("""COMPUTED_VALUE"""),985121.0)</f>
        <v>985121</v>
      </c>
    </row>
    <row r="2377">
      <c r="A2377" s="3">
        <f>IFERROR(__xludf.DUMMYFUNCTION("""COMPUTED_VALUE"""),40022.645833333336)</f>
        <v>40022.64583</v>
      </c>
      <c r="B2377" s="2">
        <f>IFERROR(__xludf.DUMMYFUNCTION("""COMPUTED_VALUE"""),144.4)</f>
        <v>144.4</v>
      </c>
      <c r="C2377" s="2">
        <f>IFERROR(__xludf.DUMMYFUNCTION("""COMPUTED_VALUE"""),144.5)</f>
        <v>144.5</v>
      </c>
      <c r="D2377" s="2">
        <f>IFERROR(__xludf.DUMMYFUNCTION("""COMPUTED_VALUE"""),139.7)</f>
        <v>139.7</v>
      </c>
      <c r="E2377" s="2">
        <f>IFERROR(__xludf.DUMMYFUNCTION("""COMPUTED_VALUE"""),142.45)</f>
        <v>142.45</v>
      </c>
      <c r="F2377" s="2">
        <f>IFERROR(__xludf.DUMMYFUNCTION("""COMPUTED_VALUE"""),1649824.0)</f>
        <v>1649824</v>
      </c>
    </row>
    <row r="2378">
      <c r="A2378" s="3">
        <f>IFERROR(__xludf.DUMMYFUNCTION("""COMPUTED_VALUE"""),40023.645833333336)</f>
        <v>40023.64583</v>
      </c>
      <c r="B2378" s="2">
        <f>IFERROR(__xludf.DUMMYFUNCTION("""COMPUTED_VALUE"""),143.77)</f>
        <v>143.77</v>
      </c>
      <c r="C2378" s="2">
        <f>IFERROR(__xludf.DUMMYFUNCTION("""COMPUTED_VALUE"""),143.77)</f>
        <v>143.77</v>
      </c>
      <c r="D2378" s="2">
        <f>IFERROR(__xludf.DUMMYFUNCTION("""COMPUTED_VALUE"""),138.5)</f>
        <v>138.5</v>
      </c>
      <c r="E2378" s="2">
        <f>IFERROR(__xludf.DUMMYFUNCTION("""COMPUTED_VALUE"""),141.87)</f>
        <v>141.87</v>
      </c>
      <c r="F2378" s="2">
        <f>IFERROR(__xludf.DUMMYFUNCTION("""COMPUTED_VALUE"""),995260.0)</f>
        <v>995260</v>
      </c>
    </row>
    <row r="2379">
      <c r="A2379" s="3">
        <f>IFERROR(__xludf.DUMMYFUNCTION("""COMPUTED_VALUE"""),40024.645833333336)</f>
        <v>40024.64583</v>
      </c>
      <c r="B2379" s="2">
        <f>IFERROR(__xludf.DUMMYFUNCTION("""COMPUTED_VALUE"""),141.87)</f>
        <v>141.87</v>
      </c>
      <c r="C2379" s="2">
        <f>IFERROR(__xludf.DUMMYFUNCTION("""COMPUTED_VALUE"""),147.2)</f>
        <v>147.2</v>
      </c>
      <c r="D2379" s="2">
        <f>IFERROR(__xludf.DUMMYFUNCTION("""COMPUTED_VALUE"""),139.9)</f>
        <v>139.9</v>
      </c>
      <c r="E2379" s="2">
        <f>IFERROR(__xludf.DUMMYFUNCTION("""COMPUTED_VALUE"""),146.44)</f>
        <v>146.44</v>
      </c>
      <c r="F2379" s="2">
        <f>IFERROR(__xludf.DUMMYFUNCTION("""COMPUTED_VALUE"""),1862077.0)</f>
        <v>1862077</v>
      </c>
    </row>
    <row r="2380">
      <c r="A2380" s="3">
        <f>IFERROR(__xludf.DUMMYFUNCTION("""COMPUTED_VALUE"""),40025.645833333336)</f>
        <v>40025.64583</v>
      </c>
      <c r="B2380" s="2">
        <f>IFERROR(__xludf.DUMMYFUNCTION("""COMPUTED_VALUE"""),148.01)</f>
        <v>148.01</v>
      </c>
      <c r="C2380" s="2">
        <f>IFERROR(__xludf.DUMMYFUNCTION("""COMPUTED_VALUE"""),150.95)</f>
        <v>150.95</v>
      </c>
      <c r="D2380" s="2">
        <f>IFERROR(__xludf.DUMMYFUNCTION("""COMPUTED_VALUE"""),147.43)</f>
        <v>147.43</v>
      </c>
      <c r="E2380" s="2">
        <f>IFERROR(__xludf.DUMMYFUNCTION("""COMPUTED_VALUE"""),149.91)</f>
        <v>149.91</v>
      </c>
      <c r="F2380" s="2">
        <f>IFERROR(__xludf.DUMMYFUNCTION("""COMPUTED_VALUE"""),1289784.0)</f>
        <v>1289784</v>
      </c>
    </row>
    <row r="2381">
      <c r="A2381" s="3">
        <f>IFERROR(__xludf.DUMMYFUNCTION("""COMPUTED_VALUE"""),40028.645833333336)</f>
        <v>40028.64583</v>
      </c>
      <c r="B2381" s="2">
        <f>IFERROR(__xludf.DUMMYFUNCTION("""COMPUTED_VALUE"""),150.0)</f>
        <v>150</v>
      </c>
      <c r="C2381" s="2">
        <f>IFERROR(__xludf.DUMMYFUNCTION("""COMPUTED_VALUE"""),150.9)</f>
        <v>150.9</v>
      </c>
      <c r="D2381" s="2">
        <f>IFERROR(__xludf.DUMMYFUNCTION("""COMPUTED_VALUE"""),146.01)</f>
        <v>146.01</v>
      </c>
      <c r="E2381" s="2">
        <f>IFERROR(__xludf.DUMMYFUNCTION("""COMPUTED_VALUE"""),149.35)</f>
        <v>149.35</v>
      </c>
      <c r="F2381" s="2">
        <f>IFERROR(__xludf.DUMMYFUNCTION("""COMPUTED_VALUE"""),546449.0)</f>
        <v>546449</v>
      </c>
    </row>
    <row r="2382">
      <c r="A2382" s="3">
        <f>IFERROR(__xludf.DUMMYFUNCTION("""COMPUTED_VALUE"""),40029.645833333336)</f>
        <v>40029.64583</v>
      </c>
      <c r="B2382" s="2">
        <f>IFERROR(__xludf.DUMMYFUNCTION("""COMPUTED_VALUE"""),150.5)</f>
        <v>150.5</v>
      </c>
      <c r="C2382" s="2">
        <f>IFERROR(__xludf.DUMMYFUNCTION("""COMPUTED_VALUE"""),150.78)</f>
        <v>150.78</v>
      </c>
      <c r="D2382" s="2">
        <f>IFERROR(__xludf.DUMMYFUNCTION("""COMPUTED_VALUE"""),145.64)</f>
        <v>145.64</v>
      </c>
      <c r="E2382" s="2">
        <f>IFERROR(__xludf.DUMMYFUNCTION("""COMPUTED_VALUE"""),146.91)</f>
        <v>146.91</v>
      </c>
      <c r="F2382" s="2">
        <f>IFERROR(__xludf.DUMMYFUNCTION("""COMPUTED_VALUE"""),972361.0)</f>
        <v>972361</v>
      </c>
    </row>
    <row r="2383">
      <c r="A2383" s="3">
        <f>IFERROR(__xludf.DUMMYFUNCTION("""COMPUTED_VALUE"""),40030.645833333336)</f>
        <v>40030.64583</v>
      </c>
      <c r="B2383" s="2">
        <f>IFERROR(__xludf.DUMMYFUNCTION("""COMPUTED_VALUE"""),147.87)</f>
        <v>147.87</v>
      </c>
      <c r="C2383" s="2">
        <f>IFERROR(__xludf.DUMMYFUNCTION("""COMPUTED_VALUE"""),147.87)</f>
        <v>147.87</v>
      </c>
      <c r="D2383" s="2">
        <f>IFERROR(__xludf.DUMMYFUNCTION("""COMPUTED_VALUE"""),143.38)</f>
        <v>143.38</v>
      </c>
      <c r="E2383" s="2">
        <f>IFERROR(__xludf.DUMMYFUNCTION("""COMPUTED_VALUE"""),144.79)</f>
        <v>144.79</v>
      </c>
      <c r="F2383" s="2">
        <f>IFERROR(__xludf.DUMMYFUNCTION("""COMPUTED_VALUE"""),1090422.0)</f>
        <v>1090422</v>
      </c>
    </row>
    <row r="2384">
      <c r="A2384" s="3">
        <f>IFERROR(__xludf.DUMMYFUNCTION("""COMPUTED_VALUE"""),40031.645833333336)</f>
        <v>40031.64583</v>
      </c>
      <c r="B2384" s="2">
        <f>IFERROR(__xludf.DUMMYFUNCTION("""COMPUTED_VALUE"""),144.0)</f>
        <v>144</v>
      </c>
      <c r="C2384" s="2">
        <f>IFERROR(__xludf.DUMMYFUNCTION("""COMPUTED_VALUE"""),145.5)</f>
        <v>145.5</v>
      </c>
      <c r="D2384" s="2">
        <f>IFERROR(__xludf.DUMMYFUNCTION("""COMPUTED_VALUE"""),140.2)</f>
        <v>140.2</v>
      </c>
      <c r="E2384" s="2">
        <f>IFERROR(__xludf.DUMMYFUNCTION("""COMPUTED_VALUE"""),141.36)</f>
        <v>141.36</v>
      </c>
      <c r="F2384" s="2">
        <f>IFERROR(__xludf.DUMMYFUNCTION("""COMPUTED_VALUE"""),1665310.0)</f>
        <v>1665310</v>
      </c>
    </row>
    <row r="2385">
      <c r="A2385" s="3">
        <f>IFERROR(__xludf.DUMMYFUNCTION("""COMPUTED_VALUE"""),40032.645833333336)</f>
        <v>40032.64583</v>
      </c>
      <c r="B2385" s="2">
        <f>IFERROR(__xludf.DUMMYFUNCTION("""COMPUTED_VALUE"""),141.0)</f>
        <v>141</v>
      </c>
      <c r="C2385" s="2">
        <f>IFERROR(__xludf.DUMMYFUNCTION("""COMPUTED_VALUE"""),142.6)</f>
        <v>142.6</v>
      </c>
      <c r="D2385" s="2">
        <f>IFERROR(__xludf.DUMMYFUNCTION("""COMPUTED_VALUE"""),137.9)</f>
        <v>137.9</v>
      </c>
      <c r="E2385" s="2">
        <f>IFERROR(__xludf.DUMMYFUNCTION("""COMPUTED_VALUE"""),139.02)</f>
        <v>139.02</v>
      </c>
      <c r="F2385" s="2">
        <f>IFERROR(__xludf.DUMMYFUNCTION("""COMPUTED_VALUE"""),1424401.0)</f>
        <v>1424401</v>
      </c>
    </row>
    <row r="2386">
      <c r="A2386" s="3">
        <f>IFERROR(__xludf.DUMMYFUNCTION("""COMPUTED_VALUE"""),40035.645833333336)</f>
        <v>40035.64583</v>
      </c>
      <c r="B2386" s="2">
        <f>IFERROR(__xludf.DUMMYFUNCTION("""COMPUTED_VALUE"""),141.4)</f>
        <v>141.4</v>
      </c>
      <c r="C2386" s="2">
        <f>IFERROR(__xludf.DUMMYFUNCTION("""COMPUTED_VALUE"""),141.51)</f>
        <v>141.51</v>
      </c>
      <c r="D2386" s="2">
        <f>IFERROR(__xludf.DUMMYFUNCTION("""COMPUTED_VALUE"""),136.0)</f>
        <v>136</v>
      </c>
      <c r="E2386" s="2">
        <f>IFERROR(__xludf.DUMMYFUNCTION("""COMPUTED_VALUE"""),137.54)</f>
        <v>137.54</v>
      </c>
      <c r="F2386" s="2">
        <f>IFERROR(__xludf.DUMMYFUNCTION("""COMPUTED_VALUE"""),1383986.0)</f>
        <v>1383986</v>
      </c>
    </row>
    <row r="2387">
      <c r="A2387" s="3">
        <f>IFERROR(__xludf.DUMMYFUNCTION("""COMPUTED_VALUE"""),40036.645833333336)</f>
        <v>40036.64583</v>
      </c>
      <c r="B2387" s="2">
        <f>IFERROR(__xludf.DUMMYFUNCTION("""COMPUTED_VALUE"""),137.5)</f>
        <v>137.5</v>
      </c>
      <c r="C2387" s="2">
        <f>IFERROR(__xludf.DUMMYFUNCTION("""COMPUTED_VALUE"""),138.79)</f>
        <v>138.79</v>
      </c>
      <c r="D2387" s="2">
        <f>IFERROR(__xludf.DUMMYFUNCTION("""COMPUTED_VALUE"""),136.0)</f>
        <v>136</v>
      </c>
      <c r="E2387" s="2">
        <f>IFERROR(__xludf.DUMMYFUNCTION("""COMPUTED_VALUE"""),137.92)</f>
        <v>137.92</v>
      </c>
      <c r="F2387" s="2">
        <f>IFERROR(__xludf.DUMMYFUNCTION("""COMPUTED_VALUE"""),1013536.0)</f>
        <v>1013536</v>
      </c>
    </row>
    <row r="2388">
      <c r="A2388" s="3">
        <f>IFERROR(__xludf.DUMMYFUNCTION("""COMPUTED_VALUE"""),40037.645833333336)</f>
        <v>40037.64583</v>
      </c>
      <c r="B2388" s="2">
        <f>IFERROR(__xludf.DUMMYFUNCTION("""COMPUTED_VALUE"""),136.5)</f>
        <v>136.5</v>
      </c>
      <c r="C2388" s="2">
        <f>IFERROR(__xludf.DUMMYFUNCTION("""COMPUTED_VALUE"""),141.2)</f>
        <v>141.2</v>
      </c>
      <c r="D2388" s="2">
        <f>IFERROR(__xludf.DUMMYFUNCTION("""COMPUTED_VALUE"""),135.5)</f>
        <v>135.5</v>
      </c>
      <c r="E2388" s="2">
        <f>IFERROR(__xludf.DUMMYFUNCTION("""COMPUTED_VALUE"""),140.63)</f>
        <v>140.63</v>
      </c>
      <c r="F2388" s="2">
        <f>IFERROR(__xludf.DUMMYFUNCTION("""COMPUTED_VALUE"""),919641.0)</f>
        <v>919641</v>
      </c>
    </row>
    <row r="2389">
      <c r="A2389" s="3">
        <f>IFERROR(__xludf.DUMMYFUNCTION("""COMPUTED_VALUE"""),40038.645833333336)</f>
        <v>40038.64583</v>
      </c>
      <c r="B2389" s="2">
        <f>IFERROR(__xludf.DUMMYFUNCTION("""COMPUTED_VALUE"""),143.49)</f>
        <v>143.49</v>
      </c>
      <c r="C2389" s="2">
        <f>IFERROR(__xludf.DUMMYFUNCTION("""COMPUTED_VALUE"""),143.49)</f>
        <v>143.49</v>
      </c>
      <c r="D2389" s="2">
        <f>IFERROR(__xludf.DUMMYFUNCTION("""COMPUTED_VALUE"""),140.53)</f>
        <v>140.53</v>
      </c>
      <c r="E2389" s="2">
        <f>IFERROR(__xludf.DUMMYFUNCTION("""COMPUTED_VALUE"""),142.46)</f>
        <v>142.46</v>
      </c>
      <c r="F2389" s="2">
        <f>IFERROR(__xludf.DUMMYFUNCTION("""COMPUTED_VALUE"""),1026564.0)</f>
        <v>1026564</v>
      </c>
    </row>
    <row r="2390">
      <c r="A2390" s="3">
        <f>IFERROR(__xludf.DUMMYFUNCTION("""COMPUTED_VALUE"""),40039.645833333336)</f>
        <v>40039.64583</v>
      </c>
      <c r="B2390" s="2">
        <f>IFERROR(__xludf.DUMMYFUNCTION("""COMPUTED_VALUE"""),144.9)</f>
        <v>144.9</v>
      </c>
      <c r="C2390" s="2">
        <f>IFERROR(__xludf.DUMMYFUNCTION("""COMPUTED_VALUE"""),144.9)</f>
        <v>144.9</v>
      </c>
      <c r="D2390" s="2">
        <f>IFERROR(__xludf.DUMMYFUNCTION("""COMPUTED_VALUE"""),141.1)</f>
        <v>141.1</v>
      </c>
      <c r="E2390" s="2">
        <f>IFERROR(__xludf.DUMMYFUNCTION("""COMPUTED_VALUE"""),142.73)</f>
        <v>142.73</v>
      </c>
      <c r="F2390" s="2">
        <f>IFERROR(__xludf.DUMMYFUNCTION("""COMPUTED_VALUE"""),612820.0)</f>
        <v>612820</v>
      </c>
    </row>
    <row r="2391">
      <c r="A2391" s="3">
        <f>IFERROR(__xludf.DUMMYFUNCTION("""COMPUTED_VALUE"""),40042.645833333336)</f>
        <v>40042.64583</v>
      </c>
      <c r="B2391" s="2">
        <f>IFERROR(__xludf.DUMMYFUNCTION("""COMPUTED_VALUE"""),140.9)</f>
        <v>140.9</v>
      </c>
      <c r="C2391" s="2">
        <f>IFERROR(__xludf.DUMMYFUNCTION("""COMPUTED_VALUE"""),142.07)</f>
        <v>142.07</v>
      </c>
      <c r="D2391" s="2">
        <f>IFERROR(__xludf.DUMMYFUNCTION("""COMPUTED_VALUE"""),139.5)</f>
        <v>139.5</v>
      </c>
      <c r="E2391" s="2">
        <f>IFERROR(__xludf.DUMMYFUNCTION("""COMPUTED_VALUE"""),140.62)</f>
        <v>140.62</v>
      </c>
      <c r="F2391" s="2">
        <f>IFERROR(__xludf.DUMMYFUNCTION("""COMPUTED_VALUE"""),1349065.0)</f>
        <v>1349065</v>
      </c>
    </row>
    <row r="2392">
      <c r="A2392" s="3">
        <f>IFERROR(__xludf.DUMMYFUNCTION("""COMPUTED_VALUE"""),40043.645833333336)</f>
        <v>40043.64583</v>
      </c>
      <c r="B2392" s="2">
        <f>IFERROR(__xludf.DUMMYFUNCTION("""COMPUTED_VALUE"""),140.1)</f>
        <v>140.1</v>
      </c>
      <c r="C2392" s="2">
        <f>IFERROR(__xludf.DUMMYFUNCTION("""COMPUTED_VALUE"""),145.49)</f>
        <v>145.49</v>
      </c>
      <c r="D2392" s="2">
        <f>IFERROR(__xludf.DUMMYFUNCTION("""COMPUTED_VALUE"""),140.1)</f>
        <v>140.1</v>
      </c>
      <c r="E2392" s="2">
        <f>IFERROR(__xludf.DUMMYFUNCTION("""COMPUTED_VALUE"""),144.09)</f>
        <v>144.09</v>
      </c>
      <c r="F2392" s="2">
        <f>IFERROR(__xludf.DUMMYFUNCTION("""COMPUTED_VALUE"""),1263725.0)</f>
        <v>1263725</v>
      </c>
    </row>
    <row r="2393">
      <c r="A2393" s="3">
        <f>IFERROR(__xludf.DUMMYFUNCTION("""COMPUTED_VALUE"""),40044.645833333336)</f>
        <v>40044.64583</v>
      </c>
      <c r="B2393" s="2">
        <f>IFERROR(__xludf.DUMMYFUNCTION("""COMPUTED_VALUE"""),144.1)</f>
        <v>144.1</v>
      </c>
      <c r="C2393" s="2">
        <f>IFERROR(__xludf.DUMMYFUNCTION("""COMPUTED_VALUE"""),145.97)</f>
        <v>145.97</v>
      </c>
      <c r="D2393" s="2">
        <f>IFERROR(__xludf.DUMMYFUNCTION("""COMPUTED_VALUE"""),141.1)</f>
        <v>141.1</v>
      </c>
      <c r="E2393" s="2">
        <f>IFERROR(__xludf.DUMMYFUNCTION("""COMPUTED_VALUE"""),144.98)</f>
        <v>144.98</v>
      </c>
      <c r="F2393" s="2">
        <f>IFERROR(__xludf.DUMMYFUNCTION("""COMPUTED_VALUE"""),1100173.0)</f>
        <v>1100173</v>
      </c>
    </row>
    <row r="2394">
      <c r="A2394" s="3">
        <f>IFERROR(__xludf.DUMMYFUNCTION("""COMPUTED_VALUE"""),40045.645833333336)</f>
        <v>40045.64583</v>
      </c>
      <c r="B2394" s="2">
        <f>IFERROR(__xludf.DUMMYFUNCTION("""COMPUTED_VALUE"""),145.9)</f>
        <v>145.9</v>
      </c>
      <c r="C2394" s="2">
        <f>IFERROR(__xludf.DUMMYFUNCTION("""COMPUTED_VALUE"""),149.0)</f>
        <v>149</v>
      </c>
      <c r="D2394" s="2">
        <f>IFERROR(__xludf.DUMMYFUNCTION("""COMPUTED_VALUE"""),145.5)</f>
        <v>145.5</v>
      </c>
      <c r="E2394" s="2">
        <f>IFERROR(__xludf.DUMMYFUNCTION("""COMPUTED_VALUE"""),148.01)</f>
        <v>148.01</v>
      </c>
      <c r="F2394" s="2">
        <f>IFERROR(__xludf.DUMMYFUNCTION("""COMPUTED_VALUE"""),723880.0)</f>
        <v>723880</v>
      </c>
    </row>
    <row r="2395">
      <c r="A2395" s="3">
        <f>IFERROR(__xludf.DUMMYFUNCTION("""COMPUTED_VALUE"""),40046.645833333336)</f>
        <v>40046.64583</v>
      </c>
      <c r="B2395" s="2">
        <f>IFERROR(__xludf.DUMMYFUNCTION("""COMPUTED_VALUE"""),147.9)</f>
        <v>147.9</v>
      </c>
      <c r="C2395" s="2">
        <f>IFERROR(__xludf.DUMMYFUNCTION("""COMPUTED_VALUE"""),148.5)</f>
        <v>148.5</v>
      </c>
      <c r="D2395" s="2">
        <f>IFERROR(__xludf.DUMMYFUNCTION("""COMPUTED_VALUE"""),144.54)</f>
        <v>144.54</v>
      </c>
      <c r="E2395" s="2">
        <f>IFERROR(__xludf.DUMMYFUNCTION("""COMPUTED_VALUE"""),146.6)</f>
        <v>146.6</v>
      </c>
      <c r="F2395" s="2">
        <f>IFERROR(__xludf.DUMMYFUNCTION("""COMPUTED_VALUE"""),1041697.0)</f>
        <v>1041697</v>
      </c>
    </row>
    <row r="2396">
      <c r="A2396" s="3">
        <f>IFERROR(__xludf.DUMMYFUNCTION("""COMPUTED_VALUE"""),40049.645833333336)</f>
        <v>40049.64583</v>
      </c>
      <c r="B2396" s="2">
        <f>IFERROR(__xludf.DUMMYFUNCTION("""COMPUTED_VALUE"""),149.8)</f>
        <v>149.8</v>
      </c>
      <c r="C2396" s="2">
        <f>IFERROR(__xludf.DUMMYFUNCTION("""COMPUTED_VALUE"""),150.18)</f>
        <v>150.18</v>
      </c>
      <c r="D2396" s="2">
        <f>IFERROR(__xludf.DUMMYFUNCTION("""COMPUTED_VALUE"""),146.7)</f>
        <v>146.7</v>
      </c>
      <c r="E2396" s="2">
        <f>IFERROR(__xludf.DUMMYFUNCTION("""COMPUTED_VALUE"""),148.47)</f>
        <v>148.47</v>
      </c>
      <c r="F2396" s="2">
        <f>IFERROR(__xludf.DUMMYFUNCTION("""COMPUTED_VALUE"""),637094.0)</f>
        <v>637094</v>
      </c>
    </row>
    <row r="2397">
      <c r="A2397" s="3">
        <f>IFERROR(__xludf.DUMMYFUNCTION("""COMPUTED_VALUE"""),40050.645833333336)</f>
        <v>40050.64583</v>
      </c>
      <c r="B2397" s="2">
        <f>IFERROR(__xludf.DUMMYFUNCTION("""COMPUTED_VALUE"""),146.85)</f>
        <v>146.85</v>
      </c>
      <c r="C2397" s="2">
        <f>IFERROR(__xludf.DUMMYFUNCTION("""COMPUTED_VALUE"""),149.9)</f>
        <v>149.9</v>
      </c>
      <c r="D2397" s="2">
        <f>IFERROR(__xludf.DUMMYFUNCTION("""COMPUTED_VALUE"""),146.05)</f>
        <v>146.05</v>
      </c>
      <c r="E2397" s="2">
        <f>IFERROR(__xludf.DUMMYFUNCTION("""COMPUTED_VALUE"""),148.7)</f>
        <v>148.7</v>
      </c>
      <c r="F2397" s="2">
        <f>IFERROR(__xludf.DUMMYFUNCTION("""COMPUTED_VALUE"""),477449.0)</f>
        <v>477449</v>
      </c>
    </row>
    <row r="2398">
      <c r="A2398" s="3">
        <f>IFERROR(__xludf.DUMMYFUNCTION("""COMPUTED_VALUE"""),40051.645833333336)</f>
        <v>40051.64583</v>
      </c>
      <c r="B2398" s="2">
        <f>IFERROR(__xludf.DUMMYFUNCTION("""COMPUTED_VALUE"""),149.8)</f>
        <v>149.8</v>
      </c>
      <c r="C2398" s="2">
        <f>IFERROR(__xludf.DUMMYFUNCTION("""COMPUTED_VALUE"""),151.87)</f>
        <v>151.87</v>
      </c>
      <c r="D2398" s="2">
        <f>IFERROR(__xludf.DUMMYFUNCTION("""COMPUTED_VALUE"""),145.01)</f>
        <v>145.01</v>
      </c>
      <c r="E2398" s="2">
        <f>IFERROR(__xludf.DUMMYFUNCTION("""COMPUTED_VALUE"""),146.06)</f>
        <v>146.06</v>
      </c>
      <c r="F2398" s="2">
        <f>IFERROR(__xludf.DUMMYFUNCTION("""COMPUTED_VALUE"""),655342.0)</f>
        <v>655342</v>
      </c>
    </row>
    <row r="2399">
      <c r="A2399" s="3">
        <f>IFERROR(__xludf.DUMMYFUNCTION("""COMPUTED_VALUE"""),40052.645833333336)</f>
        <v>40052.64583</v>
      </c>
      <c r="B2399" s="2">
        <f>IFERROR(__xludf.DUMMYFUNCTION("""COMPUTED_VALUE"""),145.0)</f>
        <v>145</v>
      </c>
      <c r="C2399" s="2">
        <f>IFERROR(__xludf.DUMMYFUNCTION("""COMPUTED_VALUE"""),146.2)</f>
        <v>146.2</v>
      </c>
      <c r="D2399" s="2">
        <f>IFERROR(__xludf.DUMMYFUNCTION("""COMPUTED_VALUE"""),144.4)</f>
        <v>144.4</v>
      </c>
      <c r="E2399" s="2">
        <f>IFERROR(__xludf.DUMMYFUNCTION("""COMPUTED_VALUE"""),145.7)</f>
        <v>145.7</v>
      </c>
      <c r="F2399" s="2">
        <f>IFERROR(__xludf.DUMMYFUNCTION("""COMPUTED_VALUE"""),741902.0)</f>
        <v>741902</v>
      </c>
    </row>
    <row r="2400">
      <c r="A2400" s="3">
        <f>IFERROR(__xludf.DUMMYFUNCTION("""COMPUTED_VALUE"""),40053.645833333336)</f>
        <v>40053.64583</v>
      </c>
      <c r="B2400" s="2">
        <f>IFERROR(__xludf.DUMMYFUNCTION("""COMPUTED_VALUE"""),145.5)</f>
        <v>145.5</v>
      </c>
      <c r="C2400" s="2">
        <f>IFERROR(__xludf.DUMMYFUNCTION("""COMPUTED_VALUE"""),146.5)</f>
        <v>146.5</v>
      </c>
      <c r="D2400" s="2">
        <f>IFERROR(__xludf.DUMMYFUNCTION("""COMPUTED_VALUE"""),143.5)</f>
        <v>143.5</v>
      </c>
      <c r="E2400" s="2">
        <f>IFERROR(__xludf.DUMMYFUNCTION("""COMPUTED_VALUE"""),145.78)</f>
        <v>145.78</v>
      </c>
      <c r="F2400" s="2">
        <f>IFERROR(__xludf.DUMMYFUNCTION("""COMPUTED_VALUE"""),458791.0)</f>
        <v>458791</v>
      </c>
    </row>
    <row r="2401">
      <c r="A2401" s="3">
        <f>IFERROR(__xludf.DUMMYFUNCTION("""COMPUTED_VALUE"""),40056.645833333336)</f>
        <v>40056.64583</v>
      </c>
      <c r="B2401" s="2">
        <f>IFERROR(__xludf.DUMMYFUNCTION("""COMPUTED_VALUE"""),143.5)</f>
        <v>143.5</v>
      </c>
      <c r="C2401" s="2">
        <f>IFERROR(__xludf.DUMMYFUNCTION("""COMPUTED_VALUE"""),148.31)</f>
        <v>148.31</v>
      </c>
      <c r="D2401" s="2">
        <f>IFERROR(__xludf.DUMMYFUNCTION("""COMPUTED_VALUE"""),143.5)</f>
        <v>143.5</v>
      </c>
      <c r="E2401" s="2">
        <f>IFERROR(__xludf.DUMMYFUNCTION("""COMPUTED_VALUE"""),147.1)</f>
        <v>147.1</v>
      </c>
      <c r="F2401" s="2">
        <f>IFERROR(__xludf.DUMMYFUNCTION("""COMPUTED_VALUE"""),659747.0)</f>
        <v>659747</v>
      </c>
    </row>
    <row r="2402">
      <c r="A2402" s="3">
        <f>IFERROR(__xludf.DUMMYFUNCTION("""COMPUTED_VALUE"""),40057.645833333336)</f>
        <v>40057.64583</v>
      </c>
      <c r="B2402" s="2">
        <f>IFERROR(__xludf.DUMMYFUNCTION("""COMPUTED_VALUE"""),148.01)</f>
        <v>148.01</v>
      </c>
      <c r="C2402" s="2">
        <f>IFERROR(__xludf.DUMMYFUNCTION("""COMPUTED_VALUE"""),148.69)</f>
        <v>148.69</v>
      </c>
      <c r="D2402" s="2">
        <f>IFERROR(__xludf.DUMMYFUNCTION("""COMPUTED_VALUE"""),142.78)</f>
        <v>142.78</v>
      </c>
      <c r="E2402" s="2">
        <f>IFERROR(__xludf.DUMMYFUNCTION("""COMPUTED_VALUE"""),144.61)</f>
        <v>144.61</v>
      </c>
      <c r="F2402" s="2">
        <f>IFERROR(__xludf.DUMMYFUNCTION("""COMPUTED_VALUE"""),615704.0)</f>
        <v>615704</v>
      </c>
    </row>
    <row r="2403">
      <c r="A2403" s="3">
        <f>IFERROR(__xludf.DUMMYFUNCTION("""COMPUTED_VALUE"""),40058.645833333336)</f>
        <v>40058.64583</v>
      </c>
      <c r="B2403" s="2">
        <f>IFERROR(__xludf.DUMMYFUNCTION("""COMPUTED_VALUE"""),143.21)</f>
        <v>143.21</v>
      </c>
      <c r="C2403" s="2">
        <f>IFERROR(__xludf.DUMMYFUNCTION("""COMPUTED_VALUE"""),145.19)</f>
        <v>145.19</v>
      </c>
      <c r="D2403" s="2">
        <f>IFERROR(__xludf.DUMMYFUNCTION("""COMPUTED_VALUE"""),142.54)</f>
        <v>142.54</v>
      </c>
      <c r="E2403" s="2">
        <f>IFERROR(__xludf.DUMMYFUNCTION("""COMPUTED_VALUE"""),143.88)</f>
        <v>143.88</v>
      </c>
      <c r="F2403" s="2">
        <f>IFERROR(__xludf.DUMMYFUNCTION("""COMPUTED_VALUE"""),317137.0)</f>
        <v>317137</v>
      </c>
    </row>
    <row r="2404">
      <c r="A2404" s="3">
        <f>IFERROR(__xludf.DUMMYFUNCTION("""COMPUTED_VALUE"""),40059.645833333336)</f>
        <v>40059.64583</v>
      </c>
      <c r="B2404" s="2">
        <f>IFERROR(__xludf.DUMMYFUNCTION("""COMPUTED_VALUE"""),144.5)</f>
        <v>144.5</v>
      </c>
      <c r="C2404" s="2">
        <f>IFERROR(__xludf.DUMMYFUNCTION("""COMPUTED_VALUE"""),144.8)</f>
        <v>144.8</v>
      </c>
      <c r="D2404" s="2">
        <f>IFERROR(__xludf.DUMMYFUNCTION("""COMPUTED_VALUE"""),142.5)</f>
        <v>142.5</v>
      </c>
      <c r="E2404" s="2">
        <f>IFERROR(__xludf.DUMMYFUNCTION("""COMPUTED_VALUE"""),143.54)</f>
        <v>143.54</v>
      </c>
      <c r="F2404" s="2">
        <f>IFERROR(__xludf.DUMMYFUNCTION("""COMPUTED_VALUE"""),502983.0)</f>
        <v>502983</v>
      </c>
    </row>
    <row r="2405">
      <c r="A2405" s="3">
        <f>IFERROR(__xludf.DUMMYFUNCTION("""COMPUTED_VALUE"""),40060.645833333336)</f>
        <v>40060.64583</v>
      </c>
      <c r="B2405" s="2">
        <f>IFERROR(__xludf.DUMMYFUNCTION("""COMPUTED_VALUE"""),143.5)</f>
        <v>143.5</v>
      </c>
      <c r="C2405" s="2">
        <f>IFERROR(__xludf.DUMMYFUNCTION("""COMPUTED_VALUE"""),146.0)</f>
        <v>146</v>
      </c>
      <c r="D2405" s="2">
        <f>IFERROR(__xludf.DUMMYFUNCTION("""COMPUTED_VALUE"""),142.5)</f>
        <v>142.5</v>
      </c>
      <c r="E2405" s="2">
        <f>IFERROR(__xludf.DUMMYFUNCTION("""COMPUTED_VALUE"""),145.43)</f>
        <v>145.43</v>
      </c>
      <c r="F2405" s="2">
        <f>IFERROR(__xludf.DUMMYFUNCTION("""COMPUTED_VALUE"""),533386.0)</f>
        <v>533386</v>
      </c>
    </row>
    <row r="2406">
      <c r="A2406" s="3">
        <f>IFERROR(__xludf.DUMMYFUNCTION("""COMPUTED_VALUE"""),40063.645833333336)</f>
        <v>40063.64583</v>
      </c>
      <c r="B2406" s="2">
        <f>IFERROR(__xludf.DUMMYFUNCTION("""COMPUTED_VALUE"""),146.01)</f>
        <v>146.01</v>
      </c>
      <c r="C2406" s="2">
        <f>IFERROR(__xludf.DUMMYFUNCTION("""COMPUTED_VALUE"""),147.6)</f>
        <v>147.6</v>
      </c>
      <c r="D2406" s="2">
        <f>IFERROR(__xludf.DUMMYFUNCTION("""COMPUTED_VALUE"""),144.82)</f>
        <v>144.82</v>
      </c>
      <c r="E2406" s="2">
        <f>IFERROR(__xludf.DUMMYFUNCTION("""COMPUTED_VALUE"""),146.74)</f>
        <v>146.74</v>
      </c>
      <c r="F2406" s="2">
        <f>IFERROR(__xludf.DUMMYFUNCTION("""COMPUTED_VALUE"""),761834.0)</f>
        <v>761834</v>
      </c>
    </row>
    <row r="2407">
      <c r="A2407" s="3">
        <f>IFERROR(__xludf.DUMMYFUNCTION("""COMPUTED_VALUE"""),40064.645833333336)</f>
        <v>40064.64583</v>
      </c>
      <c r="B2407" s="2">
        <f>IFERROR(__xludf.DUMMYFUNCTION("""COMPUTED_VALUE"""),147.47)</f>
        <v>147.47</v>
      </c>
      <c r="C2407" s="2">
        <f>IFERROR(__xludf.DUMMYFUNCTION("""COMPUTED_VALUE"""),148.2)</f>
        <v>148.2</v>
      </c>
      <c r="D2407" s="2">
        <f>IFERROR(__xludf.DUMMYFUNCTION("""COMPUTED_VALUE"""),145.0)</f>
        <v>145</v>
      </c>
      <c r="E2407" s="2">
        <f>IFERROR(__xludf.DUMMYFUNCTION("""COMPUTED_VALUE"""),145.69)</f>
        <v>145.69</v>
      </c>
      <c r="F2407" s="2">
        <f>IFERROR(__xludf.DUMMYFUNCTION("""COMPUTED_VALUE"""),741131.0)</f>
        <v>741131</v>
      </c>
    </row>
    <row r="2408">
      <c r="A2408" s="3">
        <f>IFERROR(__xludf.DUMMYFUNCTION("""COMPUTED_VALUE"""),40065.645833333336)</f>
        <v>40065.64583</v>
      </c>
      <c r="B2408" s="2">
        <f>IFERROR(__xludf.DUMMYFUNCTION("""COMPUTED_VALUE"""),146.48)</f>
        <v>146.48</v>
      </c>
      <c r="C2408" s="2">
        <f>IFERROR(__xludf.DUMMYFUNCTION("""COMPUTED_VALUE"""),148.2)</f>
        <v>148.2</v>
      </c>
      <c r="D2408" s="2">
        <f>IFERROR(__xludf.DUMMYFUNCTION("""COMPUTED_VALUE"""),145.56)</f>
        <v>145.56</v>
      </c>
      <c r="E2408" s="2">
        <f>IFERROR(__xludf.DUMMYFUNCTION("""COMPUTED_VALUE"""),147.54)</f>
        <v>147.54</v>
      </c>
      <c r="F2408" s="2">
        <f>IFERROR(__xludf.DUMMYFUNCTION("""COMPUTED_VALUE"""),1355300.0)</f>
        <v>1355300</v>
      </c>
    </row>
    <row r="2409">
      <c r="A2409" s="3">
        <f>IFERROR(__xludf.DUMMYFUNCTION("""COMPUTED_VALUE"""),40066.645833333336)</f>
        <v>40066.64583</v>
      </c>
      <c r="B2409" s="2">
        <f>IFERROR(__xludf.DUMMYFUNCTION("""COMPUTED_VALUE"""),149.0)</f>
        <v>149</v>
      </c>
      <c r="C2409" s="2">
        <f>IFERROR(__xludf.DUMMYFUNCTION("""COMPUTED_VALUE"""),150.3)</f>
        <v>150.3</v>
      </c>
      <c r="D2409" s="2">
        <f>IFERROR(__xludf.DUMMYFUNCTION("""COMPUTED_VALUE"""),148.0)</f>
        <v>148</v>
      </c>
      <c r="E2409" s="2">
        <f>IFERROR(__xludf.DUMMYFUNCTION("""COMPUTED_VALUE"""),148.56)</f>
        <v>148.56</v>
      </c>
      <c r="F2409" s="2">
        <f>IFERROR(__xludf.DUMMYFUNCTION("""COMPUTED_VALUE"""),888725.0)</f>
        <v>888725</v>
      </c>
    </row>
    <row r="2410">
      <c r="A2410" s="3">
        <f>IFERROR(__xludf.DUMMYFUNCTION("""COMPUTED_VALUE"""),40067.645833333336)</f>
        <v>40067.64583</v>
      </c>
      <c r="B2410" s="2">
        <f>IFERROR(__xludf.DUMMYFUNCTION("""COMPUTED_VALUE"""),149.0)</f>
        <v>149</v>
      </c>
      <c r="C2410" s="2">
        <f>IFERROR(__xludf.DUMMYFUNCTION("""COMPUTED_VALUE"""),149.61)</f>
        <v>149.61</v>
      </c>
      <c r="D2410" s="2">
        <f>IFERROR(__xludf.DUMMYFUNCTION("""COMPUTED_VALUE"""),146.46)</f>
        <v>146.46</v>
      </c>
      <c r="E2410" s="2">
        <f>IFERROR(__xludf.DUMMYFUNCTION("""COMPUTED_VALUE"""),149.13)</f>
        <v>149.13</v>
      </c>
      <c r="F2410" s="2">
        <f>IFERROR(__xludf.DUMMYFUNCTION("""COMPUTED_VALUE"""),721544.0)</f>
        <v>721544</v>
      </c>
    </row>
    <row r="2411">
      <c r="A2411" s="3">
        <f>IFERROR(__xludf.DUMMYFUNCTION("""COMPUTED_VALUE"""),40070.645833333336)</f>
        <v>40070.64583</v>
      </c>
      <c r="B2411" s="2">
        <f>IFERROR(__xludf.DUMMYFUNCTION("""COMPUTED_VALUE"""),149.13)</f>
        <v>149.13</v>
      </c>
      <c r="C2411" s="2">
        <f>IFERROR(__xludf.DUMMYFUNCTION("""COMPUTED_VALUE"""),150.4)</f>
        <v>150.4</v>
      </c>
      <c r="D2411" s="2">
        <f>IFERROR(__xludf.DUMMYFUNCTION("""COMPUTED_VALUE"""),148.4)</f>
        <v>148.4</v>
      </c>
      <c r="E2411" s="2">
        <f>IFERROR(__xludf.DUMMYFUNCTION("""COMPUTED_VALUE"""),149.38)</f>
        <v>149.38</v>
      </c>
      <c r="F2411" s="2">
        <f>IFERROR(__xludf.DUMMYFUNCTION("""COMPUTED_VALUE"""),622739.0)</f>
        <v>622739</v>
      </c>
    </row>
    <row r="2412">
      <c r="A2412" s="3">
        <f>IFERROR(__xludf.DUMMYFUNCTION("""COMPUTED_VALUE"""),40071.645833333336)</f>
        <v>40071.64583</v>
      </c>
      <c r="B2412" s="2">
        <f>IFERROR(__xludf.DUMMYFUNCTION("""COMPUTED_VALUE"""),149.5)</f>
        <v>149.5</v>
      </c>
      <c r="C2412" s="2">
        <f>IFERROR(__xludf.DUMMYFUNCTION("""COMPUTED_VALUE"""),151.82)</f>
        <v>151.82</v>
      </c>
      <c r="D2412" s="2">
        <f>IFERROR(__xludf.DUMMYFUNCTION("""COMPUTED_VALUE"""),149.22)</f>
        <v>149.22</v>
      </c>
      <c r="E2412" s="2">
        <f>IFERROR(__xludf.DUMMYFUNCTION("""COMPUTED_VALUE"""),151.43)</f>
        <v>151.43</v>
      </c>
      <c r="F2412" s="2">
        <f>IFERROR(__xludf.DUMMYFUNCTION("""COMPUTED_VALUE"""),1087840.0)</f>
        <v>1087840</v>
      </c>
    </row>
    <row r="2413">
      <c r="A2413" s="3">
        <f>IFERROR(__xludf.DUMMYFUNCTION("""COMPUTED_VALUE"""),40072.645833333336)</f>
        <v>40072.64583</v>
      </c>
      <c r="B2413" s="2">
        <f>IFERROR(__xludf.DUMMYFUNCTION("""COMPUTED_VALUE"""),153.0)</f>
        <v>153</v>
      </c>
      <c r="C2413" s="2">
        <f>IFERROR(__xludf.DUMMYFUNCTION("""COMPUTED_VALUE"""),153.51)</f>
        <v>153.51</v>
      </c>
      <c r="D2413" s="2">
        <f>IFERROR(__xludf.DUMMYFUNCTION("""COMPUTED_VALUE"""),150.57)</f>
        <v>150.57</v>
      </c>
      <c r="E2413" s="2">
        <f>IFERROR(__xludf.DUMMYFUNCTION("""COMPUTED_VALUE"""),151.68)</f>
        <v>151.68</v>
      </c>
      <c r="F2413" s="2">
        <f>IFERROR(__xludf.DUMMYFUNCTION("""COMPUTED_VALUE"""),1157872.0)</f>
        <v>1157872</v>
      </c>
    </row>
    <row r="2414">
      <c r="A2414" s="3">
        <f>IFERROR(__xludf.DUMMYFUNCTION("""COMPUTED_VALUE"""),40073.645833333336)</f>
        <v>40073.64583</v>
      </c>
      <c r="B2414" s="2">
        <f>IFERROR(__xludf.DUMMYFUNCTION("""COMPUTED_VALUE"""),152.73)</f>
        <v>152.73</v>
      </c>
      <c r="C2414" s="2">
        <f>IFERROR(__xludf.DUMMYFUNCTION("""COMPUTED_VALUE"""),153.9)</f>
        <v>153.9</v>
      </c>
      <c r="D2414" s="2">
        <f>IFERROR(__xludf.DUMMYFUNCTION("""COMPUTED_VALUE"""),152.07)</f>
        <v>152.07</v>
      </c>
      <c r="E2414" s="2">
        <f>IFERROR(__xludf.DUMMYFUNCTION("""COMPUTED_VALUE"""),153.49)</f>
        <v>153.49</v>
      </c>
      <c r="F2414" s="2">
        <f>IFERROR(__xludf.DUMMYFUNCTION("""COMPUTED_VALUE"""),1205610.0)</f>
        <v>1205610</v>
      </c>
    </row>
    <row r="2415">
      <c r="A2415" s="3">
        <f>IFERROR(__xludf.DUMMYFUNCTION("""COMPUTED_VALUE"""),40074.645833333336)</f>
        <v>40074.64583</v>
      </c>
      <c r="B2415" s="2">
        <f>IFERROR(__xludf.DUMMYFUNCTION("""COMPUTED_VALUE"""),153.6)</f>
        <v>153.6</v>
      </c>
      <c r="C2415" s="2">
        <f>IFERROR(__xludf.DUMMYFUNCTION("""COMPUTED_VALUE"""),153.77)</f>
        <v>153.77</v>
      </c>
      <c r="D2415" s="2">
        <f>IFERROR(__xludf.DUMMYFUNCTION("""COMPUTED_VALUE"""),151.1)</f>
        <v>151.1</v>
      </c>
      <c r="E2415" s="2">
        <f>IFERROR(__xludf.DUMMYFUNCTION("""COMPUTED_VALUE"""),152.45)</f>
        <v>152.45</v>
      </c>
      <c r="F2415" s="2">
        <f>IFERROR(__xludf.DUMMYFUNCTION("""COMPUTED_VALUE"""),411479.0)</f>
        <v>411479</v>
      </c>
    </row>
    <row r="2416">
      <c r="A2416" s="3">
        <f>IFERROR(__xludf.DUMMYFUNCTION("""COMPUTED_VALUE"""),40078.645833333336)</f>
        <v>40078.64583</v>
      </c>
      <c r="B2416" s="2">
        <f>IFERROR(__xludf.DUMMYFUNCTION("""COMPUTED_VALUE"""),152.0)</f>
        <v>152</v>
      </c>
      <c r="C2416" s="2">
        <f>IFERROR(__xludf.DUMMYFUNCTION("""COMPUTED_VALUE"""),155.0)</f>
        <v>155</v>
      </c>
      <c r="D2416" s="2">
        <f>IFERROR(__xludf.DUMMYFUNCTION("""COMPUTED_VALUE"""),151.6)</f>
        <v>151.6</v>
      </c>
      <c r="E2416" s="2">
        <f>IFERROR(__xludf.DUMMYFUNCTION("""COMPUTED_VALUE"""),154.64)</f>
        <v>154.64</v>
      </c>
      <c r="F2416" s="2">
        <f>IFERROR(__xludf.DUMMYFUNCTION("""COMPUTED_VALUE"""),672581.0)</f>
        <v>672581</v>
      </c>
    </row>
    <row r="2417">
      <c r="A2417" s="3">
        <f>IFERROR(__xludf.DUMMYFUNCTION("""COMPUTED_VALUE"""),40079.645833333336)</f>
        <v>40079.64583</v>
      </c>
      <c r="B2417" s="2">
        <f>IFERROR(__xludf.DUMMYFUNCTION("""COMPUTED_VALUE"""),155.5)</f>
        <v>155.5</v>
      </c>
      <c r="C2417" s="2">
        <f>IFERROR(__xludf.DUMMYFUNCTION("""COMPUTED_VALUE"""),159.89)</f>
        <v>159.89</v>
      </c>
      <c r="D2417" s="2">
        <f>IFERROR(__xludf.DUMMYFUNCTION("""COMPUTED_VALUE"""),153.15)</f>
        <v>153.15</v>
      </c>
      <c r="E2417" s="2">
        <f>IFERROR(__xludf.DUMMYFUNCTION("""COMPUTED_VALUE"""),156.96)</f>
        <v>156.96</v>
      </c>
      <c r="F2417" s="2">
        <f>IFERROR(__xludf.DUMMYFUNCTION("""COMPUTED_VALUE"""),1306570.0)</f>
        <v>1306570</v>
      </c>
    </row>
    <row r="2418">
      <c r="A2418" s="3">
        <f>IFERROR(__xludf.DUMMYFUNCTION("""COMPUTED_VALUE"""),40080.645833333336)</f>
        <v>40080.64583</v>
      </c>
      <c r="B2418" s="2">
        <f>IFERROR(__xludf.DUMMYFUNCTION("""COMPUTED_VALUE"""),154.6)</f>
        <v>154.6</v>
      </c>
      <c r="C2418" s="2">
        <f>IFERROR(__xludf.DUMMYFUNCTION("""COMPUTED_VALUE"""),163.67)</f>
        <v>163.67</v>
      </c>
      <c r="D2418" s="2">
        <f>IFERROR(__xludf.DUMMYFUNCTION("""COMPUTED_VALUE"""),154.6)</f>
        <v>154.6</v>
      </c>
      <c r="E2418" s="2">
        <f>IFERROR(__xludf.DUMMYFUNCTION("""COMPUTED_VALUE"""),162.38)</f>
        <v>162.38</v>
      </c>
      <c r="F2418" s="2">
        <f>IFERROR(__xludf.DUMMYFUNCTION("""COMPUTED_VALUE"""),2222526.0)</f>
        <v>2222526</v>
      </c>
    </row>
    <row r="2419">
      <c r="A2419" s="3">
        <f>IFERROR(__xludf.DUMMYFUNCTION("""COMPUTED_VALUE"""),40081.645833333336)</f>
        <v>40081.64583</v>
      </c>
      <c r="B2419" s="2">
        <f>IFERROR(__xludf.DUMMYFUNCTION("""COMPUTED_VALUE"""),160.28)</f>
        <v>160.28</v>
      </c>
      <c r="C2419" s="2">
        <f>IFERROR(__xludf.DUMMYFUNCTION("""COMPUTED_VALUE"""),162.43)</f>
        <v>162.43</v>
      </c>
      <c r="D2419" s="2">
        <f>IFERROR(__xludf.DUMMYFUNCTION("""COMPUTED_VALUE"""),159.2)</f>
        <v>159.2</v>
      </c>
      <c r="E2419" s="2">
        <f>IFERROR(__xludf.DUMMYFUNCTION("""COMPUTED_VALUE"""),160.85)</f>
        <v>160.85</v>
      </c>
      <c r="F2419" s="2">
        <f>IFERROR(__xludf.DUMMYFUNCTION("""COMPUTED_VALUE"""),561882.0)</f>
        <v>561882</v>
      </c>
    </row>
    <row r="2420">
      <c r="A2420" s="3">
        <f>IFERROR(__xludf.DUMMYFUNCTION("""COMPUTED_VALUE"""),40085.645833333336)</f>
        <v>40085.64583</v>
      </c>
      <c r="B2420" s="2">
        <f>IFERROR(__xludf.DUMMYFUNCTION("""COMPUTED_VALUE"""),162.4)</f>
        <v>162.4</v>
      </c>
      <c r="C2420" s="2">
        <f>IFERROR(__xludf.DUMMYFUNCTION("""COMPUTED_VALUE"""),163.48)</f>
        <v>163.48</v>
      </c>
      <c r="D2420" s="2">
        <f>IFERROR(__xludf.DUMMYFUNCTION("""COMPUTED_VALUE"""),160.11)</f>
        <v>160.11</v>
      </c>
      <c r="E2420" s="2">
        <f>IFERROR(__xludf.DUMMYFUNCTION("""COMPUTED_VALUE"""),161.14)</f>
        <v>161.14</v>
      </c>
      <c r="F2420" s="2">
        <f>IFERROR(__xludf.DUMMYFUNCTION("""COMPUTED_VALUE"""),388700.0)</f>
        <v>388700</v>
      </c>
    </row>
    <row r="2421">
      <c r="A2421" s="3">
        <f>IFERROR(__xludf.DUMMYFUNCTION("""COMPUTED_VALUE"""),40086.645833333336)</f>
        <v>40086.64583</v>
      </c>
      <c r="B2421" s="2">
        <f>IFERROR(__xludf.DUMMYFUNCTION("""COMPUTED_VALUE"""),161.6)</f>
        <v>161.6</v>
      </c>
      <c r="C2421" s="2">
        <f>IFERROR(__xludf.DUMMYFUNCTION("""COMPUTED_VALUE"""),166.0)</f>
        <v>166</v>
      </c>
      <c r="D2421" s="2">
        <f>IFERROR(__xludf.DUMMYFUNCTION("""COMPUTED_VALUE"""),160.42)</f>
        <v>160.42</v>
      </c>
      <c r="E2421" s="2">
        <f>IFERROR(__xludf.DUMMYFUNCTION("""COMPUTED_VALUE"""),165.05)</f>
        <v>165.05</v>
      </c>
      <c r="F2421" s="2">
        <f>IFERROR(__xludf.DUMMYFUNCTION("""COMPUTED_VALUE"""),1198862.0)</f>
        <v>1198862</v>
      </c>
    </row>
    <row r="2422">
      <c r="A2422" s="3">
        <f>IFERROR(__xludf.DUMMYFUNCTION("""COMPUTED_VALUE"""),40087.645833333336)</f>
        <v>40087.64583</v>
      </c>
      <c r="B2422" s="2">
        <f>IFERROR(__xludf.DUMMYFUNCTION("""COMPUTED_VALUE"""),164.0)</f>
        <v>164</v>
      </c>
      <c r="C2422" s="2">
        <f>IFERROR(__xludf.DUMMYFUNCTION("""COMPUTED_VALUE"""),166.84)</f>
        <v>166.84</v>
      </c>
      <c r="D2422" s="2">
        <f>IFERROR(__xludf.DUMMYFUNCTION("""COMPUTED_VALUE"""),162.03)</f>
        <v>162.03</v>
      </c>
      <c r="E2422" s="2">
        <f>IFERROR(__xludf.DUMMYFUNCTION("""COMPUTED_VALUE"""),164.43)</f>
        <v>164.43</v>
      </c>
      <c r="F2422" s="2">
        <f>IFERROR(__xludf.DUMMYFUNCTION("""COMPUTED_VALUE"""),864799.0)</f>
        <v>864799</v>
      </c>
    </row>
    <row r="2423">
      <c r="A2423" s="3">
        <f>IFERROR(__xludf.DUMMYFUNCTION("""COMPUTED_VALUE"""),40091.645833333336)</f>
        <v>40091.64583</v>
      </c>
      <c r="B2423" s="2">
        <f>IFERROR(__xludf.DUMMYFUNCTION("""COMPUTED_VALUE"""),162.1)</f>
        <v>162.1</v>
      </c>
      <c r="C2423" s="2">
        <f>IFERROR(__xludf.DUMMYFUNCTION("""COMPUTED_VALUE"""),164.5)</f>
        <v>164.5</v>
      </c>
      <c r="D2423" s="2">
        <f>IFERROR(__xludf.DUMMYFUNCTION("""COMPUTED_VALUE"""),161.7)</f>
        <v>161.7</v>
      </c>
      <c r="E2423" s="2">
        <f>IFERROR(__xludf.DUMMYFUNCTION("""COMPUTED_VALUE"""),163.41)</f>
        <v>163.41</v>
      </c>
      <c r="F2423" s="2">
        <f>IFERROR(__xludf.DUMMYFUNCTION("""COMPUTED_VALUE"""),548494.0)</f>
        <v>548494</v>
      </c>
    </row>
    <row r="2424">
      <c r="A2424" s="3">
        <f>IFERROR(__xludf.DUMMYFUNCTION("""COMPUTED_VALUE"""),40092.645833333336)</f>
        <v>40092.64583</v>
      </c>
      <c r="B2424" s="2">
        <f>IFERROR(__xludf.DUMMYFUNCTION("""COMPUTED_VALUE"""),165.9)</f>
        <v>165.9</v>
      </c>
      <c r="C2424" s="2">
        <f>IFERROR(__xludf.DUMMYFUNCTION("""COMPUTED_VALUE"""),166.49)</f>
        <v>166.49</v>
      </c>
      <c r="D2424" s="2">
        <f>IFERROR(__xludf.DUMMYFUNCTION("""COMPUTED_VALUE"""),160.49)</f>
        <v>160.49</v>
      </c>
      <c r="E2424" s="2">
        <f>IFERROR(__xludf.DUMMYFUNCTION("""COMPUTED_VALUE"""),165.97)</f>
        <v>165.97</v>
      </c>
      <c r="F2424" s="2">
        <f>IFERROR(__xludf.DUMMYFUNCTION("""COMPUTED_VALUE"""),575364.0)</f>
        <v>575364</v>
      </c>
    </row>
    <row r="2425">
      <c r="A2425" s="3">
        <f>IFERROR(__xludf.DUMMYFUNCTION("""COMPUTED_VALUE"""),40093.645833333336)</f>
        <v>40093.64583</v>
      </c>
      <c r="B2425" s="2">
        <f>IFERROR(__xludf.DUMMYFUNCTION("""COMPUTED_VALUE"""),167.4)</f>
        <v>167.4</v>
      </c>
      <c r="C2425" s="2">
        <f>IFERROR(__xludf.DUMMYFUNCTION("""COMPUTED_VALUE"""),171.0)</f>
        <v>171</v>
      </c>
      <c r="D2425" s="2">
        <f>IFERROR(__xludf.DUMMYFUNCTION("""COMPUTED_VALUE"""),167.0)</f>
        <v>167</v>
      </c>
      <c r="E2425" s="2">
        <f>IFERROR(__xludf.DUMMYFUNCTION("""COMPUTED_VALUE"""),167.77)</f>
        <v>167.77</v>
      </c>
      <c r="F2425" s="2">
        <f>IFERROR(__xludf.DUMMYFUNCTION("""COMPUTED_VALUE"""),1084333.0)</f>
        <v>1084333</v>
      </c>
    </row>
    <row r="2426">
      <c r="A2426" s="3">
        <f>IFERROR(__xludf.DUMMYFUNCTION("""COMPUTED_VALUE"""),40094.645833333336)</f>
        <v>40094.64583</v>
      </c>
      <c r="B2426" s="2">
        <f>IFERROR(__xludf.DUMMYFUNCTION("""COMPUTED_VALUE"""),166.0)</f>
        <v>166</v>
      </c>
      <c r="C2426" s="2">
        <f>IFERROR(__xludf.DUMMYFUNCTION("""COMPUTED_VALUE"""),169.49)</f>
        <v>169.49</v>
      </c>
      <c r="D2426" s="2">
        <f>IFERROR(__xludf.DUMMYFUNCTION("""COMPUTED_VALUE"""),165.0)</f>
        <v>165</v>
      </c>
      <c r="E2426" s="2">
        <f>IFERROR(__xludf.DUMMYFUNCTION("""COMPUTED_VALUE"""),168.74)</f>
        <v>168.74</v>
      </c>
      <c r="F2426" s="2">
        <f>IFERROR(__xludf.DUMMYFUNCTION("""COMPUTED_VALUE"""),840494.0)</f>
        <v>840494</v>
      </c>
    </row>
    <row r="2427">
      <c r="A2427" s="3">
        <f>IFERROR(__xludf.DUMMYFUNCTION("""COMPUTED_VALUE"""),40095.645833333336)</f>
        <v>40095.64583</v>
      </c>
      <c r="B2427" s="2">
        <f>IFERROR(__xludf.DUMMYFUNCTION("""COMPUTED_VALUE"""),166.0)</f>
        <v>166</v>
      </c>
      <c r="C2427" s="2">
        <f>IFERROR(__xludf.DUMMYFUNCTION("""COMPUTED_VALUE"""),169.0)</f>
        <v>169</v>
      </c>
      <c r="D2427" s="2">
        <f>IFERROR(__xludf.DUMMYFUNCTION("""COMPUTED_VALUE"""),166.0)</f>
        <v>166</v>
      </c>
      <c r="E2427" s="2">
        <f>IFERROR(__xludf.DUMMYFUNCTION("""COMPUTED_VALUE"""),167.57)</f>
        <v>167.57</v>
      </c>
      <c r="F2427" s="2">
        <f>IFERROR(__xludf.DUMMYFUNCTION("""COMPUTED_VALUE"""),450480.0)</f>
        <v>450480</v>
      </c>
    </row>
    <row r="2428">
      <c r="A2428" s="3">
        <f>IFERROR(__xludf.DUMMYFUNCTION("""COMPUTED_VALUE"""),40098.645833333336)</f>
        <v>40098.64583</v>
      </c>
      <c r="B2428" s="2">
        <f>IFERROR(__xludf.DUMMYFUNCTION("""COMPUTED_VALUE"""),166.3)</f>
        <v>166.3</v>
      </c>
      <c r="C2428" s="2">
        <f>IFERROR(__xludf.DUMMYFUNCTION("""COMPUTED_VALUE"""),171.0)</f>
        <v>171</v>
      </c>
      <c r="D2428" s="2">
        <f>IFERROR(__xludf.DUMMYFUNCTION("""COMPUTED_VALUE"""),164.5)</f>
        <v>164.5</v>
      </c>
      <c r="E2428" s="2">
        <f>IFERROR(__xludf.DUMMYFUNCTION("""COMPUTED_VALUE"""),170.23)</f>
        <v>170.23</v>
      </c>
      <c r="F2428" s="2">
        <f>IFERROR(__xludf.DUMMYFUNCTION("""COMPUTED_VALUE"""),780069.0)</f>
        <v>780069</v>
      </c>
    </row>
    <row r="2429">
      <c r="A2429" s="3">
        <f>IFERROR(__xludf.DUMMYFUNCTION("""COMPUTED_VALUE"""),40100.645833333336)</f>
        <v>40100.64583</v>
      </c>
      <c r="B2429" s="2">
        <f>IFERROR(__xludf.DUMMYFUNCTION("""COMPUTED_VALUE"""),170.5)</f>
        <v>170.5</v>
      </c>
      <c r="C2429" s="2">
        <f>IFERROR(__xludf.DUMMYFUNCTION("""COMPUTED_VALUE"""),172.9)</f>
        <v>172.9</v>
      </c>
      <c r="D2429" s="2">
        <f>IFERROR(__xludf.DUMMYFUNCTION("""COMPUTED_VALUE"""),168.62)</f>
        <v>168.62</v>
      </c>
      <c r="E2429" s="2">
        <f>IFERROR(__xludf.DUMMYFUNCTION("""COMPUTED_VALUE"""),170.22)</f>
        <v>170.22</v>
      </c>
      <c r="F2429" s="2">
        <f>IFERROR(__xludf.DUMMYFUNCTION("""COMPUTED_VALUE"""),782121.0)</f>
        <v>782121</v>
      </c>
    </row>
    <row r="2430">
      <c r="A2430" s="3">
        <f>IFERROR(__xludf.DUMMYFUNCTION("""COMPUTED_VALUE"""),40101.645833333336)</f>
        <v>40101.64583</v>
      </c>
      <c r="B2430" s="2">
        <f>IFERROR(__xludf.DUMMYFUNCTION("""COMPUTED_VALUE"""),171.04)</f>
        <v>171.04</v>
      </c>
      <c r="C2430" s="2">
        <f>IFERROR(__xludf.DUMMYFUNCTION("""COMPUTED_VALUE"""),173.5)</f>
        <v>173.5</v>
      </c>
      <c r="D2430" s="2">
        <f>IFERROR(__xludf.DUMMYFUNCTION("""COMPUTED_VALUE"""),169.41)</f>
        <v>169.41</v>
      </c>
      <c r="E2430" s="2">
        <f>IFERROR(__xludf.DUMMYFUNCTION("""COMPUTED_VALUE"""),172.23)</f>
        <v>172.23</v>
      </c>
      <c r="F2430" s="2">
        <f>IFERROR(__xludf.DUMMYFUNCTION("""COMPUTED_VALUE"""),938616.0)</f>
        <v>938616</v>
      </c>
    </row>
    <row r="2431">
      <c r="A2431" s="3">
        <f>IFERROR(__xludf.DUMMYFUNCTION("""COMPUTED_VALUE"""),40102.645833333336)</f>
        <v>40102.64583</v>
      </c>
      <c r="B2431" s="2">
        <f>IFERROR(__xludf.DUMMYFUNCTION("""COMPUTED_VALUE"""),173.2)</f>
        <v>173.2</v>
      </c>
      <c r="C2431" s="2">
        <f>IFERROR(__xludf.DUMMYFUNCTION("""COMPUTED_VALUE"""),173.88)</f>
        <v>173.88</v>
      </c>
      <c r="D2431" s="2">
        <f>IFERROR(__xludf.DUMMYFUNCTION("""COMPUTED_VALUE"""),171.24)</f>
        <v>171.24</v>
      </c>
      <c r="E2431" s="2">
        <f>IFERROR(__xludf.DUMMYFUNCTION("""COMPUTED_VALUE"""),171.97)</f>
        <v>171.97</v>
      </c>
      <c r="F2431" s="2">
        <f>IFERROR(__xludf.DUMMYFUNCTION("""COMPUTED_VALUE"""),825985.0)</f>
        <v>825985</v>
      </c>
    </row>
    <row r="2432">
      <c r="A2432" s="3">
        <f>IFERROR(__xludf.DUMMYFUNCTION("""COMPUTED_VALUE"""),40106.645833333336)</f>
        <v>40106.64583</v>
      </c>
      <c r="B2432" s="2">
        <f>IFERROR(__xludf.DUMMYFUNCTION("""COMPUTED_VALUE"""),168.27)</f>
        <v>168.27</v>
      </c>
      <c r="C2432" s="2">
        <f>IFERROR(__xludf.DUMMYFUNCTION("""COMPUTED_VALUE"""),172.0)</f>
        <v>172</v>
      </c>
      <c r="D2432" s="2">
        <f>IFERROR(__xludf.DUMMYFUNCTION("""COMPUTED_VALUE"""),168.0)</f>
        <v>168</v>
      </c>
      <c r="E2432" s="2">
        <f>IFERROR(__xludf.DUMMYFUNCTION("""COMPUTED_VALUE"""),169.13)</f>
        <v>169.13</v>
      </c>
      <c r="F2432" s="2">
        <f>IFERROR(__xludf.DUMMYFUNCTION("""COMPUTED_VALUE"""),469419.0)</f>
        <v>469419</v>
      </c>
    </row>
    <row r="2433">
      <c r="A2433" s="3">
        <f>IFERROR(__xludf.DUMMYFUNCTION("""COMPUTED_VALUE"""),40107.645833333336)</f>
        <v>40107.64583</v>
      </c>
      <c r="B2433" s="2">
        <f>IFERROR(__xludf.DUMMYFUNCTION("""COMPUTED_VALUE"""),166.0)</f>
        <v>166</v>
      </c>
      <c r="C2433" s="2">
        <f>IFERROR(__xludf.DUMMYFUNCTION("""COMPUTED_VALUE"""),170.21)</f>
        <v>170.21</v>
      </c>
      <c r="D2433" s="2">
        <f>IFERROR(__xludf.DUMMYFUNCTION("""COMPUTED_VALUE"""),165.09)</f>
        <v>165.09</v>
      </c>
      <c r="E2433" s="2">
        <f>IFERROR(__xludf.DUMMYFUNCTION("""COMPUTED_VALUE"""),166.11)</f>
        <v>166.11</v>
      </c>
      <c r="F2433" s="2">
        <f>IFERROR(__xludf.DUMMYFUNCTION("""COMPUTED_VALUE"""),642376.0)</f>
        <v>642376</v>
      </c>
    </row>
    <row r="2434">
      <c r="A2434" s="3">
        <f>IFERROR(__xludf.DUMMYFUNCTION("""COMPUTED_VALUE"""),40108.645833333336)</f>
        <v>40108.64583</v>
      </c>
      <c r="B2434" s="2">
        <f>IFERROR(__xludf.DUMMYFUNCTION("""COMPUTED_VALUE"""),164.1)</f>
        <v>164.1</v>
      </c>
      <c r="C2434" s="2">
        <f>IFERROR(__xludf.DUMMYFUNCTION("""COMPUTED_VALUE"""),167.7)</f>
        <v>167.7</v>
      </c>
      <c r="D2434" s="2">
        <f>IFERROR(__xludf.DUMMYFUNCTION("""COMPUTED_VALUE"""),164.0)</f>
        <v>164</v>
      </c>
      <c r="E2434" s="2">
        <f>IFERROR(__xludf.DUMMYFUNCTION("""COMPUTED_VALUE"""),166.6)</f>
        <v>166.6</v>
      </c>
      <c r="F2434" s="2">
        <f>IFERROR(__xludf.DUMMYFUNCTION("""COMPUTED_VALUE"""),378987.0)</f>
        <v>378987</v>
      </c>
    </row>
    <row r="2435">
      <c r="A2435" s="3">
        <f>IFERROR(__xludf.DUMMYFUNCTION("""COMPUTED_VALUE"""),40109.645833333336)</f>
        <v>40109.64583</v>
      </c>
      <c r="B2435" s="2">
        <f>IFERROR(__xludf.DUMMYFUNCTION("""COMPUTED_VALUE"""),167.5)</f>
        <v>167.5</v>
      </c>
      <c r="C2435" s="2">
        <f>IFERROR(__xludf.DUMMYFUNCTION("""COMPUTED_VALUE"""),169.9)</f>
        <v>169.9</v>
      </c>
      <c r="D2435" s="2">
        <f>IFERROR(__xludf.DUMMYFUNCTION("""COMPUTED_VALUE"""),166.12)</f>
        <v>166.12</v>
      </c>
      <c r="E2435" s="2">
        <f>IFERROR(__xludf.DUMMYFUNCTION("""COMPUTED_VALUE"""),169.19)</f>
        <v>169.19</v>
      </c>
      <c r="F2435" s="2">
        <f>IFERROR(__xludf.DUMMYFUNCTION("""COMPUTED_VALUE"""),378849.0)</f>
        <v>378849</v>
      </c>
    </row>
    <row r="2436">
      <c r="A2436" s="3">
        <f>IFERROR(__xludf.DUMMYFUNCTION("""COMPUTED_VALUE"""),40112.645833333336)</f>
        <v>40112.64583</v>
      </c>
      <c r="B2436" s="2">
        <f>IFERROR(__xludf.DUMMYFUNCTION("""COMPUTED_VALUE"""),167.1)</f>
        <v>167.1</v>
      </c>
      <c r="C2436" s="2">
        <f>IFERROR(__xludf.DUMMYFUNCTION("""COMPUTED_VALUE"""),169.7)</f>
        <v>169.7</v>
      </c>
      <c r="D2436" s="2">
        <f>IFERROR(__xludf.DUMMYFUNCTION("""COMPUTED_VALUE"""),166.5)</f>
        <v>166.5</v>
      </c>
      <c r="E2436" s="2">
        <f>IFERROR(__xludf.DUMMYFUNCTION("""COMPUTED_VALUE"""),169.29)</f>
        <v>169.29</v>
      </c>
      <c r="F2436" s="2">
        <f>IFERROR(__xludf.DUMMYFUNCTION("""COMPUTED_VALUE"""),408241.0)</f>
        <v>408241</v>
      </c>
    </row>
    <row r="2437">
      <c r="A2437" s="3">
        <f>IFERROR(__xludf.DUMMYFUNCTION("""COMPUTED_VALUE"""),40113.645833333336)</f>
        <v>40113.64583</v>
      </c>
      <c r="B2437" s="2">
        <f>IFERROR(__xludf.DUMMYFUNCTION("""COMPUTED_VALUE"""),166.0)</f>
        <v>166</v>
      </c>
      <c r="C2437" s="2">
        <f>IFERROR(__xludf.DUMMYFUNCTION("""COMPUTED_VALUE"""),170.0)</f>
        <v>170</v>
      </c>
      <c r="D2437" s="2">
        <f>IFERROR(__xludf.DUMMYFUNCTION("""COMPUTED_VALUE"""),166.0)</f>
        <v>166</v>
      </c>
      <c r="E2437" s="2">
        <f>IFERROR(__xludf.DUMMYFUNCTION("""COMPUTED_VALUE"""),167.01)</f>
        <v>167.01</v>
      </c>
      <c r="F2437" s="2">
        <f>IFERROR(__xludf.DUMMYFUNCTION("""COMPUTED_VALUE"""),957757.0)</f>
        <v>957757</v>
      </c>
    </row>
    <row r="2438">
      <c r="A2438" s="3">
        <f>IFERROR(__xludf.DUMMYFUNCTION("""COMPUTED_VALUE"""),40114.645833333336)</f>
        <v>40114.64583</v>
      </c>
      <c r="B2438" s="2">
        <f>IFERROR(__xludf.DUMMYFUNCTION("""COMPUTED_VALUE"""),166.0)</f>
        <v>166</v>
      </c>
      <c r="C2438" s="2">
        <f>IFERROR(__xludf.DUMMYFUNCTION("""COMPUTED_VALUE"""),166.98)</f>
        <v>166.98</v>
      </c>
      <c r="D2438" s="2">
        <f>IFERROR(__xludf.DUMMYFUNCTION("""COMPUTED_VALUE"""),160.51)</f>
        <v>160.51</v>
      </c>
      <c r="E2438" s="2">
        <f>IFERROR(__xludf.DUMMYFUNCTION("""COMPUTED_VALUE"""),161.96)</f>
        <v>161.96</v>
      </c>
      <c r="F2438" s="2">
        <f>IFERROR(__xludf.DUMMYFUNCTION("""COMPUTED_VALUE"""),666045.0)</f>
        <v>666045</v>
      </c>
    </row>
    <row r="2439">
      <c r="A2439" s="3">
        <f>IFERROR(__xludf.DUMMYFUNCTION("""COMPUTED_VALUE"""),40115.645833333336)</f>
        <v>40115.64583</v>
      </c>
      <c r="B2439" s="2">
        <f>IFERROR(__xludf.DUMMYFUNCTION("""COMPUTED_VALUE"""),160.5)</f>
        <v>160.5</v>
      </c>
      <c r="C2439" s="2">
        <f>IFERROR(__xludf.DUMMYFUNCTION("""COMPUTED_VALUE"""),163.94)</f>
        <v>163.94</v>
      </c>
      <c r="D2439" s="2">
        <f>IFERROR(__xludf.DUMMYFUNCTION("""COMPUTED_VALUE"""),157.03)</f>
        <v>157.03</v>
      </c>
      <c r="E2439" s="2">
        <f>IFERROR(__xludf.DUMMYFUNCTION("""COMPUTED_VALUE"""),161.32)</f>
        <v>161.32</v>
      </c>
      <c r="F2439" s="2">
        <f>IFERROR(__xludf.DUMMYFUNCTION("""COMPUTED_VALUE"""),1024544.0)</f>
        <v>1024544</v>
      </c>
    </row>
    <row r="2440">
      <c r="A2440" s="3">
        <f>IFERROR(__xludf.DUMMYFUNCTION("""COMPUTED_VALUE"""),40116.645833333336)</f>
        <v>40116.64583</v>
      </c>
      <c r="B2440" s="2">
        <f>IFERROR(__xludf.DUMMYFUNCTION("""COMPUTED_VALUE"""),162.2)</f>
        <v>162.2</v>
      </c>
      <c r="C2440" s="2">
        <f>IFERROR(__xludf.DUMMYFUNCTION("""COMPUTED_VALUE"""),168.8)</f>
        <v>168.8</v>
      </c>
      <c r="D2440" s="2">
        <f>IFERROR(__xludf.DUMMYFUNCTION("""COMPUTED_VALUE"""),160.55)</f>
        <v>160.55</v>
      </c>
      <c r="E2440" s="2">
        <f>IFERROR(__xludf.DUMMYFUNCTION("""COMPUTED_VALUE"""),162.07)</f>
        <v>162.07</v>
      </c>
      <c r="F2440" s="2">
        <f>IFERROR(__xludf.DUMMYFUNCTION("""COMPUTED_VALUE"""),764619.0)</f>
        <v>764619</v>
      </c>
    </row>
    <row r="2441">
      <c r="A2441" s="3">
        <f>IFERROR(__xludf.DUMMYFUNCTION("""COMPUTED_VALUE"""),40120.645833333336)</f>
        <v>40120.64583</v>
      </c>
      <c r="B2441" s="2">
        <f>IFERROR(__xludf.DUMMYFUNCTION("""COMPUTED_VALUE"""),161.68)</f>
        <v>161.68</v>
      </c>
      <c r="C2441" s="2">
        <f>IFERROR(__xludf.DUMMYFUNCTION("""COMPUTED_VALUE"""),163.95)</f>
        <v>163.95</v>
      </c>
      <c r="D2441" s="2">
        <f>IFERROR(__xludf.DUMMYFUNCTION("""COMPUTED_VALUE"""),158.4)</f>
        <v>158.4</v>
      </c>
      <c r="E2441" s="2">
        <f>IFERROR(__xludf.DUMMYFUNCTION("""COMPUTED_VALUE"""),160.05)</f>
        <v>160.05</v>
      </c>
      <c r="F2441" s="2">
        <f>IFERROR(__xludf.DUMMYFUNCTION("""COMPUTED_VALUE"""),475126.0)</f>
        <v>475126</v>
      </c>
    </row>
    <row r="2442">
      <c r="A2442" s="3">
        <f>IFERROR(__xludf.DUMMYFUNCTION("""COMPUTED_VALUE"""),40121.645833333336)</f>
        <v>40121.64583</v>
      </c>
      <c r="B2442" s="2">
        <f>IFERROR(__xludf.DUMMYFUNCTION("""COMPUTED_VALUE"""),160.5)</f>
        <v>160.5</v>
      </c>
      <c r="C2442" s="2">
        <f>IFERROR(__xludf.DUMMYFUNCTION("""COMPUTED_VALUE"""),164.7)</f>
        <v>164.7</v>
      </c>
      <c r="D2442" s="2">
        <f>IFERROR(__xludf.DUMMYFUNCTION("""COMPUTED_VALUE"""),158.14)</f>
        <v>158.14</v>
      </c>
      <c r="E2442" s="2">
        <f>IFERROR(__xludf.DUMMYFUNCTION("""COMPUTED_VALUE"""),162.4)</f>
        <v>162.4</v>
      </c>
      <c r="F2442" s="2">
        <f>IFERROR(__xludf.DUMMYFUNCTION("""COMPUTED_VALUE"""),627523.0)</f>
        <v>627523</v>
      </c>
    </row>
    <row r="2443">
      <c r="A2443" s="3">
        <f>IFERROR(__xludf.DUMMYFUNCTION("""COMPUTED_VALUE"""),40122.645833333336)</f>
        <v>40122.64583</v>
      </c>
      <c r="B2443" s="2">
        <f>IFERROR(__xludf.DUMMYFUNCTION("""COMPUTED_VALUE"""),161.98)</f>
        <v>161.98</v>
      </c>
      <c r="C2443" s="2">
        <f>IFERROR(__xludf.DUMMYFUNCTION("""COMPUTED_VALUE"""),163.78)</f>
        <v>163.78</v>
      </c>
      <c r="D2443" s="2">
        <f>IFERROR(__xludf.DUMMYFUNCTION("""COMPUTED_VALUE"""),158.7)</f>
        <v>158.7</v>
      </c>
      <c r="E2443" s="2">
        <f>IFERROR(__xludf.DUMMYFUNCTION("""COMPUTED_VALUE"""),162.34)</f>
        <v>162.34</v>
      </c>
      <c r="F2443" s="2">
        <f>IFERROR(__xludf.DUMMYFUNCTION("""COMPUTED_VALUE"""),987145.0)</f>
        <v>987145</v>
      </c>
    </row>
    <row r="2444">
      <c r="A2444" s="3">
        <f>IFERROR(__xludf.DUMMYFUNCTION("""COMPUTED_VALUE"""),40123.645833333336)</f>
        <v>40123.64583</v>
      </c>
      <c r="B2444" s="2">
        <f>IFERROR(__xludf.DUMMYFUNCTION("""COMPUTED_VALUE"""),163.5)</f>
        <v>163.5</v>
      </c>
      <c r="C2444" s="2">
        <f>IFERROR(__xludf.DUMMYFUNCTION("""COMPUTED_VALUE"""),165.35)</f>
        <v>165.35</v>
      </c>
      <c r="D2444" s="2">
        <f>IFERROR(__xludf.DUMMYFUNCTION("""COMPUTED_VALUE"""),162.2)</f>
        <v>162.2</v>
      </c>
      <c r="E2444" s="2">
        <f>IFERROR(__xludf.DUMMYFUNCTION("""COMPUTED_VALUE"""),164.0)</f>
        <v>164</v>
      </c>
      <c r="F2444" s="2">
        <f>IFERROR(__xludf.DUMMYFUNCTION("""COMPUTED_VALUE"""),573906.0)</f>
        <v>573906</v>
      </c>
    </row>
    <row r="2445">
      <c r="A2445" s="3">
        <f>IFERROR(__xludf.DUMMYFUNCTION("""COMPUTED_VALUE"""),40126.645833333336)</f>
        <v>40126.64583</v>
      </c>
      <c r="B2445" s="2">
        <f>IFERROR(__xludf.DUMMYFUNCTION("""COMPUTED_VALUE"""),164.1)</f>
        <v>164.1</v>
      </c>
      <c r="C2445" s="2">
        <f>IFERROR(__xludf.DUMMYFUNCTION("""COMPUTED_VALUE"""),171.0)</f>
        <v>171</v>
      </c>
      <c r="D2445" s="2">
        <f>IFERROR(__xludf.DUMMYFUNCTION("""COMPUTED_VALUE"""),164.0)</f>
        <v>164</v>
      </c>
      <c r="E2445" s="2">
        <f>IFERROR(__xludf.DUMMYFUNCTION("""COMPUTED_VALUE"""),170.75)</f>
        <v>170.75</v>
      </c>
      <c r="F2445" s="2">
        <f>IFERROR(__xludf.DUMMYFUNCTION("""COMPUTED_VALUE"""),873622.0)</f>
        <v>873622</v>
      </c>
    </row>
    <row r="2446">
      <c r="A2446" s="3">
        <f>IFERROR(__xludf.DUMMYFUNCTION("""COMPUTED_VALUE"""),40127.645833333336)</f>
        <v>40127.64583</v>
      </c>
      <c r="B2446" s="2">
        <f>IFERROR(__xludf.DUMMYFUNCTION("""COMPUTED_VALUE"""),170.04)</f>
        <v>170.04</v>
      </c>
      <c r="C2446" s="2">
        <f>IFERROR(__xludf.DUMMYFUNCTION("""COMPUTED_VALUE"""),174.19)</f>
        <v>174.19</v>
      </c>
      <c r="D2446" s="2">
        <f>IFERROR(__xludf.DUMMYFUNCTION("""COMPUTED_VALUE"""),169.17)</f>
        <v>169.17</v>
      </c>
      <c r="E2446" s="2">
        <f>IFERROR(__xludf.DUMMYFUNCTION("""COMPUTED_VALUE"""),170.35)</f>
        <v>170.35</v>
      </c>
      <c r="F2446" s="2">
        <f>IFERROR(__xludf.DUMMYFUNCTION("""COMPUTED_VALUE"""),936435.0)</f>
        <v>936435</v>
      </c>
    </row>
    <row r="2447">
      <c r="A2447" s="3">
        <f>IFERROR(__xludf.DUMMYFUNCTION("""COMPUTED_VALUE"""),40128.645833333336)</f>
        <v>40128.64583</v>
      </c>
      <c r="B2447" s="2">
        <f>IFERROR(__xludf.DUMMYFUNCTION("""COMPUTED_VALUE"""),167.54)</f>
        <v>167.54</v>
      </c>
      <c r="C2447" s="2">
        <f>IFERROR(__xludf.DUMMYFUNCTION("""COMPUTED_VALUE"""),174.0)</f>
        <v>174</v>
      </c>
      <c r="D2447" s="2">
        <f>IFERROR(__xludf.DUMMYFUNCTION("""COMPUTED_VALUE"""),167.54)</f>
        <v>167.54</v>
      </c>
      <c r="E2447" s="2">
        <f>IFERROR(__xludf.DUMMYFUNCTION("""COMPUTED_VALUE"""),173.59)</f>
        <v>173.59</v>
      </c>
      <c r="F2447" s="2">
        <f>IFERROR(__xludf.DUMMYFUNCTION("""COMPUTED_VALUE"""),759590.0)</f>
        <v>759590</v>
      </c>
    </row>
    <row r="2448">
      <c r="A2448" s="3">
        <f>IFERROR(__xludf.DUMMYFUNCTION("""COMPUTED_VALUE"""),40129.645833333336)</f>
        <v>40129.64583</v>
      </c>
      <c r="B2448" s="2">
        <f>IFERROR(__xludf.DUMMYFUNCTION("""COMPUTED_VALUE"""),172.87)</f>
        <v>172.87</v>
      </c>
      <c r="C2448" s="2">
        <f>IFERROR(__xludf.DUMMYFUNCTION("""COMPUTED_VALUE"""),174.2)</f>
        <v>174.2</v>
      </c>
      <c r="D2448" s="2">
        <f>IFERROR(__xludf.DUMMYFUNCTION("""COMPUTED_VALUE"""),170.76)</f>
        <v>170.76</v>
      </c>
      <c r="E2448" s="2">
        <f>IFERROR(__xludf.DUMMYFUNCTION("""COMPUTED_VALUE"""),171.66)</f>
        <v>171.66</v>
      </c>
      <c r="F2448" s="2">
        <f>IFERROR(__xludf.DUMMYFUNCTION("""COMPUTED_VALUE"""),784495.0)</f>
        <v>784495</v>
      </c>
    </row>
    <row r="2449">
      <c r="A2449" s="3">
        <f>IFERROR(__xludf.DUMMYFUNCTION("""COMPUTED_VALUE"""),40130.645833333336)</f>
        <v>40130.64583</v>
      </c>
      <c r="B2449" s="2">
        <f>IFERROR(__xludf.DUMMYFUNCTION("""COMPUTED_VALUE"""),170.56)</f>
        <v>170.56</v>
      </c>
      <c r="C2449" s="2">
        <f>IFERROR(__xludf.DUMMYFUNCTION("""COMPUTED_VALUE"""),174.1)</f>
        <v>174.1</v>
      </c>
      <c r="D2449" s="2">
        <f>IFERROR(__xludf.DUMMYFUNCTION("""COMPUTED_VALUE"""),170.56)</f>
        <v>170.56</v>
      </c>
      <c r="E2449" s="2">
        <f>IFERROR(__xludf.DUMMYFUNCTION("""COMPUTED_VALUE"""),172.23)</f>
        <v>172.23</v>
      </c>
      <c r="F2449" s="2">
        <f>IFERROR(__xludf.DUMMYFUNCTION("""COMPUTED_VALUE"""),862291.0)</f>
        <v>862291</v>
      </c>
    </row>
    <row r="2450">
      <c r="A2450" s="3">
        <f>IFERROR(__xludf.DUMMYFUNCTION("""COMPUTED_VALUE"""),40133.645833333336)</f>
        <v>40133.64583</v>
      </c>
      <c r="B2450" s="2">
        <f>IFERROR(__xludf.DUMMYFUNCTION("""COMPUTED_VALUE"""),172.3)</f>
        <v>172.3</v>
      </c>
      <c r="C2450" s="2">
        <f>IFERROR(__xludf.DUMMYFUNCTION("""COMPUTED_VALUE"""),174.98)</f>
        <v>174.98</v>
      </c>
      <c r="D2450" s="2">
        <f>IFERROR(__xludf.DUMMYFUNCTION("""COMPUTED_VALUE"""),171.9)</f>
        <v>171.9</v>
      </c>
      <c r="E2450" s="2">
        <f>IFERROR(__xludf.DUMMYFUNCTION("""COMPUTED_VALUE"""),172.36)</f>
        <v>172.36</v>
      </c>
      <c r="F2450" s="2">
        <f>IFERROR(__xludf.DUMMYFUNCTION("""COMPUTED_VALUE"""),606556.0)</f>
        <v>606556</v>
      </c>
    </row>
    <row r="2451">
      <c r="A2451" s="3">
        <f>IFERROR(__xludf.DUMMYFUNCTION("""COMPUTED_VALUE"""),40134.645833333336)</f>
        <v>40134.64583</v>
      </c>
      <c r="B2451" s="2">
        <f>IFERROR(__xludf.DUMMYFUNCTION("""COMPUTED_VALUE"""),174.49)</f>
        <v>174.49</v>
      </c>
      <c r="C2451" s="2">
        <f>IFERROR(__xludf.DUMMYFUNCTION("""COMPUTED_VALUE"""),175.7)</f>
        <v>175.7</v>
      </c>
      <c r="D2451" s="2">
        <f>IFERROR(__xludf.DUMMYFUNCTION("""COMPUTED_VALUE"""),170.13)</f>
        <v>170.13</v>
      </c>
      <c r="E2451" s="2">
        <f>IFERROR(__xludf.DUMMYFUNCTION("""COMPUTED_VALUE"""),174.97)</f>
        <v>174.97</v>
      </c>
      <c r="F2451" s="2">
        <f>IFERROR(__xludf.DUMMYFUNCTION("""COMPUTED_VALUE"""),700690.0)</f>
        <v>700690</v>
      </c>
    </row>
    <row r="2452">
      <c r="A2452" s="3">
        <f>IFERROR(__xludf.DUMMYFUNCTION("""COMPUTED_VALUE"""),40135.645833333336)</f>
        <v>40135.64583</v>
      </c>
      <c r="B2452" s="2">
        <f>IFERROR(__xludf.DUMMYFUNCTION("""COMPUTED_VALUE"""),171.18)</f>
        <v>171.18</v>
      </c>
      <c r="C2452" s="2">
        <f>IFERROR(__xludf.DUMMYFUNCTION("""COMPUTED_VALUE"""),175.5)</f>
        <v>175.5</v>
      </c>
      <c r="D2452" s="2">
        <f>IFERROR(__xludf.DUMMYFUNCTION("""COMPUTED_VALUE"""),171.18)</f>
        <v>171.18</v>
      </c>
      <c r="E2452" s="2">
        <f>IFERROR(__xludf.DUMMYFUNCTION("""COMPUTED_VALUE"""),174.96)</f>
        <v>174.96</v>
      </c>
      <c r="F2452" s="2">
        <f>IFERROR(__xludf.DUMMYFUNCTION("""COMPUTED_VALUE"""),946530.0)</f>
        <v>946530</v>
      </c>
    </row>
    <row r="2453">
      <c r="A2453" s="3">
        <f>IFERROR(__xludf.DUMMYFUNCTION("""COMPUTED_VALUE"""),40136.645833333336)</f>
        <v>40136.64583</v>
      </c>
      <c r="B2453" s="2">
        <f>IFERROR(__xludf.DUMMYFUNCTION("""COMPUTED_VALUE"""),174.8)</f>
        <v>174.8</v>
      </c>
      <c r="C2453" s="2">
        <f>IFERROR(__xludf.DUMMYFUNCTION("""COMPUTED_VALUE"""),174.8)</f>
        <v>174.8</v>
      </c>
      <c r="D2453" s="2">
        <f>IFERROR(__xludf.DUMMYFUNCTION("""COMPUTED_VALUE"""),170.4)</f>
        <v>170.4</v>
      </c>
      <c r="E2453" s="2">
        <f>IFERROR(__xludf.DUMMYFUNCTION("""COMPUTED_VALUE"""),171.96)</f>
        <v>171.96</v>
      </c>
      <c r="F2453" s="2">
        <f>IFERROR(__xludf.DUMMYFUNCTION("""COMPUTED_VALUE"""),594112.0)</f>
        <v>594112</v>
      </c>
    </row>
    <row r="2454">
      <c r="A2454" s="3">
        <f>IFERROR(__xludf.DUMMYFUNCTION("""COMPUTED_VALUE"""),40137.645833333336)</f>
        <v>40137.64583</v>
      </c>
      <c r="B2454" s="2">
        <f>IFERROR(__xludf.DUMMYFUNCTION("""COMPUTED_VALUE"""),170.9)</f>
        <v>170.9</v>
      </c>
      <c r="C2454" s="2">
        <f>IFERROR(__xludf.DUMMYFUNCTION("""COMPUTED_VALUE"""),176.15)</f>
        <v>176.15</v>
      </c>
      <c r="D2454" s="2">
        <f>IFERROR(__xludf.DUMMYFUNCTION("""COMPUTED_VALUE"""),170.9)</f>
        <v>170.9</v>
      </c>
      <c r="E2454" s="2">
        <f>IFERROR(__xludf.DUMMYFUNCTION("""COMPUTED_VALUE"""),175.4)</f>
        <v>175.4</v>
      </c>
      <c r="F2454" s="2">
        <f>IFERROR(__xludf.DUMMYFUNCTION("""COMPUTED_VALUE"""),765396.0)</f>
        <v>765396</v>
      </c>
    </row>
    <row r="2455">
      <c r="A2455" s="3">
        <f>IFERROR(__xludf.DUMMYFUNCTION("""COMPUTED_VALUE"""),40140.645833333336)</f>
        <v>40140.64583</v>
      </c>
      <c r="B2455" s="2">
        <f>IFERROR(__xludf.DUMMYFUNCTION("""COMPUTED_VALUE"""),173.53)</f>
        <v>173.53</v>
      </c>
      <c r="C2455" s="2">
        <f>IFERROR(__xludf.DUMMYFUNCTION("""COMPUTED_VALUE"""),178.0)</f>
        <v>178</v>
      </c>
      <c r="D2455" s="2">
        <f>IFERROR(__xludf.DUMMYFUNCTION("""COMPUTED_VALUE"""),173.53)</f>
        <v>173.53</v>
      </c>
      <c r="E2455" s="2">
        <f>IFERROR(__xludf.DUMMYFUNCTION("""COMPUTED_VALUE"""),176.55)</f>
        <v>176.55</v>
      </c>
      <c r="F2455" s="2">
        <f>IFERROR(__xludf.DUMMYFUNCTION("""COMPUTED_VALUE"""),587322.0)</f>
        <v>587322</v>
      </c>
    </row>
    <row r="2456">
      <c r="A2456" s="3">
        <f>IFERROR(__xludf.DUMMYFUNCTION("""COMPUTED_VALUE"""),40141.645833333336)</f>
        <v>40141.64583</v>
      </c>
      <c r="B2456" s="2">
        <f>IFERROR(__xludf.DUMMYFUNCTION("""COMPUTED_VALUE"""),175.0)</f>
        <v>175</v>
      </c>
      <c r="C2456" s="2">
        <f>IFERROR(__xludf.DUMMYFUNCTION("""COMPUTED_VALUE"""),178.0)</f>
        <v>178</v>
      </c>
      <c r="D2456" s="2">
        <f>IFERROR(__xludf.DUMMYFUNCTION("""COMPUTED_VALUE"""),174.01)</f>
        <v>174.01</v>
      </c>
      <c r="E2456" s="2">
        <f>IFERROR(__xludf.DUMMYFUNCTION("""COMPUTED_VALUE"""),177.69)</f>
        <v>177.69</v>
      </c>
      <c r="F2456" s="2">
        <f>IFERROR(__xludf.DUMMYFUNCTION("""COMPUTED_VALUE"""),440165.0)</f>
        <v>440165</v>
      </c>
    </row>
    <row r="2457">
      <c r="A2457" s="3">
        <f>IFERROR(__xludf.DUMMYFUNCTION("""COMPUTED_VALUE"""),40142.645833333336)</f>
        <v>40142.64583</v>
      </c>
      <c r="B2457" s="2">
        <f>IFERROR(__xludf.DUMMYFUNCTION("""COMPUTED_VALUE"""),175.14)</f>
        <v>175.14</v>
      </c>
      <c r="C2457" s="2">
        <f>IFERROR(__xludf.DUMMYFUNCTION("""COMPUTED_VALUE"""),180.9)</f>
        <v>180.9</v>
      </c>
      <c r="D2457" s="2">
        <f>IFERROR(__xludf.DUMMYFUNCTION("""COMPUTED_VALUE"""),175.14)</f>
        <v>175.14</v>
      </c>
      <c r="E2457" s="2">
        <f>IFERROR(__xludf.DUMMYFUNCTION("""COMPUTED_VALUE"""),180.27)</f>
        <v>180.27</v>
      </c>
      <c r="F2457" s="2">
        <f>IFERROR(__xludf.DUMMYFUNCTION("""COMPUTED_VALUE"""),787479.0)</f>
        <v>787479</v>
      </c>
    </row>
    <row r="2458">
      <c r="A2458" s="3">
        <f>IFERROR(__xludf.DUMMYFUNCTION("""COMPUTED_VALUE"""),40143.645833333336)</f>
        <v>40143.64583</v>
      </c>
      <c r="B2458" s="2">
        <f>IFERROR(__xludf.DUMMYFUNCTION("""COMPUTED_VALUE"""),175.0)</f>
        <v>175</v>
      </c>
      <c r="C2458" s="2">
        <f>IFERROR(__xludf.DUMMYFUNCTION("""COMPUTED_VALUE"""),181.0)</f>
        <v>181</v>
      </c>
      <c r="D2458" s="2">
        <f>IFERROR(__xludf.DUMMYFUNCTION("""COMPUTED_VALUE"""),175.0)</f>
        <v>175</v>
      </c>
      <c r="E2458" s="2">
        <f>IFERROR(__xludf.DUMMYFUNCTION("""COMPUTED_VALUE"""),176.12)</f>
        <v>176.12</v>
      </c>
      <c r="F2458" s="2">
        <f>IFERROR(__xludf.DUMMYFUNCTION("""COMPUTED_VALUE"""),802882.0)</f>
        <v>802882</v>
      </c>
    </row>
    <row r="2459">
      <c r="A2459" s="3">
        <f>IFERROR(__xludf.DUMMYFUNCTION("""COMPUTED_VALUE"""),40144.645833333336)</f>
        <v>40144.64583</v>
      </c>
      <c r="B2459" s="2">
        <f>IFERROR(__xludf.DUMMYFUNCTION("""COMPUTED_VALUE"""),174.2)</f>
        <v>174.2</v>
      </c>
      <c r="C2459" s="2">
        <f>IFERROR(__xludf.DUMMYFUNCTION("""COMPUTED_VALUE"""),176.37)</f>
        <v>176.37</v>
      </c>
      <c r="D2459" s="2">
        <f>IFERROR(__xludf.DUMMYFUNCTION("""COMPUTED_VALUE"""),168.24)</f>
        <v>168.24</v>
      </c>
      <c r="E2459" s="2">
        <f>IFERROR(__xludf.DUMMYFUNCTION("""COMPUTED_VALUE"""),175.04)</f>
        <v>175.04</v>
      </c>
      <c r="F2459" s="2">
        <f>IFERROR(__xludf.DUMMYFUNCTION("""COMPUTED_VALUE"""),748776.0)</f>
        <v>748776</v>
      </c>
    </row>
    <row r="2460">
      <c r="A2460" s="3">
        <f>IFERROR(__xludf.DUMMYFUNCTION("""COMPUTED_VALUE"""),40147.645833333336)</f>
        <v>40147.64583</v>
      </c>
      <c r="B2460" s="2">
        <f>IFERROR(__xludf.DUMMYFUNCTION("""COMPUTED_VALUE"""),176.5)</f>
        <v>176.5</v>
      </c>
      <c r="C2460" s="2">
        <f>IFERROR(__xludf.DUMMYFUNCTION("""COMPUTED_VALUE"""),178.7)</f>
        <v>178.7</v>
      </c>
      <c r="D2460" s="2">
        <f>IFERROR(__xludf.DUMMYFUNCTION("""COMPUTED_VALUE"""),174.23)</f>
        <v>174.23</v>
      </c>
      <c r="E2460" s="2">
        <f>IFERROR(__xludf.DUMMYFUNCTION("""COMPUTED_VALUE"""),176.63)</f>
        <v>176.63</v>
      </c>
      <c r="F2460" s="2">
        <f>IFERROR(__xludf.DUMMYFUNCTION("""COMPUTED_VALUE"""),875564.0)</f>
        <v>875564</v>
      </c>
    </row>
    <row r="2461">
      <c r="A2461" s="3">
        <f>IFERROR(__xludf.DUMMYFUNCTION("""COMPUTED_VALUE"""),40148.645833333336)</f>
        <v>40148.64583</v>
      </c>
      <c r="B2461" s="2">
        <f>IFERROR(__xludf.DUMMYFUNCTION("""COMPUTED_VALUE"""),177.97)</f>
        <v>177.97</v>
      </c>
      <c r="C2461" s="2">
        <f>IFERROR(__xludf.DUMMYFUNCTION("""COMPUTED_VALUE"""),179.9)</f>
        <v>179.9</v>
      </c>
      <c r="D2461" s="2">
        <f>IFERROR(__xludf.DUMMYFUNCTION("""COMPUTED_VALUE"""),175.0)</f>
        <v>175</v>
      </c>
      <c r="E2461" s="2">
        <f>IFERROR(__xludf.DUMMYFUNCTION("""COMPUTED_VALUE"""),178.97)</f>
        <v>178.97</v>
      </c>
      <c r="F2461" s="2">
        <f>IFERROR(__xludf.DUMMYFUNCTION("""COMPUTED_VALUE"""),548753.0)</f>
        <v>548753</v>
      </c>
    </row>
    <row r="2462">
      <c r="A2462" s="3">
        <f>IFERROR(__xludf.DUMMYFUNCTION("""COMPUTED_VALUE"""),40149.645833333336)</f>
        <v>40149.64583</v>
      </c>
      <c r="B2462" s="2">
        <f>IFERROR(__xludf.DUMMYFUNCTION("""COMPUTED_VALUE"""),178.01)</f>
        <v>178.01</v>
      </c>
      <c r="C2462" s="2">
        <f>IFERROR(__xludf.DUMMYFUNCTION("""COMPUTED_VALUE"""),181.35)</f>
        <v>181.35</v>
      </c>
      <c r="D2462" s="2">
        <f>IFERROR(__xludf.DUMMYFUNCTION("""COMPUTED_VALUE"""),177.63)</f>
        <v>177.63</v>
      </c>
      <c r="E2462" s="2">
        <f>IFERROR(__xludf.DUMMYFUNCTION("""COMPUTED_VALUE"""),180.71)</f>
        <v>180.71</v>
      </c>
      <c r="F2462" s="2">
        <f>IFERROR(__xludf.DUMMYFUNCTION("""COMPUTED_VALUE"""),1185166.0)</f>
        <v>1185166</v>
      </c>
    </row>
    <row r="2463">
      <c r="A2463" s="3">
        <f>IFERROR(__xludf.DUMMYFUNCTION("""COMPUTED_VALUE"""),40150.645833333336)</f>
        <v>40150.64583</v>
      </c>
      <c r="B2463" s="2">
        <f>IFERROR(__xludf.DUMMYFUNCTION("""COMPUTED_VALUE"""),178.86)</f>
        <v>178.86</v>
      </c>
      <c r="C2463" s="2">
        <f>IFERROR(__xludf.DUMMYFUNCTION("""COMPUTED_VALUE"""),182.4)</f>
        <v>182.4</v>
      </c>
      <c r="D2463" s="2">
        <f>IFERROR(__xludf.DUMMYFUNCTION("""COMPUTED_VALUE"""),178.86)</f>
        <v>178.86</v>
      </c>
      <c r="E2463" s="2">
        <f>IFERROR(__xludf.DUMMYFUNCTION("""COMPUTED_VALUE"""),180.7)</f>
        <v>180.7</v>
      </c>
      <c r="F2463" s="2">
        <f>IFERROR(__xludf.DUMMYFUNCTION("""COMPUTED_VALUE"""),487647.0)</f>
        <v>487647</v>
      </c>
    </row>
    <row r="2464">
      <c r="A2464" s="3">
        <f>IFERROR(__xludf.DUMMYFUNCTION("""COMPUTED_VALUE"""),40151.645833333336)</f>
        <v>40151.64583</v>
      </c>
      <c r="B2464" s="2">
        <f>IFERROR(__xludf.DUMMYFUNCTION("""COMPUTED_VALUE"""),178.62)</f>
        <v>178.62</v>
      </c>
      <c r="C2464" s="2">
        <f>IFERROR(__xludf.DUMMYFUNCTION("""COMPUTED_VALUE"""),180.1)</f>
        <v>180.1</v>
      </c>
      <c r="D2464" s="2">
        <f>IFERROR(__xludf.DUMMYFUNCTION("""COMPUTED_VALUE"""),177.51)</f>
        <v>177.51</v>
      </c>
      <c r="E2464" s="2">
        <f>IFERROR(__xludf.DUMMYFUNCTION("""COMPUTED_VALUE"""),178.96)</f>
        <v>178.96</v>
      </c>
      <c r="F2464" s="2">
        <f>IFERROR(__xludf.DUMMYFUNCTION("""COMPUTED_VALUE"""),338928.0)</f>
        <v>338928</v>
      </c>
    </row>
    <row r="2465">
      <c r="A2465" s="3">
        <f>IFERROR(__xludf.DUMMYFUNCTION("""COMPUTED_VALUE"""),40154.645833333336)</f>
        <v>40154.64583</v>
      </c>
      <c r="B2465" s="2">
        <f>IFERROR(__xludf.DUMMYFUNCTION("""COMPUTED_VALUE"""),179.0)</f>
        <v>179</v>
      </c>
      <c r="C2465" s="2">
        <f>IFERROR(__xludf.DUMMYFUNCTION("""COMPUTED_VALUE"""),180.77)</f>
        <v>180.77</v>
      </c>
      <c r="D2465" s="2">
        <f>IFERROR(__xludf.DUMMYFUNCTION("""COMPUTED_VALUE"""),178.5)</f>
        <v>178.5</v>
      </c>
      <c r="E2465" s="2">
        <f>IFERROR(__xludf.DUMMYFUNCTION("""COMPUTED_VALUE"""),179.74)</f>
        <v>179.74</v>
      </c>
      <c r="F2465" s="2">
        <f>IFERROR(__xludf.DUMMYFUNCTION("""COMPUTED_VALUE"""),455106.0)</f>
        <v>455106</v>
      </c>
    </row>
    <row r="2466">
      <c r="A2466" s="3">
        <f>IFERROR(__xludf.DUMMYFUNCTION("""COMPUTED_VALUE"""),40155.645833333336)</f>
        <v>40155.64583</v>
      </c>
      <c r="B2466" s="2">
        <f>IFERROR(__xludf.DUMMYFUNCTION("""COMPUTED_VALUE"""),178.7)</f>
        <v>178.7</v>
      </c>
      <c r="C2466" s="2">
        <f>IFERROR(__xludf.DUMMYFUNCTION("""COMPUTED_VALUE"""),183.9)</f>
        <v>183.9</v>
      </c>
      <c r="D2466" s="2">
        <f>IFERROR(__xludf.DUMMYFUNCTION("""COMPUTED_VALUE"""),177.24)</f>
        <v>177.24</v>
      </c>
      <c r="E2466" s="2">
        <f>IFERROR(__xludf.DUMMYFUNCTION("""COMPUTED_VALUE"""),183.33)</f>
        <v>183.33</v>
      </c>
      <c r="F2466" s="2">
        <f>IFERROR(__xludf.DUMMYFUNCTION("""COMPUTED_VALUE"""),683064.0)</f>
        <v>683064</v>
      </c>
    </row>
    <row r="2467">
      <c r="A2467" s="3">
        <f>IFERROR(__xludf.DUMMYFUNCTION("""COMPUTED_VALUE"""),40156.645833333336)</f>
        <v>40156.64583</v>
      </c>
      <c r="B2467" s="2">
        <f>IFERROR(__xludf.DUMMYFUNCTION("""COMPUTED_VALUE"""),180.57)</f>
        <v>180.57</v>
      </c>
      <c r="C2467" s="2">
        <f>IFERROR(__xludf.DUMMYFUNCTION("""COMPUTED_VALUE"""),183.48)</f>
        <v>183.48</v>
      </c>
      <c r="D2467" s="2">
        <f>IFERROR(__xludf.DUMMYFUNCTION("""COMPUTED_VALUE"""),179.15)</f>
        <v>179.15</v>
      </c>
      <c r="E2467" s="2">
        <f>IFERROR(__xludf.DUMMYFUNCTION("""COMPUTED_VALUE"""),180.44)</f>
        <v>180.44</v>
      </c>
      <c r="F2467" s="2">
        <f>IFERROR(__xludf.DUMMYFUNCTION("""COMPUTED_VALUE"""),803437.0)</f>
        <v>803437</v>
      </c>
    </row>
    <row r="2468">
      <c r="A2468" s="3">
        <f>IFERROR(__xludf.DUMMYFUNCTION("""COMPUTED_VALUE"""),40157.645833333336)</f>
        <v>40157.64583</v>
      </c>
      <c r="B2468" s="2">
        <f>IFERROR(__xludf.DUMMYFUNCTION("""COMPUTED_VALUE"""),179.14)</f>
        <v>179.14</v>
      </c>
      <c r="C2468" s="2">
        <f>IFERROR(__xludf.DUMMYFUNCTION("""COMPUTED_VALUE"""),180.5)</f>
        <v>180.5</v>
      </c>
      <c r="D2468" s="2">
        <f>IFERROR(__xludf.DUMMYFUNCTION("""COMPUTED_VALUE"""),177.24)</f>
        <v>177.24</v>
      </c>
      <c r="E2468" s="2">
        <f>IFERROR(__xludf.DUMMYFUNCTION("""COMPUTED_VALUE"""),178.51)</f>
        <v>178.51</v>
      </c>
      <c r="F2468" s="2">
        <f>IFERROR(__xludf.DUMMYFUNCTION("""COMPUTED_VALUE"""),611696.0)</f>
        <v>611696</v>
      </c>
    </row>
    <row r="2469">
      <c r="A2469" s="3">
        <f>IFERROR(__xludf.DUMMYFUNCTION("""COMPUTED_VALUE"""),40158.645833333336)</f>
        <v>40158.64583</v>
      </c>
      <c r="B2469" s="2">
        <f>IFERROR(__xludf.DUMMYFUNCTION("""COMPUTED_VALUE"""),178.89)</f>
        <v>178.89</v>
      </c>
      <c r="C2469" s="2">
        <f>IFERROR(__xludf.DUMMYFUNCTION("""COMPUTED_VALUE"""),179.9)</f>
        <v>179.9</v>
      </c>
      <c r="D2469" s="2">
        <f>IFERROR(__xludf.DUMMYFUNCTION("""COMPUTED_VALUE"""),176.31)</f>
        <v>176.31</v>
      </c>
      <c r="E2469" s="2">
        <f>IFERROR(__xludf.DUMMYFUNCTION("""COMPUTED_VALUE"""),178.52)</f>
        <v>178.52</v>
      </c>
      <c r="F2469" s="2">
        <f>IFERROR(__xludf.DUMMYFUNCTION("""COMPUTED_VALUE"""),597660.0)</f>
        <v>597660</v>
      </c>
    </row>
    <row r="2470">
      <c r="A2470" s="3">
        <f>IFERROR(__xludf.DUMMYFUNCTION("""COMPUTED_VALUE"""),40161.645833333336)</f>
        <v>40161.64583</v>
      </c>
      <c r="B2470" s="2">
        <f>IFERROR(__xludf.DUMMYFUNCTION("""COMPUTED_VALUE"""),178.47)</f>
        <v>178.47</v>
      </c>
      <c r="C2470" s="2">
        <f>IFERROR(__xludf.DUMMYFUNCTION("""COMPUTED_VALUE"""),180.0)</f>
        <v>180</v>
      </c>
      <c r="D2470" s="2">
        <f>IFERROR(__xludf.DUMMYFUNCTION("""COMPUTED_VALUE"""),174.9)</f>
        <v>174.9</v>
      </c>
      <c r="E2470" s="2">
        <f>IFERROR(__xludf.DUMMYFUNCTION("""COMPUTED_VALUE"""),175.73)</f>
        <v>175.73</v>
      </c>
      <c r="F2470" s="2">
        <f>IFERROR(__xludf.DUMMYFUNCTION("""COMPUTED_VALUE"""),807112.0)</f>
        <v>807112</v>
      </c>
    </row>
    <row r="2471">
      <c r="A2471" s="3">
        <f>IFERROR(__xludf.DUMMYFUNCTION("""COMPUTED_VALUE"""),40162.645833333336)</f>
        <v>40162.64583</v>
      </c>
      <c r="B2471" s="2">
        <f>IFERROR(__xludf.DUMMYFUNCTION("""COMPUTED_VALUE"""),173.66)</f>
        <v>173.66</v>
      </c>
      <c r="C2471" s="2">
        <f>IFERROR(__xludf.DUMMYFUNCTION("""COMPUTED_VALUE"""),176.7)</f>
        <v>176.7</v>
      </c>
      <c r="D2471" s="2">
        <f>IFERROR(__xludf.DUMMYFUNCTION("""COMPUTED_VALUE"""),169.0)</f>
        <v>169</v>
      </c>
      <c r="E2471" s="2">
        <f>IFERROR(__xludf.DUMMYFUNCTION("""COMPUTED_VALUE"""),170.08)</f>
        <v>170.08</v>
      </c>
      <c r="F2471" s="2">
        <f>IFERROR(__xludf.DUMMYFUNCTION("""COMPUTED_VALUE"""),854318.0)</f>
        <v>854318</v>
      </c>
    </row>
    <row r="2472">
      <c r="A2472" s="3">
        <f>IFERROR(__xludf.DUMMYFUNCTION("""COMPUTED_VALUE"""),40163.645833333336)</f>
        <v>40163.64583</v>
      </c>
      <c r="B2472" s="2">
        <f>IFERROR(__xludf.DUMMYFUNCTION("""COMPUTED_VALUE"""),167.66)</f>
        <v>167.66</v>
      </c>
      <c r="C2472" s="2">
        <f>IFERROR(__xludf.DUMMYFUNCTION("""COMPUTED_VALUE"""),170.89)</f>
        <v>170.89</v>
      </c>
      <c r="D2472" s="2">
        <f>IFERROR(__xludf.DUMMYFUNCTION("""COMPUTED_VALUE"""),167.5)</f>
        <v>167.5</v>
      </c>
      <c r="E2472" s="2">
        <f>IFERROR(__xludf.DUMMYFUNCTION("""COMPUTED_VALUE"""),169.34)</f>
        <v>169.34</v>
      </c>
      <c r="F2472" s="2">
        <f>IFERROR(__xludf.DUMMYFUNCTION("""COMPUTED_VALUE"""),858092.0)</f>
        <v>858092</v>
      </c>
    </row>
    <row r="2473">
      <c r="A2473" s="3">
        <f>IFERROR(__xludf.DUMMYFUNCTION("""COMPUTED_VALUE"""),40164.645833333336)</f>
        <v>40164.64583</v>
      </c>
      <c r="B2473" s="2">
        <f>IFERROR(__xludf.DUMMYFUNCTION("""COMPUTED_VALUE"""),168.0)</f>
        <v>168</v>
      </c>
      <c r="C2473" s="2">
        <f>IFERROR(__xludf.DUMMYFUNCTION("""COMPUTED_VALUE"""),169.7)</f>
        <v>169.7</v>
      </c>
      <c r="D2473" s="2">
        <f>IFERROR(__xludf.DUMMYFUNCTION("""COMPUTED_VALUE"""),166.7)</f>
        <v>166.7</v>
      </c>
      <c r="E2473" s="2">
        <f>IFERROR(__xludf.DUMMYFUNCTION("""COMPUTED_VALUE"""),167.15)</f>
        <v>167.15</v>
      </c>
      <c r="F2473" s="2">
        <f>IFERROR(__xludf.DUMMYFUNCTION("""COMPUTED_VALUE"""),659767.0)</f>
        <v>659767</v>
      </c>
    </row>
    <row r="2474">
      <c r="A2474" s="3">
        <f>IFERROR(__xludf.DUMMYFUNCTION("""COMPUTED_VALUE"""),40165.645833333336)</f>
        <v>40165.64583</v>
      </c>
      <c r="B2474" s="2">
        <f>IFERROR(__xludf.DUMMYFUNCTION("""COMPUTED_VALUE"""),165.14)</f>
        <v>165.14</v>
      </c>
      <c r="C2474" s="2">
        <f>IFERROR(__xludf.DUMMYFUNCTION("""COMPUTED_VALUE"""),167.32)</f>
        <v>167.32</v>
      </c>
      <c r="D2474" s="2">
        <f>IFERROR(__xludf.DUMMYFUNCTION("""COMPUTED_VALUE"""),164.69)</f>
        <v>164.69</v>
      </c>
      <c r="E2474" s="2">
        <f>IFERROR(__xludf.DUMMYFUNCTION("""COMPUTED_VALUE"""),166.41)</f>
        <v>166.41</v>
      </c>
      <c r="F2474" s="2">
        <f>IFERROR(__xludf.DUMMYFUNCTION("""COMPUTED_VALUE"""),628178.0)</f>
        <v>628178</v>
      </c>
    </row>
    <row r="2475">
      <c r="A2475" s="3">
        <f>IFERROR(__xludf.DUMMYFUNCTION("""COMPUTED_VALUE"""),40168.645833333336)</f>
        <v>40168.64583</v>
      </c>
      <c r="B2475" s="2">
        <f>IFERROR(__xludf.DUMMYFUNCTION("""COMPUTED_VALUE"""),166.41)</f>
        <v>166.41</v>
      </c>
      <c r="C2475" s="2">
        <f>IFERROR(__xludf.DUMMYFUNCTION("""COMPUTED_VALUE"""),167.12)</f>
        <v>167.12</v>
      </c>
      <c r="D2475" s="2">
        <f>IFERROR(__xludf.DUMMYFUNCTION("""COMPUTED_VALUE"""),164.71)</f>
        <v>164.71</v>
      </c>
      <c r="E2475" s="2">
        <f>IFERROR(__xludf.DUMMYFUNCTION("""COMPUTED_VALUE"""),165.28)</f>
        <v>165.28</v>
      </c>
      <c r="F2475" s="2">
        <f>IFERROR(__xludf.DUMMYFUNCTION("""COMPUTED_VALUE"""),859443.0)</f>
        <v>859443</v>
      </c>
    </row>
    <row r="2476">
      <c r="A2476" s="3">
        <f>IFERROR(__xludf.DUMMYFUNCTION("""COMPUTED_VALUE"""),40169.645833333336)</f>
        <v>40169.64583</v>
      </c>
      <c r="B2476" s="2">
        <f>IFERROR(__xludf.DUMMYFUNCTION("""COMPUTED_VALUE"""),166.0)</f>
        <v>166</v>
      </c>
      <c r="C2476" s="2">
        <f>IFERROR(__xludf.DUMMYFUNCTION("""COMPUTED_VALUE"""),166.72)</f>
        <v>166.72</v>
      </c>
      <c r="D2476" s="2">
        <f>IFERROR(__xludf.DUMMYFUNCTION("""COMPUTED_VALUE"""),164.21)</f>
        <v>164.21</v>
      </c>
      <c r="E2476" s="2">
        <f>IFERROR(__xludf.DUMMYFUNCTION("""COMPUTED_VALUE"""),164.66)</f>
        <v>164.66</v>
      </c>
      <c r="F2476" s="2">
        <f>IFERROR(__xludf.DUMMYFUNCTION("""COMPUTED_VALUE"""),627431.0)</f>
        <v>627431</v>
      </c>
    </row>
    <row r="2477">
      <c r="A2477" s="3">
        <f>IFERROR(__xludf.DUMMYFUNCTION("""COMPUTED_VALUE"""),40170.645833333336)</f>
        <v>40170.64583</v>
      </c>
      <c r="B2477" s="2">
        <f>IFERROR(__xludf.DUMMYFUNCTION("""COMPUTED_VALUE"""),165.0)</f>
        <v>165</v>
      </c>
      <c r="C2477" s="2">
        <f>IFERROR(__xludf.DUMMYFUNCTION("""COMPUTED_VALUE"""),170.0)</f>
        <v>170</v>
      </c>
      <c r="D2477" s="2">
        <f>IFERROR(__xludf.DUMMYFUNCTION("""COMPUTED_VALUE"""),165.0)</f>
        <v>165</v>
      </c>
      <c r="E2477" s="2">
        <f>IFERROR(__xludf.DUMMYFUNCTION("""COMPUTED_VALUE"""),169.04)</f>
        <v>169.04</v>
      </c>
      <c r="F2477" s="2">
        <f>IFERROR(__xludf.DUMMYFUNCTION("""COMPUTED_VALUE"""),1010437.0)</f>
        <v>1010437</v>
      </c>
    </row>
    <row r="2478">
      <c r="A2478" s="3">
        <f>IFERROR(__xludf.DUMMYFUNCTION("""COMPUTED_VALUE"""),40171.645833333336)</f>
        <v>40171.64583</v>
      </c>
      <c r="B2478" s="2">
        <f>IFERROR(__xludf.DUMMYFUNCTION("""COMPUTED_VALUE"""),170.24)</f>
        <v>170.24</v>
      </c>
      <c r="C2478" s="2">
        <f>IFERROR(__xludf.DUMMYFUNCTION("""COMPUTED_VALUE"""),172.4)</f>
        <v>172.4</v>
      </c>
      <c r="D2478" s="2">
        <f>IFERROR(__xludf.DUMMYFUNCTION("""COMPUTED_VALUE"""),168.42)</f>
        <v>168.42</v>
      </c>
      <c r="E2478" s="2">
        <f>IFERROR(__xludf.DUMMYFUNCTION("""COMPUTED_VALUE"""),171.07)</f>
        <v>171.07</v>
      </c>
      <c r="F2478" s="2">
        <f>IFERROR(__xludf.DUMMYFUNCTION("""COMPUTED_VALUE"""),371897.0)</f>
        <v>371897</v>
      </c>
    </row>
    <row r="2479">
      <c r="A2479" s="3">
        <f>IFERROR(__xludf.DUMMYFUNCTION("""COMPUTED_VALUE"""),40176.645833333336)</f>
        <v>40176.64583</v>
      </c>
      <c r="B2479" s="2">
        <f>IFERROR(__xludf.DUMMYFUNCTION("""COMPUTED_VALUE"""),171.77)</f>
        <v>171.77</v>
      </c>
      <c r="C2479" s="2">
        <f>IFERROR(__xludf.DUMMYFUNCTION("""COMPUTED_VALUE"""),171.8)</f>
        <v>171.8</v>
      </c>
      <c r="D2479" s="2">
        <f>IFERROR(__xludf.DUMMYFUNCTION("""COMPUTED_VALUE"""),168.68)</f>
        <v>168.68</v>
      </c>
      <c r="E2479" s="2">
        <f>IFERROR(__xludf.DUMMYFUNCTION("""COMPUTED_VALUE"""),169.7)</f>
        <v>169.7</v>
      </c>
      <c r="F2479" s="2">
        <f>IFERROR(__xludf.DUMMYFUNCTION("""COMPUTED_VALUE"""),520229.0)</f>
        <v>520229</v>
      </c>
    </row>
    <row r="2480">
      <c r="A2480" s="3">
        <f>IFERROR(__xludf.DUMMYFUNCTION("""COMPUTED_VALUE"""),40177.645833333336)</f>
        <v>40177.64583</v>
      </c>
      <c r="B2480" s="2">
        <f>IFERROR(__xludf.DUMMYFUNCTION("""COMPUTED_VALUE"""),169.98)</f>
        <v>169.98</v>
      </c>
      <c r="C2480" s="2">
        <f>IFERROR(__xludf.DUMMYFUNCTION("""COMPUTED_VALUE"""),169.98)</f>
        <v>169.98</v>
      </c>
      <c r="D2480" s="2">
        <f>IFERROR(__xludf.DUMMYFUNCTION("""COMPUTED_VALUE"""),167.5)</f>
        <v>167.5</v>
      </c>
      <c r="E2480" s="2">
        <f>IFERROR(__xludf.DUMMYFUNCTION("""COMPUTED_VALUE"""),169.25)</f>
        <v>169.25</v>
      </c>
      <c r="F2480" s="2">
        <f>IFERROR(__xludf.DUMMYFUNCTION("""COMPUTED_VALUE"""),426551.0)</f>
        <v>426551</v>
      </c>
    </row>
    <row r="2481">
      <c r="A2481" s="3">
        <f>IFERROR(__xludf.DUMMYFUNCTION("""COMPUTED_VALUE"""),40178.645833333336)</f>
        <v>40178.64583</v>
      </c>
      <c r="B2481" s="2">
        <f>IFERROR(__xludf.DUMMYFUNCTION("""COMPUTED_VALUE"""),170.0)</f>
        <v>170</v>
      </c>
      <c r="C2481" s="2">
        <f>IFERROR(__xludf.DUMMYFUNCTION("""COMPUTED_VALUE"""),171.4)</f>
        <v>171.4</v>
      </c>
      <c r="D2481" s="2">
        <f>IFERROR(__xludf.DUMMYFUNCTION("""COMPUTED_VALUE"""),168.99)</f>
        <v>168.99</v>
      </c>
      <c r="E2481" s="2">
        <f>IFERROR(__xludf.DUMMYFUNCTION("""COMPUTED_VALUE"""),170.23)</f>
        <v>170.23</v>
      </c>
      <c r="F2481" s="2">
        <f>IFERROR(__xludf.DUMMYFUNCTION("""COMPUTED_VALUE"""),575822.0)</f>
        <v>575822</v>
      </c>
    </row>
    <row r="2482">
      <c r="A2482" s="3">
        <f>IFERROR(__xludf.DUMMYFUNCTION("""COMPUTED_VALUE"""),40182.645833333336)</f>
        <v>40182.64583</v>
      </c>
      <c r="B2482" s="2">
        <f>IFERROR(__xludf.DUMMYFUNCTION("""COMPUTED_VALUE"""),170.0)</f>
        <v>170</v>
      </c>
      <c r="C2482" s="2">
        <f>IFERROR(__xludf.DUMMYFUNCTION("""COMPUTED_VALUE"""),172.85)</f>
        <v>172.85</v>
      </c>
      <c r="D2482" s="2">
        <f>IFERROR(__xludf.DUMMYFUNCTION("""COMPUTED_VALUE"""),169.26)</f>
        <v>169.26</v>
      </c>
      <c r="E2482" s="2">
        <f>IFERROR(__xludf.DUMMYFUNCTION("""COMPUTED_VALUE"""),170.57)</f>
        <v>170.57</v>
      </c>
      <c r="F2482" s="2">
        <f>IFERROR(__xludf.DUMMYFUNCTION("""COMPUTED_VALUE"""),305049.0)</f>
        <v>305049</v>
      </c>
    </row>
    <row r="2483">
      <c r="A2483" s="3">
        <f>IFERROR(__xludf.DUMMYFUNCTION("""COMPUTED_VALUE"""),40183.645833333336)</f>
        <v>40183.64583</v>
      </c>
      <c r="B2483" s="2">
        <f>IFERROR(__xludf.DUMMYFUNCTION("""COMPUTED_VALUE"""),171.0)</f>
        <v>171</v>
      </c>
      <c r="C2483" s="2">
        <f>IFERROR(__xludf.DUMMYFUNCTION("""COMPUTED_VALUE"""),172.5)</f>
        <v>172.5</v>
      </c>
      <c r="D2483" s="2">
        <f>IFERROR(__xludf.DUMMYFUNCTION("""COMPUTED_VALUE"""),170.5)</f>
        <v>170.5</v>
      </c>
      <c r="E2483" s="2">
        <f>IFERROR(__xludf.DUMMYFUNCTION("""COMPUTED_VALUE"""),170.72)</f>
        <v>170.72</v>
      </c>
      <c r="F2483" s="2">
        <f>IFERROR(__xludf.DUMMYFUNCTION("""COMPUTED_VALUE"""),838660.0)</f>
        <v>838660</v>
      </c>
    </row>
    <row r="2484">
      <c r="A2484" s="3">
        <f>IFERROR(__xludf.DUMMYFUNCTION("""COMPUTED_VALUE"""),40184.645833333336)</f>
        <v>40184.64583</v>
      </c>
      <c r="B2484" s="2">
        <f>IFERROR(__xludf.DUMMYFUNCTION("""COMPUTED_VALUE"""),171.4)</f>
        <v>171.4</v>
      </c>
      <c r="C2484" s="2">
        <f>IFERROR(__xludf.DUMMYFUNCTION("""COMPUTED_VALUE"""),172.0)</f>
        <v>172</v>
      </c>
      <c r="D2484" s="2">
        <f>IFERROR(__xludf.DUMMYFUNCTION("""COMPUTED_VALUE"""),168.81)</f>
        <v>168.81</v>
      </c>
      <c r="E2484" s="2">
        <f>IFERROR(__xludf.DUMMYFUNCTION("""COMPUTED_VALUE"""),170.84)</f>
        <v>170.84</v>
      </c>
      <c r="F2484" s="2">
        <f>IFERROR(__xludf.DUMMYFUNCTION("""COMPUTED_VALUE"""),663984.0)</f>
        <v>663984</v>
      </c>
    </row>
    <row r="2485">
      <c r="A2485" s="3">
        <f>IFERROR(__xludf.DUMMYFUNCTION("""COMPUTED_VALUE"""),40185.645833333336)</f>
        <v>40185.64583</v>
      </c>
      <c r="B2485" s="2">
        <f>IFERROR(__xludf.DUMMYFUNCTION("""COMPUTED_VALUE"""),176.84)</f>
        <v>176.84</v>
      </c>
      <c r="C2485" s="2">
        <f>IFERROR(__xludf.DUMMYFUNCTION("""COMPUTED_VALUE"""),176.84)</f>
        <v>176.84</v>
      </c>
      <c r="D2485" s="2">
        <f>IFERROR(__xludf.DUMMYFUNCTION("""COMPUTED_VALUE"""),170.16)</f>
        <v>170.16</v>
      </c>
      <c r="E2485" s="2">
        <f>IFERROR(__xludf.DUMMYFUNCTION("""COMPUTED_VALUE"""),171.28)</f>
        <v>171.28</v>
      </c>
      <c r="F2485" s="2">
        <f>IFERROR(__xludf.DUMMYFUNCTION("""COMPUTED_VALUE"""),612398.0)</f>
        <v>612398</v>
      </c>
    </row>
    <row r="2486">
      <c r="A2486" s="3">
        <f>IFERROR(__xludf.DUMMYFUNCTION("""COMPUTED_VALUE"""),40186.645833333336)</f>
        <v>40186.64583</v>
      </c>
      <c r="B2486" s="2">
        <f>IFERROR(__xludf.DUMMYFUNCTION("""COMPUTED_VALUE"""),171.2)</f>
        <v>171.2</v>
      </c>
      <c r="C2486" s="2">
        <f>IFERROR(__xludf.DUMMYFUNCTION("""COMPUTED_VALUE"""),172.34)</f>
        <v>172.34</v>
      </c>
      <c r="D2486" s="2">
        <f>IFERROR(__xludf.DUMMYFUNCTION("""COMPUTED_VALUE"""),170.1)</f>
        <v>170.1</v>
      </c>
      <c r="E2486" s="2">
        <f>IFERROR(__xludf.DUMMYFUNCTION("""COMPUTED_VALUE"""),171.51)</f>
        <v>171.51</v>
      </c>
      <c r="F2486" s="2">
        <f>IFERROR(__xludf.DUMMYFUNCTION("""COMPUTED_VALUE"""),708590.0)</f>
        <v>708590</v>
      </c>
    </row>
    <row r="2487">
      <c r="A2487" s="3">
        <f>IFERROR(__xludf.DUMMYFUNCTION("""COMPUTED_VALUE"""),40189.645833333336)</f>
        <v>40189.64583</v>
      </c>
      <c r="B2487" s="2">
        <f>IFERROR(__xludf.DUMMYFUNCTION("""COMPUTED_VALUE"""),174.87)</f>
        <v>174.87</v>
      </c>
      <c r="C2487" s="2">
        <f>IFERROR(__xludf.DUMMYFUNCTION("""COMPUTED_VALUE"""),174.87)</f>
        <v>174.87</v>
      </c>
      <c r="D2487" s="2">
        <f>IFERROR(__xludf.DUMMYFUNCTION("""COMPUTED_VALUE"""),170.25)</f>
        <v>170.25</v>
      </c>
      <c r="E2487" s="2">
        <f>IFERROR(__xludf.DUMMYFUNCTION("""COMPUTED_VALUE"""),170.82)</f>
        <v>170.82</v>
      </c>
      <c r="F2487" s="2">
        <f>IFERROR(__xludf.DUMMYFUNCTION("""COMPUTED_VALUE"""),1376661.0)</f>
        <v>1376661</v>
      </c>
    </row>
    <row r="2488">
      <c r="A2488" s="3">
        <f>IFERROR(__xludf.DUMMYFUNCTION("""COMPUTED_VALUE"""),40190.645833333336)</f>
        <v>40190.64583</v>
      </c>
      <c r="B2488" s="2">
        <f>IFERROR(__xludf.DUMMYFUNCTION("""COMPUTED_VALUE"""),170.8)</f>
        <v>170.8</v>
      </c>
      <c r="C2488" s="2">
        <f>IFERROR(__xludf.DUMMYFUNCTION("""COMPUTED_VALUE"""),171.18)</f>
        <v>171.18</v>
      </c>
      <c r="D2488" s="2">
        <f>IFERROR(__xludf.DUMMYFUNCTION("""COMPUTED_VALUE"""),167.86)</f>
        <v>167.86</v>
      </c>
      <c r="E2488" s="2">
        <f>IFERROR(__xludf.DUMMYFUNCTION("""COMPUTED_VALUE"""),169.52)</f>
        <v>169.52</v>
      </c>
      <c r="F2488" s="2">
        <f>IFERROR(__xludf.DUMMYFUNCTION("""COMPUTED_VALUE"""),490705.0)</f>
        <v>490705</v>
      </c>
    </row>
    <row r="2489">
      <c r="A2489" s="3">
        <f>IFERROR(__xludf.DUMMYFUNCTION("""COMPUTED_VALUE"""),40191.645833333336)</f>
        <v>40191.64583</v>
      </c>
      <c r="B2489" s="2">
        <f>IFERROR(__xludf.DUMMYFUNCTION("""COMPUTED_VALUE"""),168.5)</f>
        <v>168.5</v>
      </c>
      <c r="C2489" s="2">
        <f>IFERROR(__xludf.DUMMYFUNCTION("""COMPUTED_VALUE"""),169.48)</f>
        <v>169.48</v>
      </c>
      <c r="D2489" s="2">
        <f>IFERROR(__xludf.DUMMYFUNCTION("""COMPUTED_VALUE"""),166.56)</f>
        <v>166.56</v>
      </c>
      <c r="E2489" s="2">
        <f>IFERROR(__xludf.DUMMYFUNCTION("""COMPUTED_VALUE"""),168.93)</f>
        <v>168.93</v>
      </c>
      <c r="F2489" s="2">
        <f>IFERROR(__xludf.DUMMYFUNCTION("""COMPUTED_VALUE"""),1034675.0)</f>
        <v>1034675</v>
      </c>
    </row>
    <row r="2490">
      <c r="A2490" s="3">
        <f>IFERROR(__xludf.DUMMYFUNCTION("""COMPUTED_VALUE"""),40192.645833333336)</f>
        <v>40192.64583</v>
      </c>
      <c r="B2490" s="2">
        <f>IFERROR(__xludf.DUMMYFUNCTION("""COMPUTED_VALUE"""),171.0)</f>
        <v>171</v>
      </c>
      <c r="C2490" s="2">
        <f>IFERROR(__xludf.DUMMYFUNCTION("""COMPUTED_VALUE"""),171.38)</f>
        <v>171.38</v>
      </c>
      <c r="D2490" s="2">
        <f>IFERROR(__xludf.DUMMYFUNCTION("""COMPUTED_VALUE"""),167.0)</f>
        <v>167</v>
      </c>
      <c r="E2490" s="2">
        <f>IFERROR(__xludf.DUMMYFUNCTION("""COMPUTED_VALUE"""),168.38)</f>
        <v>168.38</v>
      </c>
      <c r="F2490" s="2">
        <f>IFERROR(__xludf.DUMMYFUNCTION("""COMPUTED_VALUE"""),1017264.0)</f>
        <v>1017264</v>
      </c>
    </row>
    <row r="2491">
      <c r="A2491" s="3">
        <f>IFERROR(__xludf.DUMMYFUNCTION("""COMPUTED_VALUE"""),40193.645833333336)</f>
        <v>40193.64583</v>
      </c>
      <c r="B2491" s="2">
        <f>IFERROR(__xludf.DUMMYFUNCTION("""COMPUTED_VALUE"""),169.84)</f>
        <v>169.84</v>
      </c>
      <c r="C2491" s="2">
        <f>IFERROR(__xludf.DUMMYFUNCTION("""COMPUTED_VALUE"""),169.9)</f>
        <v>169.9</v>
      </c>
      <c r="D2491" s="2">
        <f>IFERROR(__xludf.DUMMYFUNCTION("""COMPUTED_VALUE"""),167.1)</f>
        <v>167.1</v>
      </c>
      <c r="E2491" s="2">
        <f>IFERROR(__xludf.DUMMYFUNCTION("""COMPUTED_VALUE"""),169.42)</f>
        <v>169.42</v>
      </c>
      <c r="F2491" s="2">
        <f>IFERROR(__xludf.DUMMYFUNCTION("""COMPUTED_VALUE"""),1158173.0)</f>
        <v>1158173</v>
      </c>
    </row>
    <row r="2492">
      <c r="A2492" s="3">
        <f>IFERROR(__xludf.DUMMYFUNCTION("""COMPUTED_VALUE"""),40196.645833333336)</f>
        <v>40196.64583</v>
      </c>
      <c r="B2492" s="2">
        <f>IFERROR(__xludf.DUMMYFUNCTION("""COMPUTED_VALUE"""),169.0)</f>
        <v>169</v>
      </c>
      <c r="C2492" s="2">
        <f>IFERROR(__xludf.DUMMYFUNCTION("""COMPUTED_VALUE"""),177.8)</f>
        <v>177.8</v>
      </c>
      <c r="D2492" s="2">
        <f>IFERROR(__xludf.DUMMYFUNCTION("""COMPUTED_VALUE"""),168.21)</f>
        <v>168.21</v>
      </c>
      <c r="E2492" s="2">
        <f>IFERROR(__xludf.DUMMYFUNCTION("""COMPUTED_VALUE"""),176.67)</f>
        <v>176.67</v>
      </c>
      <c r="F2492" s="2">
        <f>IFERROR(__xludf.DUMMYFUNCTION("""COMPUTED_VALUE"""),2350146.0)</f>
        <v>2350146</v>
      </c>
    </row>
    <row r="2493">
      <c r="A2493" s="3">
        <f>IFERROR(__xludf.DUMMYFUNCTION("""COMPUTED_VALUE"""),40197.645833333336)</f>
        <v>40197.64583</v>
      </c>
      <c r="B2493" s="2">
        <f>IFERROR(__xludf.DUMMYFUNCTION("""COMPUTED_VALUE"""),176.5)</f>
        <v>176.5</v>
      </c>
      <c r="C2493" s="2">
        <f>IFERROR(__xludf.DUMMYFUNCTION("""COMPUTED_VALUE"""),178.88)</f>
        <v>178.88</v>
      </c>
      <c r="D2493" s="2">
        <f>IFERROR(__xludf.DUMMYFUNCTION("""COMPUTED_VALUE"""),175.29)</f>
        <v>175.29</v>
      </c>
      <c r="E2493" s="2">
        <f>IFERROR(__xludf.DUMMYFUNCTION("""COMPUTED_VALUE"""),177.92)</f>
        <v>177.92</v>
      </c>
      <c r="F2493" s="2">
        <f>IFERROR(__xludf.DUMMYFUNCTION("""COMPUTED_VALUE"""),1666422.0)</f>
        <v>1666422</v>
      </c>
    </row>
    <row r="2494">
      <c r="A2494" s="3">
        <f>IFERROR(__xludf.DUMMYFUNCTION("""COMPUTED_VALUE"""),40198.645833333336)</f>
        <v>40198.64583</v>
      </c>
      <c r="B2494" s="2">
        <f>IFERROR(__xludf.DUMMYFUNCTION("""COMPUTED_VALUE"""),178.5)</f>
        <v>178.5</v>
      </c>
      <c r="C2494" s="2">
        <f>IFERROR(__xludf.DUMMYFUNCTION("""COMPUTED_VALUE"""),179.0)</f>
        <v>179</v>
      </c>
      <c r="D2494" s="2">
        <f>IFERROR(__xludf.DUMMYFUNCTION("""COMPUTED_VALUE"""),174.3)</f>
        <v>174.3</v>
      </c>
      <c r="E2494" s="2">
        <f>IFERROR(__xludf.DUMMYFUNCTION("""COMPUTED_VALUE"""),175.61)</f>
        <v>175.61</v>
      </c>
      <c r="F2494" s="2">
        <f>IFERROR(__xludf.DUMMYFUNCTION("""COMPUTED_VALUE"""),1365211.0)</f>
        <v>1365211</v>
      </c>
    </row>
    <row r="2495">
      <c r="A2495" s="3">
        <f>IFERROR(__xludf.DUMMYFUNCTION("""COMPUTED_VALUE"""),40199.645833333336)</f>
        <v>40199.64583</v>
      </c>
      <c r="B2495" s="2">
        <f>IFERROR(__xludf.DUMMYFUNCTION("""COMPUTED_VALUE"""),176.09)</f>
        <v>176.09</v>
      </c>
      <c r="C2495" s="2">
        <f>IFERROR(__xludf.DUMMYFUNCTION("""COMPUTED_VALUE"""),176.09)</f>
        <v>176.09</v>
      </c>
      <c r="D2495" s="2">
        <f>IFERROR(__xludf.DUMMYFUNCTION("""COMPUTED_VALUE"""),170.51)</f>
        <v>170.51</v>
      </c>
      <c r="E2495" s="2">
        <f>IFERROR(__xludf.DUMMYFUNCTION("""COMPUTED_VALUE"""),171.17)</f>
        <v>171.17</v>
      </c>
      <c r="F2495" s="2">
        <f>IFERROR(__xludf.DUMMYFUNCTION("""COMPUTED_VALUE"""),1252347.0)</f>
        <v>1252347</v>
      </c>
    </row>
    <row r="2496">
      <c r="A2496" s="3">
        <f>IFERROR(__xludf.DUMMYFUNCTION("""COMPUTED_VALUE"""),40200.645833333336)</f>
        <v>40200.64583</v>
      </c>
      <c r="B2496" s="2">
        <f>IFERROR(__xludf.DUMMYFUNCTION("""COMPUTED_VALUE"""),169.6)</f>
        <v>169.6</v>
      </c>
      <c r="C2496" s="2">
        <f>IFERROR(__xludf.DUMMYFUNCTION("""COMPUTED_VALUE"""),170.0)</f>
        <v>170</v>
      </c>
      <c r="D2496" s="2">
        <f>IFERROR(__xludf.DUMMYFUNCTION("""COMPUTED_VALUE"""),165.4)</f>
        <v>165.4</v>
      </c>
      <c r="E2496" s="2">
        <f>IFERROR(__xludf.DUMMYFUNCTION("""COMPUTED_VALUE"""),167.71)</f>
        <v>167.71</v>
      </c>
      <c r="F2496" s="2">
        <f>IFERROR(__xludf.DUMMYFUNCTION("""COMPUTED_VALUE"""),947370.0)</f>
        <v>947370</v>
      </c>
    </row>
    <row r="2497">
      <c r="A2497" s="3">
        <f>IFERROR(__xludf.DUMMYFUNCTION("""COMPUTED_VALUE"""),40203.645833333336)</f>
        <v>40203.64583</v>
      </c>
      <c r="B2497" s="2">
        <f>IFERROR(__xludf.DUMMYFUNCTION("""COMPUTED_VALUE"""),166.0)</f>
        <v>166</v>
      </c>
      <c r="C2497" s="2">
        <f>IFERROR(__xludf.DUMMYFUNCTION("""COMPUTED_VALUE"""),167.79)</f>
        <v>167.79</v>
      </c>
      <c r="D2497" s="2">
        <f>IFERROR(__xludf.DUMMYFUNCTION("""COMPUTED_VALUE"""),163.13)</f>
        <v>163.13</v>
      </c>
      <c r="E2497" s="2">
        <f>IFERROR(__xludf.DUMMYFUNCTION("""COMPUTED_VALUE"""),165.67)</f>
        <v>165.67</v>
      </c>
      <c r="F2497" s="2">
        <f>IFERROR(__xludf.DUMMYFUNCTION("""COMPUTED_VALUE"""),602879.0)</f>
        <v>602879</v>
      </c>
    </row>
    <row r="2498">
      <c r="A2498" s="3">
        <f>IFERROR(__xludf.DUMMYFUNCTION("""COMPUTED_VALUE"""),40205.645833333336)</f>
        <v>40205.64583</v>
      </c>
      <c r="B2498" s="2">
        <f>IFERROR(__xludf.DUMMYFUNCTION("""COMPUTED_VALUE"""),166.11)</f>
        <v>166.11</v>
      </c>
      <c r="C2498" s="2">
        <f>IFERROR(__xludf.DUMMYFUNCTION("""COMPUTED_VALUE"""),166.11)</f>
        <v>166.11</v>
      </c>
      <c r="D2498" s="2">
        <f>IFERROR(__xludf.DUMMYFUNCTION("""COMPUTED_VALUE"""),158.69)</f>
        <v>158.69</v>
      </c>
      <c r="E2498" s="2">
        <f>IFERROR(__xludf.DUMMYFUNCTION("""COMPUTED_VALUE"""),159.72)</f>
        <v>159.72</v>
      </c>
      <c r="F2498" s="2">
        <f>IFERROR(__xludf.DUMMYFUNCTION("""COMPUTED_VALUE"""),1210779.0)</f>
        <v>1210779</v>
      </c>
    </row>
    <row r="2499">
      <c r="A2499" s="3">
        <f>IFERROR(__xludf.DUMMYFUNCTION("""COMPUTED_VALUE"""),40206.645833333336)</f>
        <v>40206.64583</v>
      </c>
      <c r="B2499" s="2">
        <f>IFERROR(__xludf.DUMMYFUNCTION("""COMPUTED_VALUE"""),161.0)</f>
        <v>161</v>
      </c>
      <c r="C2499" s="2">
        <f>IFERROR(__xludf.DUMMYFUNCTION("""COMPUTED_VALUE"""),161.9)</f>
        <v>161.9</v>
      </c>
      <c r="D2499" s="2">
        <f>IFERROR(__xludf.DUMMYFUNCTION("""COMPUTED_VALUE"""),157.68)</f>
        <v>157.68</v>
      </c>
      <c r="E2499" s="2">
        <f>IFERROR(__xludf.DUMMYFUNCTION("""COMPUTED_VALUE"""),159.32)</f>
        <v>159.32</v>
      </c>
      <c r="F2499" s="2">
        <f>IFERROR(__xludf.DUMMYFUNCTION("""COMPUTED_VALUE"""),1743223.0)</f>
        <v>1743223</v>
      </c>
    </row>
    <row r="2500">
      <c r="A2500" s="3">
        <f>IFERROR(__xludf.DUMMYFUNCTION("""COMPUTED_VALUE"""),40207.645833333336)</f>
        <v>40207.64583</v>
      </c>
      <c r="B2500" s="2">
        <f>IFERROR(__xludf.DUMMYFUNCTION("""COMPUTED_VALUE"""),158.0)</f>
        <v>158</v>
      </c>
      <c r="C2500" s="2">
        <f>IFERROR(__xludf.DUMMYFUNCTION("""COMPUTED_VALUE"""),163.7)</f>
        <v>163.7</v>
      </c>
      <c r="D2500" s="2">
        <f>IFERROR(__xludf.DUMMYFUNCTION("""COMPUTED_VALUE"""),155.25)</f>
        <v>155.25</v>
      </c>
      <c r="E2500" s="2">
        <f>IFERROR(__xludf.DUMMYFUNCTION("""COMPUTED_VALUE"""),163.1)</f>
        <v>163.1</v>
      </c>
      <c r="F2500" s="2">
        <f>IFERROR(__xludf.DUMMYFUNCTION("""COMPUTED_VALUE"""),1643517.0)</f>
        <v>1643517</v>
      </c>
    </row>
    <row r="2501">
      <c r="A2501" s="3">
        <f>IFERROR(__xludf.DUMMYFUNCTION("""COMPUTED_VALUE"""),40210.645833333336)</f>
        <v>40210.64583</v>
      </c>
      <c r="B2501" s="2">
        <f>IFERROR(__xludf.DUMMYFUNCTION("""COMPUTED_VALUE"""),162.8)</f>
        <v>162.8</v>
      </c>
      <c r="C2501" s="2">
        <f>IFERROR(__xludf.DUMMYFUNCTION("""COMPUTED_VALUE"""),162.8)</f>
        <v>162.8</v>
      </c>
      <c r="D2501" s="2">
        <f>IFERROR(__xludf.DUMMYFUNCTION("""COMPUTED_VALUE"""),158.5)</f>
        <v>158.5</v>
      </c>
      <c r="E2501" s="2">
        <f>IFERROR(__xludf.DUMMYFUNCTION("""COMPUTED_VALUE"""),159.98)</f>
        <v>159.98</v>
      </c>
      <c r="F2501" s="2">
        <f>IFERROR(__xludf.DUMMYFUNCTION("""COMPUTED_VALUE"""),751733.0)</f>
        <v>751733</v>
      </c>
    </row>
    <row r="2502">
      <c r="A2502" s="3">
        <f>IFERROR(__xludf.DUMMYFUNCTION("""COMPUTED_VALUE"""),40211.645833333336)</f>
        <v>40211.64583</v>
      </c>
      <c r="B2502" s="2">
        <f>IFERROR(__xludf.DUMMYFUNCTION("""COMPUTED_VALUE"""),160.7)</f>
        <v>160.7</v>
      </c>
      <c r="C2502" s="2">
        <f>IFERROR(__xludf.DUMMYFUNCTION("""COMPUTED_VALUE"""),161.49)</f>
        <v>161.49</v>
      </c>
      <c r="D2502" s="2">
        <f>IFERROR(__xludf.DUMMYFUNCTION("""COMPUTED_VALUE"""),157.2)</f>
        <v>157.2</v>
      </c>
      <c r="E2502" s="2">
        <f>IFERROR(__xludf.DUMMYFUNCTION("""COMPUTED_VALUE"""),157.91)</f>
        <v>157.91</v>
      </c>
      <c r="F2502" s="2">
        <f>IFERROR(__xludf.DUMMYFUNCTION("""COMPUTED_VALUE"""),1033470.0)</f>
        <v>1033470</v>
      </c>
    </row>
    <row r="2503">
      <c r="A2503" s="3">
        <f>IFERROR(__xludf.DUMMYFUNCTION("""COMPUTED_VALUE"""),40212.645833333336)</f>
        <v>40212.64583</v>
      </c>
      <c r="B2503" s="2">
        <f>IFERROR(__xludf.DUMMYFUNCTION("""COMPUTED_VALUE"""),160.0)</f>
        <v>160</v>
      </c>
      <c r="C2503" s="2">
        <f>IFERROR(__xludf.DUMMYFUNCTION("""COMPUTED_VALUE"""),163.24)</f>
        <v>163.24</v>
      </c>
      <c r="D2503" s="2">
        <f>IFERROR(__xludf.DUMMYFUNCTION("""COMPUTED_VALUE"""),157.8)</f>
        <v>157.8</v>
      </c>
      <c r="E2503" s="2">
        <f>IFERROR(__xludf.DUMMYFUNCTION("""COMPUTED_VALUE"""),162.28)</f>
        <v>162.28</v>
      </c>
      <c r="F2503" s="2">
        <f>IFERROR(__xludf.DUMMYFUNCTION("""COMPUTED_VALUE"""),772767.0)</f>
        <v>772767</v>
      </c>
    </row>
    <row r="2504">
      <c r="A2504" s="3">
        <f>IFERROR(__xludf.DUMMYFUNCTION("""COMPUTED_VALUE"""),40213.645833333336)</f>
        <v>40213.64583</v>
      </c>
      <c r="B2504" s="2">
        <f>IFERROR(__xludf.DUMMYFUNCTION("""COMPUTED_VALUE"""),161.8)</f>
        <v>161.8</v>
      </c>
      <c r="C2504" s="2">
        <f>IFERROR(__xludf.DUMMYFUNCTION("""COMPUTED_VALUE"""),162.49)</f>
        <v>162.49</v>
      </c>
      <c r="D2504" s="2">
        <f>IFERROR(__xludf.DUMMYFUNCTION("""COMPUTED_VALUE"""),158.55)</f>
        <v>158.55</v>
      </c>
      <c r="E2504" s="2">
        <f>IFERROR(__xludf.DUMMYFUNCTION("""COMPUTED_VALUE"""),161.68)</f>
        <v>161.68</v>
      </c>
      <c r="F2504" s="2">
        <f>IFERROR(__xludf.DUMMYFUNCTION("""COMPUTED_VALUE"""),860524.0)</f>
        <v>860524</v>
      </c>
    </row>
    <row r="2505">
      <c r="A2505" s="3">
        <f>IFERROR(__xludf.DUMMYFUNCTION("""COMPUTED_VALUE"""),40214.645833333336)</f>
        <v>40214.64583</v>
      </c>
      <c r="B2505" s="2">
        <f>IFERROR(__xludf.DUMMYFUNCTION("""COMPUTED_VALUE"""),159.8)</f>
        <v>159.8</v>
      </c>
      <c r="C2505" s="2">
        <f>IFERROR(__xludf.DUMMYFUNCTION("""COMPUTED_VALUE"""),159.8)</f>
        <v>159.8</v>
      </c>
      <c r="D2505" s="2">
        <f>IFERROR(__xludf.DUMMYFUNCTION("""COMPUTED_VALUE"""),156.5)</f>
        <v>156.5</v>
      </c>
      <c r="E2505" s="2">
        <f>IFERROR(__xludf.DUMMYFUNCTION("""COMPUTED_VALUE"""),157.34)</f>
        <v>157.34</v>
      </c>
      <c r="F2505" s="2">
        <f>IFERROR(__xludf.DUMMYFUNCTION("""COMPUTED_VALUE"""),934694.0)</f>
        <v>934694</v>
      </c>
    </row>
    <row r="2506">
      <c r="A2506" s="3">
        <f>IFERROR(__xludf.DUMMYFUNCTION("""COMPUTED_VALUE"""),40217.645833333336)</f>
        <v>40217.64583</v>
      </c>
      <c r="B2506" s="2">
        <f>IFERROR(__xludf.DUMMYFUNCTION("""COMPUTED_VALUE"""),158.5)</f>
        <v>158.5</v>
      </c>
      <c r="C2506" s="2">
        <f>IFERROR(__xludf.DUMMYFUNCTION("""COMPUTED_VALUE"""),158.89)</f>
        <v>158.89</v>
      </c>
      <c r="D2506" s="2">
        <f>IFERROR(__xludf.DUMMYFUNCTION("""COMPUTED_VALUE"""),154.9)</f>
        <v>154.9</v>
      </c>
      <c r="E2506" s="2">
        <f>IFERROR(__xludf.DUMMYFUNCTION("""COMPUTED_VALUE"""),156.74)</f>
        <v>156.74</v>
      </c>
      <c r="F2506" s="2">
        <f>IFERROR(__xludf.DUMMYFUNCTION("""COMPUTED_VALUE"""),759060.0)</f>
        <v>759060</v>
      </c>
    </row>
    <row r="2507">
      <c r="A2507" s="3">
        <f>IFERROR(__xludf.DUMMYFUNCTION("""COMPUTED_VALUE"""),40218.645833333336)</f>
        <v>40218.64583</v>
      </c>
      <c r="B2507" s="2">
        <f>IFERROR(__xludf.DUMMYFUNCTION("""COMPUTED_VALUE"""),156.68)</f>
        <v>156.68</v>
      </c>
      <c r="C2507" s="2">
        <f>IFERROR(__xludf.DUMMYFUNCTION("""COMPUTED_VALUE"""),157.79)</f>
        <v>157.79</v>
      </c>
      <c r="D2507" s="2">
        <f>IFERROR(__xludf.DUMMYFUNCTION("""COMPUTED_VALUE"""),155.15)</f>
        <v>155.15</v>
      </c>
      <c r="E2507" s="2">
        <f>IFERROR(__xludf.DUMMYFUNCTION("""COMPUTED_VALUE"""),157.17)</f>
        <v>157.17</v>
      </c>
      <c r="F2507" s="2">
        <f>IFERROR(__xludf.DUMMYFUNCTION("""COMPUTED_VALUE"""),1197375.0)</f>
        <v>1197375</v>
      </c>
    </row>
    <row r="2508">
      <c r="A2508" s="3">
        <f>IFERROR(__xludf.DUMMYFUNCTION("""COMPUTED_VALUE"""),40219.645833333336)</f>
        <v>40219.64583</v>
      </c>
      <c r="B2508" s="2">
        <f>IFERROR(__xludf.DUMMYFUNCTION("""COMPUTED_VALUE"""),157.5)</f>
        <v>157.5</v>
      </c>
      <c r="C2508" s="2">
        <f>IFERROR(__xludf.DUMMYFUNCTION("""COMPUTED_VALUE"""),161.75)</f>
        <v>161.75</v>
      </c>
      <c r="D2508" s="2">
        <f>IFERROR(__xludf.DUMMYFUNCTION("""COMPUTED_VALUE"""),156.4)</f>
        <v>156.4</v>
      </c>
      <c r="E2508" s="2">
        <f>IFERROR(__xludf.DUMMYFUNCTION("""COMPUTED_VALUE"""),159.35)</f>
        <v>159.35</v>
      </c>
      <c r="F2508" s="2">
        <f>IFERROR(__xludf.DUMMYFUNCTION("""COMPUTED_VALUE"""),1386668.0)</f>
        <v>1386668</v>
      </c>
    </row>
    <row r="2509">
      <c r="A2509" s="3">
        <f>IFERROR(__xludf.DUMMYFUNCTION("""COMPUTED_VALUE"""),40220.645833333336)</f>
        <v>40220.64583</v>
      </c>
      <c r="B2509" s="2">
        <f>IFERROR(__xludf.DUMMYFUNCTION("""COMPUTED_VALUE"""),160.4)</f>
        <v>160.4</v>
      </c>
      <c r="C2509" s="2">
        <f>IFERROR(__xludf.DUMMYFUNCTION("""COMPUTED_VALUE"""),163.3)</f>
        <v>163.3</v>
      </c>
      <c r="D2509" s="2">
        <f>IFERROR(__xludf.DUMMYFUNCTION("""COMPUTED_VALUE"""),159.0)</f>
        <v>159</v>
      </c>
      <c r="E2509" s="2">
        <f>IFERROR(__xludf.DUMMYFUNCTION("""COMPUTED_VALUE"""),159.8)</f>
        <v>159.8</v>
      </c>
      <c r="F2509" s="2">
        <f>IFERROR(__xludf.DUMMYFUNCTION("""COMPUTED_VALUE"""),726969.0)</f>
        <v>726969</v>
      </c>
    </row>
    <row r="2510">
      <c r="A2510" s="3">
        <f>IFERROR(__xludf.DUMMYFUNCTION("""COMPUTED_VALUE"""),40224.645833333336)</f>
        <v>40224.64583</v>
      </c>
      <c r="B2510" s="2">
        <f>IFERROR(__xludf.DUMMYFUNCTION("""COMPUTED_VALUE"""),159.7)</f>
        <v>159.7</v>
      </c>
      <c r="C2510" s="2">
        <f>IFERROR(__xludf.DUMMYFUNCTION("""COMPUTED_VALUE"""),161.97)</f>
        <v>161.97</v>
      </c>
      <c r="D2510" s="2">
        <f>IFERROR(__xludf.DUMMYFUNCTION("""COMPUTED_VALUE"""),158.25)</f>
        <v>158.25</v>
      </c>
      <c r="E2510" s="2">
        <f>IFERROR(__xludf.DUMMYFUNCTION("""COMPUTED_VALUE"""),161.38)</f>
        <v>161.38</v>
      </c>
      <c r="F2510" s="2">
        <f>IFERROR(__xludf.DUMMYFUNCTION("""COMPUTED_VALUE"""),480249.0)</f>
        <v>480249</v>
      </c>
    </row>
    <row r="2511">
      <c r="A2511" s="3">
        <f>IFERROR(__xludf.DUMMYFUNCTION("""COMPUTED_VALUE"""),40225.645833333336)</f>
        <v>40225.64583</v>
      </c>
      <c r="B2511" s="2">
        <f>IFERROR(__xludf.DUMMYFUNCTION("""COMPUTED_VALUE"""),160.5)</f>
        <v>160.5</v>
      </c>
      <c r="C2511" s="2">
        <f>IFERROR(__xludf.DUMMYFUNCTION("""COMPUTED_VALUE"""),162.27)</f>
        <v>162.27</v>
      </c>
      <c r="D2511" s="2">
        <f>IFERROR(__xludf.DUMMYFUNCTION("""COMPUTED_VALUE"""),159.0)</f>
        <v>159</v>
      </c>
      <c r="E2511" s="2">
        <f>IFERROR(__xludf.DUMMYFUNCTION("""COMPUTED_VALUE"""),160.64)</f>
        <v>160.64</v>
      </c>
      <c r="F2511" s="2">
        <f>IFERROR(__xludf.DUMMYFUNCTION("""COMPUTED_VALUE"""),717485.0)</f>
        <v>717485</v>
      </c>
    </row>
    <row r="2512">
      <c r="A2512" s="3">
        <f>IFERROR(__xludf.DUMMYFUNCTION("""COMPUTED_VALUE"""),40226.645833333336)</f>
        <v>40226.64583</v>
      </c>
      <c r="B2512" s="2">
        <f>IFERROR(__xludf.DUMMYFUNCTION("""COMPUTED_VALUE"""),161.8)</f>
        <v>161.8</v>
      </c>
      <c r="C2512" s="2">
        <f>IFERROR(__xludf.DUMMYFUNCTION("""COMPUTED_VALUE"""),166.1)</f>
        <v>166.1</v>
      </c>
      <c r="D2512" s="2">
        <f>IFERROR(__xludf.DUMMYFUNCTION("""COMPUTED_VALUE"""),161.49)</f>
        <v>161.49</v>
      </c>
      <c r="E2512" s="2">
        <f>IFERROR(__xludf.DUMMYFUNCTION("""COMPUTED_VALUE"""),165.6)</f>
        <v>165.6</v>
      </c>
      <c r="F2512" s="2">
        <f>IFERROR(__xludf.DUMMYFUNCTION("""COMPUTED_VALUE"""),1239834.0)</f>
        <v>1239834</v>
      </c>
    </row>
    <row r="2513">
      <c r="A2513" s="3">
        <f>IFERROR(__xludf.DUMMYFUNCTION("""COMPUTED_VALUE"""),40227.645833333336)</f>
        <v>40227.64583</v>
      </c>
      <c r="B2513" s="2">
        <f>IFERROR(__xludf.DUMMYFUNCTION("""COMPUTED_VALUE"""),166.49)</f>
        <v>166.49</v>
      </c>
      <c r="C2513" s="2">
        <f>IFERROR(__xludf.DUMMYFUNCTION("""COMPUTED_VALUE"""),169.0)</f>
        <v>169</v>
      </c>
      <c r="D2513" s="2">
        <f>IFERROR(__xludf.DUMMYFUNCTION("""COMPUTED_VALUE"""),165.08)</f>
        <v>165.08</v>
      </c>
      <c r="E2513" s="2">
        <f>IFERROR(__xludf.DUMMYFUNCTION("""COMPUTED_VALUE"""),168.38)</f>
        <v>168.38</v>
      </c>
      <c r="F2513" s="2">
        <f>IFERROR(__xludf.DUMMYFUNCTION("""COMPUTED_VALUE"""),1000442.0)</f>
        <v>1000442</v>
      </c>
    </row>
    <row r="2514">
      <c r="A2514" s="3">
        <f>IFERROR(__xludf.DUMMYFUNCTION("""COMPUTED_VALUE"""),40228.645833333336)</f>
        <v>40228.64583</v>
      </c>
      <c r="B2514" s="2">
        <f>IFERROR(__xludf.DUMMYFUNCTION("""COMPUTED_VALUE"""),167.0)</f>
        <v>167</v>
      </c>
      <c r="C2514" s="2">
        <f>IFERROR(__xludf.DUMMYFUNCTION("""COMPUTED_VALUE"""),170.0)</f>
        <v>170</v>
      </c>
      <c r="D2514" s="2">
        <f>IFERROR(__xludf.DUMMYFUNCTION("""COMPUTED_VALUE"""),165.61)</f>
        <v>165.61</v>
      </c>
      <c r="E2514" s="2">
        <f>IFERROR(__xludf.DUMMYFUNCTION("""COMPUTED_VALUE"""),169.39)</f>
        <v>169.39</v>
      </c>
      <c r="F2514" s="2">
        <f>IFERROR(__xludf.DUMMYFUNCTION("""COMPUTED_VALUE"""),734599.0)</f>
        <v>734599</v>
      </c>
    </row>
    <row r="2515">
      <c r="A2515" s="3">
        <f>IFERROR(__xludf.DUMMYFUNCTION("""COMPUTED_VALUE"""),40231.645833333336)</f>
        <v>40231.64583</v>
      </c>
      <c r="B2515" s="2">
        <f>IFERROR(__xludf.DUMMYFUNCTION("""COMPUTED_VALUE"""),170.1)</f>
        <v>170.1</v>
      </c>
      <c r="C2515" s="2">
        <f>IFERROR(__xludf.DUMMYFUNCTION("""COMPUTED_VALUE"""),171.97)</f>
        <v>171.97</v>
      </c>
      <c r="D2515" s="2">
        <f>IFERROR(__xludf.DUMMYFUNCTION("""COMPUTED_VALUE"""),169.0)</f>
        <v>169</v>
      </c>
      <c r="E2515" s="2">
        <f>IFERROR(__xludf.DUMMYFUNCTION("""COMPUTED_VALUE"""),169.66)</f>
        <v>169.66</v>
      </c>
      <c r="F2515" s="2">
        <f>IFERROR(__xludf.DUMMYFUNCTION("""COMPUTED_VALUE"""),664017.0)</f>
        <v>664017</v>
      </c>
    </row>
    <row r="2516">
      <c r="A2516" s="3">
        <f>IFERROR(__xludf.DUMMYFUNCTION("""COMPUTED_VALUE"""),40232.645833333336)</f>
        <v>40232.64583</v>
      </c>
      <c r="B2516" s="2">
        <f>IFERROR(__xludf.DUMMYFUNCTION("""COMPUTED_VALUE"""),168.51)</f>
        <v>168.51</v>
      </c>
      <c r="C2516" s="2">
        <f>IFERROR(__xludf.DUMMYFUNCTION("""COMPUTED_VALUE"""),170.89)</f>
        <v>170.89</v>
      </c>
      <c r="D2516" s="2">
        <f>IFERROR(__xludf.DUMMYFUNCTION("""COMPUTED_VALUE"""),168.24)</f>
        <v>168.24</v>
      </c>
      <c r="E2516" s="2">
        <f>IFERROR(__xludf.DUMMYFUNCTION("""COMPUTED_VALUE"""),170.1)</f>
        <v>170.1</v>
      </c>
      <c r="F2516" s="2">
        <f>IFERROR(__xludf.DUMMYFUNCTION("""COMPUTED_VALUE"""),647289.0)</f>
        <v>647289</v>
      </c>
    </row>
    <row r="2517">
      <c r="A2517" s="3">
        <f>IFERROR(__xludf.DUMMYFUNCTION("""COMPUTED_VALUE"""),40233.645833333336)</f>
        <v>40233.64583</v>
      </c>
      <c r="B2517" s="2">
        <f>IFERROR(__xludf.DUMMYFUNCTION("""COMPUTED_VALUE"""),169.0)</f>
        <v>169</v>
      </c>
      <c r="C2517" s="2">
        <f>IFERROR(__xludf.DUMMYFUNCTION("""COMPUTED_VALUE"""),171.0)</f>
        <v>171</v>
      </c>
      <c r="D2517" s="2">
        <f>IFERROR(__xludf.DUMMYFUNCTION("""COMPUTED_VALUE"""),168.75)</f>
        <v>168.75</v>
      </c>
      <c r="E2517" s="2">
        <f>IFERROR(__xludf.DUMMYFUNCTION("""COMPUTED_VALUE"""),170.05)</f>
        <v>170.05</v>
      </c>
      <c r="F2517" s="2">
        <f>IFERROR(__xludf.DUMMYFUNCTION("""COMPUTED_VALUE"""),560569.0)</f>
        <v>560569</v>
      </c>
    </row>
    <row r="2518">
      <c r="A2518" s="3">
        <f>IFERROR(__xludf.DUMMYFUNCTION("""COMPUTED_VALUE"""),40234.645833333336)</f>
        <v>40234.64583</v>
      </c>
      <c r="B2518" s="2">
        <f>IFERROR(__xludf.DUMMYFUNCTION("""COMPUTED_VALUE"""),170.1)</f>
        <v>170.1</v>
      </c>
      <c r="C2518" s="2">
        <f>IFERROR(__xludf.DUMMYFUNCTION("""COMPUTED_VALUE"""),170.4)</f>
        <v>170.4</v>
      </c>
      <c r="D2518" s="2">
        <f>IFERROR(__xludf.DUMMYFUNCTION("""COMPUTED_VALUE"""),168.2)</f>
        <v>168.2</v>
      </c>
      <c r="E2518" s="2">
        <f>IFERROR(__xludf.DUMMYFUNCTION("""COMPUTED_VALUE"""),169.11)</f>
        <v>169.11</v>
      </c>
      <c r="F2518" s="2">
        <f>IFERROR(__xludf.DUMMYFUNCTION("""COMPUTED_VALUE"""),583697.0)</f>
        <v>583697</v>
      </c>
    </row>
    <row r="2519">
      <c r="A2519" s="3">
        <f>IFERROR(__xludf.DUMMYFUNCTION("""COMPUTED_VALUE"""),40235.645833333336)</f>
        <v>40235.64583</v>
      </c>
      <c r="B2519" s="2">
        <f>IFERROR(__xludf.DUMMYFUNCTION("""COMPUTED_VALUE"""),169.0)</f>
        <v>169</v>
      </c>
      <c r="C2519" s="2">
        <f>IFERROR(__xludf.DUMMYFUNCTION("""COMPUTED_VALUE"""),173.48)</f>
        <v>173.48</v>
      </c>
      <c r="D2519" s="2">
        <f>IFERROR(__xludf.DUMMYFUNCTION("""COMPUTED_VALUE"""),168.0)</f>
        <v>168</v>
      </c>
      <c r="E2519" s="2">
        <f>IFERROR(__xludf.DUMMYFUNCTION("""COMPUTED_VALUE"""),170.48)</f>
        <v>170.48</v>
      </c>
      <c r="F2519" s="2">
        <f>IFERROR(__xludf.DUMMYFUNCTION("""COMPUTED_VALUE"""),935103.0)</f>
        <v>935103</v>
      </c>
    </row>
    <row r="2520">
      <c r="A2520" s="3">
        <f>IFERROR(__xludf.DUMMYFUNCTION("""COMPUTED_VALUE"""),40239.645833333336)</f>
        <v>40239.64583</v>
      </c>
      <c r="B2520" s="2">
        <f>IFERROR(__xludf.DUMMYFUNCTION("""COMPUTED_VALUE"""),172.4)</f>
        <v>172.4</v>
      </c>
      <c r="C2520" s="2">
        <f>IFERROR(__xludf.DUMMYFUNCTION("""COMPUTED_VALUE"""),175.6)</f>
        <v>175.6</v>
      </c>
      <c r="D2520" s="2">
        <f>IFERROR(__xludf.DUMMYFUNCTION("""COMPUTED_VALUE"""),170.6)</f>
        <v>170.6</v>
      </c>
      <c r="E2520" s="2">
        <f>IFERROR(__xludf.DUMMYFUNCTION("""COMPUTED_VALUE"""),174.5)</f>
        <v>174.5</v>
      </c>
      <c r="F2520" s="2">
        <f>IFERROR(__xludf.DUMMYFUNCTION("""COMPUTED_VALUE"""),771465.0)</f>
        <v>771465</v>
      </c>
    </row>
    <row r="2521">
      <c r="A2521" s="3">
        <f>IFERROR(__xludf.DUMMYFUNCTION("""COMPUTED_VALUE"""),40240.645833333336)</f>
        <v>40240.64583</v>
      </c>
      <c r="B2521" s="2">
        <f>IFERROR(__xludf.DUMMYFUNCTION("""COMPUTED_VALUE"""),174.26)</f>
        <v>174.26</v>
      </c>
      <c r="C2521" s="2">
        <f>IFERROR(__xludf.DUMMYFUNCTION("""COMPUTED_VALUE"""),178.1)</f>
        <v>178.1</v>
      </c>
      <c r="D2521" s="2">
        <f>IFERROR(__xludf.DUMMYFUNCTION("""COMPUTED_VALUE"""),174.26)</f>
        <v>174.26</v>
      </c>
      <c r="E2521" s="2">
        <f>IFERROR(__xludf.DUMMYFUNCTION("""COMPUTED_VALUE"""),177.67)</f>
        <v>177.67</v>
      </c>
      <c r="F2521" s="2">
        <f>IFERROR(__xludf.DUMMYFUNCTION("""COMPUTED_VALUE"""),1114796.0)</f>
        <v>1114796</v>
      </c>
    </row>
    <row r="2522">
      <c r="A2522" s="3">
        <f>IFERROR(__xludf.DUMMYFUNCTION("""COMPUTED_VALUE"""),40241.645833333336)</f>
        <v>40241.64583</v>
      </c>
      <c r="B2522" s="2">
        <f>IFERROR(__xludf.DUMMYFUNCTION("""COMPUTED_VALUE"""),177.5)</f>
        <v>177.5</v>
      </c>
      <c r="C2522" s="2">
        <f>IFERROR(__xludf.DUMMYFUNCTION("""COMPUTED_VALUE"""),178.7)</f>
        <v>178.7</v>
      </c>
      <c r="D2522" s="2">
        <f>IFERROR(__xludf.DUMMYFUNCTION("""COMPUTED_VALUE"""),175.31)</f>
        <v>175.31</v>
      </c>
      <c r="E2522" s="2">
        <f>IFERROR(__xludf.DUMMYFUNCTION("""COMPUTED_VALUE"""),178.12)</f>
        <v>178.12</v>
      </c>
      <c r="F2522" s="2">
        <f>IFERROR(__xludf.DUMMYFUNCTION("""COMPUTED_VALUE"""),1351442.0)</f>
        <v>1351442</v>
      </c>
    </row>
    <row r="2523">
      <c r="A2523" s="3">
        <f>IFERROR(__xludf.DUMMYFUNCTION("""COMPUTED_VALUE"""),40242.645833333336)</f>
        <v>40242.64583</v>
      </c>
      <c r="B2523" s="2">
        <f>IFERROR(__xludf.DUMMYFUNCTION("""COMPUTED_VALUE"""),178.56)</f>
        <v>178.56</v>
      </c>
      <c r="C2523" s="2">
        <f>IFERROR(__xludf.DUMMYFUNCTION("""COMPUTED_VALUE"""),179.5)</f>
        <v>179.5</v>
      </c>
      <c r="D2523" s="2">
        <f>IFERROR(__xludf.DUMMYFUNCTION("""COMPUTED_VALUE"""),177.1)</f>
        <v>177.1</v>
      </c>
      <c r="E2523" s="2">
        <f>IFERROR(__xludf.DUMMYFUNCTION("""COMPUTED_VALUE"""),178.4)</f>
        <v>178.4</v>
      </c>
      <c r="F2523" s="2">
        <f>IFERROR(__xludf.DUMMYFUNCTION("""COMPUTED_VALUE"""),1044965.0)</f>
        <v>1044965</v>
      </c>
    </row>
    <row r="2524">
      <c r="A2524" s="3">
        <f>IFERROR(__xludf.DUMMYFUNCTION("""COMPUTED_VALUE"""),40245.645833333336)</f>
        <v>40245.64583</v>
      </c>
      <c r="B2524" s="2">
        <f>IFERROR(__xludf.DUMMYFUNCTION("""COMPUTED_VALUE"""),181.0)</f>
        <v>181</v>
      </c>
      <c r="C2524" s="2">
        <f>IFERROR(__xludf.DUMMYFUNCTION("""COMPUTED_VALUE"""),181.0)</f>
        <v>181</v>
      </c>
      <c r="D2524" s="2">
        <f>IFERROR(__xludf.DUMMYFUNCTION("""COMPUTED_VALUE"""),177.29)</f>
        <v>177.29</v>
      </c>
      <c r="E2524" s="2">
        <f>IFERROR(__xludf.DUMMYFUNCTION("""COMPUTED_VALUE"""),178.42)</f>
        <v>178.42</v>
      </c>
      <c r="F2524" s="2">
        <f>IFERROR(__xludf.DUMMYFUNCTION("""COMPUTED_VALUE"""),737296.0)</f>
        <v>737296</v>
      </c>
    </row>
    <row r="2525">
      <c r="A2525" s="3">
        <f>IFERROR(__xludf.DUMMYFUNCTION("""COMPUTED_VALUE"""),40246.645833333336)</f>
        <v>40246.64583</v>
      </c>
      <c r="B2525" s="2">
        <f>IFERROR(__xludf.DUMMYFUNCTION("""COMPUTED_VALUE"""),177.5)</f>
        <v>177.5</v>
      </c>
      <c r="C2525" s="2">
        <f>IFERROR(__xludf.DUMMYFUNCTION("""COMPUTED_VALUE"""),181.5)</f>
        <v>181.5</v>
      </c>
      <c r="D2525" s="2">
        <f>IFERROR(__xludf.DUMMYFUNCTION("""COMPUTED_VALUE"""),177.5)</f>
        <v>177.5</v>
      </c>
      <c r="E2525" s="2">
        <f>IFERROR(__xludf.DUMMYFUNCTION("""COMPUTED_VALUE"""),181.12)</f>
        <v>181.12</v>
      </c>
      <c r="F2525" s="2">
        <f>IFERROR(__xludf.DUMMYFUNCTION("""COMPUTED_VALUE"""),1239769.0)</f>
        <v>1239769</v>
      </c>
    </row>
    <row r="2526">
      <c r="A2526" s="3">
        <f>IFERROR(__xludf.DUMMYFUNCTION("""COMPUTED_VALUE"""),40247.645833333336)</f>
        <v>40247.64583</v>
      </c>
      <c r="B2526" s="2">
        <f>IFERROR(__xludf.DUMMYFUNCTION("""COMPUTED_VALUE"""),181.2)</f>
        <v>181.2</v>
      </c>
      <c r="C2526" s="2">
        <f>IFERROR(__xludf.DUMMYFUNCTION("""COMPUTED_VALUE"""),181.99)</f>
        <v>181.99</v>
      </c>
      <c r="D2526" s="2">
        <f>IFERROR(__xludf.DUMMYFUNCTION("""COMPUTED_VALUE"""),172.99)</f>
        <v>172.99</v>
      </c>
      <c r="E2526" s="2">
        <f>IFERROR(__xludf.DUMMYFUNCTION("""COMPUTED_VALUE"""),181.45)</f>
        <v>181.45</v>
      </c>
      <c r="F2526" s="2">
        <f>IFERROR(__xludf.DUMMYFUNCTION("""COMPUTED_VALUE"""),1496056.0)</f>
        <v>1496056</v>
      </c>
    </row>
    <row r="2527">
      <c r="A2527" s="3">
        <f>IFERROR(__xludf.DUMMYFUNCTION("""COMPUTED_VALUE"""),40248.645833333336)</f>
        <v>40248.64583</v>
      </c>
      <c r="B2527" s="2">
        <f>IFERROR(__xludf.DUMMYFUNCTION("""COMPUTED_VALUE"""),181.6)</f>
        <v>181.6</v>
      </c>
      <c r="C2527" s="2">
        <f>IFERROR(__xludf.DUMMYFUNCTION("""COMPUTED_VALUE"""),183.5)</f>
        <v>183.5</v>
      </c>
      <c r="D2527" s="2">
        <f>IFERROR(__xludf.DUMMYFUNCTION("""COMPUTED_VALUE"""),180.31)</f>
        <v>180.31</v>
      </c>
      <c r="E2527" s="2">
        <f>IFERROR(__xludf.DUMMYFUNCTION("""COMPUTED_VALUE"""),182.7)</f>
        <v>182.7</v>
      </c>
      <c r="F2527" s="2">
        <f>IFERROR(__xludf.DUMMYFUNCTION("""COMPUTED_VALUE"""),774523.0)</f>
        <v>774523</v>
      </c>
    </row>
    <row r="2528">
      <c r="A2528" s="3">
        <f>IFERROR(__xludf.DUMMYFUNCTION("""COMPUTED_VALUE"""),40249.645833333336)</f>
        <v>40249.64583</v>
      </c>
      <c r="B2528" s="2">
        <f>IFERROR(__xludf.DUMMYFUNCTION("""COMPUTED_VALUE"""),182.7)</f>
        <v>182.7</v>
      </c>
      <c r="C2528" s="2">
        <f>IFERROR(__xludf.DUMMYFUNCTION("""COMPUTED_VALUE"""),183.04)</f>
        <v>183.04</v>
      </c>
      <c r="D2528" s="2">
        <f>IFERROR(__xludf.DUMMYFUNCTION("""COMPUTED_VALUE"""),178.64)</f>
        <v>178.64</v>
      </c>
      <c r="E2528" s="2">
        <f>IFERROR(__xludf.DUMMYFUNCTION("""COMPUTED_VALUE"""),180.13)</f>
        <v>180.13</v>
      </c>
      <c r="F2528" s="2">
        <f>IFERROR(__xludf.DUMMYFUNCTION("""COMPUTED_VALUE"""),747244.0)</f>
        <v>747244</v>
      </c>
    </row>
    <row r="2529">
      <c r="A2529" s="3">
        <f>IFERROR(__xludf.DUMMYFUNCTION("""COMPUTED_VALUE"""),40252.645833333336)</f>
        <v>40252.64583</v>
      </c>
      <c r="B2529" s="2">
        <f>IFERROR(__xludf.DUMMYFUNCTION("""COMPUTED_VALUE"""),178.0)</f>
        <v>178</v>
      </c>
      <c r="C2529" s="2">
        <f>IFERROR(__xludf.DUMMYFUNCTION("""COMPUTED_VALUE"""),182.0)</f>
        <v>182</v>
      </c>
      <c r="D2529" s="2">
        <f>IFERROR(__xludf.DUMMYFUNCTION("""COMPUTED_VALUE"""),178.0)</f>
        <v>178</v>
      </c>
      <c r="E2529" s="2">
        <f>IFERROR(__xludf.DUMMYFUNCTION("""COMPUTED_VALUE"""),181.26)</f>
        <v>181.26</v>
      </c>
      <c r="F2529" s="2">
        <f>IFERROR(__xludf.DUMMYFUNCTION("""COMPUTED_VALUE"""),751296.0)</f>
        <v>751296</v>
      </c>
    </row>
    <row r="2530">
      <c r="A2530" s="3">
        <f>IFERROR(__xludf.DUMMYFUNCTION("""COMPUTED_VALUE"""),40253.645833333336)</f>
        <v>40253.64583</v>
      </c>
      <c r="B2530" s="2">
        <f>IFERROR(__xludf.DUMMYFUNCTION("""COMPUTED_VALUE"""),180.5)</f>
        <v>180.5</v>
      </c>
      <c r="C2530" s="2">
        <f>IFERROR(__xludf.DUMMYFUNCTION("""COMPUTED_VALUE"""),180.99)</f>
        <v>180.99</v>
      </c>
      <c r="D2530" s="2">
        <f>IFERROR(__xludf.DUMMYFUNCTION("""COMPUTED_VALUE"""),176.4)</f>
        <v>176.4</v>
      </c>
      <c r="E2530" s="2">
        <f>IFERROR(__xludf.DUMMYFUNCTION("""COMPUTED_VALUE"""),180.46)</f>
        <v>180.46</v>
      </c>
      <c r="F2530" s="2">
        <f>IFERROR(__xludf.DUMMYFUNCTION("""COMPUTED_VALUE"""),1043625.0)</f>
        <v>1043625</v>
      </c>
    </row>
    <row r="2531">
      <c r="A2531" s="3">
        <f>IFERROR(__xludf.DUMMYFUNCTION("""COMPUTED_VALUE"""),40254.645833333336)</f>
        <v>40254.64583</v>
      </c>
      <c r="B2531" s="2">
        <f>IFERROR(__xludf.DUMMYFUNCTION("""COMPUTED_VALUE"""),180.46)</f>
        <v>180.46</v>
      </c>
      <c r="C2531" s="2">
        <f>IFERROR(__xludf.DUMMYFUNCTION("""COMPUTED_VALUE"""),182.48)</f>
        <v>182.48</v>
      </c>
      <c r="D2531" s="2">
        <f>IFERROR(__xludf.DUMMYFUNCTION("""COMPUTED_VALUE"""),179.81)</f>
        <v>179.81</v>
      </c>
      <c r="E2531" s="2">
        <f>IFERROR(__xludf.DUMMYFUNCTION("""COMPUTED_VALUE"""),180.77)</f>
        <v>180.77</v>
      </c>
      <c r="F2531" s="2">
        <f>IFERROR(__xludf.DUMMYFUNCTION("""COMPUTED_VALUE"""),479484.0)</f>
        <v>479484</v>
      </c>
    </row>
    <row r="2532">
      <c r="A2532" s="3">
        <f>IFERROR(__xludf.DUMMYFUNCTION("""COMPUTED_VALUE"""),40255.645833333336)</f>
        <v>40255.64583</v>
      </c>
      <c r="B2532" s="2">
        <f>IFERROR(__xludf.DUMMYFUNCTION("""COMPUTED_VALUE"""),181.24)</f>
        <v>181.24</v>
      </c>
      <c r="C2532" s="2">
        <f>IFERROR(__xludf.DUMMYFUNCTION("""COMPUTED_VALUE"""),181.24)</f>
        <v>181.24</v>
      </c>
      <c r="D2532" s="2">
        <f>IFERROR(__xludf.DUMMYFUNCTION("""COMPUTED_VALUE"""),179.05)</f>
        <v>179.05</v>
      </c>
      <c r="E2532" s="2">
        <f>IFERROR(__xludf.DUMMYFUNCTION("""COMPUTED_VALUE"""),180.09)</f>
        <v>180.09</v>
      </c>
      <c r="F2532" s="2">
        <f>IFERROR(__xludf.DUMMYFUNCTION("""COMPUTED_VALUE"""),350197.0)</f>
        <v>350197</v>
      </c>
    </row>
    <row r="2533">
      <c r="A2533" s="3">
        <f>IFERROR(__xludf.DUMMYFUNCTION("""COMPUTED_VALUE"""),40256.645833333336)</f>
        <v>40256.64583</v>
      </c>
      <c r="B2533" s="2">
        <f>IFERROR(__xludf.DUMMYFUNCTION("""COMPUTED_VALUE"""),181.48)</f>
        <v>181.48</v>
      </c>
      <c r="C2533" s="2">
        <f>IFERROR(__xludf.DUMMYFUNCTION("""COMPUTED_VALUE"""),182.48)</f>
        <v>182.48</v>
      </c>
      <c r="D2533" s="2">
        <f>IFERROR(__xludf.DUMMYFUNCTION("""COMPUTED_VALUE"""),179.77)</f>
        <v>179.77</v>
      </c>
      <c r="E2533" s="2">
        <f>IFERROR(__xludf.DUMMYFUNCTION("""COMPUTED_VALUE"""),181.99)</f>
        <v>181.99</v>
      </c>
      <c r="F2533" s="2">
        <f>IFERROR(__xludf.DUMMYFUNCTION("""COMPUTED_VALUE"""),633984.0)</f>
        <v>633984</v>
      </c>
    </row>
    <row r="2534">
      <c r="A2534" s="3">
        <f>IFERROR(__xludf.DUMMYFUNCTION("""COMPUTED_VALUE"""),40259.645833333336)</f>
        <v>40259.64583</v>
      </c>
      <c r="B2534" s="2">
        <f>IFERROR(__xludf.DUMMYFUNCTION("""COMPUTED_VALUE"""),180.2)</f>
        <v>180.2</v>
      </c>
      <c r="C2534" s="2">
        <f>IFERROR(__xludf.DUMMYFUNCTION("""COMPUTED_VALUE"""),185.5)</f>
        <v>185.5</v>
      </c>
      <c r="D2534" s="2">
        <f>IFERROR(__xludf.DUMMYFUNCTION("""COMPUTED_VALUE"""),179.8)</f>
        <v>179.8</v>
      </c>
      <c r="E2534" s="2">
        <f>IFERROR(__xludf.DUMMYFUNCTION("""COMPUTED_VALUE"""),183.71)</f>
        <v>183.71</v>
      </c>
      <c r="F2534" s="2">
        <f>IFERROR(__xludf.DUMMYFUNCTION("""COMPUTED_VALUE"""),1530561.0)</f>
        <v>1530561</v>
      </c>
    </row>
    <row r="2535">
      <c r="A2535" s="3">
        <f>IFERROR(__xludf.DUMMYFUNCTION("""COMPUTED_VALUE"""),40260.645833333336)</f>
        <v>40260.64583</v>
      </c>
      <c r="B2535" s="2">
        <f>IFERROR(__xludf.DUMMYFUNCTION("""COMPUTED_VALUE"""),183.5)</f>
        <v>183.5</v>
      </c>
      <c r="C2535" s="2">
        <f>IFERROR(__xludf.DUMMYFUNCTION("""COMPUTED_VALUE"""),189.0)</f>
        <v>189</v>
      </c>
      <c r="D2535" s="2">
        <f>IFERROR(__xludf.DUMMYFUNCTION("""COMPUTED_VALUE"""),183.5)</f>
        <v>183.5</v>
      </c>
      <c r="E2535" s="2">
        <f>IFERROR(__xludf.DUMMYFUNCTION("""COMPUTED_VALUE"""),188.4)</f>
        <v>188.4</v>
      </c>
      <c r="F2535" s="2">
        <f>IFERROR(__xludf.DUMMYFUNCTION("""COMPUTED_VALUE"""),1015438.0)</f>
        <v>1015438</v>
      </c>
    </row>
    <row r="2536">
      <c r="A2536" s="3">
        <f>IFERROR(__xludf.DUMMYFUNCTION("""COMPUTED_VALUE"""),40262.645833333336)</f>
        <v>40262.64583</v>
      </c>
      <c r="B2536" s="2">
        <f>IFERROR(__xludf.DUMMYFUNCTION("""COMPUTED_VALUE"""),188.0)</f>
        <v>188</v>
      </c>
      <c r="C2536" s="2">
        <f>IFERROR(__xludf.DUMMYFUNCTION("""COMPUTED_VALUE"""),193.0)</f>
        <v>193</v>
      </c>
      <c r="D2536" s="2">
        <f>IFERROR(__xludf.DUMMYFUNCTION("""COMPUTED_VALUE"""),187.02)</f>
        <v>187.02</v>
      </c>
      <c r="E2536" s="2">
        <f>IFERROR(__xludf.DUMMYFUNCTION("""COMPUTED_VALUE"""),192.62)</f>
        <v>192.62</v>
      </c>
      <c r="F2536" s="2">
        <f>IFERROR(__xludf.DUMMYFUNCTION("""COMPUTED_VALUE"""),2329640.0)</f>
        <v>2329640</v>
      </c>
    </row>
    <row r="2537">
      <c r="A2537" s="3">
        <f>IFERROR(__xludf.DUMMYFUNCTION("""COMPUTED_VALUE"""),40263.645833333336)</f>
        <v>40263.64583</v>
      </c>
      <c r="B2537" s="2">
        <f>IFERROR(__xludf.DUMMYFUNCTION("""COMPUTED_VALUE"""),193.1)</f>
        <v>193.1</v>
      </c>
      <c r="C2537" s="2">
        <f>IFERROR(__xludf.DUMMYFUNCTION("""COMPUTED_VALUE"""),196.56)</f>
        <v>196.56</v>
      </c>
      <c r="D2537" s="2">
        <f>IFERROR(__xludf.DUMMYFUNCTION("""COMPUTED_VALUE"""),191.31)</f>
        <v>191.31</v>
      </c>
      <c r="E2537" s="2">
        <f>IFERROR(__xludf.DUMMYFUNCTION("""COMPUTED_VALUE"""),195.15)</f>
        <v>195.15</v>
      </c>
      <c r="F2537" s="2">
        <f>IFERROR(__xludf.DUMMYFUNCTION("""COMPUTED_VALUE"""),1155286.0)</f>
        <v>1155286</v>
      </c>
    </row>
    <row r="2538">
      <c r="A2538" s="3">
        <f>IFERROR(__xludf.DUMMYFUNCTION("""COMPUTED_VALUE"""),40266.645833333336)</f>
        <v>40266.64583</v>
      </c>
      <c r="B2538" s="2">
        <f>IFERROR(__xludf.DUMMYFUNCTION("""COMPUTED_VALUE"""),162.89)</f>
        <v>162.89</v>
      </c>
      <c r="C2538" s="2">
        <f>IFERROR(__xludf.DUMMYFUNCTION("""COMPUTED_VALUE"""),199.0)</f>
        <v>199</v>
      </c>
      <c r="D2538" s="2">
        <f>IFERROR(__xludf.DUMMYFUNCTION("""COMPUTED_VALUE"""),162.89)</f>
        <v>162.89</v>
      </c>
      <c r="E2538" s="2">
        <f>IFERROR(__xludf.DUMMYFUNCTION("""COMPUTED_VALUE"""),196.51)</f>
        <v>196.51</v>
      </c>
      <c r="F2538" s="2">
        <f>IFERROR(__xludf.DUMMYFUNCTION("""COMPUTED_VALUE"""),1322671.0)</f>
        <v>1322671</v>
      </c>
    </row>
    <row r="2539">
      <c r="A2539" s="3">
        <f>IFERROR(__xludf.DUMMYFUNCTION("""COMPUTED_VALUE"""),40267.645833333336)</f>
        <v>40267.64583</v>
      </c>
      <c r="B2539" s="2">
        <f>IFERROR(__xludf.DUMMYFUNCTION("""COMPUTED_VALUE"""),196.5)</f>
        <v>196.5</v>
      </c>
      <c r="C2539" s="2">
        <f>IFERROR(__xludf.DUMMYFUNCTION("""COMPUTED_VALUE"""),196.99)</f>
        <v>196.99</v>
      </c>
      <c r="D2539" s="2">
        <f>IFERROR(__xludf.DUMMYFUNCTION("""COMPUTED_VALUE"""),190.14)</f>
        <v>190.14</v>
      </c>
      <c r="E2539" s="2">
        <f>IFERROR(__xludf.DUMMYFUNCTION("""COMPUTED_VALUE"""),190.69)</f>
        <v>190.69</v>
      </c>
      <c r="F2539" s="2">
        <f>IFERROR(__xludf.DUMMYFUNCTION("""COMPUTED_VALUE"""),936998.0)</f>
        <v>936998</v>
      </c>
    </row>
    <row r="2540">
      <c r="A2540" s="3">
        <f>IFERROR(__xludf.DUMMYFUNCTION("""COMPUTED_VALUE"""),40268.645833333336)</f>
        <v>40268.64583</v>
      </c>
      <c r="B2540" s="2">
        <f>IFERROR(__xludf.DUMMYFUNCTION("""COMPUTED_VALUE"""),190.0)</f>
        <v>190</v>
      </c>
      <c r="C2540" s="2">
        <f>IFERROR(__xludf.DUMMYFUNCTION("""COMPUTED_VALUE"""),194.29)</f>
        <v>194.29</v>
      </c>
      <c r="D2540" s="2">
        <f>IFERROR(__xludf.DUMMYFUNCTION("""COMPUTED_VALUE"""),189.73)</f>
        <v>189.73</v>
      </c>
      <c r="E2540" s="2">
        <f>IFERROR(__xludf.DUMMYFUNCTION("""COMPUTED_VALUE"""),193.35)</f>
        <v>193.35</v>
      </c>
      <c r="F2540" s="2">
        <f>IFERROR(__xludf.DUMMYFUNCTION("""COMPUTED_VALUE"""),682608.0)</f>
        <v>682608</v>
      </c>
    </row>
    <row r="2541">
      <c r="A2541" s="3">
        <f>IFERROR(__xludf.DUMMYFUNCTION("""COMPUTED_VALUE"""),40269.645833333336)</f>
        <v>40269.64583</v>
      </c>
      <c r="B2541" s="2">
        <f>IFERROR(__xludf.DUMMYFUNCTION("""COMPUTED_VALUE"""),195.0)</f>
        <v>195</v>
      </c>
      <c r="C2541" s="2">
        <f>IFERROR(__xludf.DUMMYFUNCTION("""COMPUTED_VALUE"""),195.0)</f>
        <v>195</v>
      </c>
      <c r="D2541" s="2">
        <f>IFERROR(__xludf.DUMMYFUNCTION("""COMPUTED_VALUE"""),192.61)</f>
        <v>192.61</v>
      </c>
      <c r="E2541" s="2">
        <f>IFERROR(__xludf.DUMMYFUNCTION("""COMPUTED_VALUE"""),193.93)</f>
        <v>193.93</v>
      </c>
      <c r="F2541" s="2">
        <f>IFERROR(__xludf.DUMMYFUNCTION("""COMPUTED_VALUE"""),740922.0)</f>
        <v>740922</v>
      </c>
    </row>
    <row r="2542">
      <c r="A2542" s="3">
        <f>IFERROR(__xludf.DUMMYFUNCTION("""COMPUTED_VALUE"""),40273.645833333336)</f>
        <v>40273.64583</v>
      </c>
      <c r="B2542" s="2">
        <f>IFERROR(__xludf.DUMMYFUNCTION("""COMPUTED_VALUE"""),195.88)</f>
        <v>195.88</v>
      </c>
      <c r="C2542" s="2">
        <f>IFERROR(__xludf.DUMMYFUNCTION("""COMPUTED_VALUE"""),195.96)</f>
        <v>195.96</v>
      </c>
      <c r="D2542" s="2">
        <f>IFERROR(__xludf.DUMMYFUNCTION("""COMPUTED_VALUE"""),192.44)</f>
        <v>192.44</v>
      </c>
      <c r="E2542" s="2">
        <f>IFERROR(__xludf.DUMMYFUNCTION("""COMPUTED_VALUE"""),194.85)</f>
        <v>194.85</v>
      </c>
      <c r="F2542" s="2">
        <f>IFERROR(__xludf.DUMMYFUNCTION("""COMPUTED_VALUE"""),712384.0)</f>
        <v>712384</v>
      </c>
    </row>
    <row r="2543">
      <c r="A2543" s="3">
        <f>IFERROR(__xludf.DUMMYFUNCTION("""COMPUTED_VALUE"""),40274.645833333336)</f>
        <v>40274.64583</v>
      </c>
      <c r="B2543" s="2">
        <f>IFERROR(__xludf.DUMMYFUNCTION("""COMPUTED_VALUE"""),195.0)</f>
        <v>195</v>
      </c>
      <c r="C2543" s="2">
        <f>IFERROR(__xludf.DUMMYFUNCTION("""COMPUTED_VALUE"""),195.0)</f>
        <v>195</v>
      </c>
      <c r="D2543" s="2">
        <f>IFERROR(__xludf.DUMMYFUNCTION("""COMPUTED_VALUE"""),192.54)</f>
        <v>192.54</v>
      </c>
      <c r="E2543" s="2">
        <f>IFERROR(__xludf.DUMMYFUNCTION("""COMPUTED_VALUE"""),193.29)</f>
        <v>193.29</v>
      </c>
      <c r="F2543" s="2">
        <f>IFERROR(__xludf.DUMMYFUNCTION("""COMPUTED_VALUE"""),442144.0)</f>
        <v>442144</v>
      </c>
    </row>
    <row r="2544">
      <c r="A2544" s="3">
        <f>IFERROR(__xludf.DUMMYFUNCTION("""COMPUTED_VALUE"""),40275.645833333336)</f>
        <v>40275.64583</v>
      </c>
      <c r="B2544" s="2">
        <f>IFERROR(__xludf.DUMMYFUNCTION("""COMPUTED_VALUE"""),194.0)</f>
        <v>194</v>
      </c>
      <c r="C2544" s="2">
        <f>IFERROR(__xludf.DUMMYFUNCTION("""COMPUTED_VALUE"""),194.8)</f>
        <v>194.8</v>
      </c>
      <c r="D2544" s="2">
        <f>IFERROR(__xludf.DUMMYFUNCTION("""COMPUTED_VALUE"""),192.6)</f>
        <v>192.6</v>
      </c>
      <c r="E2544" s="2">
        <f>IFERROR(__xludf.DUMMYFUNCTION("""COMPUTED_VALUE"""),193.18)</f>
        <v>193.18</v>
      </c>
      <c r="F2544" s="2">
        <f>IFERROR(__xludf.DUMMYFUNCTION("""COMPUTED_VALUE"""),537805.0)</f>
        <v>537805</v>
      </c>
    </row>
    <row r="2545">
      <c r="A2545" s="3">
        <f>IFERROR(__xludf.DUMMYFUNCTION("""COMPUTED_VALUE"""),40276.645833333336)</f>
        <v>40276.64583</v>
      </c>
      <c r="B2545" s="2">
        <f>IFERROR(__xludf.DUMMYFUNCTION("""COMPUTED_VALUE"""),192.99)</f>
        <v>192.99</v>
      </c>
      <c r="C2545" s="2">
        <f>IFERROR(__xludf.DUMMYFUNCTION("""COMPUTED_VALUE"""),192.99)</f>
        <v>192.99</v>
      </c>
      <c r="D2545" s="2">
        <f>IFERROR(__xludf.DUMMYFUNCTION("""COMPUTED_VALUE"""),189.38)</f>
        <v>189.38</v>
      </c>
      <c r="E2545" s="2">
        <f>IFERROR(__xludf.DUMMYFUNCTION("""COMPUTED_VALUE"""),190.28)</f>
        <v>190.28</v>
      </c>
      <c r="F2545" s="2">
        <f>IFERROR(__xludf.DUMMYFUNCTION("""COMPUTED_VALUE"""),623883.0)</f>
        <v>623883</v>
      </c>
    </row>
    <row r="2546">
      <c r="A2546" s="3">
        <f>IFERROR(__xludf.DUMMYFUNCTION("""COMPUTED_VALUE"""),40277.645833333336)</f>
        <v>40277.64583</v>
      </c>
      <c r="B2546" s="2">
        <f>IFERROR(__xludf.DUMMYFUNCTION("""COMPUTED_VALUE"""),189.05)</f>
        <v>189.05</v>
      </c>
      <c r="C2546" s="2">
        <f>IFERROR(__xludf.DUMMYFUNCTION("""COMPUTED_VALUE"""),195.7)</f>
        <v>195.7</v>
      </c>
      <c r="D2546" s="2">
        <f>IFERROR(__xludf.DUMMYFUNCTION("""COMPUTED_VALUE"""),189.05)</f>
        <v>189.05</v>
      </c>
      <c r="E2546" s="2">
        <f>IFERROR(__xludf.DUMMYFUNCTION("""COMPUTED_VALUE"""),194.94)</f>
        <v>194.94</v>
      </c>
      <c r="F2546" s="2">
        <f>IFERROR(__xludf.DUMMYFUNCTION("""COMPUTED_VALUE"""),620765.0)</f>
        <v>620765</v>
      </c>
    </row>
    <row r="2547">
      <c r="A2547" s="3">
        <f>IFERROR(__xludf.DUMMYFUNCTION("""COMPUTED_VALUE"""),40280.645833333336)</f>
        <v>40280.64583</v>
      </c>
      <c r="B2547" s="2">
        <f>IFERROR(__xludf.DUMMYFUNCTION("""COMPUTED_VALUE"""),193.87)</f>
        <v>193.87</v>
      </c>
      <c r="C2547" s="2">
        <f>IFERROR(__xludf.DUMMYFUNCTION("""COMPUTED_VALUE"""),196.79)</f>
        <v>196.79</v>
      </c>
      <c r="D2547" s="2">
        <f>IFERROR(__xludf.DUMMYFUNCTION("""COMPUTED_VALUE"""),193.87)</f>
        <v>193.87</v>
      </c>
      <c r="E2547" s="2">
        <f>IFERROR(__xludf.DUMMYFUNCTION("""COMPUTED_VALUE"""),195.42)</f>
        <v>195.42</v>
      </c>
      <c r="F2547" s="2">
        <f>IFERROR(__xludf.DUMMYFUNCTION("""COMPUTED_VALUE"""),457064.0)</f>
        <v>457064</v>
      </c>
    </row>
    <row r="2548">
      <c r="A2548" s="3">
        <f>IFERROR(__xludf.DUMMYFUNCTION("""COMPUTED_VALUE"""),40281.645833333336)</f>
        <v>40281.64583</v>
      </c>
      <c r="B2548" s="2">
        <f>IFERROR(__xludf.DUMMYFUNCTION("""COMPUTED_VALUE"""),195.0)</f>
        <v>195</v>
      </c>
      <c r="C2548" s="2">
        <f>IFERROR(__xludf.DUMMYFUNCTION("""COMPUTED_VALUE"""),196.29)</f>
        <v>196.29</v>
      </c>
      <c r="D2548" s="2">
        <f>IFERROR(__xludf.DUMMYFUNCTION("""COMPUTED_VALUE"""),193.1)</f>
        <v>193.1</v>
      </c>
      <c r="E2548" s="2">
        <f>IFERROR(__xludf.DUMMYFUNCTION("""COMPUTED_VALUE"""),195.17)</f>
        <v>195.17</v>
      </c>
      <c r="F2548" s="2">
        <f>IFERROR(__xludf.DUMMYFUNCTION("""COMPUTED_VALUE"""),634130.0)</f>
        <v>634130</v>
      </c>
    </row>
    <row r="2549">
      <c r="A2549" s="3">
        <f>IFERROR(__xludf.DUMMYFUNCTION("""COMPUTED_VALUE"""),40283.645833333336)</f>
        <v>40283.64583</v>
      </c>
      <c r="B2549" s="2">
        <f>IFERROR(__xludf.DUMMYFUNCTION("""COMPUTED_VALUE"""),195.5)</f>
        <v>195.5</v>
      </c>
      <c r="C2549" s="2">
        <f>IFERROR(__xludf.DUMMYFUNCTION("""COMPUTED_VALUE"""),197.49)</f>
        <v>197.49</v>
      </c>
      <c r="D2549" s="2">
        <f>IFERROR(__xludf.DUMMYFUNCTION("""COMPUTED_VALUE"""),194.42)</f>
        <v>194.42</v>
      </c>
      <c r="E2549" s="2">
        <f>IFERROR(__xludf.DUMMYFUNCTION("""COMPUTED_VALUE"""),195.71)</f>
        <v>195.71</v>
      </c>
      <c r="F2549" s="2">
        <f>IFERROR(__xludf.DUMMYFUNCTION("""COMPUTED_VALUE"""),954736.0)</f>
        <v>954736</v>
      </c>
    </row>
    <row r="2550">
      <c r="A2550" s="3">
        <f>IFERROR(__xludf.DUMMYFUNCTION("""COMPUTED_VALUE"""),40284.645833333336)</f>
        <v>40284.64583</v>
      </c>
      <c r="B2550" s="2">
        <f>IFERROR(__xludf.DUMMYFUNCTION("""COMPUTED_VALUE"""),194.5)</f>
        <v>194.5</v>
      </c>
      <c r="C2550" s="2">
        <f>IFERROR(__xludf.DUMMYFUNCTION("""COMPUTED_VALUE"""),197.44)</f>
        <v>197.44</v>
      </c>
      <c r="D2550" s="2">
        <f>IFERROR(__xludf.DUMMYFUNCTION("""COMPUTED_VALUE"""),192.6)</f>
        <v>192.6</v>
      </c>
      <c r="E2550" s="2">
        <f>IFERROR(__xludf.DUMMYFUNCTION("""COMPUTED_VALUE"""),196.43)</f>
        <v>196.43</v>
      </c>
      <c r="F2550" s="2">
        <f>IFERROR(__xludf.DUMMYFUNCTION("""COMPUTED_VALUE"""),523256.0)</f>
        <v>523256</v>
      </c>
    </row>
    <row r="2551">
      <c r="A2551" s="3">
        <f>IFERROR(__xludf.DUMMYFUNCTION("""COMPUTED_VALUE"""),40287.645833333336)</f>
        <v>40287.64583</v>
      </c>
      <c r="B2551" s="2">
        <f>IFERROR(__xludf.DUMMYFUNCTION("""COMPUTED_VALUE"""),195.0)</f>
        <v>195</v>
      </c>
      <c r="C2551" s="2">
        <f>IFERROR(__xludf.DUMMYFUNCTION("""COMPUTED_VALUE"""),195.88)</f>
        <v>195.88</v>
      </c>
      <c r="D2551" s="2">
        <f>IFERROR(__xludf.DUMMYFUNCTION("""COMPUTED_VALUE"""),192.6)</f>
        <v>192.6</v>
      </c>
      <c r="E2551" s="2">
        <f>IFERROR(__xludf.DUMMYFUNCTION("""COMPUTED_VALUE"""),193.41)</f>
        <v>193.41</v>
      </c>
      <c r="F2551" s="2">
        <f>IFERROR(__xludf.DUMMYFUNCTION("""COMPUTED_VALUE"""),612083.0)</f>
        <v>612083</v>
      </c>
    </row>
    <row r="2552">
      <c r="A2552" s="3">
        <f>IFERROR(__xludf.DUMMYFUNCTION("""COMPUTED_VALUE"""),40288.645833333336)</f>
        <v>40288.64583</v>
      </c>
      <c r="B2552" s="2">
        <f>IFERROR(__xludf.DUMMYFUNCTION("""COMPUTED_VALUE"""),192.9)</f>
        <v>192.9</v>
      </c>
      <c r="C2552" s="2">
        <f>IFERROR(__xludf.DUMMYFUNCTION("""COMPUTED_VALUE"""),195.7)</f>
        <v>195.7</v>
      </c>
      <c r="D2552" s="2">
        <f>IFERROR(__xludf.DUMMYFUNCTION("""COMPUTED_VALUE"""),192.9)</f>
        <v>192.9</v>
      </c>
      <c r="E2552" s="2">
        <f>IFERROR(__xludf.DUMMYFUNCTION("""COMPUTED_VALUE"""),194.46)</f>
        <v>194.46</v>
      </c>
      <c r="F2552" s="2">
        <f>IFERROR(__xludf.DUMMYFUNCTION("""COMPUTED_VALUE"""),543932.0)</f>
        <v>543932</v>
      </c>
    </row>
    <row r="2553">
      <c r="A2553" s="3">
        <f>IFERROR(__xludf.DUMMYFUNCTION("""COMPUTED_VALUE"""),40289.645833333336)</f>
        <v>40289.64583</v>
      </c>
      <c r="B2553" s="2">
        <f>IFERROR(__xludf.DUMMYFUNCTION("""COMPUTED_VALUE"""),194.9)</f>
        <v>194.9</v>
      </c>
      <c r="C2553" s="2">
        <f>IFERROR(__xludf.DUMMYFUNCTION("""COMPUTED_VALUE"""),196.0)</f>
        <v>196</v>
      </c>
      <c r="D2553" s="2">
        <f>IFERROR(__xludf.DUMMYFUNCTION("""COMPUTED_VALUE"""),193.5)</f>
        <v>193.5</v>
      </c>
      <c r="E2553" s="2">
        <f>IFERROR(__xludf.DUMMYFUNCTION("""COMPUTED_VALUE"""),194.1)</f>
        <v>194.1</v>
      </c>
      <c r="F2553" s="2">
        <f>IFERROR(__xludf.DUMMYFUNCTION("""COMPUTED_VALUE"""),394450.0)</f>
        <v>394450</v>
      </c>
    </row>
    <row r="2554">
      <c r="A2554" s="3">
        <f>IFERROR(__xludf.DUMMYFUNCTION("""COMPUTED_VALUE"""),40290.645833333336)</f>
        <v>40290.64583</v>
      </c>
      <c r="B2554" s="2">
        <f>IFERROR(__xludf.DUMMYFUNCTION("""COMPUTED_VALUE"""),193.88)</f>
        <v>193.88</v>
      </c>
      <c r="C2554" s="2">
        <f>IFERROR(__xludf.DUMMYFUNCTION("""COMPUTED_VALUE"""),197.0)</f>
        <v>197</v>
      </c>
      <c r="D2554" s="2">
        <f>IFERROR(__xludf.DUMMYFUNCTION("""COMPUTED_VALUE"""),190.81)</f>
        <v>190.81</v>
      </c>
      <c r="E2554" s="2">
        <f>IFERROR(__xludf.DUMMYFUNCTION("""COMPUTED_VALUE"""),193.42)</f>
        <v>193.42</v>
      </c>
      <c r="F2554" s="2">
        <f>IFERROR(__xludf.DUMMYFUNCTION("""COMPUTED_VALUE"""),689511.0)</f>
        <v>689511</v>
      </c>
    </row>
    <row r="2555">
      <c r="A2555" s="3">
        <f>IFERROR(__xludf.DUMMYFUNCTION("""COMPUTED_VALUE"""),40291.645833333336)</f>
        <v>40291.64583</v>
      </c>
      <c r="B2555" s="2">
        <f>IFERROR(__xludf.DUMMYFUNCTION("""COMPUTED_VALUE"""),193.5)</f>
        <v>193.5</v>
      </c>
      <c r="C2555" s="2">
        <f>IFERROR(__xludf.DUMMYFUNCTION("""COMPUTED_VALUE"""),195.71)</f>
        <v>195.71</v>
      </c>
      <c r="D2555" s="2">
        <f>IFERROR(__xludf.DUMMYFUNCTION("""COMPUTED_VALUE"""),192.87)</f>
        <v>192.87</v>
      </c>
      <c r="E2555" s="2">
        <f>IFERROR(__xludf.DUMMYFUNCTION("""COMPUTED_VALUE"""),195.18)</f>
        <v>195.18</v>
      </c>
      <c r="F2555" s="2">
        <f>IFERROR(__xludf.DUMMYFUNCTION("""COMPUTED_VALUE"""),531706.0)</f>
        <v>531706</v>
      </c>
    </row>
    <row r="2556">
      <c r="A2556" s="3">
        <f>IFERROR(__xludf.DUMMYFUNCTION("""COMPUTED_VALUE"""),40294.645833333336)</f>
        <v>40294.64583</v>
      </c>
      <c r="B2556" s="2">
        <f>IFERROR(__xludf.DUMMYFUNCTION("""COMPUTED_VALUE"""),195.77)</f>
        <v>195.77</v>
      </c>
      <c r="C2556" s="2">
        <f>IFERROR(__xludf.DUMMYFUNCTION("""COMPUTED_VALUE"""),199.69)</f>
        <v>199.69</v>
      </c>
      <c r="D2556" s="2">
        <f>IFERROR(__xludf.DUMMYFUNCTION("""COMPUTED_VALUE"""),195.77)</f>
        <v>195.77</v>
      </c>
      <c r="E2556" s="2">
        <f>IFERROR(__xludf.DUMMYFUNCTION("""COMPUTED_VALUE"""),198.96)</f>
        <v>198.96</v>
      </c>
      <c r="F2556" s="2">
        <f>IFERROR(__xludf.DUMMYFUNCTION("""COMPUTED_VALUE"""),789828.0)</f>
        <v>789828</v>
      </c>
    </row>
    <row r="2557">
      <c r="A2557" s="3">
        <f>IFERROR(__xludf.DUMMYFUNCTION("""COMPUTED_VALUE"""),40295.645833333336)</f>
        <v>40295.64583</v>
      </c>
      <c r="B2557" s="2">
        <f>IFERROR(__xludf.DUMMYFUNCTION("""COMPUTED_VALUE"""),198.9)</f>
        <v>198.9</v>
      </c>
      <c r="C2557" s="2">
        <f>IFERROR(__xludf.DUMMYFUNCTION("""COMPUTED_VALUE"""),199.6)</f>
        <v>199.6</v>
      </c>
      <c r="D2557" s="2">
        <f>IFERROR(__xludf.DUMMYFUNCTION("""COMPUTED_VALUE"""),196.78)</f>
        <v>196.78</v>
      </c>
      <c r="E2557" s="2">
        <f>IFERROR(__xludf.DUMMYFUNCTION("""COMPUTED_VALUE"""),197.96)</f>
        <v>197.96</v>
      </c>
      <c r="F2557" s="2">
        <f>IFERROR(__xludf.DUMMYFUNCTION("""COMPUTED_VALUE"""),448447.0)</f>
        <v>448447</v>
      </c>
    </row>
    <row r="2558">
      <c r="A2558" s="3">
        <f>IFERROR(__xludf.DUMMYFUNCTION("""COMPUTED_VALUE"""),40296.645833333336)</f>
        <v>40296.64583</v>
      </c>
      <c r="B2558" s="2">
        <f>IFERROR(__xludf.DUMMYFUNCTION("""COMPUTED_VALUE"""),195.8)</f>
        <v>195.8</v>
      </c>
      <c r="C2558" s="2">
        <f>IFERROR(__xludf.DUMMYFUNCTION("""COMPUTED_VALUE"""),198.68)</f>
        <v>198.68</v>
      </c>
      <c r="D2558" s="2">
        <f>IFERROR(__xludf.DUMMYFUNCTION("""COMPUTED_VALUE"""),195.8)</f>
        <v>195.8</v>
      </c>
      <c r="E2558" s="2">
        <f>IFERROR(__xludf.DUMMYFUNCTION("""COMPUTED_VALUE"""),196.82)</f>
        <v>196.82</v>
      </c>
      <c r="F2558" s="2">
        <f>IFERROR(__xludf.DUMMYFUNCTION("""COMPUTED_VALUE"""),571177.0)</f>
        <v>571177</v>
      </c>
    </row>
    <row r="2559">
      <c r="A2559" s="3">
        <f>IFERROR(__xludf.DUMMYFUNCTION("""COMPUTED_VALUE"""),40297.645833333336)</f>
        <v>40297.64583</v>
      </c>
      <c r="B2559" s="2">
        <f>IFERROR(__xludf.DUMMYFUNCTION("""COMPUTED_VALUE"""),197.19)</f>
        <v>197.19</v>
      </c>
      <c r="C2559" s="2">
        <f>IFERROR(__xludf.DUMMYFUNCTION("""COMPUTED_VALUE"""),199.5)</f>
        <v>199.5</v>
      </c>
      <c r="D2559" s="2">
        <f>IFERROR(__xludf.DUMMYFUNCTION("""COMPUTED_VALUE"""),194.65)</f>
        <v>194.65</v>
      </c>
      <c r="E2559" s="2">
        <f>IFERROR(__xludf.DUMMYFUNCTION("""COMPUTED_VALUE"""),198.58)</f>
        <v>198.58</v>
      </c>
      <c r="F2559" s="2">
        <f>IFERROR(__xludf.DUMMYFUNCTION("""COMPUTED_VALUE"""),939645.0)</f>
        <v>939645</v>
      </c>
    </row>
    <row r="2560">
      <c r="A2560" s="3">
        <f>IFERROR(__xludf.DUMMYFUNCTION("""COMPUTED_VALUE"""),40298.645833333336)</f>
        <v>40298.64583</v>
      </c>
      <c r="B2560" s="2">
        <f>IFERROR(__xludf.DUMMYFUNCTION("""COMPUTED_VALUE"""),199.81)</f>
        <v>199.81</v>
      </c>
      <c r="C2560" s="2">
        <f>IFERROR(__xludf.DUMMYFUNCTION("""COMPUTED_VALUE"""),201.0)</f>
        <v>201</v>
      </c>
      <c r="D2560" s="2">
        <f>IFERROR(__xludf.DUMMYFUNCTION("""COMPUTED_VALUE"""),198.3)</f>
        <v>198.3</v>
      </c>
      <c r="E2560" s="2">
        <f>IFERROR(__xludf.DUMMYFUNCTION("""COMPUTED_VALUE"""),200.05)</f>
        <v>200.05</v>
      </c>
      <c r="F2560" s="2">
        <f>IFERROR(__xludf.DUMMYFUNCTION("""COMPUTED_VALUE"""),710961.0)</f>
        <v>710961</v>
      </c>
    </row>
    <row r="2561">
      <c r="A2561" s="3">
        <f>IFERROR(__xludf.DUMMYFUNCTION("""COMPUTED_VALUE"""),40301.645833333336)</f>
        <v>40301.64583</v>
      </c>
      <c r="B2561" s="2">
        <f>IFERROR(__xludf.DUMMYFUNCTION("""COMPUTED_VALUE"""),198.5)</f>
        <v>198.5</v>
      </c>
      <c r="C2561" s="2">
        <f>IFERROR(__xludf.DUMMYFUNCTION("""COMPUTED_VALUE"""),198.5)</f>
        <v>198.5</v>
      </c>
      <c r="D2561" s="2">
        <f>IFERROR(__xludf.DUMMYFUNCTION("""COMPUTED_VALUE"""),196.21)</f>
        <v>196.21</v>
      </c>
      <c r="E2561" s="2">
        <f>IFERROR(__xludf.DUMMYFUNCTION("""COMPUTED_VALUE"""),196.98)</f>
        <v>196.98</v>
      </c>
      <c r="F2561" s="2">
        <f>IFERROR(__xludf.DUMMYFUNCTION("""COMPUTED_VALUE"""),500707.0)</f>
        <v>500707</v>
      </c>
    </row>
    <row r="2562">
      <c r="A2562" s="3">
        <f>IFERROR(__xludf.DUMMYFUNCTION("""COMPUTED_VALUE"""),40302.645833333336)</f>
        <v>40302.64583</v>
      </c>
      <c r="B2562" s="2">
        <f>IFERROR(__xludf.DUMMYFUNCTION("""COMPUTED_VALUE"""),198.48)</f>
        <v>198.48</v>
      </c>
      <c r="C2562" s="2">
        <f>IFERROR(__xludf.DUMMYFUNCTION("""COMPUTED_VALUE"""),198.48)</f>
        <v>198.48</v>
      </c>
      <c r="D2562" s="2">
        <f>IFERROR(__xludf.DUMMYFUNCTION("""COMPUTED_VALUE"""),193.22)</f>
        <v>193.22</v>
      </c>
      <c r="E2562" s="2">
        <f>IFERROR(__xludf.DUMMYFUNCTION("""COMPUTED_VALUE"""),193.7)</f>
        <v>193.7</v>
      </c>
      <c r="F2562" s="2">
        <f>IFERROR(__xludf.DUMMYFUNCTION("""COMPUTED_VALUE"""),458896.0)</f>
        <v>458896</v>
      </c>
    </row>
    <row r="2563">
      <c r="A2563" s="3">
        <f>IFERROR(__xludf.DUMMYFUNCTION("""COMPUTED_VALUE"""),40303.645833333336)</f>
        <v>40303.64583</v>
      </c>
      <c r="B2563" s="2">
        <f>IFERROR(__xludf.DUMMYFUNCTION("""COMPUTED_VALUE"""),193.2)</f>
        <v>193.2</v>
      </c>
      <c r="C2563" s="2">
        <f>IFERROR(__xludf.DUMMYFUNCTION("""COMPUTED_VALUE"""),193.37)</f>
        <v>193.37</v>
      </c>
      <c r="D2563" s="2">
        <f>IFERROR(__xludf.DUMMYFUNCTION("""COMPUTED_VALUE"""),188.01)</f>
        <v>188.01</v>
      </c>
      <c r="E2563" s="2">
        <f>IFERROR(__xludf.DUMMYFUNCTION("""COMPUTED_VALUE"""),191.64)</f>
        <v>191.64</v>
      </c>
      <c r="F2563" s="2">
        <f>IFERROR(__xludf.DUMMYFUNCTION("""COMPUTED_VALUE"""),801427.0)</f>
        <v>801427</v>
      </c>
    </row>
    <row r="2564">
      <c r="A2564" s="3">
        <f>IFERROR(__xludf.DUMMYFUNCTION("""COMPUTED_VALUE"""),40304.645833333336)</f>
        <v>40304.64583</v>
      </c>
      <c r="B2564" s="2">
        <f>IFERROR(__xludf.DUMMYFUNCTION("""COMPUTED_VALUE"""),190.5)</f>
        <v>190.5</v>
      </c>
      <c r="C2564" s="2">
        <f>IFERROR(__xludf.DUMMYFUNCTION("""COMPUTED_VALUE"""),191.6)</f>
        <v>191.6</v>
      </c>
      <c r="D2564" s="2">
        <f>IFERROR(__xludf.DUMMYFUNCTION("""COMPUTED_VALUE"""),187.7)</f>
        <v>187.7</v>
      </c>
      <c r="E2564" s="2">
        <f>IFERROR(__xludf.DUMMYFUNCTION("""COMPUTED_VALUE"""),189.55)</f>
        <v>189.55</v>
      </c>
      <c r="F2564" s="2">
        <f>IFERROR(__xludf.DUMMYFUNCTION("""COMPUTED_VALUE"""),526123.0)</f>
        <v>526123</v>
      </c>
    </row>
    <row r="2565">
      <c r="A2565" s="3">
        <f>IFERROR(__xludf.DUMMYFUNCTION("""COMPUTED_VALUE"""),40305.645833333336)</f>
        <v>40305.64583</v>
      </c>
      <c r="B2565" s="2">
        <f>IFERROR(__xludf.DUMMYFUNCTION("""COMPUTED_VALUE"""),187.1)</f>
        <v>187.1</v>
      </c>
      <c r="C2565" s="2">
        <f>IFERROR(__xludf.DUMMYFUNCTION("""COMPUTED_VALUE"""),187.5)</f>
        <v>187.5</v>
      </c>
      <c r="D2565" s="2">
        <f>IFERROR(__xludf.DUMMYFUNCTION("""COMPUTED_VALUE"""),183.6)</f>
        <v>183.6</v>
      </c>
      <c r="E2565" s="2">
        <f>IFERROR(__xludf.DUMMYFUNCTION("""COMPUTED_VALUE"""),184.81)</f>
        <v>184.81</v>
      </c>
      <c r="F2565" s="2">
        <f>IFERROR(__xludf.DUMMYFUNCTION("""COMPUTED_VALUE"""),978581.0)</f>
        <v>978581</v>
      </c>
    </row>
    <row r="2566">
      <c r="A2566" s="3">
        <f>IFERROR(__xludf.DUMMYFUNCTION("""COMPUTED_VALUE"""),40308.645833333336)</f>
        <v>40308.64583</v>
      </c>
      <c r="B2566" s="2">
        <f>IFERROR(__xludf.DUMMYFUNCTION("""COMPUTED_VALUE"""),186.33)</f>
        <v>186.33</v>
      </c>
      <c r="C2566" s="2">
        <f>IFERROR(__xludf.DUMMYFUNCTION("""COMPUTED_VALUE"""),193.8)</f>
        <v>193.8</v>
      </c>
      <c r="D2566" s="2">
        <f>IFERROR(__xludf.DUMMYFUNCTION("""COMPUTED_VALUE"""),183.0)</f>
        <v>183</v>
      </c>
      <c r="E2566" s="2">
        <f>IFERROR(__xludf.DUMMYFUNCTION("""COMPUTED_VALUE"""),193.42)</f>
        <v>193.42</v>
      </c>
      <c r="F2566" s="2">
        <f>IFERROR(__xludf.DUMMYFUNCTION("""COMPUTED_VALUE"""),642654.0)</f>
        <v>642654</v>
      </c>
    </row>
    <row r="2567">
      <c r="A2567" s="3">
        <f>IFERROR(__xludf.DUMMYFUNCTION("""COMPUTED_VALUE"""),40309.645833333336)</f>
        <v>40309.64583</v>
      </c>
      <c r="B2567" s="2">
        <f>IFERROR(__xludf.DUMMYFUNCTION("""COMPUTED_VALUE"""),193.8)</f>
        <v>193.8</v>
      </c>
      <c r="C2567" s="2">
        <f>IFERROR(__xludf.DUMMYFUNCTION("""COMPUTED_VALUE"""),195.5)</f>
        <v>195.5</v>
      </c>
      <c r="D2567" s="2">
        <f>IFERROR(__xludf.DUMMYFUNCTION("""COMPUTED_VALUE"""),191.33)</f>
        <v>191.33</v>
      </c>
      <c r="E2567" s="2">
        <f>IFERROR(__xludf.DUMMYFUNCTION("""COMPUTED_VALUE"""),194.83)</f>
        <v>194.83</v>
      </c>
      <c r="F2567" s="2">
        <f>IFERROR(__xludf.DUMMYFUNCTION("""COMPUTED_VALUE"""),696465.0)</f>
        <v>696465</v>
      </c>
    </row>
    <row r="2568">
      <c r="A2568" s="3">
        <f>IFERROR(__xludf.DUMMYFUNCTION("""COMPUTED_VALUE"""),40310.645833333336)</f>
        <v>40310.64583</v>
      </c>
      <c r="B2568" s="2">
        <f>IFERROR(__xludf.DUMMYFUNCTION("""COMPUTED_VALUE"""),194.9)</f>
        <v>194.9</v>
      </c>
      <c r="C2568" s="2">
        <f>IFERROR(__xludf.DUMMYFUNCTION("""COMPUTED_VALUE"""),198.1)</f>
        <v>198.1</v>
      </c>
      <c r="D2568" s="2">
        <f>IFERROR(__xludf.DUMMYFUNCTION("""COMPUTED_VALUE"""),194.9)</f>
        <v>194.9</v>
      </c>
      <c r="E2568" s="2">
        <f>IFERROR(__xludf.DUMMYFUNCTION("""COMPUTED_VALUE"""),197.49)</f>
        <v>197.49</v>
      </c>
      <c r="F2568" s="2">
        <f>IFERROR(__xludf.DUMMYFUNCTION("""COMPUTED_VALUE"""),687082.0)</f>
        <v>687082</v>
      </c>
    </row>
    <row r="2569">
      <c r="A2569" s="3">
        <f>IFERROR(__xludf.DUMMYFUNCTION("""COMPUTED_VALUE"""),40311.645833333336)</f>
        <v>40311.64583</v>
      </c>
      <c r="B2569" s="2">
        <f>IFERROR(__xludf.DUMMYFUNCTION("""COMPUTED_VALUE"""),198.12)</f>
        <v>198.12</v>
      </c>
      <c r="C2569" s="2">
        <f>IFERROR(__xludf.DUMMYFUNCTION("""COMPUTED_VALUE"""),199.5)</f>
        <v>199.5</v>
      </c>
      <c r="D2569" s="2">
        <f>IFERROR(__xludf.DUMMYFUNCTION("""COMPUTED_VALUE"""),195.02)</f>
        <v>195.02</v>
      </c>
      <c r="E2569" s="2">
        <f>IFERROR(__xludf.DUMMYFUNCTION("""COMPUTED_VALUE"""),196.54)</f>
        <v>196.54</v>
      </c>
      <c r="F2569" s="2">
        <f>IFERROR(__xludf.DUMMYFUNCTION("""COMPUTED_VALUE"""),637219.0)</f>
        <v>637219</v>
      </c>
    </row>
    <row r="2570">
      <c r="A2570" s="3">
        <f>IFERROR(__xludf.DUMMYFUNCTION("""COMPUTED_VALUE"""),40312.645833333336)</f>
        <v>40312.64583</v>
      </c>
      <c r="B2570" s="2">
        <f>IFERROR(__xludf.DUMMYFUNCTION("""COMPUTED_VALUE"""),196.4)</f>
        <v>196.4</v>
      </c>
      <c r="C2570" s="2">
        <f>IFERROR(__xludf.DUMMYFUNCTION("""COMPUTED_VALUE"""),197.3)</f>
        <v>197.3</v>
      </c>
      <c r="D2570" s="2">
        <f>IFERROR(__xludf.DUMMYFUNCTION("""COMPUTED_VALUE"""),194.23)</f>
        <v>194.23</v>
      </c>
      <c r="E2570" s="2">
        <f>IFERROR(__xludf.DUMMYFUNCTION("""COMPUTED_VALUE"""),195.18)</f>
        <v>195.18</v>
      </c>
      <c r="F2570" s="2">
        <f>IFERROR(__xludf.DUMMYFUNCTION("""COMPUTED_VALUE"""),470015.0)</f>
        <v>470015</v>
      </c>
    </row>
    <row r="2571">
      <c r="A2571" s="3">
        <f>IFERROR(__xludf.DUMMYFUNCTION("""COMPUTED_VALUE"""),40315.645833333336)</f>
        <v>40315.64583</v>
      </c>
      <c r="B2571" s="2">
        <f>IFERROR(__xludf.DUMMYFUNCTION("""COMPUTED_VALUE"""),194.2)</f>
        <v>194.2</v>
      </c>
      <c r="C2571" s="2">
        <f>IFERROR(__xludf.DUMMYFUNCTION("""COMPUTED_VALUE"""),194.68)</f>
        <v>194.68</v>
      </c>
      <c r="D2571" s="2">
        <f>IFERROR(__xludf.DUMMYFUNCTION("""COMPUTED_VALUE"""),191.45)</f>
        <v>191.45</v>
      </c>
      <c r="E2571" s="2">
        <f>IFERROR(__xludf.DUMMYFUNCTION("""COMPUTED_VALUE"""),192.89)</f>
        <v>192.89</v>
      </c>
      <c r="F2571" s="2">
        <f>IFERROR(__xludf.DUMMYFUNCTION("""COMPUTED_VALUE"""),660360.0)</f>
        <v>660360</v>
      </c>
    </row>
    <row r="2572">
      <c r="A2572" s="3">
        <f>IFERROR(__xludf.DUMMYFUNCTION("""COMPUTED_VALUE"""),40316.645833333336)</f>
        <v>40316.64583</v>
      </c>
      <c r="B2572" s="2">
        <f>IFERROR(__xludf.DUMMYFUNCTION("""COMPUTED_VALUE"""),191.8)</f>
        <v>191.8</v>
      </c>
      <c r="C2572" s="2">
        <f>IFERROR(__xludf.DUMMYFUNCTION("""COMPUTED_VALUE"""),192.5)</f>
        <v>192.5</v>
      </c>
      <c r="D2572" s="2">
        <f>IFERROR(__xludf.DUMMYFUNCTION("""COMPUTED_VALUE"""),189.02)</f>
        <v>189.02</v>
      </c>
      <c r="E2572" s="2">
        <f>IFERROR(__xludf.DUMMYFUNCTION("""COMPUTED_VALUE"""),189.58)</f>
        <v>189.58</v>
      </c>
      <c r="F2572" s="2">
        <f>IFERROR(__xludf.DUMMYFUNCTION("""COMPUTED_VALUE"""),612156.0)</f>
        <v>612156</v>
      </c>
    </row>
    <row r="2573">
      <c r="A2573" s="3">
        <f>IFERROR(__xludf.DUMMYFUNCTION("""COMPUTED_VALUE"""),40317.645833333336)</f>
        <v>40317.64583</v>
      </c>
      <c r="B2573" s="2">
        <f>IFERROR(__xludf.DUMMYFUNCTION("""COMPUTED_VALUE"""),187.9)</f>
        <v>187.9</v>
      </c>
      <c r="C2573" s="2">
        <f>IFERROR(__xludf.DUMMYFUNCTION("""COMPUTED_VALUE"""),188.8)</f>
        <v>188.8</v>
      </c>
      <c r="D2573" s="2">
        <f>IFERROR(__xludf.DUMMYFUNCTION("""COMPUTED_VALUE"""),184.16)</f>
        <v>184.16</v>
      </c>
      <c r="E2573" s="2">
        <f>IFERROR(__xludf.DUMMYFUNCTION("""COMPUTED_VALUE"""),186.86)</f>
        <v>186.86</v>
      </c>
      <c r="F2573" s="2">
        <f>IFERROR(__xludf.DUMMYFUNCTION("""COMPUTED_VALUE"""),909008.0)</f>
        <v>909008</v>
      </c>
    </row>
    <row r="2574">
      <c r="A2574" s="3">
        <f>IFERROR(__xludf.DUMMYFUNCTION("""COMPUTED_VALUE"""),40318.645833333336)</f>
        <v>40318.64583</v>
      </c>
      <c r="B2574" s="2">
        <f>IFERROR(__xludf.DUMMYFUNCTION("""COMPUTED_VALUE"""),187.4)</f>
        <v>187.4</v>
      </c>
      <c r="C2574" s="2">
        <f>IFERROR(__xludf.DUMMYFUNCTION("""COMPUTED_VALUE"""),187.64)</f>
        <v>187.64</v>
      </c>
      <c r="D2574" s="2">
        <f>IFERROR(__xludf.DUMMYFUNCTION("""COMPUTED_VALUE"""),183.63)</f>
        <v>183.63</v>
      </c>
      <c r="E2574" s="2">
        <f>IFERROR(__xludf.DUMMYFUNCTION("""COMPUTED_VALUE"""),185.1)</f>
        <v>185.1</v>
      </c>
      <c r="F2574" s="2">
        <f>IFERROR(__xludf.DUMMYFUNCTION("""COMPUTED_VALUE"""),338900.0)</f>
        <v>338900</v>
      </c>
    </row>
    <row r="2575">
      <c r="A2575" s="3">
        <f>IFERROR(__xludf.DUMMYFUNCTION("""COMPUTED_VALUE"""),40319.645833333336)</f>
        <v>40319.64583</v>
      </c>
      <c r="B2575" s="2">
        <f>IFERROR(__xludf.DUMMYFUNCTION("""COMPUTED_VALUE"""),182.0)</f>
        <v>182</v>
      </c>
      <c r="C2575" s="2">
        <f>IFERROR(__xludf.DUMMYFUNCTION("""COMPUTED_VALUE"""),185.0)</f>
        <v>185</v>
      </c>
      <c r="D2575" s="2">
        <f>IFERROR(__xludf.DUMMYFUNCTION("""COMPUTED_VALUE"""),180.11)</f>
        <v>180.11</v>
      </c>
      <c r="E2575" s="2">
        <f>IFERROR(__xludf.DUMMYFUNCTION("""COMPUTED_VALUE"""),182.66)</f>
        <v>182.66</v>
      </c>
      <c r="F2575" s="2">
        <f>IFERROR(__xludf.DUMMYFUNCTION("""COMPUTED_VALUE"""),549862.0)</f>
        <v>549862</v>
      </c>
    </row>
    <row r="2576">
      <c r="A2576" s="3">
        <f>IFERROR(__xludf.DUMMYFUNCTION("""COMPUTED_VALUE"""),40322.645833333336)</f>
        <v>40322.64583</v>
      </c>
      <c r="B2576" s="2">
        <f>IFERROR(__xludf.DUMMYFUNCTION("""COMPUTED_VALUE"""),183.52)</f>
        <v>183.52</v>
      </c>
      <c r="C2576" s="2">
        <f>IFERROR(__xludf.DUMMYFUNCTION("""COMPUTED_VALUE"""),186.75)</f>
        <v>186.75</v>
      </c>
      <c r="D2576" s="2">
        <f>IFERROR(__xludf.DUMMYFUNCTION("""COMPUTED_VALUE"""),181.11)</f>
        <v>181.11</v>
      </c>
      <c r="E2576" s="2">
        <f>IFERROR(__xludf.DUMMYFUNCTION("""COMPUTED_VALUE"""),182.46)</f>
        <v>182.46</v>
      </c>
      <c r="F2576" s="2">
        <f>IFERROR(__xludf.DUMMYFUNCTION("""COMPUTED_VALUE"""),481091.0)</f>
        <v>481091</v>
      </c>
    </row>
    <row r="2577">
      <c r="A2577" s="3">
        <f>IFERROR(__xludf.DUMMYFUNCTION("""COMPUTED_VALUE"""),40323.645833333336)</f>
        <v>40323.64583</v>
      </c>
      <c r="B2577" s="2">
        <f>IFERROR(__xludf.DUMMYFUNCTION("""COMPUTED_VALUE"""),181.18)</f>
        <v>181.18</v>
      </c>
      <c r="C2577" s="2">
        <f>IFERROR(__xludf.DUMMYFUNCTION("""COMPUTED_VALUE"""),182.0)</f>
        <v>182</v>
      </c>
      <c r="D2577" s="2">
        <f>IFERROR(__xludf.DUMMYFUNCTION("""COMPUTED_VALUE"""),178.5)</f>
        <v>178.5</v>
      </c>
      <c r="E2577" s="2">
        <f>IFERROR(__xludf.DUMMYFUNCTION("""COMPUTED_VALUE"""),180.38)</f>
        <v>180.38</v>
      </c>
      <c r="F2577" s="2">
        <f>IFERROR(__xludf.DUMMYFUNCTION("""COMPUTED_VALUE"""),553435.0)</f>
        <v>553435</v>
      </c>
    </row>
    <row r="2578">
      <c r="A2578" s="3">
        <f>IFERROR(__xludf.DUMMYFUNCTION("""COMPUTED_VALUE"""),40324.645833333336)</f>
        <v>40324.64583</v>
      </c>
      <c r="B2578" s="2">
        <f>IFERROR(__xludf.DUMMYFUNCTION("""COMPUTED_VALUE"""),181.28)</f>
        <v>181.28</v>
      </c>
      <c r="C2578" s="2">
        <f>IFERROR(__xludf.DUMMYFUNCTION("""COMPUTED_VALUE"""),185.33)</f>
        <v>185.33</v>
      </c>
      <c r="D2578" s="2">
        <f>IFERROR(__xludf.DUMMYFUNCTION("""COMPUTED_VALUE"""),181.23)</f>
        <v>181.23</v>
      </c>
      <c r="E2578" s="2">
        <f>IFERROR(__xludf.DUMMYFUNCTION("""COMPUTED_VALUE"""),182.78)</f>
        <v>182.78</v>
      </c>
      <c r="F2578" s="2">
        <f>IFERROR(__xludf.DUMMYFUNCTION("""COMPUTED_VALUE"""),700139.0)</f>
        <v>700139</v>
      </c>
    </row>
    <row r="2579">
      <c r="A2579" s="3">
        <f>IFERROR(__xludf.DUMMYFUNCTION("""COMPUTED_VALUE"""),40325.645833333336)</f>
        <v>40325.64583</v>
      </c>
      <c r="B2579" s="2">
        <f>IFERROR(__xludf.DUMMYFUNCTION("""COMPUTED_VALUE"""),181.5)</f>
        <v>181.5</v>
      </c>
      <c r="C2579" s="2">
        <f>IFERROR(__xludf.DUMMYFUNCTION("""COMPUTED_VALUE"""),190.7)</f>
        <v>190.7</v>
      </c>
      <c r="D2579" s="2">
        <f>IFERROR(__xludf.DUMMYFUNCTION("""COMPUTED_VALUE"""),181.1)</f>
        <v>181.1</v>
      </c>
      <c r="E2579" s="2">
        <f>IFERROR(__xludf.DUMMYFUNCTION("""COMPUTED_VALUE"""),189.66)</f>
        <v>189.66</v>
      </c>
      <c r="F2579" s="2">
        <f>IFERROR(__xludf.DUMMYFUNCTION("""COMPUTED_VALUE"""),1130986.0)</f>
        <v>1130986</v>
      </c>
    </row>
    <row r="2580">
      <c r="A2580" s="3">
        <f>IFERROR(__xludf.DUMMYFUNCTION("""COMPUTED_VALUE"""),40326.645833333336)</f>
        <v>40326.64583</v>
      </c>
      <c r="B2580" s="2">
        <f>IFERROR(__xludf.DUMMYFUNCTION("""COMPUTED_VALUE"""),189.66)</f>
        <v>189.66</v>
      </c>
      <c r="C2580" s="2">
        <f>IFERROR(__xludf.DUMMYFUNCTION("""COMPUTED_VALUE"""),191.4)</f>
        <v>191.4</v>
      </c>
      <c r="D2580" s="2">
        <f>IFERROR(__xludf.DUMMYFUNCTION("""COMPUTED_VALUE"""),188.53)</f>
        <v>188.53</v>
      </c>
      <c r="E2580" s="2">
        <f>IFERROR(__xludf.DUMMYFUNCTION("""COMPUTED_VALUE"""),189.68)</f>
        <v>189.68</v>
      </c>
      <c r="F2580" s="2">
        <f>IFERROR(__xludf.DUMMYFUNCTION("""COMPUTED_VALUE"""),587925.0)</f>
        <v>587925</v>
      </c>
    </row>
    <row r="2581">
      <c r="A2581" s="3">
        <f>IFERROR(__xludf.DUMMYFUNCTION("""COMPUTED_VALUE"""),40329.645833333336)</f>
        <v>40329.64583</v>
      </c>
      <c r="B2581" s="2">
        <f>IFERROR(__xludf.DUMMYFUNCTION("""COMPUTED_VALUE"""),189.6)</f>
        <v>189.6</v>
      </c>
      <c r="C2581" s="2">
        <f>IFERROR(__xludf.DUMMYFUNCTION("""COMPUTED_VALUE"""),189.86)</f>
        <v>189.86</v>
      </c>
      <c r="D2581" s="2">
        <f>IFERROR(__xludf.DUMMYFUNCTION("""COMPUTED_VALUE"""),186.5)</f>
        <v>186.5</v>
      </c>
      <c r="E2581" s="2">
        <f>IFERROR(__xludf.DUMMYFUNCTION("""COMPUTED_VALUE"""),188.85)</f>
        <v>188.85</v>
      </c>
      <c r="F2581" s="2">
        <f>IFERROR(__xludf.DUMMYFUNCTION("""COMPUTED_VALUE"""),438411.0)</f>
        <v>438411</v>
      </c>
    </row>
    <row r="2582">
      <c r="A2582" s="3">
        <f>IFERROR(__xludf.DUMMYFUNCTION("""COMPUTED_VALUE"""),40330.645833333336)</f>
        <v>40330.64583</v>
      </c>
      <c r="B2582" s="2">
        <f>IFERROR(__xludf.DUMMYFUNCTION("""COMPUTED_VALUE"""),188.97)</f>
        <v>188.97</v>
      </c>
      <c r="C2582" s="2">
        <f>IFERROR(__xludf.DUMMYFUNCTION("""COMPUTED_VALUE"""),189.0)</f>
        <v>189</v>
      </c>
      <c r="D2582" s="2">
        <f>IFERROR(__xludf.DUMMYFUNCTION("""COMPUTED_VALUE"""),183.8)</f>
        <v>183.8</v>
      </c>
      <c r="E2582" s="2">
        <f>IFERROR(__xludf.DUMMYFUNCTION("""COMPUTED_VALUE"""),185.51)</f>
        <v>185.51</v>
      </c>
      <c r="F2582" s="2">
        <f>IFERROR(__xludf.DUMMYFUNCTION("""COMPUTED_VALUE"""),568273.0)</f>
        <v>568273</v>
      </c>
    </row>
    <row r="2583">
      <c r="A2583" s="3">
        <f>IFERROR(__xludf.DUMMYFUNCTION("""COMPUTED_VALUE"""),40331.645833333336)</f>
        <v>40331.64583</v>
      </c>
      <c r="B2583" s="2">
        <f>IFERROR(__xludf.DUMMYFUNCTION("""COMPUTED_VALUE"""),184.8)</f>
        <v>184.8</v>
      </c>
      <c r="C2583" s="2">
        <f>IFERROR(__xludf.DUMMYFUNCTION("""COMPUTED_VALUE"""),186.28)</f>
        <v>186.28</v>
      </c>
      <c r="D2583" s="2">
        <f>IFERROR(__xludf.DUMMYFUNCTION("""COMPUTED_VALUE"""),182.8)</f>
        <v>182.8</v>
      </c>
      <c r="E2583" s="2">
        <f>IFERROR(__xludf.DUMMYFUNCTION("""COMPUTED_VALUE"""),185.31)</f>
        <v>185.31</v>
      </c>
      <c r="F2583" s="2">
        <f>IFERROR(__xludf.DUMMYFUNCTION("""COMPUTED_VALUE"""),945167.0)</f>
        <v>945167</v>
      </c>
    </row>
    <row r="2584">
      <c r="A2584" s="3">
        <f>IFERROR(__xludf.DUMMYFUNCTION("""COMPUTED_VALUE"""),40332.645833333336)</f>
        <v>40332.64583</v>
      </c>
      <c r="B2584" s="2">
        <f>IFERROR(__xludf.DUMMYFUNCTION("""COMPUTED_VALUE"""),186.41)</f>
        <v>186.41</v>
      </c>
      <c r="C2584" s="2">
        <f>IFERROR(__xludf.DUMMYFUNCTION("""COMPUTED_VALUE"""),191.0)</f>
        <v>191</v>
      </c>
      <c r="D2584" s="2">
        <f>IFERROR(__xludf.DUMMYFUNCTION("""COMPUTED_VALUE"""),186.41)</f>
        <v>186.41</v>
      </c>
      <c r="E2584" s="2">
        <f>IFERROR(__xludf.DUMMYFUNCTION("""COMPUTED_VALUE"""),190.56)</f>
        <v>190.56</v>
      </c>
      <c r="F2584" s="2">
        <f>IFERROR(__xludf.DUMMYFUNCTION("""COMPUTED_VALUE"""),679689.0)</f>
        <v>679689</v>
      </c>
    </row>
    <row r="2585">
      <c r="A2585" s="3">
        <f>IFERROR(__xludf.DUMMYFUNCTION("""COMPUTED_VALUE"""),40333.645833333336)</f>
        <v>40333.64583</v>
      </c>
      <c r="B2585" s="2">
        <f>IFERROR(__xludf.DUMMYFUNCTION("""COMPUTED_VALUE"""),190.6)</f>
        <v>190.6</v>
      </c>
      <c r="C2585" s="2">
        <f>IFERROR(__xludf.DUMMYFUNCTION("""COMPUTED_VALUE"""),190.98)</f>
        <v>190.98</v>
      </c>
      <c r="D2585" s="2">
        <f>IFERROR(__xludf.DUMMYFUNCTION("""COMPUTED_VALUE"""),188.01)</f>
        <v>188.01</v>
      </c>
      <c r="E2585" s="2">
        <f>IFERROR(__xludf.DUMMYFUNCTION("""COMPUTED_VALUE"""),188.57)</f>
        <v>188.57</v>
      </c>
      <c r="F2585" s="2">
        <f>IFERROR(__xludf.DUMMYFUNCTION("""COMPUTED_VALUE"""),509435.0)</f>
        <v>509435</v>
      </c>
    </row>
    <row r="2586">
      <c r="A2586" s="3">
        <f>IFERROR(__xludf.DUMMYFUNCTION("""COMPUTED_VALUE"""),40336.645833333336)</f>
        <v>40336.64583</v>
      </c>
      <c r="B2586" s="2">
        <f>IFERROR(__xludf.DUMMYFUNCTION("""COMPUTED_VALUE"""),186.7)</f>
        <v>186.7</v>
      </c>
      <c r="C2586" s="2">
        <f>IFERROR(__xludf.DUMMYFUNCTION("""COMPUTED_VALUE"""),189.49)</f>
        <v>189.49</v>
      </c>
      <c r="D2586" s="2">
        <f>IFERROR(__xludf.DUMMYFUNCTION("""COMPUTED_VALUE"""),180.84)</f>
        <v>180.84</v>
      </c>
      <c r="E2586" s="2">
        <f>IFERROR(__xludf.DUMMYFUNCTION("""COMPUTED_VALUE"""),187.67)</f>
        <v>187.67</v>
      </c>
      <c r="F2586" s="2">
        <f>IFERROR(__xludf.DUMMYFUNCTION("""COMPUTED_VALUE"""),961913.0)</f>
        <v>961913</v>
      </c>
    </row>
    <row r="2587">
      <c r="A2587" s="3">
        <f>IFERROR(__xludf.DUMMYFUNCTION("""COMPUTED_VALUE"""),40337.645833333336)</f>
        <v>40337.64583</v>
      </c>
      <c r="B2587" s="2">
        <f>IFERROR(__xludf.DUMMYFUNCTION("""COMPUTED_VALUE"""),188.0)</f>
        <v>188</v>
      </c>
      <c r="C2587" s="2">
        <f>IFERROR(__xludf.DUMMYFUNCTION("""COMPUTED_VALUE"""),189.7)</f>
        <v>189.7</v>
      </c>
      <c r="D2587" s="2">
        <f>IFERROR(__xludf.DUMMYFUNCTION("""COMPUTED_VALUE"""),185.3)</f>
        <v>185.3</v>
      </c>
      <c r="E2587" s="2">
        <f>IFERROR(__xludf.DUMMYFUNCTION("""COMPUTED_VALUE"""),186.27)</f>
        <v>186.27</v>
      </c>
      <c r="F2587" s="2">
        <f>IFERROR(__xludf.DUMMYFUNCTION("""COMPUTED_VALUE"""),567114.0)</f>
        <v>567114</v>
      </c>
    </row>
    <row r="2588">
      <c r="A2588" s="3">
        <f>IFERROR(__xludf.DUMMYFUNCTION("""COMPUTED_VALUE"""),40338.645833333336)</f>
        <v>40338.64583</v>
      </c>
      <c r="B2588" s="2">
        <f>IFERROR(__xludf.DUMMYFUNCTION("""COMPUTED_VALUE"""),186.0)</f>
        <v>186</v>
      </c>
      <c r="C2588" s="2">
        <f>IFERROR(__xludf.DUMMYFUNCTION("""COMPUTED_VALUE"""),189.56)</f>
        <v>189.56</v>
      </c>
      <c r="D2588" s="2">
        <f>IFERROR(__xludf.DUMMYFUNCTION("""COMPUTED_VALUE"""),185.16)</f>
        <v>185.16</v>
      </c>
      <c r="E2588" s="2">
        <f>IFERROR(__xludf.DUMMYFUNCTION("""COMPUTED_VALUE"""),188.09)</f>
        <v>188.09</v>
      </c>
      <c r="F2588" s="2">
        <f>IFERROR(__xludf.DUMMYFUNCTION("""COMPUTED_VALUE"""),579234.0)</f>
        <v>579234</v>
      </c>
    </row>
    <row r="2589">
      <c r="A2589" s="3">
        <f>IFERROR(__xludf.DUMMYFUNCTION("""COMPUTED_VALUE"""),40339.645833333336)</f>
        <v>40339.64583</v>
      </c>
      <c r="B2589" s="2">
        <f>IFERROR(__xludf.DUMMYFUNCTION("""COMPUTED_VALUE"""),188.09)</f>
        <v>188.09</v>
      </c>
      <c r="C2589" s="2">
        <f>IFERROR(__xludf.DUMMYFUNCTION("""COMPUTED_VALUE"""),192.2)</f>
        <v>192.2</v>
      </c>
      <c r="D2589" s="2">
        <f>IFERROR(__xludf.DUMMYFUNCTION("""COMPUTED_VALUE"""),186.3)</f>
        <v>186.3</v>
      </c>
      <c r="E2589" s="2">
        <f>IFERROR(__xludf.DUMMYFUNCTION("""COMPUTED_VALUE"""),191.62)</f>
        <v>191.62</v>
      </c>
      <c r="F2589" s="2">
        <f>IFERROR(__xludf.DUMMYFUNCTION("""COMPUTED_VALUE"""),851047.0)</f>
        <v>851047</v>
      </c>
    </row>
    <row r="2590">
      <c r="A2590" s="3">
        <f>IFERROR(__xludf.DUMMYFUNCTION("""COMPUTED_VALUE"""),40340.645833333336)</f>
        <v>40340.64583</v>
      </c>
      <c r="B2590" s="2">
        <f>IFERROR(__xludf.DUMMYFUNCTION("""COMPUTED_VALUE"""),192.11)</f>
        <v>192.11</v>
      </c>
      <c r="C2590" s="2">
        <f>IFERROR(__xludf.DUMMYFUNCTION("""COMPUTED_VALUE"""),195.0)</f>
        <v>195</v>
      </c>
      <c r="D2590" s="2">
        <f>IFERROR(__xludf.DUMMYFUNCTION("""COMPUTED_VALUE"""),192.11)</f>
        <v>192.11</v>
      </c>
      <c r="E2590" s="2">
        <f>IFERROR(__xludf.DUMMYFUNCTION("""COMPUTED_VALUE"""),194.63)</f>
        <v>194.63</v>
      </c>
      <c r="F2590" s="2">
        <f>IFERROR(__xludf.DUMMYFUNCTION("""COMPUTED_VALUE"""),1081538.0)</f>
        <v>1081538</v>
      </c>
    </row>
    <row r="2591">
      <c r="A2591" s="3">
        <f>IFERROR(__xludf.DUMMYFUNCTION("""COMPUTED_VALUE"""),40343.645833333336)</f>
        <v>40343.64583</v>
      </c>
      <c r="B2591" s="2">
        <f>IFERROR(__xludf.DUMMYFUNCTION("""COMPUTED_VALUE"""),194.63)</f>
        <v>194.63</v>
      </c>
      <c r="C2591" s="2">
        <f>IFERROR(__xludf.DUMMYFUNCTION("""COMPUTED_VALUE"""),197.5)</f>
        <v>197.5</v>
      </c>
      <c r="D2591" s="2">
        <f>IFERROR(__xludf.DUMMYFUNCTION("""COMPUTED_VALUE"""),194.63)</f>
        <v>194.63</v>
      </c>
      <c r="E2591" s="2">
        <f>IFERROR(__xludf.DUMMYFUNCTION("""COMPUTED_VALUE"""),197.32)</f>
        <v>197.32</v>
      </c>
      <c r="F2591" s="2">
        <f>IFERROR(__xludf.DUMMYFUNCTION("""COMPUTED_VALUE"""),748898.0)</f>
        <v>748898</v>
      </c>
    </row>
    <row r="2592">
      <c r="A2592" s="3">
        <f>IFERROR(__xludf.DUMMYFUNCTION("""COMPUTED_VALUE"""),40344.645833333336)</f>
        <v>40344.64583</v>
      </c>
      <c r="B2592" s="2">
        <f>IFERROR(__xludf.DUMMYFUNCTION("""COMPUTED_VALUE"""),197.5)</f>
        <v>197.5</v>
      </c>
      <c r="C2592" s="2">
        <f>IFERROR(__xludf.DUMMYFUNCTION("""COMPUTED_VALUE"""),198.0)</f>
        <v>198</v>
      </c>
      <c r="D2592" s="2">
        <f>IFERROR(__xludf.DUMMYFUNCTION("""COMPUTED_VALUE"""),195.3)</f>
        <v>195.3</v>
      </c>
      <c r="E2592" s="2">
        <f>IFERROR(__xludf.DUMMYFUNCTION("""COMPUTED_VALUE"""),196.39)</f>
        <v>196.39</v>
      </c>
      <c r="F2592" s="2">
        <f>IFERROR(__xludf.DUMMYFUNCTION("""COMPUTED_VALUE"""),456078.0)</f>
        <v>456078</v>
      </c>
    </row>
    <row r="2593">
      <c r="A2593" s="3">
        <f>IFERROR(__xludf.DUMMYFUNCTION("""COMPUTED_VALUE"""),40345.645833333336)</f>
        <v>40345.64583</v>
      </c>
      <c r="B2593" s="2">
        <f>IFERROR(__xludf.DUMMYFUNCTION("""COMPUTED_VALUE"""),197.5)</f>
        <v>197.5</v>
      </c>
      <c r="C2593" s="2">
        <f>IFERROR(__xludf.DUMMYFUNCTION("""COMPUTED_VALUE"""),199.0)</f>
        <v>199</v>
      </c>
      <c r="D2593" s="2">
        <f>IFERROR(__xludf.DUMMYFUNCTION("""COMPUTED_VALUE"""),196.81)</f>
        <v>196.81</v>
      </c>
      <c r="E2593" s="2">
        <f>IFERROR(__xludf.DUMMYFUNCTION("""COMPUTED_VALUE"""),197.61)</f>
        <v>197.61</v>
      </c>
      <c r="F2593" s="2">
        <f>IFERROR(__xludf.DUMMYFUNCTION("""COMPUTED_VALUE"""),908429.0)</f>
        <v>908429</v>
      </c>
    </row>
    <row r="2594">
      <c r="A2594" s="3">
        <f>IFERROR(__xludf.DUMMYFUNCTION("""COMPUTED_VALUE"""),40346.645833333336)</f>
        <v>40346.64583</v>
      </c>
      <c r="B2594" s="2">
        <f>IFERROR(__xludf.DUMMYFUNCTION("""COMPUTED_VALUE"""),198.3)</f>
        <v>198.3</v>
      </c>
      <c r="C2594" s="2">
        <f>IFERROR(__xludf.DUMMYFUNCTION("""COMPUTED_VALUE"""),199.9)</f>
        <v>199.9</v>
      </c>
      <c r="D2594" s="2">
        <f>IFERROR(__xludf.DUMMYFUNCTION("""COMPUTED_VALUE"""),196.81)</f>
        <v>196.81</v>
      </c>
      <c r="E2594" s="2">
        <f>IFERROR(__xludf.DUMMYFUNCTION("""COMPUTED_VALUE"""),199.61)</f>
        <v>199.61</v>
      </c>
      <c r="F2594" s="2">
        <f>IFERROR(__xludf.DUMMYFUNCTION("""COMPUTED_VALUE"""),798860.0)</f>
        <v>798860</v>
      </c>
    </row>
    <row r="2595">
      <c r="A2595" s="3">
        <f>IFERROR(__xludf.DUMMYFUNCTION("""COMPUTED_VALUE"""),40347.645833333336)</f>
        <v>40347.64583</v>
      </c>
      <c r="B2595" s="2">
        <f>IFERROR(__xludf.DUMMYFUNCTION("""COMPUTED_VALUE"""),199.2)</f>
        <v>199.2</v>
      </c>
      <c r="C2595" s="2">
        <f>IFERROR(__xludf.DUMMYFUNCTION("""COMPUTED_VALUE"""),199.8)</f>
        <v>199.8</v>
      </c>
      <c r="D2595" s="2">
        <f>IFERROR(__xludf.DUMMYFUNCTION("""COMPUTED_VALUE"""),197.84)</f>
        <v>197.84</v>
      </c>
      <c r="E2595" s="2">
        <f>IFERROR(__xludf.DUMMYFUNCTION("""COMPUTED_VALUE"""),199.17)</f>
        <v>199.17</v>
      </c>
      <c r="F2595" s="2">
        <f>IFERROR(__xludf.DUMMYFUNCTION("""COMPUTED_VALUE"""),490140.0)</f>
        <v>490140</v>
      </c>
    </row>
    <row r="2596">
      <c r="A2596" s="3">
        <f>IFERROR(__xludf.DUMMYFUNCTION("""COMPUTED_VALUE"""),40350.645833333336)</f>
        <v>40350.64583</v>
      </c>
      <c r="B2596" s="2">
        <f>IFERROR(__xludf.DUMMYFUNCTION("""COMPUTED_VALUE"""),200.16)</f>
        <v>200.16</v>
      </c>
      <c r="C2596" s="2">
        <f>IFERROR(__xludf.DUMMYFUNCTION("""COMPUTED_VALUE"""),201.0)</f>
        <v>201</v>
      </c>
      <c r="D2596" s="2">
        <f>IFERROR(__xludf.DUMMYFUNCTION("""COMPUTED_VALUE"""),199.01)</f>
        <v>199.01</v>
      </c>
      <c r="E2596" s="2">
        <f>IFERROR(__xludf.DUMMYFUNCTION("""COMPUTED_VALUE"""),199.89)</f>
        <v>199.89</v>
      </c>
      <c r="F2596" s="2">
        <f>IFERROR(__xludf.DUMMYFUNCTION("""COMPUTED_VALUE"""),710165.0)</f>
        <v>710165</v>
      </c>
    </row>
    <row r="2597">
      <c r="A2597" s="3">
        <f>IFERROR(__xludf.DUMMYFUNCTION("""COMPUTED_VALUE"""),40351.645833333336)</f>
        <v>40351.64583</v>
      </c>
      <c r="B2597" s="2">
        <f>IFERROR(__xludf.DUMMYFUNCTION("""COMPUTED_VALUE"""),199.5)</f>
        <v>199.5</v>
      </c>
      <c r="C2597" s="2">
        <f>IFERROR(__xludf.DUMMYFUNCTION("""COMPUTED_VALUE"""),200.0)</f>
        <v>200</v>
      </c>
      <c r="D2597" s="2">
        <f>IFERROR(__xludf.DUMMYFUNCTION("""COMPUTED_VALUE"""),198.25)</f>
        <v>198.25</v>
      </c>
      <c r="E2597" s="2">
        <f>IFERROR(__xludf.DUMMYFUNCTION("""COMPUTED_VALUE"""),198.71)</f>
        <v>198.71</v>
      </c>
      <c r="F2597" s="2">
        <f>IFERROR(__xludf.DUMMYFUNCTION("""COMPUTED_VALUE"""),426244.0)</f>
        <v>426244</v>
      </c>
    </row>
    <row r="2598">
      <c r="A2598" s="3">
        <f>IFERROR(__xludf.DUMMYFUNCTION("""COMPUTED_VALUE"""),40352.645833333336)</f>
        <v>40352.64583</v>
      </c>
      <c r="B2598" s="2">
        <f>IFERROR(__xludf.DUMMYFUNCTION("""COMPUTED_VALUE"""),198.47)</f>
        <v>198.47</v>
      </c>
      <c r="C2598" s="2">
        <f>IFERROR(__xludf.DUMMYFUNCTION("""COMPUTED_VALUE"""),200.37)</f>
        <v>200.37</v>
      </c>
      <c r="D2598" s="2">
        <f>IFERROR(__xludf.DUMMYFUNCTION("""COMPUTED_VALUE"""),197.55)</f>
        <v>197.55</v>
      </c>
      <c r="E2598" s="2">
        <f>IFERROR(__xludf.DUMMYFUNCTION("""COMPUTED_VALUE"""),199.88)</f>
        <v>199.88</v>
      </c>
      <c r="F2598" s="2">
        <f>IFERROR(__xludf.DUMMYFUNCTION("""COMPUTED_VALUE"""),424404.0)</f>
        <v>424404</v>
      </c>
    </row>
    <row r="2599">
      <c r="A2599" s="3">
        <f>IFERROR(__xludf.DUMMYFUNCTION("""COMPUTED_VALUE"""),40353.645833333336)</f>
        <v>40353.64583</v>
      </c>
      <c r="B2599" s="2">
        <f>IFERROR(__xludf.DUMMYFUNCTION("""COMPUTED_VALUE"""),199.71)</f>
        <v>199.71</v>
      </c>
      <c r="C2599" s="2">
        <f>IFERROR(__xludf.DUMMYFUNCTION("""COMPUTED_VALUE"""),200.7)</f>
        <v>200.7</v>
      </c>
      <c r="D2599" s="2">
        <f>IFERROR(__xludf.DUMMYFUNCTION("""COMPUTED_VALUE"""),198.0)</f>
        <v>198</v>
      </c>
      <c r="E2599" s="2">
        <f>IFERROR(__xludf.DUMMYFUNCTION("""COMPUTED_VALUE"""),200.16)</f>
        <v>200.16</v>
      </c>
      <c r="F2599" s="2">
        <f>IFERROR(__xludf.DUMMYFUNCTION("""COMPUTED_VALUE"""),882655.0)</f>
        <v>882655</v>
      </c>
    </row>
    <row r="2600">
      <c r="A2600" s="3">
        <f>IFERROR(__xludf.DUMMYFUNCTION("""COMPUTED_VALUE"""),40354.645833333336)</f>
        <v>40354.64583</v>
      </c>
      <c r="B2600" s="2">
        <f>IFERROR(__xludf.DUMMYFUNCTION("""COMPUTED_VALUE"""),198.02)</f>
        <v>198.02</v>
      </c>
      <c r="C2600" s="2">
        <f>IFERROR(__xludf.DUMMYFUNCTION("""COMPUTED_VALUE"""),199.2)</f>
        <v>199.2</v>
      </c>
      <c r="D2600" s="2">
        <f>IFERROR(__xludf.DUMMYFUNCTION("""COMPUTED_VALUE"""),194.0)</f>
        <v>194</v>
      </c>
      <c r="E2600" s="2">
        <f>IFERROR(__xludf.DUMMYFUNCTION("""COMPUTED_VALUE"""),194.77)</f>
        <v>194.77</v>
      </c>
      <c r="F2600" s="2">
        <f>IFERROR(__xludf.DUMMYFUNCTION("""COMPUTED_VALUE"""),723516.0)</f>
        <v>723516</v>
      </c>
    </row>
    <row r="2601">
      <c r="A2601" s="3">
        <f>IFERROR(__xludf.DUMMYFUNCTION("""COMPUTED_VALUE"""),40357.645833333336)</f>
        <v>40357.64583</v>
      </c>
      <c r="B2601" s="2">
        <f>IFERROR(__xludf.DUMMYFUNCTION("""COMPUTED_VALUE"""),195.21)</f>
        <v>195.21</v>
      </c>
      <c r="C2601" s="2">
        <f>IFERROR(__xludf.DUMMYFUNCTION("""COMPUTED_VALUE"""),196.4)</f>
        <v>196.4</v>
      </c>
      <c r="D2601" s="2">
        <f>IFERROR(__xludf.DUMMYFUNCTION("""COMPUTED_VALUE"""),192.33)</f>
        <v>192.33</v>
      </c>
      <c r="E2601" s="2">
        <f>IFERROR(__xludf.DUMMYFUNCTION("""COMPUTED_VALUE"""),195.07)</f>
        <v>195.07</v>
      </c>
      <c r="F2601" s="2">
        <f>IFERROR(__xludf.DUMMYFUNCTION("""COMPUTED_VALUE"""),532908.0)</f>
        <v>532908</v>
      </c>
    </row>
    <row r="2602">
      <c r="A2602" s="3">
        <f>IFERROR(__xludf.DUMMYFUNCTION("""COMPUTED_VALUE"""),40358.645833333336)</f>
        <v>40358.64583</v>
      </c>
      <c r="B2602" s="2">
        <f>IFERROR(__xludf.DUMMYFUNCTION("""COMPUTED_VALUE"""),194.01)</f>
        <v>194.01</v>
      </c>
      <c r="C2602" s="2">
        <f>IFERROR(__xludf.DUMMYFUNCTION("""COMPUTED_VALUE"""),194.88)</f>
        <v>194.88</v>
      </c>
      <c r="D2602" s="2">
        <f>IFERROR(__xludf.DUMMYFUNCTION("""COMPUTED_VALUE"""),189.61)</f>
        <v>189.61</v>
      </c>
      <c r="E2602" s="2">
        <f>IFERROR(__xludf.DUMMYFUNCTION("""COMPUTED_VALUE"""),190.44)</f>
        <v>190.44</v>
      </c>
      <c r="F2602" s="2">
        <f>IFERROR(__xludf.DUMMYFUNCTION("""COMPUTED_VALUE"""),795116.0)</f>
        <v>795116</v>
      </c>
    </row>
    <row r="2603">
      <c r="A2603" s="3">
        <f>IFERROR(__xludf.DUMMYFUNCTION("""COMPUTED_VALUE"""),40359.645833333336)</f>
        <v>40359.64583</v>
      </c>
      <c r="B2603" s="2">
        <f>IFERROR(__xludf.DUMMYFUNCTION("""COMPUTED_VALUE"""),189.5)</f>
        <v>189.5</v>
      </c>
      <c r="C2603" s="2">
        <f>IFERROR(__xludf.DUMMYFUNCTION("""COMPUTED_VALUE"""),193.89)</f>
        <v>193.89</v>
      </c>
      <c r="D2603" s="2">
        <f>IFERROR(__xludf.DUMMYFUNCTION("""COMPUTED_VALUE"""),187.9)</f>
        <v>187.9</v>
      </c>
      <c r="E2603" s="2">
        <f>IFERROR(__xludf.DUMMYFUNCTION("""COMPUTED_VALUE"""),191.9)</f>
        <v>191.9</v>
      </c>
      <c r="F2603" s="2">
        <f>IFERROR(__xludf.DUMMYFUNCTION("""COMPUTED_VALUE"""),876756.0)</f>
        <v>876756</v>
      </c>
    </row>
    <row r="2604">
      <c r="A2604" s="3">
        <f>IFERROR(__xludf.DUMMYFUNCTION("""COMPUTED_VALUE"""),40360.645833333336)</f>
        <v>40360.64583</v>
      </c>
      <c r="B2604" s="2">
        <f>IFERROR(__xludf.DUMMYFUNCTION("""COMPUTED_VALUE"""),191.2)</f>
        <v>191.2</v>
      </c>
      <c r="C2604" s="2">
        <f>IFERROR(__xludf.DUMMYFUNCTION("""COMPUTED_VALUE"""),192.97)</f>
        <v>192.97</v>
      </c>
      <c r="D2604" s="2">
        <f>IFERROR(__xludf.DUMMYFUNCTION("""COMPUTED_VALUE"""),189.5)</f>
        <v>189.5</v>
      </c>
      <c r="E2604" s="2">
        <f>IFERROR(__xludf.DUMMYFUNCTION("""COMPUTED_VALUE"""),190.74)</f>
        <v>190.74</v>
      </c>
      <c r="F2604" s="2">
        <f>IFERROR(__xludf.DUMMYFUNCTION("""COMPUTED_VALUE"""),578363.0)</f>
        <v>578363</v>
      </c>
    </row>
    <row r="2605">
      <c r="A2605" s="3">
        <f>IFERROR(__xludf.DUMMYFUNCTION("""COMPUTED_VALUE"""),40361.645833333336)</f>
        <v>40361.64583</v>
      </c>
      <c r="B2605" s="2">
        <f>IFERROR(__xludf.DUMMYFUNCTION("""COMPUTED_VALUE"""),190.74)</f>
        <v>190.74</v>
      </c>
      <c r="C2605" s="2">
        <f>IFERROR(__xludf.DUMMYFUNCTION("""COMPUTED_VALUE"""),192.34)</f>
        <v>192.34</v>
      </c>
      <c r="D2605" s="2">
        <f>IFERROR(__xludf.DUMMYFUNCTION("""COMPUTED_VALUE"""),190.0)</f>
        <v>190</v>
      </c>
      <c r="E2605" s="2">
        <f>IFERROR(__xludf.DUMMYFUNCTION("""COMPUTED_VALUE"""),191.29)</f>
        <v>191.29</v>
      </c>
      <c r="F2605" s="2">
        <f>IFERROR(__xludf.DUMMYFUNCTION("""COMPUTED_VALUE"""),411250.0)</f>
        <v>411250</v>
      </c>
    </row>
    <row r="2606">
      <c r="A2606" s="3">
        <f>IFERROR(__xludf.DUMMYFUNCTION("""COMPUTED_VALUE"""),40364.645833333336)</f>
        <v>40364.64583</v>
      </c>
      <c r="B2606" s="2">
        <f>IFERROR(__xludf.DUMMYFUNCTION("""COMPUTED_VALUE"""),190.1)</f>
        <v>190.1</v>
      </c>
      <c r="C2606" s="2">
        <f>IFERROR(__xludf.DUMMYFUNCTION("""COMPUTED_VALUE"""),192.9)</f>
        <v>192.9</v>
      </c>
      <c r="D2606" s="2">
        <f>IFERROR(__xludf.DUMMYFUNCTION("""COMPUTED_VALUE"""),189.8)</f>
        <v>189.8</v>
      </c>
      <c r="E2606" s="2">
        <f>IFERROR(__xludf.DUMMYFUNCTION("""COMPUTED_VALUE"""),191.52)</f>
        <v>191.52</v>
      </c>
      <c r="F2606" s="2">
        <f>IFERROR(__xludf.DUMMYFUNCTION("""COMPUTED_VALUE"""),258027.0)</f>
        <v>258027</v>
      </c>
    </row>
    <row r="2607">
      <c r="A2607" s="3">
        <f>IFERROR(__xludf.DUMMYFUNCTION("""COMPUTED_VALUE"""),40365.645833333336)</f>
        <v>40365.64583</v>
      </c>
      <c r="B2607" s="2">
        <f>IFERROR(__xludf.DUMMYFUNCTION("""COMPUTED_VALUE"""),191.5)</f>
        <v>191.5</v>
      </c>
      <c r="C2607" s="2">
        <f>IFERROR(__xludf.DUMMYFUNCTION("""COMPUTED_VALUE"""),196.98)</f>
        <v>196.98</v>
      </c>
      <c r="D2607" s="2">
        <f>IFERROR(__xludf.DUMMYFUNCTION("""COMPUTED_VALUE"""),191.0)</f>
        <v>191</v>
      </c>
      <c r="E2607" s="2">
        <f>IFERROR(__xludf.DUMMYFUNCTION("""COMPUTED_VALUE"""),196.4)</f>
        <v>196.4</v>
      </c>
      <c r="F2607" s="2">
        <f>IFERROR(__xludf.DUMMYFUNCTION("""COMPUTED_VALUE"""),624803.0)</f>
        <v>624803</v>
      </c>
    </row>
    <row r="2608">
      <c r="A2608" s="3">
        <f>IFERROR(__xludf.DUMMYFUNCTION("""COMPUTED_VALUE"""),40366.645833333336)</f>
        <v>40366.64583</v>
      </c>
      <c r="B2608" s="2">
        <f>IFERROR(__xludf.DUMMYFUNCTION("""COMPUTED_VALUE"""),196.89)</f>
        <v>196.89</v>
      </c>
      <c r="C2608" s="2">
        <f>IFERROR(__xludf.DUMMYFUNCTION("""COMPUTED_VALUE"""),196.9)</f>
        <v>196.9</v>
      </c>
      <c r="D2608" s="2">
        <f>IFERROR(__xludf.DUMMYFUNCTION("""COMPUTED_VALUE"""),193.11)</f>
        <v>193.11</v>
      </c>
      <c r="E2608" s="2">
        <f>IFERROR(__xludf.DUMMYFUNCTION("""COMPUTED_VALUE"""),193.73)</f>
        <v>193.73</v>
      </c>
      <c r="F2608" s="2">
        <f>IFERROR(__xludf.DUMMYFUNCTION("""COMPUTED_VALUE"""),396672.0)</f>
        <v>396672</v>
      </c>
    </row>
    <row r="2609">
      <c r="A2609" s="3">
        <f>IFERROR(__xludf.DUMMYFUNCTION("""COMPUTED_VALUE"""),40367.645833333336)</f>
        <v>40367.64583</v>
      </c>
      <c r="B2609" s="2">
        <f>IFERROR(__xludf.DUMMYFUNCTION("""COMPUTED_VALUE"""),196.0)</f>
        <v>196</v>
      </c>
      <c r="C2609" s="2">
        <f>IFERROR(__xludf.DUMMYFUNCTION("""COMPUTED_VALUE"""),196.99)</f>
        <v>196.99</v>
      </c>
      <c r="D2609" s="2">
        <f>IFERROR(__xludf.DUMMYFUNCTION("""COMPUTED_VALUE"""),194.23)</f>
        <v>194.23</v>
      </c>
      <c r="E2609" s="2">
        <f>IFERROR(__xludf.DUMMYFUNCTION("""COMPUTED_VALUE"""),194.57)</f>
        <v>194.57</v>
      </c>
      <c r="F2609" s="2">
        <f>IFERROR(__xludf.DUMMYFUNCTION("""COMPUTED_VALUE"""),336292.0)</f>
        <v>336292</v>
      </c>
    </row>
    <row r="2610">
      <c r="A2610" s="3">
        <f>IFERROR(__xludf.DUMMYFUNCTION("""COMPUTED_VALUE"""),40368.645833333336)</f>
        <v>40368.64583</v>
      </c>
      <c r="B2610" s="2">
        <f>IFERROR(__xludf.DUMMYFUNCTION("""COMPUTED_VALUE"""),195.5)</f>
        <v>195.5</v>
      </c>
      <c r="C2610" s="2">
        <f>IFERROR(__xludf.DUMMYFUNCTION("""COMPUTED_VALUE"""),201.2)</f>
        <v>201.2</v>
      </c>
      <c r="D2610" s="2">
        <f>IFERROR(__xludf.DUMMYFUNCTION("""COMPUTED_VALUE"""),195.01)</f>
        <v>195.01</v>
      </c>
      <c r="E2610" s="2">
        <f>IFERROR(__xludf.DUMMYFUNCTION("""COMPUTED_VALUE"""),200.28)</f>
        <v>200.28</v>
      </c>
      <c r="F2610" s="2">
        <f>IFERROR(__xludf.DUMMYFUNCTION("""COMPUTED_VALUE"""),1570118.0)</f>
        <v>1570118</v>
      </c>
    </row>
    <row r="2611">
      <c r="A2611" s="3">
        <f>IFERROR(__xludf.DUMMYFUNCTION("""COMPUTED_VALUE"""),40371.645833333336)</f>
        <v>40371.64583</v>
      </c>
      <c r="B2611" s="2">
        <f>IFERROR(__xludf.DUMMYFUNCTION("""COMPUTED_VALUE"""),200.9)</f>
        <v>200.9</v>
      </c>
      <c r="C2611" s="2">
        <f>IFERROR(__xludf.DUMMYFUNCTION("""COMPUTED_VALUE"""),205.6)</f>
        <v>205.6</v>
      </c>
      <c r="D2611" s="2">
        <f>IFERROR(__xludf.DUMMYFUNCTION("""COMPUTED_VALUE"""),200.7)</f>
        <v>200.7</v>
      </c>
      <c r="E2611" s="2">
        <f>IFERROR(__xludf.DUMMYFUNCTION("""COMPUTED_VALUE"""),204.95)</f>
        <v>204.95</v>
      </c>
      <c r="F2611" s="2">
        <f>IFERROR(__xludf.DUMMYFUNCTION("""COMPUTED_VALUE"""),1486928.0)</f>
        <v>1486928</v>
      </c>
    </row>
    <row r="2612">
      <c r="A2612" s="3">
        <f>IFERROR(__xludf.DUMMYFUNCTION("""COMPUTED_VALUE"""),40372.645833333336)</f>
        <v>40372.64583</v>
      </c>
      <c r="B2612" s="2">
        <f>IFERROR(__xludf.DUMMYFUNCTION("""COMPUTED_VALUE"""),205.2)</f>
        <v>205.2</v>
      </c>
      <c r="C2612" s="2">
        <f>IFERROR(__xludf.DUMMYFUNCTION("""COMPUTED_VALUE"""),208.0)</f>
        <v>208</v>
      </c>
      <c r="D2612" s="2">
        <f>IFERROR(__xludf.DUMMYFUNCTION("""COMPUTED_VALUE"""),203.74)</f>
        <v>203.74</v>
      </c>
      <c r="E2612" s="2">
        <f>IFERROR(__xludf.DUMMYFUNCTION("""COMPUTED_VALUE"""),207.26)</f>
        <v>207.26</v>
      </c>
      <c r="F2612" s="2">
        <f>IFERROR(__xludf.DUMMYFUNCTION("""COMPUTED_VALUE"""),625731.0)</f>
        <v>625731</v>
      </c>
    </row>
    <row r="2613">
      <c r="A2613" s="3">
        <f>IFERROR(__xludf.DUMMYFUNCTION("""COMPUTED_VALUE"""),40373.645833333336)</f>
        <v>40373.64583</v>
      </c>
      <c r="B2613" s="2">
        <f>IFERROR(__xludf.DUMMYFUNCTION("""COMPUTED_VALUE"""),208.0)</f>
        <v>208</v>
      </c>
      <c r="C2613" s="2">
        <f>IFERROR(__xludf.DUMMYFUNCTION("""COMPUTED_VALUE"""),211.09)</f>
        <v>211.09</v>
      </c>
      <c r="D2613" s="2">
        <f>IFERROR(__xludf.DUMMYFUNCTION("""COMPUTED_VALUE"""),207.33)</f>
        <v>207.33</v>
      </c>
      <c r="E2613" s="2">
        <f>IFERROR(__xludf.DUMMYFUNCTION("""COMPUTED_VALUE"""),208.63)</f>
        <v>208.63</v>
      </c>
      <c r="F2613" s="2">
        <f>IFERROR(__xludf.DUMMYFUNCTION("""COMPUTED_VALUE"""),1055803.0)</f>
        <v>1055803</v>
      </c>
    </row>
    <row r="2614">
      <c r="A2614" s="3">
        <f>IFERROR(__xludf.DUMMYFUNCTION("""COMPUTED_VALUE"""),40374.645833333336)</f>
        <v>40374.64583</v>
      </c>
      <c r="B2614" s="2">
        <f>IFERROR(__xludf.DUMMYFUNCTION("""COMPUTED_VALUE"""),209.0)</f>
        <v>209</v>
      </c>
      <c r="C2614" s="2">
        <f>IFERROR(__xludf.DUMMYFUNCTION("""COMPUTED_VALUE"""),209.0)</f>
        <v>209</v>
      </c>
      <c r="D2614" s="2">
        <f>IFERROR(__xludf.DUMMYFUNCTION("""COMPUTED_VALUE"""),205.5)</f>
        <v>205.5</v>
      </c>
      <c r="E2614" s="2">
        <f>IFERROR(__xludf.DUMMYFUNCTION("""COMPUTED_VALUE"""),206.26)</f>
        <v>206.26</v>
      </c>
      <c r="F2614" s="2">
        <f>IFERROR(__xludf.DUMMYFUNCTION("""COMPUTED_VALUE"""),323873.0)</f>
        <v>323873</v>
      </c>
    </row>
    <row r="2615">
      <c r="A2615" s="3">
        <f>IFERROR(__xludf.DUMMYFUNCTION("""COMPUTED_VALUE"""),40375.645833333336)</f>
        <v>40375.64583</v>
      </c>
      <c r="B2615" s="2">
        <f>IFERROR(__xludf.DUMMYFUNCTION("""COMPUTED_VALUE"""),206.4)</f>
        <v>206.4</v>
      </c>
      <c r="C2615" s="2">
        <f>IFERROR(__xludf.DUMMYFUNCTION("""COMPUTED_VALUE"""),206.6)</f>
        <v>206.6</v>
      </c>
      <c r="D2615" s="2">
        <f>IFERROR(__xludf.DUMMYFUNCTION("""COMPUTED_VALUE"""),203.12)</f>
        <v>203.12</v>
      </c>
      <c r="E2615" s="2">
        <f>IFERROR(__xludf.DUMMYFUNCTION("""COMPUTED_VALUE"""),203.9)</f>
        <v>203.9</v>
      </c>
      <c r="F2615" s="2">
        <f>IFERROR(__xludf.DUMMYFUNCTION("""COMPUTED_VALUE"""),471388.0)</f>
        <v>471388</v>
      </c>
    </row>
    <row r="2616">
      <c r="A2616" s="3">
        <f>IFERROR(__xludf.DUMMYFUNCTION("""COMPUTED_VALUE"""),40378.645833333336)</f>
        <v>40378.64583</v>
      </c>
      <c r="B2616" s="2">
        <f>IFERROR(__xludf.DUMMYFUNCTION("""COMPUTED_VALUE"""),204.2)</f>
        <v>204.2</v>
      </c>
      <c r="C2616" s="2">
        <f>IFERROR(__xludf.DUMMYFUNCTION("""COMPUTED_VALUE"""),206.4)</f>
        <v>206.4</v>
      </c>
      <c r="D2616" s="2">
        <f>IFERROR(__xludf.DUMMYFUNCTION("""COMPUTED_VALUE"""),202.2)</f>
        <v>202.2</v>
      </c>
      <c r="E2616" s="2">
        <f>IFERROR(__xludf.DUMMYFUNCTION("""COMPUTED_VALUE"""),204.79)</f>
        <v>204.79</v>
      </c>
      <c r="F2616" s="2">
        <f>IFERROR(__xludf.DUMMYFUNCTION("""COMPUTED_VALUE"""),876558.0)</f>
        <v>876558</v>
      </c>
    </row>
    <row r="2617">
      <c r="A2617" s="3">
        <f>IFERROR(__xludf.DUMMYFUNCTION("""COMPUTED_VALUE"""),40379.645833333336)</f>
        <v>40379.64583</v>
      </c>
      <c r="B2617" s="2">
        <f>IFERROR(__xludf.DUMMYFUNCTION("""COMPUTED_VALUE"""),204.79)</f>
        <v>204.79</v>
      </c>
      <c r="C2617" s="2">
        <f>IFERROR(__xludf.DUMMYFUNCTION("""COMPUTED_VALUE"""),208.87)</f>
        <v>208.87</v>
      </c>
      <c r="D2617" s="2">
        <f>IFERROR(__xludf.DUMMYFUNCTION("""COMPUTED_VALUE"""),203.6)</f>
        <v>203.6</v>
      </c>
      <c r="E2617" s="2">
        <f>IFERROR(__xludf.DUMMYFUNCTION("""COMPUTED_VALUE"""),204.44)</f>
        <v>204.44</v>
      </c>
      <c r="F2617" s="2">
        <f>IFERROR(__xludf.DUMMYFUNCTION("""COMPUTED_VALUE"""),668459.0)</f>
        <v>668459</v>
      </c>
    </row>
    <row r="2618">
      <c r="A2618" s="3">
        <f>IFERROR(__xludf.DUMMYFUNCTION("""COMPUTED_VALUE"""),40380.645833333336)</f>
        <v>40380.64583</v>
      </c>
      <c r="B2618" s="2">
        <f>IFERROR(__xludf.DUMMYFUNCTION("""COMPUTED_VALUE"""),205.01)</f>
        <v>205.01</v>
      </c>
      <c r="C2618" s="2">
        <f>IFERROR(__xludf.DUMMYFUNCTION("""COMPUTED_VALUE"""),206.48)</f>
        <v>206.48</v>
      </c>
      <c r="D2618" s="2">
        <f>IFERROR(__xludf.DUMMYFUNCTION("""COMPUTED_VALUE"""),202.5)</f>
        <v>202.5</v>
      </c>
      <c r="E2618" s="2">
        <f>IFERROR(__xludf.DUMMYFUNCTION("""COMPUTED_VALUE"""),203.31)</f>
        <v>203.31</v>
      </c>
      <c r="F2618" s="2">
        <f>IFERROR(__xludf.DUMMYFUNCTION("""COMPUTED_VALUE"""),464235.0)</f>
        <v>464235</v>
      </c>
    </row>
    <row r="2619">
      <c r="A2619" s="3">
        <f>IFERROR(__xludf.DUMMYFUNCTION("""COMPUTED_VALUE"""),40381.645833333336)</f>
        <v>40381.64583</v>
      </c>
      <c r="B2619" s="2">
        <f>IFERROR(__xludf.DUMMYFUNCTION("""COMPUTED_VALUE"""),203.0)</f>
        <v>203</v>
      </c>
      <c r="C2619" s="2">
        <f>IFERROR(__xludf.DUMMYFUNCTION("""COMPUTED_VALUE"""),206.3)</f>
        <v>206.3</v>
      </c>
      <c r="D2619" s="2">
        <f>IFERROR(__xludf.DUMMYFUNCTION("""COMPUTED_VALUE"""),202.5)</f>
        <v>202.5</v>
      </c>
      <c r="E2619" s="2">
        <f>IFERROR(__xludf.DUMMYFUNCTION("""COMPUTED_VALUE"""),205.73)</f>
        <v>205.73</v>
      </c>
      <c r="F2619" s="2">
        <f>IFERROR(__xludf.DUMMYFUNCTION("""COMPUTED_VALUE"""),557497.0)</f>
        <v>557497</v>
      </c>
    </row>
    <row r="2620">
      <c r="A2620" s="3">
        <f>IFERROR(__xludf.DUMMYFUNCTION("""COMPUTED_VALUE"""),40382.645833333336)</f>
        <v>40382.64583</v>
      </c>
      <c r="B2620" s="2">
        <f>IFERROR(__xludf.DUMMYFUNCTION("""COMPUTED_VALUE"""),206.9)</f>
        <v>206.9</v>
      </c>
      <c r="C2620" s="2">
        <f>IFERROR(__xludf.DUMMYFUNCTION("""COMPUTED_VALUE"""),206.9)</f>
        <v>206.9</v>
      </c>
      <c r="D2620" s="2">
        <f>IFERROR(__xludf.DUMMYFUNCTION("""COMPUTED_VALUE"""),202.59)</f>
        <v>202.59</v>
      </c>
      <c r="E2620" s="2">
        <f>IFERROR(__xludf.DUMMYFUNCTION("""COMPUTED_VALUE"""),203.86)</f>
        <v>203.86</v>
      </c>
      <c r="F2620" s="2">
        <f>IFERROR(__xludf.DUMMYFUNCTION("""COMPUTED_VALUE"""),692181.0)</f>
        <v>692181</v>
      </c>
    </row>
    <row r="2621">
      <c r="A2621" s="3">
        <f>IFERROR(__xludf.DUMMYFUNCTION("""COMPUTED_VALUE"""),40385.645833333336)</f>
        <v>40385.64583</v>
      </c>
      <c r="B2621" s="2">
        <f>IFERROR(__xludf.DUMMYFUNCTION("""COMPUTED_VALUE"""),204.5)</f>
        <v>204.5</v>
      </c>
      <c r="C2621" s="2">
        <f>IFERROR(__xludf.DUMMYFUNCTION("""COMPUTED_VALUE"""),205.98)</f>
        <v>205.98</v>
      </c>
      <c r="D2621" s="2">
        <f>IFERROR(__xludf.DUMMYFUNCTION("""COMPUTED_VALUE"""),203.42)</f>
        <v>203.42</v>
      </c>
      <c r="E2621" s="2">
        <f>IFERROR(__xludf.DUMMYFUNCTION("""COMPUTED_VALUE"""),205.19)</f>
        <v>205.19</v>
      </c>
      <c r="F2621" s="2">
        <f>IFERROR(__xludf.DUMMYFUNCTION("""COMPUTED_VALUE"""),303649.0)</f>
        <v>303649</v>
      </c>
    </row>
    <row r="2622">
      <c r="A2622" s="3">
        <f>IFERROR(__xludf.DUMMYFUNCTION("""COMPUTED_VALUE"""),40386.645833333336)</f>
        <v>40386.64583</v>
      </c>
      <c r="B2622" s="2">
        <f>IFERROR(__xludf.DUMMYFUNCTION("""COMPUTED_VALUE"""),205.32)</f>
        <v>205.32</v>
      </c>
      <c r="C2622" s="2">
        <f>IFERROR(__xludf.DUMMYFUNCTION("""COMPUTED_VALUE"""),207.8)</f>
        <v>207.8</v>
      </c>
      <c r="D2622" s="2">
        <f>IFERROR(__xludf.DUMMYFUNCTION("""COMPUTED_VALUE"""),204.5)</f>
        <v>204.5</v>
      </c>
      <c r="E2622" s="2">
        <f>IFERROR(__xludf.DUMMYFUNCTION("""COMPUTED_VALUE"""),206.68)</f>
        <v>206.68</v>
      </c>
      <c r="F2622" s="2">
        <f>IFERROR(__xludf.DUMMYFUNCTION("""COMPUTED_VALUE"""),664591.0)</f>
        <v>664591</v>
      </c>
    </row>
    <row r="2623">
      <c r="A2623" s="3">
        <f>IFERROR(__xludf.DUMMYFUNCTION("""COMPUTED_VALUE"""),40387.645833333336)</f>
        <v>40387.64583</v>
      </c>
      <c r="B2623" s="2">
        <f>IFERROR(__xludf.DUMMYFUNCTION("""COMPUTED_VALUE"""),207.2)</f>
        <v>207.2</v>
      </c>
      <c r="C2623" s="2">
        <f>IFERROR(__xludf.DUMMYFUNCTION("""COMPUTED_VALUE"""),209.0)</f>
        <v>209</v>
      </c>
      <c r="D2623" s="2">
        <f>IFERROR(__xludf.DUMMYFUNCTION("""COMPUTED_VALUE"""),206.0)</f>
        <v>206</v>
      </c>
      <c r="E2623" s="2">
        <f>IFERROR(__xludf.DUMMYFUNCTION("""COMPUTED_VALUE"""),208.61)</f>
        <v>208.61</v>
      </c>
      <c r="F2623" s="2">
        <f>IFERROR(__xludf.DUMMYFUNCTION("""COMPUTED_VALUE"""),657106.0)</f>
        <v>657106</v>
      </c>
    </row>
    <row r="2624">
      <c r="A2624" s="3">
        <f>IFERROR(__xludf.DUMMYFUNCTION("""COMPUTED_VALUE"""),40388.645833333336)</f>
        <v>40388.64583</v>
      </c>
      <c r="B2624" s="2">
        <f>IFERROR(__xludf.DUMMYFUNCTION("""COMPUTED_VALUE"""),209.09)</f>
        <v>209.09</v>
      </c>
      <c r="C2624" s="2">
        <f>IFERROR(__xludf.DUMMYFUNCTION("""COMPUTED_VALUE"""),211.5)</f>
        <v>211.5</v>
      </c>
      <c r="D2624" s="2">
        <f>IFERROR(__xludf.DUMMYFUNCTION("""COMPUTED_VALUE"""),208.33)</f>
        <v>208.33</v>
      </c>
      <c r="E2624" s="2">
        <f>IFERROR(__xludf.DUMMYFUNCTION("""COMPUTED_VALUE"""),210.06)</f>
        <v>210.06</v>
      </c>
      <c r="F2624" s="2">
        <f>IFERROR(__xludf.DUMMYFUNCTION("""COMPUTED_VALUE"""),1126574.0)</f>
        <v>1126574</v>
      </c>
    </row>
    <row r="2625">
      <c r="A2625" s="3">
        <f>IFERROR(__xludf.DUMMYFUNCTION("""COMPUTED_VALUE"""),40389.645833333336)</f>
        <v>40389.64583</v>
      </c>
      <c r="B2625" s="2">
        <f>IFERROR(__xludf.DUMMYFUNCTION("""COMPUTED_VALUE"""),209.77)</f>
        <v>209.77</v>
      </c>
      <c r="C2625" s="2">
        <f>IFERROR(__xludf.DUMMYFUNCTION("""COMPUTED_VALUE"""),213.7)</f>
        <v>213.7</v>
      </c>
      <c r="D2625" s="2">
        <f>IFERROR(__xludf.DUMMYFUNCTION("""COMPUTED_VALUE"""),208.0)</f>
        <v>208</v>
      </c>
      <c r="E2625" s="2">
        <f>IFERROR(__xludf.DUMMYFUNCTION("""COMPUTED_VALUE"""),212.69)</f>
        <v>212.69</v>
      </c>
      <c r="F2625" s="2">
        <f>IFERROR(__xludf.DUMMYFUNCTION("""COMPUTED_VALUE"""),1169966.0)</f>
        <v>1169966</v>
      </c>
    </row>
    <row r="2626">
      <c r="A2626" s="3">
        <f>IFERROR(__xludf.DUMMYFUNCTION("""COMPUTED_VALUE"""),40392.645833333336)</f>
        <v>40392.64583</v>
      </c>
      <c r="B2626" s="2">
        <f>IFERROR(__xludf.DUMMYFUNCTION("""COMPUTED_VALUE"""),213.0)</f>
        <v>213</v>
      </c>
      <c r="C2626" s="2">
        <f>IFERROR(__xludf.DUMMYFUNCTION("""COMPUTED_VALUE"""),214.49)</f>
        <v>214.49</v>
      </c>
      <c r="D2626" s="2">
        <f>IFERROR(__xludf.DUMMYFUNCTION("""COMPUTED_VALUE"""),212.14)</f>
        <v>212.14</v>
      </c>
      <c r="E2626" s="2">
        <f>IFERROR(__xludf.DUMMYFUNCTION("""COMPUTED_VALUE"""),213.64)</f>
        <v>213.64</v>
      </c>
      <c r="F2626" s="2">
        <f>IFERROR(__xludf.DUMMYFUNCTION("""COMPUTED_VALUE"""),826334.0)</f>
        <v>826334</v>
      </c>
    </row>
    <row r="2627">
      <c r="A2627" s="3">
        <f>IFERROR(__xludf.DUMMYFUNCTION("""COMPUTED_VALUE"""),40393.645833333336)</f>
        <v>40393.64583</v>
      </c>
      <c r="B2627" s="2">
        <f>IFERROR(__xludf.DUMMYFUNCTION("""COMPUTED_VALUE"""),214.0)</f>
        <v>214</v>
      </c>
      <c r="C2627" s="2">
        <f>IFERROR(__xludf.DUMMYFUNCTION("""COMPUTED_VALUE"""),214.4)</f>
        <v>214.4</v>
      </c>
      <c r="D2627" s="2">
        <f>IFERROR(__xludf.DUMMYFUNCTION("""COMPUTED_VALUE"""),211.18)</f>
        <v>211.18</v>
      </c>
      <c r="E2627" s="2">
        <f>IFERROR(__xludf.DUMMYFUNCTION("""COMPUTED_VALUE"""),212.25)</f>
        <v>212.25</v>
      </c>
      <c r="F2627" s="2">
        <f>IFERROR(__xludf.DUMMYFUNCTION("""COMPUTED_VALUE"""),811048.0)</f>
        <v>811048</v>
      </c>
    </row>
    <row r="2628">
      <c r="A2628" s="3">
        <f>IFERROR(__xludf.DUMMYFUNCTION("""COMPUTED_VALUE"""),40394.645833333336)</f>
        <v>40394.64583</v>
      </c>
      <c r="B2628" s="2">
        <f>IFERROR(__xludf.DUMMYFUNCTION("""COMPUTED_VALUE"""),211.5)</f>
        <v>211.5</v>
      </c>
      <c r="C2628" s="2">
        <f>IFERROR(__xludf.DUMMYFUNCTION("""COMPUTED_VALUE"""),212.9)</f>
        <v>212.9</v>
      </c>
      <c r="D2628" s="2">
        <f>IFERROR(__xludf.DUMMYFUNCTION("""COMPUTED_VALUE"""),209.12)</f>
        <v>209.12</v>
      </c>
      <c r="E2628" s="2">
        <f>IFERROR(__xludf.DUMMYFUNCTION("""COMPUTED_VALUE"""),211.48)</f>
        <v>211.48</v>
      </c>
      <c r="F2628" s="2">
        <f>IFERROR(__xludf.DUMMYFUNCTION("""COMPUTED_VALUE"""),736735.0)</f>
        <v>736735</v>
      </c>
    </row>
    <row r="2629">
      <c r="A2629" s="3">
        <f>IFERROR(__xludf.DUMMYFUNCTION("""COMPUTED_VALUE"""),40395.645833333336)</f>
        <v>40395.64583</v>
      </c>
      <c r="B2629" s="2">
        <f>IFERROR(__xludf.DUMMYFUNCTION("""COMPUTED_VALUE"""),206.5)</f>
        <v>206.5</v>
      </c>
      <c r="C2629" s="2">
        <f>IFERROR(__xludf.DUMMYFUNCTION("""COMPUTED_VALUE"""),212.74)</f>
        <v>212.74</v>
      </c>
      <c r="D2629" s="2">
        <f>IFERROR(__xludf.DUMMYFUNCTION("""COMPUTED_VALUE"""),206.5)</f>
        <v>206.5</v>
      </c>
      <c r="E2629" s="2">
        <f>IFERROR(__xludf.DUMMYFUNCTION("""COMPUTED_VALUE"""),210.03)</f>
        <v>210.03</v>
      </c>
      <c r="F2629" s="2">
        <f>IFERROR(__xludf.DUMMYFUNCTION("""COMPUTED_VALUE"""),735528.0)</f>
        <v>735528</v>
      </c>
    </row>
    <row r="2630">
      <c r="A2630" s="3">
        <f>IFERROR(__xludf.DUMMYFUNCTION("""COMPUTED_VALUE"""),40396.645833333336)</f>
        <v>40396.64583</v>
      </c>
      <c r="B2630" s="2">
        <f>IFERROR(__xludf.DUMMYFUNCTION("""COMPUTED_VALUE"""),209.33)</f>
        <v>209.33</v>
      </c>
      <c r="C2630" s="2">
        <f>IFERROR(__xludf.DUMMYFUNCTION("""COMPUTED_VALUE"""),211.0)</f>
        <v>211</v>
      </c>
      <c r="D2630" s="2">
        <f>IFERROR(__xludf.DUMMYFUNCTION("""COMPUTED_VALUE"""),208.15)</f>
        <v>208.15</v>
      </c>
      <c r="E2630" s="2">
        <f>IFERROR(__xludf.DUMMYFUNCTION("""COMPUTED_VALUE"""),209.07)</f>
        <v>209.07</v>
      </c>
      <c r="F2630" s="2">
        <f>IFERROR(__xludf.DUMMYFUNCTION("""COMPUTED_VALUE"""),546044.0)</f>
        <v>546044</v>
      </c>
    </row>
    <row r="2631">
      <c r="A2631" s="3">
        <f>IFERROR(__xludf.DUMMYFUNCTION("""COMPUTED_VALUE"""),40399.645833333336)</f>
        <v>40399.64583</v>
      </c>
      <c r="B2631" s="2">
        <f>IFERROR(__xludf.DUMMYFUNCTION("""COMPUTED_VALUE"""),209.0)</f>
        <v>209</v>
      </c>
      <c r="C2631" s="2">
        <f>IFERROR(__xludf.DUMMYFUNCTION("""COMPUTED_VALUE"""),210.39)</f>
        <v>210.39</v>
      </c>
      <c r="D2631" s="2">
        <f>IFERROR(__xludf.DUMMYFUNCTION("""COMPUTED_VALUE"""),207.14)</f>
        <v>207.14</v>
      </c>
      <c r="E2631" s="2">
        <f>IFERROR(__xludf.DUMMYFUNCTION("""COMPUTED_VALUE"""),208.2)</f>
        <v>208.2</v>
      </c>
      <c r="F2631" s="2">
        <f>IFERROR(__xludf.DUMMYFUNCTION("""COMPUTED_VALUE"""),261822.0)</f>
        <v>261822</v>
      </c>
    </row>
    <row r="2632">
      <c r="A2632" s="3">
        <f>IFERROR(__xludf.DUMMYFUNCTION("""COMPUTED_VALUE"""),40400.645833333336)</f>
        <v>40400.64583</v>
      </c>
      <c r="B2632" s="2">
        <f>IFERROR(__xludf.DUMMYFUNCTION("""COMPUTED_VALUE"""),208.55)</f>
        <v>208.55</v>
      </c>
      <c r="C2632" s="2">
        <f>IFERROR(__xludf.DUMMYFUNCTION("""COMPUTED_VALUE"""),210.22)</f>
        <v>210.22</v>
      </c>
      <c r="D2632" s="2">
        <f>IFERROR(__xludf.DUMMYFUNCTION("""COMPUTED_VALUE"""),206.98)</f>
        <v>206.98</v>
      </c>
      <c r="E2632" s="2">
        <f>IFERROR(__xludf.DUMMYFUNCTION("""COMPUTED_VALUE"""),209.51)</f>
        <v>209.51</v>
      </c>
      <c r="F2632" s="2">
        <f>IFERROR(__xludf.DUMMYFUNCTION("""COMPUTED_VALUE"""),734727.0)</f>
        <v>734727</v>
      </c>
    </row>
    <row r="2633">
      <c r="A2633" s="3">
        <f>IFERROR(__xludf.DUMMYFUNCTION("""COMPUTED_VALUE"""),40401.645833333336)</f>
        <v>40401.64583</v>
      </c>
      <c r="B2633" s="2">
        <f>IFERROR(__xludf.DUMMYFUNCTION("""COMPUTED_VALUE"""),210.1)</f>
        <v>210.1</v>
      </c>
      <c r="C2633" s="2">
        <f>IFERROR(__xludf.DUMMYFUNCTION("""COMPUTED_VALUE"""),211.31)</f>
        <v>211.31</v>
      </c>
      <c r="D2633" s="2">
        <f>IFERROR(__xludf.DUMMYFUNCTION("""COMPUTED_VALUE"""),207.8)</f>
        <v>207.8</v>
      </c>
      <c r="E2633" s="2">
        <f>IFERROR(__xludf.DUMMYFUNCTION("""COMPUTED_VALUE"""),208.95)</f>
        <v>208.95</v>
      </c>
      <c r="F2633" s="2">
        <f>IFERROR(__xludf.DUMMYFUNCTION("""COMPUTED_VALUE"""),733508.0)</f>
        <v>733508</v>
      </c>
    </row>
    <row r="2634">
      <c r="A2634" s="3">
        <f>IFERROR(__xludf.DUMMYFUNCTION("""COMPUTED_VALUE"""),40402.645833333336)</f>
        <v>40402.64583</v>
      </c>
      <c r="B2634" s="2">
        <f>IFERROR(__xludf.DUMMYFUNCTION("""COMPUTED_VALUE"""),207.69)</f>
        <v>207.69</v>
      </c>
      <c r="C2634" s="2">
        <f>IFERROR(__xludf.DUMMYFUNCTION("""COMPUTED_VALUE"""),208.28)</f>
        <v>208.28</v>
      </c>
      <c r="D2634" s="2">
        <f>IFERROR(__xludf.DUMMYFUNCTION("""COMPUTED_VALUE"""),204.8)</f>
        <v>204.8</v>
      </c>
      <c r="E2634" s="2">
        <f>IFERROR(__xludf.DUMMYFUNCTION("""COMPUTED_VALUE"""),207.31)</f>
        <v>207.31</v>
      </c>
      <c r="F2634" s="2">
        <f>IFERROR(__xludf.DUMMYFUNCTION("""COMPUTED_VALUE"""),496943.0)</f>
        <v>496943</v>
      </c>
    </row>
    <row r="2635">
      <c r="A2635" s="3">
        <f>IFERROR(__xludf.DUMMYFUNCTION("""COMPUTED_VALUE"""),40403.645833333336)</f>
        <v>40403.64583</v>
      </c>
      <c r="B2635" s="2">
        <f>IFERROR(__xludf.DUMMYFUNCTION("""COMPUTED_VALUE"""),206.16)</f>
        <v>206.16</v>
      </c>
      <c r="C2635" s="2">
        <f>IFERROR(__xludf.DUMMYFUNCTION("""COMPUTED_VALUE"""),210.14)</f>
        <v>210.14</v>
      </c>
      <c r="D2635" s="2">
        <f>IFERROR(__xludf.DUMMYFUNCTION("""COMPUTED_VALUE"""),205.83)</f>
        <v>205.83</v>
      </c>
      <c r="E2635" s="2">
        <f>IFERROR(__xludf.DUMMYFUNCTION("""COMPUTED_VALUE"""),208.76)</f>
        <v>208.76</v>
      </c>
      <c r="F2635" s="2">
        <f>IFERROR(__xludf.DUMMYFUNCTION("""COMPUTED_VALUE"""),524993.0)</f>
        <v>524993</v>
      </c>
    </row>
    <row r="2636">
      <c r="A2636" s="3">
        <f>IFERROR(__xludf.DUMMYFUNCTION("""COMPUTED_VALUE"""),40406.645833333336)</f>
        <v>40406.64583</v>
      </c>
      <c r="B2636" s="2">
        <f>IFERROR(__xludf.DUMMYFUNCTION("""COMPUTED_VALUE"""),207.84)</f>
        <v>207.84</v>
      </c>
      <c r="C2636" s="2">
        <f>IFERROR(__xludf.DUMMYFUNCTION("""COMPUTED_VALUE"""),212.69)</f>
        <v>212.69</v>
      </c>
      <c r="D2636" s="2">
        <f>IFERROR(__xludf.DUMMYFUNCTION("""COMPUTED_VALUE"""),207.04)</f>
        <v>207.04</v>
      </c>
      <c r="E2636" s="2">
        <f>IFERROR(__xludf.DUMMYFUNCTION("""COMPUTED_VALUE"""),208.4)</f>
        <v>208.4</v>
      </c>
      <c r="F2636" s="2">
        <f>IFERROR(__xludf.DUMMYFUNCTION("""COMPUTED_VALUE"""),359334.0)</f>
        <v>359334</v>
      </c>
    </row>
    <row r="2637">
      <c r="A2637" s="3">
        <f>IFERROR(__xludf.DUMMYFUNCTION("""COMPUTED_VALUE"""),40407.645833333336)</f>
        <v>40407.64583</v>
      </c>
      <c r="B2637" s="2">
        <f>IFERROR(__xludf.DUMMYFUNCTION("""COMPUTED_VALUE"""),210.8)</f>
        <v>210.8</v>
      </c>
      <c r="C2637" s="2">
        <f>IFERROR(__xludf.DUMMYFUNCTION("""COMPUTED_VALUE"""),213.6)</f>
        <v>213.6</v>
      </c>
      <c r="D2637" s="2">
        <f>IFERROR(__xludf.DUMMYFUNCTION("""COMPUTED_VALUE"""),208.11)</f>
        <v>208.11</v>
      </c>
      <c r="E2637" s="2">
        <f>IFERROR(__xludf.DUMMYFUNCTION("""COMPUTED_VALUE"""),212.11)</f>
        <v>212.11</v>
      </c>
      <c r="F2637" s="2">
        <f>IFERROR(__xludf.DUMMYFUNCTION("""COMPUTED_VALUE"""),1006591.0)</f>
        <v>1006591</v>
      </c>
    </row>
    <row r="2638">
      <c r="A2638" s="3">
        <f>IFERROR(__xludf.DUMMYFUNCTION("""COMPUTED_VALUE"""),40408.645833333336)</f>
        <v>40408.64583</v>
      </c>
      <c r="B2638" s="2">
        <f>IFERROR(__xludf.DUMMYFUNCTION("""COMPUTED_VALUE"""),213.0)</f>
        <v>213</v>
      </c>
      <c r="C2638" s="2">
        <f>IFERROR(__xludf.DUMMYFUNCTION("""COMPUTED_VALUE"""),219.9)</f>
        <v>219.9</v>
      </c>
      <c r="D2638" s="2">
        <f>IFERROR(__xludf.DUMMYFUNCTION("""COMPUTED_VALUE"""),213.0)</f>
        <v>213</v>
      </c>
      <c r="E2638" s="2">
        <f>IFERROR(__xludf.DUMMYFUNCTION("""COMPUTED_VALUE"""),219.2)</f>
        <v>219.2</v>
      </c>
      <c r="F2638" s="2">
        <f>IFERROR(__xludf.DUMMYFUNCTION("""COMPUTED_VALUE"""),1942217.0)</f>
        <v>1942217</v>
      </c>
    </row>
    <row r="2639">
      <c r="A2639" s="3">
        <f>IFERROR(__xludf.DUMMYFUNCTION("""COMPUTED_VALUE"""),40409.645833333336)</f>
        <v>40409.64583</v>
      </c>
      <c r="B2639" s="2">
        <f>IFERROR(__xludf.DUMMYFUNCTION("""COMPUTED_VALUE"""),218.5)</f>
        <v>218.5</v>
      </c>
      <c r="C2639" s="2">
        <f>IFERROR(__xludf.DUMMYFUNCTION("""COMPUTED_VALUE"""),223.95)</f>
        <v>223.95</v>
      </c>
      <c r="D2639" s="2">
        <f>IFERROR(__xludf.DUMMYFUNCTION("""COMPUTED_VALUE"""),218.5)</f>
        <v>218.5</v>
      </c>
      <c r="E2639" s="2">
        <f>IFERROR(__xludf.DUMMYFUNCTION("""COMPUTED_VALUE"""),223.01)</f>
        <v>223.01</v>
      </c>
      <c r="F2639" s="2">
        <f>IFERROR(__xludf.DUMMYFUNCTION("""COMPUTED_VALUE"""),1038196.0)</f>
        <v>1038196</v>
      </c>
    </row>
    <row r="2640">
      <c r="A2640" s="3">
        <f>IFERROR(__xludf.DUMMYFUNCTION("""COMPUTED_VALUE"""),40410.645833333336)</f>
        <v>40410.64583</v>
      </c>
      <c r="B2640" s="2">
        <f>IFERROR(__xludf.DUMMYFUNCTION("""COMPUTED_VALUE"""),221.16)</f>
        <v>221.16</v>
      </c>
      <c r="C2640" s="2">
        <f>IFERROR(__xludf.DUMMYFUNCTION("""COMPUTED_VALUE"""),223.98)</f>
        <v>223.98</v>
      </c>
      <c r="D2640" s="2">
        <f>IFERROR(__xludf.DUMMYFUNCTION("""COMPUTED_VALUE"""),220.52)</f>
        <v>220.52</v>
      </c>
      <c r="E2640" s="2">
        <f>IFERROR(__xludf.DUMMYFUNCTION("""COMPUTED_VALUE"""),223.13)</f>
        <v>223.13</v>
      </c>
      <c r="F2640" s="2">
        <f>IFERROR(__xludf.DUMMYFUNCTION("""COMPUTED_VALUE"""),419907.0)</f>
        <v>419907</v>
      </c>
    </row>
    <row r="2641">
      <c r="A2641" s="3">
        <f>IFERROR(__xludf.DUMMYFUNCTION("""COMPUTED_VALUE"""),40413.645833333336)</f>
        <v>40413.64583</v>
      </c>
      <c r="B2641" s="2">
        <f>IFERROR(__xludf.DUMMYFUNCTION("""COMPUTED_VALUE"""),221.29)</f>
        <v>221.29</v>
      </c>
      <c r="C2641" s="2">
        <f>IFERROR(__xludf.DUMMYFUNCTION("""COMPUTED_VALUE"""),222.8)</f>
        <v>222.8</v>
      </c>
      <c r="D2641" s="2">
        <f>IFERROR(__xludf.DUMMYFUNCTION("""COMPUTED_VALUE"""),218.3)</f>
        <v>218.3</v>
      </c>
      <c r="E2641" s="2">
        <f>IFERROR(__xludf.DUMMYFUNCTION("""COMPUTED_VALUE"""),219.66)</f>
        <v>219.66</v>
      </c>
      <c r="F2641" s="2">
        <f>IFERROR(__xludf.DUMMYFUNCTION("""COMPUTED_VALUE"""),409743.0)</f>
        <v>409743</v>
      </c>
    </row>
    <row r="2642">
      <c r="A2642" s="3">
        <f>IFERROR(__xludf.DUMMYFUNCTION("""COMPUTED_VALUE"""),40414.645833333336)</f>
        <v>40414.64583</v>
      </c>
      <c r="B2642" s="2">
        <f>IFERROR(__xludf.DUMMYFUNCTION("""COMPUTED_VALUE"""),219.66)</f>
        <v>219.66</v>
      </c>
      <c r="C2642" s="2">
        <f>IFERROR(__xludf.DUMMYFUNCTION("""COMPUTED_VALUE"""),222.0)</f>
        <v>222</v>
      </c>
      <c r="D2642" s="2">
        <f>IFERROR(__xludf.DUMMYFUNCTION("""COMPUTED_VALUE"""),216.01)</f>
        <v>216.01</v>
      </c>
      <c r="E2642" s="2">
        <f>IFERROR(__xludf.DUMMYFUNCTION("""COMPUTED_VALUE"""),220.86)</f>
        <v>220.86</v>
      </c>
      <c r="F2642" s="2">
        <f>IFERROR(__xludf.DUMMYFUNCTION("""COMPUTED_VALUE"""),534014.0)</f>
        <v>534014</v>
      </c>
    </row>
    <row r="2643">
      <c r="A2643" s="3">
        <f>IFERROR(__xludf.DUMMYFUNCTION("""COMPUTED_VALUE"""),40415.645833333336)</f>
        <v>40415.64583</v>
      </c>
      <c r="B2643" s="2">
        <f>IFERROR(__xludf.DUMMYFUNCTION("""COMPUTED_VALUE"""),220.1)</f>
        <v>220.1</v>
      </c>
      <c r="C2643" s="2">
        <f>IFERROR(__xludf.DUMMYFUNCTION("""COMPUTED_VALUE"""),221.5)</f>
        <v>221.5</v>
      </c>
      <c r="D2643" s="2">
        <f>IFERROR(__xludf.DUMMYFUNCTION("""COMPUTED_VALUE"""),217.86)</f>
        <v>217.86</v>
      </c>
      <c r="E2643" s="2">
        <f>IFERROR(__xludf.DUMMYFUNCTION("""COMPUTED_VALUE"""),219.23)</f>
        <v>219.23</v>
      </c>
      <c r="F2643" s="2">
        <f>IFERROR(__xludf.DUMMYFUNCTION("""COMPUTED_VALUE"""),529561.0)</f>
        <v>529561</v>
      </c>
    </row>
    <row r="2644">
      <c r="A2644" s="3">
        <f>IFERROR(__xludf.DUMMYFUNCTION("""COMPUTED_VALUE"""),40416.645833333336)</f>
        <v>40416.64583</v>
      </c>
      <c r="B2644" s="2">
        <f>IFERROR(__xludf.DUMMYFUNCTION("""COMPUTED_VALUE"""),217.86)</f>
        <v>217.86</v>
      </c>
      <c r="C2644" s="2">
        <f>IFERROR(__xludf.DUMMYFUNCTION("""COMPUTED_VALUE"""),221.39)</f>
        <v>221.39</v>
      </c>
      <c r="D2644" s="2">
        <f>IFERROR(__xludf.DUMMYFUNCTION("""COMPUTED_VALUE"""),216.65)</f>
        <v>216.65</v>
      </c>
      <c r="E2644" s="2">
        <f>IFERROR(__xludf.DUMMYFUNCTION("""COMPUTED_VALUE"""),217.84)</f>
        <v>217.84</v>
      </c>
      <c r="F2644" s="2">
        <f>IFERROR(__xludf.DUMMYFUNCTION("""COMPUTED_VALUE"""),1019405.0)</f>
        <v>1019405</v>
      </c>
    </row>
    <row r="2645">
      <c r="A2645" s="3">
        <f>IFERROR(__xludf.DUMMYFUNCTION("""COMPUTED_VALUE"""),40417.645833333336)</f>
        <v>40417.64583</v>
      </c>
      <c r="B2645" s="2">
        <f>IFERROR(__xludf.DUMMYFUNCTION("""COMPUTED_VALUE"""),218.0)</f>
        <v>218</v>
      </c>
      <c r="C2645" s="2">
        <f>IFERROR(__xludf.DUMMYFUNCTION("""COMPUTED_VALUE"""),219.0)</f>
        <v>219</v>
      </c>
      <c r="D2645" s="2">
        <f>IFERROR(__xludf.DUMMYFUNCTION("""COMPUTED_VALUE"""),212.56)</f>
        <v>212.56</v>
      </c>
      <c r="E2645" s="2">
        <f>IFERROR(__xludf.DUMMYFUNCTION("""COMPUTED_VALUE"""),213.91)</f>
        <v>213.91</v>
      </c>
      <c r="F2645" s="2">
        <f>IFERROR(__xludf.DUMMYFUNCTION("""COMPUTED_VALUE"""),577524.0)</f>
        <v>577524</v>
      </c>
    </row>
    <row r="2646">
      <c r="A2646" s="3">
        <f>IFERROR(__xludf.DUMMYFUNCTION("""COMPUTED_VALUE"""),40420.645833333336)</f>
        <v>40420.64583</v>
      </c>
      <c r="B2646" s="2">
        <f>IFERROR(__xludf.DUMMYFUNCTION("""COMPUTED_VALUE"""),216.0)</f>
        <v>216</v>
      </c>
      <c r="C2646" s="2">
        <f>IFERROR(__xludf.DUMMYFUNCTION("""COMPUTED_VALUE"""),217.77)</f>
        <v>217.77</v>
      </c>
      <c r="D2646" s="2">
        <f>IFERROR(__xludf.DUMMYFUNCTION("""COMPUTED_VALUE"""),211.66)</f>
        <v>211.66</v>
      </c>
      <c r="E2646" s="2">
        <f>IFERROR(__xludf.DUMMYFUNCTION("""COMPUTED_VALUE"""),213.17)</f>
        <v>213.17</v>
      </c>
      <c r="F2646" s="2">
        <f>IFERROR(__xludf.DUMMYFUNCTION("""COMPUTED_VALUE"""),343823.0)</f>
        <v>343823</v>
      </c>
    </row>
    <row r="2647">
      <c r="A2647" s="3">
        <f>IFERROR(__xludf.DUMMYFUNCTION("""COMPUTED_VALUE"""),40421.645833333336)</f>
        <v>40421.64583</v>
      </c>
      <c r="B2647" s="2">
        <f>IFERROR(__xludf.DUMMYFUNCTION("""COMPUTED_VALUE"""),212.5)</f>
        <v>212.5</v>
      </c>
      <c r="C2647" s="2">
        <f>IFERROR(__xludf.DUMMYFUNCTION("""COMPUTED_VALUE"""),214.0)</f>
        <v>214</v>
      </c>
      <c r="D2647" s="2">
        <f>IFERROR(__xludf.DUMMYFUNCTION("""COMPUTED_VALUE"""),211.23)</f>
        <v>211.23</v>
      </c>
      <c r="E2647" s="2">
        <f>IFERROR(__xludf.DUMMYFUNCTION("""COMPUTED_VALUE"""),213.43)</f>
        <v>213.43</v>
      </c>
      <c r="F2647" s="2">
        <f>IFERROR(__xludf.DUMMYFUNCTION("""COMPUTED_VALUE"""),469508.0)</f>
        <v>469508</v>
      </c>
    </row>
    <row r="2648">
      <c r="A2648" s="3">
        <f>IFERROR(__xludf.DUMMYFUNCTION("""COMPUTED_VALUE"""),40422.645833333336)</f>
        <v>40422.64583</v>
      </c>
      <c r="B2648" s="2">
        <f>IFERROR(__xludf.DUMMYFUNCTION("""COMPUTED_VALUE"""),213.56)</f>
        <v>213.56</v>
      </c>
      <c r="C2648" s="2">
        <f>IFERROR(__xludf.DUMMYFUNCTION("""COMPUTED_VALUE"""),215.5)</f>
        <v>215.5</v>
      </c>
      <c r="D2648" s="2">
        <f>IFERROR(__xludf.DUMMYFUNCTION("""COMPUTED_VALUE"""),212.0)</f>
        <v>212</v>
      </c>
      <c r="E2648" s="2">
        <f>IFERROR(__xludf.DUMMYFUNCTION("""COMPUTED_VALUE"""),214.93)</f>
        <v>214.93</v>
      </c>
      <c r="F2648" s="2">
        <f>IFERROR(__xludf.DUMMYFUNCTION("""COMPUTED_VALUE"""),480810.0)</f>
        <v>480810</v>
      </c>
    </row>
    <row r="2649">
      <c r="A2649" s="3">
        <f>IFERROR(__xludf.DUMMYFUNCTION("""COMPUTED_VALUE"""),40423.645833333336)</f>
        <v>40423.64583</v>
      </c>
      <c r="B2649" s="2">
        <f>IFERROR(__xludf.DUMMYFUNCTION("""COMPUTED_VALUE"""),215.98)</f>
        <v>215.98</v>
      </c>
      <c r="C2649" s="2">
        <f>IFERROR(__xludf.DUMMYFUNCTION("""COMPUTED_VALUE"""),219.5)</f>
        <v>219.5</v>
      </c>
      <c r="D2649" s="2">
        <f>IFERROR(__xludf.DUMMYFUNCTION("""COMPUTED_VALUE"""),215.98)</f>
        <v>215.98</v>
      </c>
      <c r="E2649" s="2">
        <f>IFERROR(__xludf.DUMMYFUNCTION("""COMPUTED_VALUE"""),218.75)</f>
        <v>218.75</v>
      </c>
      <c r="F2649" s="2">
        <f>IFERROR(__xludf.DUMMYFUNCTION("""COMPUTED_VALUE"""),579533.0)</f>
        <v>579533</v>
      </c>
    </row>
    <row r="2650">
      <c r="A2650" s="3">
        <f>IFERROR(__xludf.DUMMYFUNCTION("""COMPUTED_VALUE"""),40424.645833333336)</f>
        <v>40424.64583</v>
      </c>
      <c r="B2650" s="2">
        <f>IFERROR(__xludf.DUMMYFUNCTION("""COMPUTED_VALUE"""),219.4)</f>
        <v>219.4</v>
      </c>
      <c r="C2650" s="2">
        <f>IFERROR(__xludf.DUMMYFUNCTION("""COMPUTED_VALUE"""),220.0)</f>
        <v>220</v>
      </c>
      <c r="D2650" s="2">
        <f>IFERROR(__xludf.DUMMYFUNCTION("""COMPUTED_VALUE"""),216.83)</f>
        <v>216.83</v>
      </c>
      <c r="E2650" s="2">
        <f>IFERROR(__xludf.DUMMYFUNCTION("""COMPUTED_VALUE"""),219.4)</f>
        <v>219.4</v>
      </c>
      <c r="F2650" s="2">
        <f>IFERROR(__xludf.DUMMYFUNCTION("""COMPUTED_VALUE"""),405908.0)</f>
        <v>405908</v>
      </c>
    </row>
    <row r="2651">
      <c r="A2651" s="3">
        <f>IFERROR(__xludf.DUMMYFUNCTION("""COMPUTED_VALUE"""),40427.645833333336)</f>
        <v>40427.64583</v>
      </c>
      <c r="B2651" s="2">
        <f>IFERROR(__xludf.DUMMYFUNCTION("""COMPUTED_VALUE"""),219.8)</f>
        <v>219.8</v>
      </c>
      <c r="C2651" s="2">
        <f>IFERROR(__xludf.DUMMYFUNCTION("""COMPUTED_VALUE"""),221.97)</f>
        <v>221.97</v>
      </c>
      <c r="D2651" s="2">
        <f>IFERROR(__xludf.DUMMYFUNCTION("""COMPUTED_VALUE"""),218.51)</f>
        <v>218.51</v>
      </c>
      <c r="E2651" s="2">
        <f>IFERROR(__xludf.DUMMYFUNCTION("""COMPUTED_VALUE"""),220.43)</f>
        <v>220.43</v>
      </c>
      <c r="F2651" s="2">
        <f>IFERROR(__xludf.DUMMYFUNCTION("""COMPUTED_VALUE"""),477322.0)</f>
        <v>477322</v>
      </c>
    </row>
    <row r="2652">
      <c r="A2652" s="3">
        <f>IFERROR(__xludf.DUMMYFUNCTION("""COMPUTED_VALUE"""),40428.645833333336)</f>
        <v>40428.64583</v>
      </c>
      <c r="B2652" s="2">
        <f>IFERROR(__xludf.DUMMYFUNCTION("""COMPUTED_VALUE"""),221.6)</f>
        <v>221.6</v>
      </c>
      <c r="C2652" s="2">
        <f>IFERROR(__xludf.DUMMYFUNCTION("""COMPUTED_VALUE"""),221.6)</f>
        <v>221.6</v>
      </c>
      <c r="D2652" s="2">
        <f>IFERROR(__xludf.DUMMYFUNCTION("""COMPUTED_VALUE"""),218.26)</f>
        <v>218.26</v>
      </c>
      <c r="E2652" s="2">
        <f>IFERROR(__xludf.DUMMYFUNCTION("""COMPUTED_VALUE"""),219.91)</f>
        <v>219.91</v>
      </c>
      <c r="F2652" s="2">
        <f>IFERROR(__xludf.DUMMYFUNCTION("""COMPUTED_VALUE"""),420392.0)</f>
        <v>420392</v>
      </c>
    </row>
    <row r="2653">
      <c r="A2653" s="3">
        <f>IFERROR(__xludf.DUMMYFUNCTION("""COMPUTED_VALUE"""),40429.645833333336)</f>
        <v>40429.64583</v>
      </c>
      <c r="B2653" s="2">
        <f>IFERROR(__xludf.DUMMYFUNCTION("""COMPUTED_VALUE"""),218.8)</f>
        <v>218.8</v>
      </c>
      <c r="C2653" s="2">
        <f>IFERROR(__xludf.DUMMYFUNCTION("""COMPUTED_VALUE"""),219.99)</f>
        <v>219.99</v>
      </c>
      <c r="D2653" s="2">
        <f>IFERROR(__xludf.DUMMYFUNCTION("""COMPUTED_VALUE"""),217.13)</f>
        <v>217.13</v>
      </c>
      <c r="E2653" s="2">
        <f>IFERROR(__xludf.DUMMYFUNCTION("""COMPUTED_VALUE"""),217.96)</f>
        <v>217.96</v>
      </c>
      <c r="F2653" s="2">
        <f>IFERROR(__xludf.DUMMYFUNCTION("""COMPUTED_VALUE"""),498480.0)</f>
        <v>498480</v>
      </c>
    </row>
    <row r="2654">
      <c r="A2654" s="3">
        <f>IFERROR(__xludf.DUMMYFUNCTION("""COMPUTED_VALUE"""),40430.645833333336)</f>
        <v>40430.64583</v>
      </c>
      <c r="B2654" s="2">
        <f>IFERROR(__xludf.DUMMYFUNCTION("""COMPUTED_VALUE"""),219.5)</f>
        <v>219.5</v>
      </c>
      <c r="C2654" s="2">
        <f>IFERROR(__xludf.DUMMYFUNCTION("""COMPUTED_VALUE"""),225.0)</f>
        <v>225</v>
      </c>
      <c r="D2654" s="2">
        <f>IFERROR(__xludf.DUMMYFUNCTION("""COMPUTED_VALUE"""),218.31)</f>
        <v>218.31</v>
      </c>
      <c r="E2654" s="2">
        <f>IFERROR(__xludf.DUMMYFUNCTION("""COMPUTED_VALUE"""),224.49)</f>
        <v>224.49</v>
      </c>
      <c r="F2654" s="2">
        <f>IFERROR(__xludf.DUMMYFUNCTION("""COMPUTED_VALUE"""),1301479.0)</f>
        <v>1301479</v>
      </c>
    </row>
    <row r="2655">
      <c r="A2655" s="3">
        <f>IFERROR(__xludf.DUMMYFUNCTION("""COMPUTED_VALUE"""),40434.645833333336)</f>
        <v>40434.64583</v>
      </c>
      <c r="B2655" s="2">
        <f>IFERROR(__xludf.DUMMYFUNCTION("""COMPUTED_VALUE"""),225.01)</f>
        <v>225.01</v>
      </c>
      <c r="C2655" s="2">
        <f>IFERROR(__xludf.DUMMYFUNCTION("""COMPUTED_VALUE"""),229.5)</f>
        <v>229.5</v>
      </c>
      <c r="D2655" s="2">
        <f>IFERROR(__xludf.DUMMYFUNCTION("""COMPUTED_VALUE"""),224.8)</f>
        <v>224.8</v>
      </c>
      <c r="E2655" s="2">
        <f>IFERROR(__xludf.DUMMYFUNCTION("""COMPUTED_VALUE"""),228.25)</f>
        <v>228.25</v>
      </c>
      <c r="F2655" s="2">
        <f>IFERROR(__xludf.DUMMYFUNCTION("""COMPUTED_VALUE"""),729779.0)</f>
        <v>729779</v>
      </c>
    </row>
    <row r="2656">
      <c r="A2656" s="3">
        <f>IFERROR(__xludf.DUMMYFUNCTION("""COMPUTED_VALUE"""),40435.645833333336)</f>
        <v>40435.64583</v>
      </c>
      <c r="B2656" s="2">
        <f>IFERROR(__xludf.DUMMYFUNCTION("""COMPUTED_VALUE"""),228.6)</f>
        <v>228.6</v>
      </c>
      <c r="C2656" s="2">
        <f>IFERROR(__xludf.DUMMYFUNCTION("""COMPUTED_VALUE"""),235.0)</f>
        <v>235</v>
      </c>
      <c r="D2656" s="2">
        <f>IFERROR(__xludf.DUMMYFUNCTION("""COMPUTED_VALUE"""),228.6)</f>
        <v>228.6</v>
      </c>
      <c r="E2656" s="2">
        <f>IFERROR(__xludf.DUMMYFUNCTION("""COMPUTED_VALUE"""),233.42)</f>
        <v>233.42</v>
      </c>
      <c r="F2656" s="2">
        <f>IFERROR(__xludf.DUMMYFUNCTION("""COMPUTED_VALUE"""),1634873.0)</f>
        <v>1634873</v>
      </c>
    </row>
    <row r="2657">
      <c r="A2657" s="3">
        <f>IFERROR(__xludf.DUMMYFUNCTION("""COMPUTED_VALUE"""),40436.645833333336)</f>
        <v>40436.64583</v>
      </c>
      <c r="B2657" s="2">
        <f>IFERROR(__xludf.DUMMYFUNCTION("""COMPUTED_VALUE"""),233.9)</f>
        <v>233.9</v>
      </c>
      <c r="C2657" s="2">
        <f>IFERROR(__xludf.DUMMYFUNCTION("""COMPUTED_VALUE"""),238.4)</f>
        <v>238.4</v>
      </c>
      <c r="D2657" s="2">
        <f>IFERROR(__xludf.DUMMYFUNCTION("""COMPUTED_VALUE"""),233.61)</f>
        <v>233.61</v>
      </c>
      <c r="E2657" s="2">
        <f>IFERROR(__xludf.DUMMYFUNCTION("""COMPUTED_VALUE"""),237.55)</f>
        <v>237.55</v>
      </c>
      <c r="F2657" s="2">
        <f>IFERROR(__xludf.DUMMYFUNCTION("""COMPUTED_VALUE"""),1275158.0)</f>
        <v>1275158</v>
      </c>
    </row>
    <row r="2658">
      <c r="A2658" s="3">
        <f>IFERROR(__xludf.DUMMYFUNCTION("""COMPUTED_VALUE"""),40437.645833333336)</f>
        <v>40437.64583</v>
      </c>
      <c r="B2658" s="2">
        <f>IFERROR(__xludf.DUMMYFUNCTION("""COMPUTED_VALUE"""),237.57)</f>
        <v>237.57</v>
      </c>
      <c r="C2658" s="2">
        <f>IFERROR(__xludf.DUMMYFUNCTION("""COMPUTED_VALUE"""),241.5)</f>
        <v>241.5</v>
      </c>
      <c r="D2658" s="2">
        <f>IFERROR(__xludf.DUMMYFUNCTION("""COMPUTED_VALUE"""),235.54)</f>
        <v>235.54</v>
      </c>
      <c r="E2658" s="2">
        <f>IFERROR(__xludf.DUMMYFUNCTION("""COMPUTED_VALUE"""),239.53)</f>
        <v>239.53</v>
      </c>
      <c r="F2658" s="2">
        <f>IFERROR(__xludf.DUMMYFUNCTION("""COMPUTED_VALUE"""),1276739.0)</f>
        <v>1276739</v>
      </c>
    </row>
    <row r="2659">
      <c r="A2659" s="3">
        <f>IFERROR(__xludf.DUMMYFUNCTION("""COMPUTED_VALUE"""),40438.645833333336)</f>
        <v>40438.64583</v>
      </c>
      <c r="B2659" s="2">
        <f>IFERROR(__xludf.DUMMYFUNCTION("""COMPUTED_VALUE"""),239.53)</f>
        <v>239.53</v>
      </c>
      <c r="C2659" s="2">
        <f>IFERROR(__xludf.DUMMYFUNCTION("""COMPUTED_VALUE"""),242.6)</f>
        <v>242.6</v>
      </c>
      <c r="D2659" s="2">
        <f>IFERROR(__xludf.DUMMYFUNCTION("""COMPUTED_VALUE"""),238.7)</f>
        <v>238.7</v>
      </c>
      <c r="E2659" s="2">
        <f>IFERROR(__xludf.DUMMYFUNCTION("""COMPUTED_VALUE"""),240.06)</f>
        <v>240.06</v>
      </c>
      <c r="F2659" s="2">
        <f>IFERROR(__xludf.DUMMYFUNCTION("""COMPUTED_VALUE"""),1075157.0)</f>
        <v>1075157</v>
      </c>
    </row>
    <row r="2660">
      <c r="A2660" s="3">
        <f>IFERROR(__xludf.DUMMYFUNCTION("""COMPUTED_VALUE"""),40441.645833333336)</f>
        <v>40441.64583</v>
      </c>
      <c r="B2660" s="2">
        <f>IFERROR(__xludf.DUMMYFUNCTION("""COMPUTED_VALUE"""),240.32)</f>
        <v>240.32</v>
      </c>
      <c r="C2660" s="2">
        <f>IFERROR(__xludf.DUMMYFUNCTION("""COMPUTED_VALUE"""),247.0)</f>
        <v>247</v>
      </c>
      <c r="D2660" s="2">
        <f>IFERROR(__xludf.DUMMYFUNCTION("""COMPUTED_VALUE"""),239.63)</f>
        <v>239.63</v>
      </c>
      <c r="E2660" s="2">
        <f>IFERROR(__xludf.DUMMYFUNCTION("""COMPUTED_VALUE"""),244.62)</f>
        <v>244.62</v>
      </c>
      <c r="F2660" s="2">
        <f>IFERROR(__xludf.DUMMYFUNCTION("""COMPUTED_VALUE"""),754773.0)</f>
        <v>754773</v>
      </c>
    </row>
    <row r="2661">
      <c r="A2661" s="3">
        <f>IFERROR(__xludf.DUMMYFUNCTION("""COMPUTED_VALUE"""),40442.645833333336)</f>
        <v>40442.64583</v>
      </c>
      <c r="B2661" s="2">
        <f>IFERROR(__xludf.DUMMYFUNCTION("""COMPUTED_VALUE"""),245.51)</f>
        <v>245.51</v>
      </c>
      <c r="C2661" s="2">
        <f>IFERROR(__xludf.DUMMYFUNCTION("""COMPUTED_VALUE"""),249.46)</f>
        <v>249.46</v>
      </c>
      <c r="D2661" s="2">
        <f>IFERROR(__xludf.DUMMYFUNCTION("""COMPUTED_VALUE"""),245.51)</f>
        <v>245.51</v>
      </c>
      <c r="E2661" s="2">
        <f>IFERROR(__xludf.DUMMYFUNCTION("""COMPUTED_VALUE"""),247.08)</f>
        <v>247.08</v>
      </c>
      <c r="F2661" s="2">
        <f>IFERROR(__xludf.DUMMYFUNCTION("""COMPUTED_VALUE"""),1635539.0)</f>
        <v>1635539</v>
      </c>
    </row>
    <row r="2662">
      <c r="A2662" s="3">
        <f>IFERROR(__xludf.DUMMYFUNCTION("""COMPUTED_VALUE"""),40443.645833333336)</f>
        <v>40443.64583</v>
      </c>
      <c r="B2662" s="2">
        <f>IFERROR(__xludf.DUMMYFUNCTION("""COMPUTED_VALUE"""),247.0)</f>
        <v>247</v>
      </c>
      <c r="C2662" s="2">
        <f>IFERROR(__xludf.DUMMYFUNCTION("""COMPUTED_VALUE"""),249.0)</f>
        <v>249</v>
      </c>
      <c r="D2662" s="2">
        <f>IFERROR(__xludf.DUMMYFUNCTION("""COMPUTED_VALUE"""),245.03)</f>
        <v>245.03</v>
      </c>
      <c r="E2662" s="2">
        <f>IFERROR(__xludf.DUMMYFUNCTION("""COMPUTED_VALUE"""),248.16)</f>
        <v>248.16</v>
      </c>
      <c r="F2662" s="2">
        <f>IFERROR(__xludf.DUMMYFUNCTION("""COMPUTED_VALUE"""),1252451.0)</f>
        <v>1252451</v>
      </c>
    </row>
    <row r="2663">
      <c r="A2663" s="3">
        <f>IFERROR(__xludf.DUMMYFUNCTION("""COMPUTED_VALUE"""),40444.645833333336)</f>
        <v>40444.64583</v>
      </c>
      <c r="B2663" s="2">
        <f>IFERROR(__xludf.DUMMYFUNCTION("""COMPUTED_VALUE"""),247.16)</f>
        <v>247.16</v>
      </c>
      <c r="C2663" s="2">
        <f>IFERROR(__xludf.DUMMYFUNCTION("""COMPUTED_VALUE"""),248.19)</f>
        <v>248.19</v>
      </c>
      <c r="D2663" s="2">
        <f>IFERROR(__xludf.DUMMYFUNCTION("""COMPUTED_VALUE"""),245.31)</f>
        <v>245.31</v>
      </c>
      <c r="E2663" s="2">
        <f>IFERROR(__xludf.DUMMYFUNCTION("""COMPUTED_VALUE"""),246.39)</f>
        <v>246.39</v>
      </c>
      <c r="F2663" s="2">
        <f>IFERROR(__xludf.DUMMYFUNCTION("""COMPUTED_VALUE"""),619017.0)</f>
        <v>619017</v>
      </c>
    </row>
    <row r="2664">
      <c r="A2664" s="3">
        <f>IFERROR(__xludf.DUMMYFUNCTION("""COMPUTED_VALUE"""),40445.645833333336)</f>
        <v>40445.64583</v>
      </c>
      <c r="B2664" s="2">
        <f>IFERROR(__xludf.DUMMYFUNCTION("""COMPUTED_VALUE"""),240.81)</f>
        <v>240.81</v>
      </c>
      <c r="C2664" s="2">
        <f>IFERROR(__xludf.DUMMYFUNCTION("""COMPUTED_VALUE"""),250.2)</f>
        <v>250.2</v>
      </c>
      <c r="D2664" s="2">
        <f>IFERROR(__xludf.DUMMYFUNCTION("""COMPUTED_VALUE"""),240.81)</f>
        <v>240.81</v>
      </c>
      <c r="E2664" s="2">
        <f>IFERROR(__xludf.DUMMYFUNCTION("""COMPUTED_VALUE"""),249.53)</f>
        <v>249.53</v>
      </c>
      <c r="F2664" s="2">
        <f>IFERROR(__xludf.DUMMYFUNCTION("""COMPUTED_VALUE"""),1395531.0)</f>
        <v>1395531</v>
      </c>
    </row>
    <row r="2665">
      <c r="A2665" s="3">
        <f>IFERROR(__xludf.DUMMYFUNCTION("""COMPUTED_VALUE"""),40448.645833333336)</f>
        <v>40448.64583</v>
      </c>
      <c r="B2665" s="2">
        <f>IFERROR(__xludf.DUMMYFUNCTION("""COMPUTED_VALUE"""),250.0)</f>
        <v>250</v>
      </c>
      <c r="C2665" s="2">
        <f>IFERROR(__xludf.DUMMYFUNCTION("""COMPUTED_VALUE"""),251.08)</f>
        <v>251.08</v>
      </c>
      <c r="D2665" s="2">
        <f>IFERROR(__xludf.DUMMYFUNCTION("""COMPUTED_VALUE"""),243.37)</f>
        <v>243.37</v>
      </c>
      <c r="E2665" s="2">
        <f>IFERROR(__xludf.DUMMYFUNCTION("""COMPUTED_VALUE"""),243.85)</f>
        <v>243.85</v>
      </c>
      <c r="F2665" s="2">
        <f>IFERROR(__xludf.DUMMYFUNCTION("""COMPUTED_VALUE"""),833872.0)</f>
        <v>833872</v>
      </c>
    </row>
    <row r="2666">
      <c r="A2666" s="3">
        <f>IFERROR(__xludf.DUMMYFUNCTION("""COMPUTED_VALUE"""),40449.645833333336)</f>
        <v>40449.64583</v>
      </c>
      <c r="B2666" s="2">
        <f>IFERROR(__xludf.DUMMYFUNCTION("""COMPUTED_VALUE"""),243.8)</f>
        <v>243.8</v>
      </c>
      <c r="C2666" s="2">
        <f>IFERROR(__xludf.DUMMYFUNCTION("""COMPUTED_VALUE"""),246.17)</f>
        <v>246.17</v>
      </c>
      <c r="D2666" s="2">
        <f>IFERROR(__xludf.DUMMYFUNCTION("""COMPUTED_VALUE"""),242.14)</f>
        <v>242.14</v>
      </c>
      <c r="E2666" s="2">
        <f>IFERROR(__xludf.DUMMYFUNCTION("""COMPUTED_VALUE"""),245.04)</f>
        <v>245.04</v>
      </c>
      <c r="F2666" s="2">
        <f>IFERROR(__xludf.DUMMYFUNCTION("""COMPUTED_VALUE"""),943211.0)</f>
        <v>943211</v>
      </c>
    </row>
    <row r="2667">
      <c r="A2667" s="3">
        <f>IFERROR(__xludf.DUMMYFUNCTION("""COMPUTED_VALUE"""),40450.645833333336)</f>
        <v>40450.64583</v>
      </c>
      <c r="B2667" s="2">
        <f>IFERROR(__xludf.DUMMYFUNCTION("""COMPUTED_VALUE"""),247.4)</f>
        <v>247.4</v>
      </c>
      <c r="C2667" s="2">
        <f>IFERROR(__xludf.DUMMYFUNCTION("""COMPUTED_VALUE"""),247.4)</f>
        <v>247.4</v>
      </c>
      <c r="D2667" s="2">
        <f>IFERROR(__xludf.DUMMYFUNCTION("""COMPUTED_VALUE"""),242.62)</f>
        <v>242.62</v>
      </c>
      <c r="E2667" s="2">
        <f>IFERROR(__xludf.DUMMYFUNCTION("""COMPUTED_VALUE"""),244.29)</f>
        <v>244.29</v>
      </c>
      <c r="F2667" s="2">
        <f>IFERROR(__xludf.DUMMYFUNCTION("""COMPUTED_VALUE"""),779786.0)</f>
        <v>779786</v>
      </c>
    </row>
    <row r="2668">
      <c r="A2668" s="3">
        <f>IFERROR(__xludf.DUMMYFUNCTION("""COMPUTED_VALUE"""),40451.645833333336)</f>
        <v>40451.64583</v>
      </c>
      <c r="B2668" s="2">
        <f>IFERROR(__xludf.DUMMYFUNCTION("""COMPUTED_VALUE"""),243.0)</f>
        <v>243</v>
      </c>
      <c r="C2668" s="2">
        <f>IFERROR(__xludf.DUMMYFUNCTION("""COMPUTED_VALUE"""),249.9)</f>
        <v>249.9</v>
      </c>
      <c r="D2668" s="2">
        <f>IFERROR(__xludf.DUMMYFUNCTION("""COMPUTED_VALUE"""),242.67)</f>
        <v>242.67</v>
      </c>
      <c r="E2668" s="2">
        <f>IFERROR(__xludf.DUMMYFUNCTION("""COMPUTED_VALUE"""),248.94)</f>
        <v>248.94</v>
      </c>
      <c r="F2668" s="2">
        <f>IFERROR(__xludf.DUMMYFUNCTION("""COMPUTED_VALUE"""),1847989.0)</f>
        <v>1847989</v>
      </c>
    </row>
    <row r="2669">
      <c r="A2669" s="3">
        <f>IFERROR(__xludf.DUMMYFUNCTION("""COMPUTED_VALUE"""),40452.645833333336)</f>
        <v>40452.64583</v>
      </c>
      <c r="B2669" s="2">
        <f>IFERROR(__xludf.DUMMYFUNCTION("""COMPUTED_VALUE"""),249.2)</f>
        <v>249.2</v>
      </c>
      <c r="C2669" s="2">
        <f>IFERROR(__xludf.DUMMYFUNCTION("""COMPUTED_VALUE"""),250.4)</f>
        <v>250.4</v>
      </c>
      <c r="D2669" s="2">
        <f>IFERROR(__xludf.DUMMYFUNCTION("""COMPUTED_VALUE"""),246.24)</f>
        <v>246.24</v>
      </c>
      <c r="E2669" s="2">
        <f>IFERROR(__xludf.DUMMYFUNCTION("""COMPUTED_VALUE"""),250.08)</f>
        <v>250.08</v>
      </c>
      <c r="F2669" s="2">
        <f>IFERROR(__xludf.DUMMYFUNCTION("""COMPUTED_VALUE"""),886513.0)</f>
        <v>886513</v>
      </c>
    </row>
    <row r="2670">
      <c r="A2670" s="3">
        <f>IFERROR(__xludf.DUMMYFUNCTION("""COMPUTED_VALUE"""),40455.645833333336)</f>
        <v>40455.64583</v>
      </c>
      <c r="B2670" s="2">
        <f>IFERROR(__xludf.DUMMYFUNCTION("""COMPUTED_VALUE"""),250.08)</f>
        <v>250.08</v>
      </c>
      <c r="C2670" s="2">
        <f>IFERROR(__xludf.DUMMYFUNCTION("""COMPUTED_VALUE"""),252.26)</f>
        <v>252.26</v>
      </c>
      <c r="D2670" s="2">
        <f>IFERROR(__xludf.DUMMYFUNCTION("""COMPUTED_VALUE"""),248.32)</f>
        <v>248.32</v>
      </c>
      <c r="E2670" s="2">
        <f>IFERROR(__xludf.DUMMYFUNCTION("""COMPUTED_VALUE"""),249.4)</f>
        <v>249.4</v>
      </c>
      <c r="F2670" s="2">
        <f>IFERROR(__xludf.DUMMYFUNCTION("""COMPUTED_VALUE"""),699023.0)</f>
        <v>699023</v>
      </c>
    </row>
    <row r="2671">
      <c r="A2671" s="3">
        <f>IFERROR(__xludf.DUMMYFUNCTION("""COMPUTED_VALUE"""),40456.645833333336)</f>
        <v>40456.64583</v>
      </c>
      <c r="B2671" s="2">
        <f>IFERROR(__xludf.DUMMYFUNCTION("""COMPUTED_VALUE"""),248.14)</f>
        <v>248.14</v>
      </c>
      <c r="C2671" s="2">
        <f>IFERROR(__xludf.DUMMYFUNCTION("""COMPUTED_VALUE"""),250.97)</f>
        <v>250.97</v>
      </c>
      <c r="D2671" s="2">
        <f>IFERROR(__xludf.DUMMYFUNCTION("""COMPUTED_VALUE"""),243.75)</f>
        <v>243.75</v>
      </c>
      <c r="E2671" s="2">
        <f>IFERROR(__xludf.DUMMYFUNCTION("""COMPUTED_VALUE"""),244.78)</f>
        <v>244.78</v>
      </c>
      <c r="F2671" s="2">
        <f>IFERROR(__xludf.DUMMYFUNCTION("""COMPUTED_VALUE"""),859833.0)</f>
        <v>859833</v>
      </c>
    </row>
    <row r="2672">
      <c r="A2672" s="3">
        <f>IFERROR(__xludf.DUMMYFUNCTION("""COMPUTED_VALUE"""),40457.645833333336)</f>
        <v>40457.64583</v>
      </c>
      <c r="B2672" s="2">
        <f>IFERROR(__xludf.DUMMYFUNCTION("""COMPUTED_VALUE"""),245.5)</f>
        <v>245.5</v>
      </c>
      <c r="C2672" s="2">
        <f>IFERROR(__xludf.DUMMYFUNCTION("""COMPUTED_VALUE"""),248.0)</f>
        <v>248</v>
      </c>
      <c r="D2672" s="2">
        <f>IFERROR(__xludf.DUMMYFUNCTION("""COMPUTED_VALUE"""),245.0)</f>
        <v>245</v>
      </c>
      <c r="E2672" s="2">
        <f>IFERROR(__xludf.DUMMYFUNCTION("""COMPUTED_VALUE"""),245.68)</f>
        <v>245.68</v>
      </c>
      <c r="F2672" s="2">
        <f>IFERROR(__xludf.DUMMYFUNCTION("""COMPUTED_VALUE"""),410994.0)</f>
        <v>410994</v>
      </c>
    </row>
    <row r="2673">
      <c r="A2673" s="3">
        <f>IFERROR(__xludf.DUMMYFUNCTION("""COMPUTED_VALUE"""),40458.645833333336)</f>
        <v>40458.64583</v>
      </c>
      <c r="B2673" s="2">
        <f>IFERROR(__xludf.DUMMYFUNCTION("""COMPUTED_VALUE"""),245.7)</f>
        <v>245.7</v>
      </c>
      <c r="C2673" s="2">
        <f>IFERROR(__xludf.DUMMYFUNCTION("""COMPUTED_VALUE"""),247.0)</f>
        <v>247</v>
      </c>
      <c r="D2673" s="2">
        <f>IFERROR(__xludf.DUMMYFUNCTION("""COMPUTED_VALUE"""),242.66)</f>
        <v>242.66</v>
      </c>
      <c r="E2673" s="2">
        <f>IFERROR(__xludf.DUMMYFUNCTION("""COMPUTED_VALUE"""),243.36)</f>
        <v>243.36</v>
      </c>
      <c r="F2673" s="2">
        <f>IFERROR(__xludf.DUMMYFUNCTION("""COMPUTED_VALUE"""),450642.0)</f>
        <v>450642</v>
      </c>
    </row>
    <row r="2674">
      <c r="A2674" s="3">
        <f>IFERROR(__xludf.DUMMYFUNCTION("""COMPUTED_VALUE"""),40459.645833333336)</f>
        <v>40459.64583</v>
      </c>
      <c r="B2674" s="2">
        <f>IFERROR(__xludf.DUMMYFUNCTION("""COMPUTED_VALUE"""),243.51)</f>
        <v>243.51</v>
      </c>
      <c r="C2674" s="2">
        <f>IFERROR(__xludf.DUMMYFUNCTION("""COMPUTED_VALUE"""),244.8)</f>
        <v>244.8</v>
      </c>
      <c r="D2674" s="2">
        <f>IFERROR(__xludf.DUMMYFUNCTION("""COMPUTED_VALUE"""),239.0)</f>
        <v>239</v>
      </c>
      <c r="E2674" s="2">
        <f>IFERROR(__xludf.DUMMYFUNCTION("""COMPUTED_VALUE"""),240.58)</f>
        <v>240.58</v>
      </c>
      <c r="F2674" s="2">
        <f>IFERROR(__xludf.DUMMYFUNCTION("""COMPUTED_VALUE"""),745343.0)</f>
        <v>745343</v>
      </c>
    </row>
    <row r="2675">
      <c r="A2675" s="3">
        <f>IFERROR(__xludf.DUMMYFUNCTION("""COMPUTED_VALUE"""),40462.645833333336)</f>
        <v>40462.64583</v>
      </c>
      <c r="B2675" s="2">
        <f>IFERROR(__xludf.DUMMYFUNCTION("""COMPUTED_VALUE"""),244.08)</f>
        <v>244.08</v>
      </c>
      <c r="C2675" s="2">
        <f>IFERROR(__xludf.DUMMYFUNCTION("""COMPUTED_VALUE"""),244.08)</f>
        <v>244.08</v>
      </c>
      <c r="D2675" s="2">
        <f>IFERROR(__xludf.DUMMYFUNCTION("""COMPUTED_VALUE"""),236.66)</f>
        <v>236.66</v>
      </c>
      <c r="E2675" s="2">
        <f>IFERROR(__xludf.DUMMYFUNCTION("""COMPUTED_VALUE"""),238.85)</f>
        <v>238.85</v>
      </c>
      <c r="F2675" s="2">
        <f>IFERROR(__xludf.DUMMYFUNCTION("""COMPUTED_VALUE"""),991002.0)</f>
        <v>991002</v>
      </c>
    </row>
    <row r="2676">
      <c r="A2676" s="3">
        <f>IFERROR(__xludf.DUMMYFUNCTION("""COMPUTED_VALUE"""),40463.645833333336)</f>
        <v>40463.64583</v>
      </c>
      <c r="B2676" s="2">
        <f>IFERROR(__xludf.DUMMYFUNCTION("""COMPUTED_VALUE"""),239.81)</f>
        <v>239.81</v>
      </c>
      <c r="C2676" s="2">
        <f>IFERROR(__xludf.DUMMYFUNCTION("""COMPUTED_VALUE"""),240.0)</f>
        <v>240</v>
      </c>
      <c r="D2676" s="2">
        <f>IFERROR(__xludf.DUMMYFUNCTION("""COMPUTED_VALUE"""),233.96)</f>
        <v>233.96</v>
      </c>
      <c r="E2676" s="2">
        <f>IFERROR(__xludf.DUMMYFUNCTION("""COMPUTED_VALUE"""),238.03)</f>
        <v>238.03</v>
      </c>
      <c r="F2676" s="2">
        <f>IFERROR(__xludf.DUMMYFUNCTION("""COMPUTED_VALUE"""),780990.0)</f>
        <v>780990</v>
      </c>
    </row>
    <row r="2677">
      <c r="A2677" s="3">
        <f>IFERROR(__xludf.DUMMYFUNCTION("""COMPUTED_VALUE"""),40464.645833333336)</f>
        <v>40464.64583</v>
      </c>
      <c r="B2677" s="2">
        <f>IFERROR(__xludf.DUMMYFUNCTION("""COMPUTED_VALUE"""),238.5)</f>
        <v>238.5</v>
      </c>
      <c r="C2677" s="2">
        <f>IFERROR(__xludf.DUMMYFUNCTION("""COMPUTED_VALUE"""),245.0)</f>
        <v>245</v>
      </c>
      <c r="D2677" s="2">
        <f>IFERROR(__xludf.DUMMYFUNCTION("""COMPUTED_VALUE"""),236.7)</f>
        <v>236.7</v>
      </c>
      <c r="E2677" s="2">
        <f>IFERROR(__xludf.DUMMYFUNCTION("""COMPUTED_VALUE"""),244.13)</f>
        <v>244.13</v>
      </c>
      <c r="F2677" s="2">
        <f>IFERROR(__xludf.DUMMYFUNCTION("""COMPUTED_VALUE"""),1028670.0)</f>
        <v>1028670</v>
      </c>
    </row>
    <row r="2678">
      <c r="A2678" s="3">
        <f>IFERROR(__xludf.DUMMYFUNCTION("""COMPUTED_VALUE"""),40465.645833333336)</f>
        <v>40465.64583</v>
      </c>
      <c r="B2678" s="2">
        <f>IFERROR(__xludf.DUMMYFUNCTION("""COMPUTED_VALUE"""),244.5)</f>
        <v>244.5</v>
      </c>
      <c r="C2678" s="2">
        <f>IFERROR(__xludf.DUMMYFUNCTION("""COMPUTED_VALUE"""),245.6)</f>
        <v>245.6</v>
      </c>
      <c r="D2678" s="2">
        <f>IFERROR(__xludf.DUMMYFUNCTION("""COMPUTED_VALUE"""),241.01)</f>
        <v>241.01</v>
      </c>
      <c r="E2678" s="2">
        <f>IFERROR(__xludf.DUMMYFUNCTION("""COMPUTED_VALUE"""),242.44)</f>
        <v>242.44</v>
      </c>
      <c r="F2678" s="2">
        <f>IFERROR(__xludf.DUMMYFUNCTION("""COMPUTED_VALUE"""),385363.0)</f>
        <v>385363</v>
      </c>
    </row>
    <row r="2679">
      <c r="A2679" s="3">
        <f>IFERROR(__xludf.DUMMYFUNCTION("""COMPUTED_VALUE"""),40466.645833333336)</f>
        <v>40466.64583</v>
      </c>
      <c r="B2679" s="2">
        <f>IFERROR(__xludf.DUMMYFUNCTION("""COMPUTED_VALUE"""),242.44)</f>
        <v>242.44</v>
      </c>
      <c r="C2679" s="2">
        <f>IFERROR(__xludf.DUMMYFUNCTION("""COMPUTED_VALUE"""),244.28)</f>
        <v>244.28</v>
      </c>
      <c r="D2679" s="2">
        <f>IFERROR(__xludf.DUMMYFUNCTION("""COMPUTED_VALUE"""),238.0)</f>
        <v>238</v>
      </c>
      <c r="E2679" s="2">
        <f>IFERROR(__xludf.DUMMYFUNCTION("""COMPUTED_VALUE"""),238.63)</f>
        <v>238.63</v>
      </c>
      <c r="F2679" s="2">
        <f>IFERROR(__xludf.DUMMYFUNCTION("""COMPUTED_VALUE"""),586327.0)</f>
        <v>586327</v>
      </c>
    </row>
    <row r="2680">
      <c r="A2680" s="3">
        <f>IFERROR(__xludf.DUMMYFUNCTION("""COMPUTED_VALUE"""),40469.645833333336)</f>
        <v>40469.64583</v>
      </c>
      <c r="B2680" s="2">
        <f>IFERROR(__xludf.DUMMYFUNCTION("""COMPUTED_VALUE"""),253.99)</f>
        <v>253.99</v>
      </c>
      <c r="C2680" s="2">
        <f>IFERROR(__xludf.DUMMYFUNCTION("""COMPUTED_VALUE"""),253.99)</f>
        <v>253.99</v>
      </c>
      <c r="D2680" s="2">
        <f>IFERROR(__xludf.DUMMYFUNCTION("""COMPUTED_VALUE"""),235.3)</f>
        <v>235.3</v>
      </c>
      <c r="E2680" s="2">
        <f>IFERROR(__xludf.DUMMYFUNCTION("""COMPUTED_VALUE"""),239.85)</f>
        <v>239.85</v>
      </c>
      <c r="F2680" s="2">
        <f>IFERROR(__xludf.DUMMYFUNCTION("""COMPUTED_VALUE"""),827510.0)</f>
        <v>827510</v>
      </c>
    </row>
    <row r="2681">
      <c r="A2681" s="3">
        <f>IFERROR(__xludf.DUMMYFUNCTION("""COMPUTED_VALUE"""),40470.645833333336)</f>
        <v>40470.64583</v>
      </c>
      <c r="B2681" s="2">
        <f>IFERROR(__xludf.DUMMYFUNCTION("""COMPUTED_VALUE"""),242.3)</f>
        <v>242.3</v>
      </c>
      <c r="C2681" s="2">
        <f>IFERROR(__xludf.DUMMYFUNCTION("""COMPUTED_VALUE"""),242.3)</f>
        <v>242.3</v>
      </c>
      <c r="D2681" s="2">
        <f>IFERROR(__xludf.DUMMYFUNCTION("""COMPUTED_VALUE"""),235.86)</f>
        <v>235.86</v>
      </c>
      <c r="E2681" s="2">
        <f>IFERROR(__xludf.DUMMYFUNCTION("""COMPUTED_VALUE"""),236.89)</f>
        <v>236.89</v>
      </c>
      <c r="F2681" s="2">
        <f>IFERROR(__xludf.DUMMYFUNCTION("""COMPUTED_VALUE"""),832452.0)</f>
        <v>832452</v>
      </c>
    </row>
    <row r="2682">
      <c r="A2682" s="3">
        <f>IFERROR(__xludf.DUMMYFUNCTION("""COMPUTED_VALUE"""),40471.645833333336)</f>
        <v>40471.64583</v>
      </c>
      <c r="B2682" s="2">
        <f>IFERROR(__xludf.DUMMYFUNCTION("""COMPUTED_VALUE"""),236.9)</f>
        <v>236.9</v>
      </c>
      <c r="C2682" s="2">
        <f>IFERROR(__xludf.DUMMYFUNCTION("""COMPUTED_VALUE"""),237.2)</f>
        <v>237.2</v>
      </c>
      <c r="D2682" s="2">
        <f>IFERROR(__xludf.DUMMYFUNCTION("""COMPUTED_VALUE"""),232.81)</f>
        <v>232.81</v>
      </c>
      <c r="E2682" s="2">
        <f>IFERROR(__xludf.DUMMYFUNCTION("""COMPUTED_VALUE"""),233.56)</f>
        <v>233.56</v>
      </c>
      <c r="F2682" s="2">
        <f>IFERROR(__xludf.DUMMYFUNCTION("""COMPUTED_VALUE"""),493023.0)</f>
        <v>493023</v>
      </c>
    </row>
    <row r="2683">
      <c r="A2683" s="3">
        <f>IFERROR(__xludf.DUMMYFUNCTION("""COMPUTED_VALUE"""),40472.645833333336)</f>
        <v>40472.64583</v>
      </c>
      <c r="B2683" s="2">
        <f>IFERROR(__xludf.DUMMYFUNCTION("""COMPUTED_VALUE"""),233.01)</f>
        <v>233.01</v>
      </c>
      <c r="C2683" s="2">
        <f>IFERROR(__xludf.DUMMYFUNCTION("""COMPUTED_VALUE"""),237.48)</f>
        <v>237.48</v>
      </c>
      <c r="D2683" s="2">
        <f>IFERROR(__xludf.DUMMYFUNCTION("""COMPUTED_VALUE"""),231.66)</f>
        <v>231.66</v>
      </c>
      <c r="E2683" s="2">
        <f>IFERROR(__xludf.DUMMYFUNCTION("""COMPUTED_VALUE"""),236.51)</f>
        <v>236.51</v>
      </c>
      <c r="F2683" s="2">
        <f>IFERROR(__xludf.DUMMYFUNCTION("""COMPUTED_VALUE"""),729753.0)</f>
        <v>729753</v>
      </c>
    </row>
    <row r="2684">
      <c r="A2684" s="3">
        <f>IFERROR(__xludf.DUMMYFUNCTION("""COMPUTED_VALUE"""),40473.645833333336)</f>
        <v>40473.64583</v>
      </c>
      <c r="B2684" s="2">
        <f>IFERROR(__xludf.DUMMYFUNCTION("""COMPUTED_VALUE"""),238.0)</f>
        <v>238</v>
      </c>
      <c r="C2684" s="2">
        <f>IFERROR(__xludf.DUMMYFUNCTION("""COMPUTED_VALUE"""),238.0)</f>
        <v>238</v>
      </c>
      <c r="D2684" s="2">
        <f>IFERROR(__xludf.DUMMYFUNCTION("""COMPUTED_VALUE"""),231.85)</f>
        <v>231.85</v>
      </c>
      <c r="E2684" s="2">
        <f>IFERROR(__xludf.DUMMYFUNCTION("""COMPUTED_VALUE"""),232.66)</f>
        <v>232.66</v>
      </c>
      <c r="F2684" s="2">
        <f>IFERROR(__xludf.DUMMYFUNCTION("""COMPUTED_VALUE"""),647519.0)</f>
        <v>647519</v>
      </c>
    </row>
    <row r="2685">
      <c r="A2685" s="3">
        <f>IFERROR(__xludf.DUMMYFUNCTION("""COMPUTED_VALUE"""),40476.645833333336)</f>
        <v>40476.64583</v>
      </c>
      <c r="B2685" s="2">
        <f>IFERROR(__xludf.DUMMYFUNCTION("""COMPUTED_VALUE"""),233.6)</f>
        <v>233.6</v>
      </c>
      <c r="C2685" s="2">
        <f>IFERROR(__xludf.DUMMYFUNCTION("""COMPUTED_VALUE"""),236.75)</f>
        <v>236.75</v>
      </c>
      <c r="D2685" s="2">
        <f>IFERROR(__xludf.DUMMYFUNCTION("""COMPUTED_VALUE"""),229.9)</f>
        <v>229.9</v>
      </c>
      <c r="E2685" s="2">
        <f>IFERROR(__xludf.DUMMYFUNCTION("""COMPUTED_VALUE"""),230.47)</f>
        <v>230.47</v>
      </c>
      <c r="F2685" s="2">
        <f>IFERROR(__xludf.DUMMYFUNCTION("""COMPUTED_VALUE"""),862979.0)</f>
        <v>862979</v>
      </c>
    </row>
    <row r="2686">
      <c r="A2686" s="3">
        <f>IFERROR(__xludf.DUMMYFUNCTION("""COMPUTED_VALUE"""),40477.645833333336)</f>
        <v>40477.64583</v>
      </c>
      <c r="B2686" s="2">
        <f>IFERROR(__xludf.DUMMYFUNCTION("""COMPUTED_VALUE"""),230.8)</f>
        <v>230.8</v>
      </c>
      <c r="C2686" s="2">
        <f>IFERROR(__xludf.DUMMYFUNCTION("""COMPUTED_VALUE"""),232.6)</f>
        <v>232.6</v>
      </c>
      <c r="D2686" s="2">
        <f>IFERROR(__xludf.DUMMYFUNCTION("""COMPUTED_VALUE"""),229.1)</f>
        <v>229.1</v>
      </c>
      <c r="E2686" s="2">
        <f>IFERROR(__xludf.DUMMYFUNCTION("""COMPUTED_VALUE"""),230.14)</f>
        <v>230.14</v>
      </c>
      <c r="F2686" s="2">
        <f>IFERROR(__xludf.DUMMYFUNCTION("""COMPUTED_VALUE"""),506972.0)</f>
        <v>506972</v>
      </c>
    </row>
    <row r="2687">
      <c r="A2687" s="3">
        <f>IFERROR(__xludf.DUMMYFUNCTION("""COMPUTED_VALUE"""),40478.645833333336)</f>
        <v>40478.64583</v>
      </c>
      <c r="B2687" s="2">
        <f>IFERROR(__xludf.DUMMYFUNCTION("""COMPUTED_VALUE"""),230.6)</f>
        <v>230.6</v>
      </c>
      <c r="C2687" s="2">
        <f>IFERROR(__xludf.DUMMYFUNCTION("""COMPUTED_VALUE"""),230.6)</f>
        <v>230.6</v>
      </c>
      <c r="D2687" s="2">
        <f>IFERROR(__xludf.DUMMYFUNCTION("""COMPUTED_VALUE"""),224.04)</f>
        <v>224.04</v>
      </c>
      <c r="E2687" s="2">
        <f>IFERROR(__xludf.DUMMYFUNCTION("""COMPUTED_VALUE"""),225.43)</f>
        <v>225.43</v>
      </c>
      <c r="F2687" s="2">
        <f>IFERROR(__xludf.DUMMYFUNCTION("""COMPUTED_VALUE"""),822033.0)</f>
        <v>822033</v>
      </c>
    </row>
    <row r="2688">
      <c r="A2688" s="3">
        <f>IFERROR(__xludf.DUMMYFUNCTION("""COMPUTED_VALUE"""),40479.645833333336)</f>
        <v>40479.64583</v>
      </c>
      <c r="B2688" s="2">
        <f>IFERROR(__xludf.DUMMYFUNCTION("""COMPUTED_VALUE"""),225.65)</f>
        <v>225.65</v>
      </c>
      <c r="C2688" s="2">
        <f>IFERROR(__xludf.DUMMYFUNCTION("""COMPUTED_VALUE"""),231.59)</f>
        <v>231.59</v>
      </c>
      <c r="D2688" s="2">
        <f>IFERROR(__xludf.DUMMYFUNCTION("""COMPUTED_VALUE"""),224.1)</f>
        <v>224.1</v>
      </c>
      <c r="E2688" s="2">
        <f>IFERROR(__xludf.DUMMYFUNCTION("""COMPUTED_VALUE"""),226.67)</f>
        <v>226.67</v>
      </c>
      <c r="F2688" s="2">
        <f>IFERROR(__xludf.DUMMYFUNCTION("""COMPUTED_VALUE"""),2106923.0)</f>
        <v>2106923</v>
      </c>
    </row>
    <row r="2689">
      <c r="A2689" s="3">
        <f>IFERROR(__xludf.DUMMYFUNCTION("""COMPUTED_VALUE"""),40480.645833333336)</f>
        <v>40480.64583</v>
      </c>
      <c r="B2689" s="2">
        <f>IFERROR(__xludf.DUMMYFUNCTION("""COMPUTED_VALUE"""),228.0)</f>
        <v>228</v>
      </c>
      <c r="C2689" s="2">
        <f>IFERROR(__xludf.DUMMYFUNCTION("""COMPUTED_VALUE"""),229.8)</f>
        <v>229.8</v>
      </c>
      <c r="D2689" s="2">
        <f>IFERROR(__xludf.DUMMYFUNCTION("""COMPUTED_VALUE"""),223.7)</f>
        <v>223.7</v>
      </c>
      <c r="E2689" s="2">
        <f>IFERROR(__xludf.DUMMYFUNCTION("""COMPUTED_VALUE"""),227.99)</f>
        <v>227.99</v>
      </c>
      <c r="F2689" s="2">
        <f>IFERROR(__xludf.DUMMYFUNCTION("""COMPUTED_VALUE"""),813243.0)</f>
        <v>813243</v>
      </c>
    </row>
    <row r="2690">
      <c r="A2690" s="3">
        <f>IFERROR(__xludf.DUMMYFUNCTION("""COMPUTED_VALUE"""),40483.645833333336)</f>
        <v>40483.64583</v>
      </c>
      <c r="B2690" s="2">
        <f>IFERROR(__xludf.DUMMYFUNCTION("""COMPUTED_VALUE"""),229.8)</f>
        <v>229.8</v>
      </c>
      <c r="C2690" s="2">
        <f>IFERROR(__xludf.DUMMYFUNCTION("""COMPUTED_VALUE"""),236.6)</f>
        <v>236.6</v>
      </c>
      <c r="D2690" s="2">
        <f>IFERROR(__xludf.DUMMYFUNCTION("""COMPUTED_VALUE"""),228.51)</f>
        <v>228.51</v>
      </c>
      <c r="E2690" s="2">
        <f>IFERROR(__xludf.DUMMYFUNCTION("""COMPUTED_VALUE"""),234.92)</f>
        <v>234.92</v>
      </c>
      <c r="F2690" s="2">
        <f>IFERROR(__xludf.DUMMYFUNCTION("""COMPUTED_VALUE"""),1013480.0)</f>
        <v>1013480</v>
      </c>
    </row>
    <row r="2691">
      <c r="A2691" s="3">
        <f>IFERROR(__xludf.DUMMYFUNCTION("""COMPUTED_VALUE"""),40484.645833333336)</f>
        <v>40484.64583</v>
      </c>
      <c r="B2691" s="2">
        <f>IFERROR(__xludf.DUMMYFUNCTION("""COMPUTED_VALUE"""),236.5)</f>
        <v>236.5</v>
      </c>
      <c r="C2691" s="2">
        <f>IFERROR(__xludf.DUMMYFUNCTION("""COMPUTED_VALUE"""),238.7)</f>
        <v>238.7</v>
      </c>
      <c r="D2691" s="2">
        <f>IFERROR(__xludf.DUMMYFUNCTION("""COMPUTED_VALUE"""),234.3)</f>
        <v>234.3</v>
      </c>
      <c r="E2691" s="2">
        <f>IFERROR(__xludf.DUMMYFUNCTION("""COMPUTED_VALUE"""),235.04)</f>
        <v>235.04</v>
      </c>
      <c r="F2691" s="2">
        <f>IFERROR(__xludf.DUMMYFUNCTION("""COMPUTED_VALUE"""),556102.0)</f>
        <v>556102</v>
      </c>
    </row>
    <row r="2692">
      <c r="A2692" s="3">
        <f>IFERROR(__xludf.DUMMYFUNCTION("""COMPUTED_VALUE"""),40485.645833333336)</f>
        <v>40485.64583</v>
      </c>
      <c r="B2692" s="2">
        <f>IFERROR(__xludf.DUMMYFUNCTION("""COMPUTED_VALUE"""),236.1)</f>
        <v>236.1</v>
      </c>
      <c r="C2692" s="2">
        <f>IFERROR(__xludf.DUMMYFUNCTION("""COMPUTED_VALUE"""),237.19)</f>
        <v>237.19</v>
      </c>
      <c r="D2692" s="2">
        <f>IFERROR(__xludf.DUMMYFUNCTION("""COMPUTED_VALUE"""),235.11)</f>
        <v>235.11</v>
      </c>
      <c r="E2692" s="2">
        <f>IFERROR(__xludf.DUMMYFUNCTION("""COMPUTED_VALUE"""),236.23)</f>
        <v>236.23</v>
      </c>
      <c r="F2692" s="2">
        <f>IFERROR(__xludf.DUMMYFUNCTION("""COMPUTED_VALUE"""),354076.0)</f>
        <v>354076</v>
      </c>
    </row>
    <row r="2693">
      <c r="A2693" s="3">
        <f>IFERROR(__xludf.DUMMYFUNCTION("""COMPUTED_VALUE"""),40486.645833333336)</f>
        <v>40486.64583</v>
      </c>
      <c r="B2693" s="2">
        <f>IFERROR(__xludf.DUMMYFUNCTION("""COMPUTED_VALUE"""),239.0)</f>
        <v>239</v>
      </c>
      <c r="C2693" s="2">
        <f>IFERROR(__xludf.DUMMYFUNCTION("""COMPUTED_VALUE"""),240.5)</f>
        <v>240.5</v>
      </c>
      <c r="D2693" s="2">
        <f>IFERROR(__xludf.DUMMYFUNCTION("""COMPUTED_VALUE"""),236.76)</f>
        <v>236.76</v>
      </c>
      <c r="E2693" s="2">
        <f>IFERROR(__xludf.DUMMYFUNCTION("""COMPUTED_VALUE"""),238.92)</f>
        <v>238.92</v>
      </c>
      <c r="F2693" s="2">
        <f>IFERROR(__xludf.DUMMYFUNCTION("""COMPUTED_VALUE"""),485816.0)</f>
        <v>485816</v>
      </c>
    </row>
    <row r="2694">
      <c r="A2694" s="3">
        <f>IFERROR(__xludf.DUMMYFUNCTION("""COMPUTED_VALUE"""),40487.645833333336)</f>
        <v>40487.64583</v>
      </c>
      <c r="B2694" s="2">
        <f>IFERROR(__xludf.DUMMYFUNCTION("""COMPUTED_VALUE"""),240.0)</f>
        <v>240</v>
      </c>
      <c r="C2694" s="2">
        <f>IFERROR(__xludf.DUMMYFUNCTION("""COMPUTED_VALUE"""),240.7)</f>
        <v>240.7</v>
      </c>
      <c r="D2694" s="2">
        <f>IFERROR(__xludf.DUMMYFUNCTION("""COMPUTED_VALUE"""),238.5)</f>
        <v>238.5</v>
      </c>
      <c r="E2694" s="2">
        <f>IFERROR(__xludf.DUMMYFUNCTION("""COMPUTED_VALUE"""),238.88)</f>
        <v>238.88</v>
      </c>
      <c r="F2694" s="2">
        <f>IFERROR(__xludf.DUMMYFUNCTION("""COMPUTED_VALUE"""),39243.0)</f>
        <v>39243</v>
      </c>
    </row>
    <row r="2695">
      <c r="A2695" s="3">
        <f>IFERROR(__xludf.DUMMYFUNCTION("""COMPUTED_VALUE"""),40490.645833333336)</f>
        <v>40490.64583</v>
      </c>
      <c r="B2695" s="2">
        <f>IFERROR(__xludf.DUMMYFUNCTION("""COMPUTED_VALUE"""),239.34)</f>
        <v>239.34</v>
      </c>
      <c r="C2695" s="2">
        <f>IFERROR(__xludf.DUMMYFUNCTION("""COMPUTED_VALUE"""),240.0)</f>
        <v>240</v>
      </c>
      <c r="D2695" s="2">
        <f>IFERROR(__xludf.DUMMYFUNCTION("""COMPUTED_VALUE"""),232.55)</f>
        <v>232.55</v>
      </c>
      <c r="E2695" s="2">
        <f>IFERROR(__xludf.DUMMYFUNCTION("""COMPUTED_VALUE"""),233.54)</f>
        <v>233.54</v>
      </c>
      <c r="F2695" s="2">
        <f>IFERROR(__xludf.DUMMYFUNCTION("""COMPUTED_VALUE"""),425546.0)</f>
        <v>425546</v>
      </c>
    </row>
    <row r="2696">
      <c r="A2696" s="3">
        <f>IFERROR(__xludf.DUMMYFUNCTION("""COMPUTED_VALUE"""),40491.645833333336)</f>
        <v>40491.64583</v>
      </c>
      <c r="B2696" s="2">
        <f>IFERROR(__xludf.DUMMYFUNCTION("""COMPUTED_VALUE"""),234.0)</f>
        <v>234</v>
      </c>
      <c r="C2696" s="2">
        <f>IFERROR(__xludf.DUMMYFUNCTION("""COMPUTED_VALUE"""),240.68)</f>
        <v>240.68</v>
      </c>
      <c r="D2696" s="2">
        <f>IFERROR(__xludf.DUMMYFUNCTION("""COMPUTED_VALUE"""),233.04)</f>
        <v>233.04</v>
      </c>
      <c r="E2696" s="2">
        <f>IFERROR(__xludf.DUMMYFUNCTION("""COMPUTED_VALUE"""),239.85)</f>
        <v>239.85</v>
      </c>
      <c r="F2696" s="2">
        <f>IFERROR(__xludf.DUMMYFUNCTION("""COMPUTED_VALUE"""),685805.0)</f>
        <v>685805</v>
      </c>
    </row>
    <row r="2697">
      <c r="A2697" s="3">
        <f>IFERROR(__xludf.DUMMYFUNCTION("""COMPUTED_VALUE"""),40492.645833333336)</f>
        <v>40492.64583</v>
      </c>
      <c r="B2697" s="2">
        <f>IFERROR(__xludf.DUMMYFUNCTION("""COMPUTED_VALUE"""),240.0)</f>
        <v>240</v>
      </c>
      <c r="C2697" s="2">
        <f>IFERROR(__xludf.DUMMYFUNCTION("""COMPUTED_VALUE"""),241.98)</f>
        <v>241.98</v>
      </c>
      <c r="D2697" s="2">
        <f>IFERROR(__xludf.DUMMYFUNCTION("""COMPUTED_VALUE"""),238.34)</f>
        <v>238.34</v>
      </c>
      <c r="E2697" s="2">
        <f>IFERROR(__xludf.DUMMYFUNCTION("""COMPUTED_VALUE"""),239.59)</f>
        <v>239.59</v>
      </c>
      <c r="F2697" s="2">
        <f>IFERROR(__xludf.DUMMYFUNCTION("""COMPUTED_VALUE"""),446717.0)</f>
        <v>446717</v>
      </c>
    </row>
    <row r="2698">
      <c r="A2698" s="3">
        <f>IFERROR(__xludf.DUMMYFUNCTION("""COMPUTED_VALUE"""),40493.645833333336)</f>
        <v>40493.64583</v>
      </c>
      <c r="B2698" s="2">
        <f>IFERROR(__xludf.DUMMYFUNCTION("""COMPUTED_VALUE"""),238.51)</f>
        <v>238.51</v>
      </c>
      <c r="C2698" s="2">
        <f>IFERROR(__xludf.DUMMYFUNCTION("""COMPUTED_VALUE"""),240.94)</f>
        <v>240.94</v>
      </c>
      <c r="D2698" s="2">
        <f>IFERROR(__xludf.DUMMYFUNCTION("""COMPUTED_VALUE"""),233.63)</f>
        <v>233.63</v>
      </c>
      <c r="E2698" s="2">
        <f>IFERROR(__xludf.DUMMYFUNCTION("""COMPUTED_VALUE"""),235.33)</f>
        <v>235.33</v>
      </c>
      <c r="F2698" s="2">
        <f>IFERROR(__xludf.DUMMYFUNCTION("""COMPUTED_VALUE"""),336437.0)</f>
        <v>336437</v>
      </c>
    </row>
    <row r="2699">
      <c r="A2699" s="3">
        <f>IFERROR(__xludf.DUMMYFUNCTION("""COMPUTED_VALUE"""),40494.645833333336)</f>
        <v>40494.64583</v>
      </c>
      <c r="B2699" s="2">
        <f>IFERROR(__xludf.DUMMYFUNCTION("""COMPUTED_VALUE"""),234.5)</f>
        <v>234.5</v>
      </c>
      <c r="C2699" s="2">
        <f>IFERROR(__xludf.DUMMYFUNCTION("""COMPUTED_VALUE"""),237.9)</f>
        <v>237.9</v>
      </c>
      <c r="D2699" s="2">
        <f>IFERROR(__xludf.DUMMYFUNCTION("""COMPUTED_VALUE"""),230.5)</f>
        <v>230.5</v>
      </c>
      <c r="E2699" s="2">
        <f>IFERROR(__xludf.DUMMYFUNCTION("""COMPUTED_VALUE"""),231.49)</f>
        <v>231.49</v>
      </c>
      <c r="F2699" s="2">
        <f>IFERROR(__xludf.DUMMYFUNCTION("""COMPUTED_VALUE"""),620155.0)</f>
        <v>620155</v>
      </c>
    </row>
    <row r="2700">
      <c r="A2700" s="3">
        <f>IFERROR(__xludf.DUMMYFUNCTION("""COMPUTED_VALUE"""),40497.645833333336)</f>
        <v>40497.64583</v>
      </c>
      <c r="B2700" s="2">
        <f>IFERROR(__xludf.DUMMYFUNCTION("""COMPUTED_VALUE"""),231.5)</f>
        <v>231.5</v>
      </c>
      <c r="C2700" s="2">
        <f>IFERROR(__xludf.DUMMYFUNCTION("""COMPUTED_VALUE"""),239.2)</f>
        <v>239.2</v>
      </c>
      <c r="D2700" s="2">
        <f>IFERROR(__xludf.DUMMYFUNCTION("""COMPUTED_VALUE"""),231.4)</f>
        <v>231.4</v>
      </c>
      <c r="E2700" s="2">
        <f>IFERROR(__xludf.DUMMYFUNCTION("""COMPUTED_VALUE"""),238.59)</f>
        <v>238.59</v>
      </c>
      <c r="F2700" s="2">
        <f>IFERROR(__xludf.DUMMYFUNCTION("""COMPUTED_VALUE"""),1140798.0)</f>
        <v>1140798</v>
      </c>
    </row>
    <row r="2701">
      <c r="A2701" s="3">
        <f>IFERROR(__xludf.DUMMYFUNCTION("""COMPUTED_VALUE"""),40498.645833333336)</f>
        <v>40498.64583</v>
      </c>
      <c r="B2701" s="2">
        <f>IFERROR(__xludf.DUMMYFUNCTION("""COMPUTED_VALUE"""),239.97)</f>
        <v>239.97</v>
      </c>
      <c r="C2701" s="2">
        <f>IFERROR(__xludf.DUMMYFUNCTION("""COMPUTED_VALUE"""),239.97)</f>
        <v>239.97</v>
      </c>
      <c r="D2701" s="2">
        <f>IFERROR(__xludf.DUMMYFUNCTION("""COMPUTED_VALUE"""),232.5)</f>
        <v>232.5</v>
      </c>
      <c r="E2701" s="2">
        <f>IFERROR(__xludf.DUMMYFUNCTION("""COMPUTED_VALUE"""),237.26)</f>
        <v>237.26</v>
      </c>
      <c r="F2701" s="2">
        <f>IFERROR(__xludf.DUMMYFUNCTION("""COMPUTED_VALUE"""),914967.0)</f>
        <v>914967</v>
      </c>
    </row>
    <row r="2702">
      <c r="A2702" s="3">
        <f>IFERROR(__xludf.DUMMYFUNCTION("""COMPUTED_VALUE"""),40500.645833333336)</f>
        <v>40500.64583</v>
      </c>
      <c r="B2702" s="2">
        <f>IFERROR(__xludf.DUMMYFUNCTION("""COMPUTED_VALUE"""),241.9)</f>
        <v>241.9</v>
      </c>
      <c r="C2702" s="2">
        <f>IFERROR(__xludf.DUMMYFUNCTION("""COMPUTED_VALUE"""),241.9)</f>
        <v>241.9</v>
      </c>
      <c r="D2702" s="2">
        <f>IFERROR(__xludf.DUMMYFUNCTION("""COMPUTED_VALUE"""),231.88)</f>
        <v>231.88</v>
      </c>
      <c r="E2702" s="2">
        <f>IFERROR(__xludf.DUMMYFUNCTION("""COMPUTED_VALUE"""),234.04)</f>
        <v>234.04</v>
      </c>
      <c r="F2702" s="2">
        <f>IFERROR(__xludf.DUMMYFUNCTION("""COMPUTED_VALUE"""),831599.0)</f>
        <v>831599</v>
      </c>
    </row>
    <row r="2703">
      <c r="A2703" s="3">
        <f>IFERROR(__xludf.DUMMYFUNCTION("""COMPUTED_VALUE"""),40501.645833333336)</f>
        <v>40501.64583</v>
      </c>
      <c r="B2703" s="2">
        <f>IFERROR(__xludf.DUMMYFUNCTION("""COMPUTED_VALUE"""),234.5)</f>
        <v>234.5</v>
      </c>
      <c r="C2703" s="2">
        <f>IFERROR(__xludf.DUMMYFUNCTION("""COMPUTED_VALUE"""),236.4)</f>
        <v>236.4</v>
      </c>
      <c r="D2703" s="2">
        <f>IFERROR(__xludf.DUMMYFUNCTION("""COMPUTED_VALUE"""),229.2)</f>
        <v>229.2</v>
      </c>
      <c r="E2703" s="2">
        <f>IFERROR(__xludf.DUMMYFUNCTION("""COMPUTED_VALUE"""),230.36)</f>
        <v>230.36</v>
      </c>
      <c r="F2703" s="2">
        <f>IFERROR(__xludf.DUMMYFUNCTION("""COMPUTED_VALUE"""),587634.0)</f>
        <v>587634</v>
      </c>
    </row>
    <row r="2704">
      <c r="A2704" s="3">
        <f>IFERROR(__xludf.DUMMYFUNCTION("""COMPUTED_VALUE"""),40504.645833333336)</f>
        <v>40504.64583</v>
      </c>
      <c r="B2704" s="2">
        <f>IFERROR(__xludf.DUMMYFUNCTION("""COMPUTED_VALUE"""),232.1)</f>
        <v>232.1</v>
      </c>
      <c r="C2704" s="2">
        <f>IFERROR(__xludf.DUMMYFUNCTION("""COMPUTED_VALUE"""),239.1)</f>
        <v>239.1</v>
      </c>
      <c r="D2704" s="2">
        <f>IFERROR(__xludf.DUMMYFUNCTION("""COMPUTED_VALUE"""),230.6)</f>
        <v>230.6</v>
      </c>
      <c r="E2704" s="2">
        <f>IFERROR(__xludf.DUMMYFUNCTION("""COMPUTED_VALUE"""),237.99)</f>
        <v>237.99</v>
      </c>
      <c r="F2704" s="2">
        <f>IFERROR(__xludf.DUMMYFUNCTION("""COMPUTED_VALUE"""),551095.0)</f>
        <v>551095</v>
      </c>
    </row>
    <row r="2705">
      <c r="A2705" s="3">
        <f>IFERROR(__xludf.DUMMYFUNCTION("""COMPUTED_VALUE"""),40505.645833333336)</f>
        <v>40505.64583</v>
      </c>
      <c r="B2705" s="2">
        <f>IFERROR(__xludf.DUMMYFUNCTION("""COMPUTED_VALUE"""),236.5)</f>
        <v>236.5</v>
      </c>
      <c r="C2705" s="2">
        <f>IFERROR(__xludf.DUMMYFUNCTION("""COMPUTED_VALUE"""),238.0)</f>
        <v>238</v>
      </c>
      <c r="D2705" s="2">
        <f>IFERROR(__xludf.DUMMYFUNCTION("""COMPUTED_VALUE"""),230.75)</f>
        <v>230.75</v>
      </c>
      <c r="E2705" s="2">
        <f>IFERROR(__xludf.DUMMYFUNCTION("""COMPUTED_VALUE"""),237.18)</f>
        <v>237.18</v>
      </c>
      <c r="F2705" s="2">
        <f>IFERROR(__xludf.DUMMYFUNCTION("""COMPUTED_VALUE"""),570812.0)</f>
        <v>570812</v>
      </c>
    </row>
    <row r="2706">
      <c r="A2706" s="3">
        <f>IFERROR(__xludf.DUMMYFUNCTION("""COMPUTED_VALUE"""),40506.645833333336)</f>
        <v>40506.64583</v>
      </c>
      <c r="B2706" s="2">
        <f>IFERROR(__xludf.DUMMYFUNCTION("""COMPUTED_VALUE"""),235.4)</f>
        <v>235.4</v>
      </c>
      <c r="C2706" s="2">
        <f>IFERROR(__xludf.DUMMYFUNCTION("""COMPUTED_VALUE"""),237.39)</f>
        <v>237.39</v>
      </c>
      <c r="D2706" s="2">
        <f>IFERROR(__xludf.DUMMYFUNCTION("""COMPUTED_VALUE"""),229.0)</f>
        <v>229</v>
      </c>
      <c r="E2706" s="2">
        <f>IFERROR(__xludf.DUMMYFUNCTION("""COMPUTED_VALUE"""),231.14)</f>
        <v>231.14</v>
      </c>
      <c r="F2706" s="2">
        <f>IFERROR(__xludf.DUMMYFUNCTION("""COMPUTED_VALUE"""),412875.0)</f>
        <v>412875</v>
      </c>
    </row>
    <row r="2707">
      <c r="A2707" s="3">
        <f>IFERROR(__xludf.DUMMYFUNCTION("""COMPUTED_VALUE"""),40507.645833333336)</f>
        <v>40507.64583</v>
      </c>
      <c r="B2707" s="2">
        <f>IFERROR(__xludf.DUMMYFUNCTION("""COMPUTED_VALUE"""),232.5)</f>
        <v>232.5</v>
      </c>
      <c r="C2707" s="2">
        <f>IFERROR(__xludf.DUMMYFUNCTION("""COMPUTED_VALUE"""),235.87)</f>
        <v>235.87</v>
      </c>
      <c r="D2707" s="2">
        <f>IFERROR(__xludf.DUMMYFUNCTION("""COMPUTED_VALUE"""),229.23)</f>
        <v>229.23</v>
      </c>
      <c r="E2707" s="2">
        <f>IFERROR(__xludf.DUMMYFUNCTION("""COMPUTED_VALUE"""),232.31)</f>
        <v>232.31</v>
      </c>
      <c r="F2707" s="2">
        <f>IFERROR(__xludf.DUMMYFUNCTION("""COMPUTED_VALUE"""),1134387.0)</f>
        <v>1134387</v>
      </c>
    </row>
    <row r="2708">
      <c r="A2708" s="3">
        <f>IFERROR(__xludf.DUMMYFUNCTION("""COMPUTED_VALUE"""),40508.645833333336)</f>
        <v>40508.64583</v>
      </c>
      <c r="B2708" s="2">
        <f>IFERROR(__xludf.DUMMYFUNCTION("""COMPUTED_VALUE"""),232.6)</f>
        <v>232.6</v>
      </c>
      <c r="C2708" s="2">
        <f>IFERROR(__xludf.DUMMYFUNCTION("""COMPUTED_VALUE"""),234.0)</f>
        <v>234</v>
      </c>
      <c r="D2708" s="2">
        <f>IFERROR(__xludf.DUMMYFUNCTION("""COMPUTED_VALUE"""),227.6)</f>
        <v>227.6</v>
      </c>
      <c r="E2708" s="2">
        <f>IFERROR(__xludf.DUMMYFUNCTION("""COMPUTED_VALUE"""),229.79)</f>
        <v>229.79</v>
      </c>
      <c r="F2708" s="2">
        <f>IFERROR(__xludf.DUMMYFUNCTION("""COMPUTED_VALUE"""),756969.0)</f>
        <v>756969</v>
      </c>
    </row>
    <row r="2709">
      <c r="A2709" s="3">
        <f>IFERROR(__xludf.DUMMYFUNCTION("""COMPUTED_VALUE"""),40511.645833333336)</f>
        <v>40511.64583</v>
      </c>
      <c r="B2709" s="2">
        <f>IFERROR(__xludf.DUMMYFUNCTION("""COMPUTED_VALUE"""),230.0)</f>
        <v>230</v>
      </c>
      <c r="C2709" s="2">
        <f>IFERROR(__xludf.DUMMYFUNCTION("""COMPUTED_VALUE"""),231.79)</f>
        <v>231.79</v>
      </c>
      <c r="D2709" s="2">
        <f>IFERROR(__xludf.DUMMYFUNCTION("""COMPUTED_VALUE"""),228.5)</f>
        <v>228.5</v>
      </c>
      <c r="E2709" s="2">
        <f>IFERROR(__xludf.DUMMYFUNCTION("""COMPUTED_VALUE"""),229.79)</f>
        <v>229.79</v>
      </c>
      <c r="F2709" s="2">
        <f>IFERROR(__xludf.DUMMYFUNCTION("""COMPUTED_VALUE"""),590943.0)</f>
        <v>590943</v>
      </c>
    </row>
    <row r="2710">
      <c r="A2710" s="3">
        <f>IFERROR(__xludf.DUMMYFUNCTION("""COMPUTED_VALUE"""),40512.645833333336)</f>
        <v>40512.64583</v>
      </c>
      <c r="B2710" s="2">
        <f>IFERROR(__xludf.DUMMYFUNCTION("""COMPUTED_VALUE"""),229.7)</f>
        <v>229.7</v>
      </c>
      <c r="C2710" s="2">
        <f>IFERROR(__xludf.DUMMYFUNCTION("""COMPUTED_VALUE"""),233.41)</f>
        <v>233.41</v>
      </c>
      <c r="D2710" s="2">
        <f>IFERROR(__xludf.DUMMYFUNCTION("""COMPUTED_VALUE"""),225.85)</f>
        <v>225.85</v>
      </c>
      <c r="E2710" s="2">
        <f>IFERROR(__xludf.DUMMYFUNCTION("""COMPUTED_VALUE"""),228.54)</f>
        <v>228.54</v>
      </c>
      <c r="F2710" s="2">
        <f>IFERROR(__xludf.DUMMYFUNCTION("""COMPUTED_VALUE"""),862678.0)</f>
        <v>862678</v>
      </c>
    </row>
    <row r="2711">
      <c r="A2711" s="3">
        <f>IFERROR(__xludf.DUMMYFUNCTION("""COMPUTED_VALUE"""),40513.645833333336)</f>
        <v>40513.64583</v>
      </c>
      <c r="B2711" s="2">
        <f>IFERROR(__xludf.DUMMYFUNCTION("""COMPUTED_VALUE"""),228.86)</f>
        <v>228.86</v>
      </c>
      <c r="C2711" s="2">
        <f>IFERROR(__xludf.DUMMYFUNCTION("""COMPUTED_VALUE"""),237.5)</f>
        <v>237.5</v>
      </c>
      <c r="D2711" s="2">
        <f>IFERROR(__xludf.DUMMYFUNCTION("""COMPUTED_VALUE"""),228.0)</f>
        <v>228</v>
      </c>
      <c r="E2711" s="2">
        <f>IFERROR(__xludf.DUMMYFUNCTION("""COMPUTED_VALUE"""),236.71)</f>
        <v>236.71</v>
      </c>
      <c r="F2711" s="2">
        <f>IFERROR(__xludf.DUMMYFUNCTION("""COMPUTED_VALUE"""),804072.0)</f>
        <v>804072</v>
      </c>
    </row>
    <row r="2712">
      <c r="A2712" s="3">
        <f>IFERROR(__xludf.DUMMYFUNCTION("""COMPUTED_VALUE"""),40514.645833333336)</f>
        <v>40514.64583</v>
      </c>
      <c r="B2712" s="2">
        <f>IFERROR(__xludf.DUMMYFUNCTION("""COMPUTED_VALUE"""),237.8)</f>
        <v>237.8</v>
      </c>
      <c r="C2712" s="2">
        <f>IFERROR(__xludf.DUMMYFUNCTION("""COMPUTED_VALUE"""),240.0)</f>
        <v>240</v>
      </c>
      <c r="D2712" s="2">
        <f>IFERROR(__xludf.DUMMYFUNCTION("""COMPUTED_VALUE"""),235.31)</f>
        <v>235.31</v>
      </c>
      <c r="E2712" s="2">
        <f>IFERROR(__xludf.DUMMYFUNCTION("""COMPUTED_VALUE"""),239.18)</f>
        <v>239.18</v>
      </c>
      <c r="F2712" s="2">
        <f>IFERROR(__xludf.DUMMYFUNCTION("""COMPUTED_VALUE"""),736928.0)</f>
        <v>736928</v>
      </c>
    </row>
    <row r="2713">
      <c r="A2713" s="3">
        <f>IFERROR(__xludf.DUMMYFUNCTION("""COMPUTED_VALUE"""),40515.645833333336)</f>
        <v>40515.64583</v>
      </c>
      <c r="B2713" s="2">
        <f>IFERROR(__xludf.DUMMYFUNCTION("""COMPUTED_VALUE"""),239.5)</f>
        <v>239.5</v>
      </c>
      <c r="C2713" s="2">
        <f>IFERROR(__xludf.DUMMYFUNCTION("""COMPUTED_VALUE"""),240.0)</f>
        <v>240</v>
      </c>
      <c r="D2713" s="2">
        <f>IFERROR(__xludf.DUMMYFUNCTION("""COMPUTED_VALUE"""),237.2)</f>
        <v>237.2</v>
      </c>
      <c r="E2713" s="2">
        <f>IFERROR(__xludf.DUMMYFUNCTION("""COMPUTED_VALUE"""),239.56)</f>
        <v>239.56</v>
      </c>
      <c r="F2713" s="2">
        <f>IFERROR(__xludf.DUMMYFUNCTION("""COMPUTED_VALUE"""),396179.0)</f>
        <v>396179</v>
      </c>
    </row>
    <row r="2714">
      <c r="A2714" s="3">
        <f>IFERROR(__xludf.DUMMYFUNCTION("""COMPUTED_VALUE"""),40518.645833333336)</f>
        <v>40518.64583</v>
      </c>
      <c r="B2714" s="2">
        <f>IFERROR(__xludf.DUMMYFUNCTION("""COMPUTED_VALUE"""),242.0)</f>
        <v>242</v>
      </c>
      <c r="C2714" s="2">
        <f>IFERROR(__xludf.DUMMYFUNCTION("""COMPUTED_VALUE"""),242.5)</f>
        <v>242.5</v>
      </c>
      <c r="D2714" s="2">
        <f>IFERROR(__xludf.DUMMYFUNCTION("""COMPUTED_VALUE"""),237.53)</f>
        <v>237.53</v>
      </c>
      <c r="E2714" s="2">
        <f>IFERROR(__xludf.DUMMYFUNCTION("""COMPUTED_VALUE"""),238.33)</f>
        <v>238.33</v>
      </c>
      <c r="F2714" s="2">
        <f>IFERROR(__xludf.DUMMYFUNCTION("""COMPUTED_VALUE"""),468156.0)</f>
        <v>468156</v>
      </c>
    </row>
    <row r="2715">
      <c r="A2715" s="3">
        <f>IFERROR(__xludf.DUMMYFUNCTION("""COMPUTED_VALUE"""),40519.645833333336)</f>
        <v>40519.64583</v>
      </c>
      <c r="B2715" s="2">
        <f>IFERROR(__xludf.DUMMYFUNCTION("""COMPUTED_VALUE"""),238.0)</f>
        <v>238</v>
      </c>
      <c r="C2715" s="2">
        <f>IFERROR(__xludf.DUMMYFUNCTION("""COMPUTED_VALUE"""),239.0)</f>
        <v>239</v>
      </c>
      <c r="D2715" s="2">
        <f>IFERROR(__xludf.DUMMYFUNCTION("""COMPUTED_VALUE"""),232.85)</f>
        <v>232.85</v>
      </c>
      <c r="E2715" s="2">
        <f>IFERROR(__xludf.DUMMYFUNCTION("""COMPUTED_VALUE"""),235.16)</f>
        <v>235.16</v>
      </c>
      <c r="F2715" s="2">
        <f>IFERROR(__xludf.DUMMYFUNCTION("""COMPUTED_VALUE"""),859735.0)</f>
        <v>859735</v>
      </c>
    </row>
    <row r="2716">
      <c r="A2716" s="3">
        <f>IFERROR(__xludf.DUMMYFUNCTION("""COMPUTED_VALUE"""),40520.645833333336)</f>
        <v>40520.64583</v>
      </c>
      <c r="B2716" s="2">
        <f>IFERROR(__xludf.DUMMYFUNCTION("""COMPUTED_VALUE"""),234.0)</f>
        <v>234</v>
      </c>
      <c r="C2716" s="2">
        <f>IFERROR(__xludf.DUMMYFUNCTION("""COMPUTED_VALUE"""),234.0)</f>
        <v>234</v>
      </c>
      <c r="D2716" s="2">
        <f>IFERROR(__xludf.DUMMYFUNCTION("""COMPUTED_VALUE"""),226.52)</f>
        <v>226.52</v>
      </c>
      <c r="E2716" s="2">
        <f>IFERROR(__xludf.DUMMYFUNCTION("""COMPUTED_VALUE"""),228.05)</f>
        <v>228.05</v>
      </c>
      <c r="F2716" s="2">
        <f>IFERROR(__xludf.DUMMYFUNCTION("""COMPUTED_VALUE"""),1174422.0)</f>
        <v>1174422</v>
      </c>
    </row>
    <row r="2717">
      <c r="A2717" s="3">
        <f>IFERROR(__xludf.DUMMYFUNCTION("""COMPUTED_VALUE"""),40521.645833333336)</f>
        <v>40521.64583</v>
      </c>
      <c r="B2717" s="2">
        <f>IFERROR(__xludf.DUMMYFUNCTION("""COMPUTED_VALUE"""),227.31)</f>
        <v>227.31</v>
      </c>
      <c r="C2717" s="2">
        <f>IFERROR(__xludf.DUMMYFUNCTION("""COMPUTED_VALUE"""),228.44)</f>
        <v>228.44</v>
      </c>
      <c r="D2717" s="2">
        <f>IFERROR(__xludf.DUMMYFUNCTION("""COMPUTED_VALUE"""),221.93)</f>
        <v>221.93</v>
      </c>
      <c r="E2717" s="2">
        <f>IFERROR(__xludf.DUMMYFUNCTION("""COMPUTED_VALUE"""),223.2)</f>
        <v>223.2</v>
      </c>
      <c r="F2717" s="2">
        <f>IFERROR(__xludf.DUMMYFUNCTION("""COMPUTED_VALUE"""),1828392.0)</f>
        <v>1828392</v>
      </c>
    </row>
    <row r="2718">
      <c r="A2718" s="3">
        <f>IFERROR(__xludf.DUMMYFUNCTION("""COMPUTED_VALUE"""),40522.645833333336)</f>
        <v>40522.64583</v>
      </c>
      <c r="B2718" s="2">
        <f>IFERROR(__xludf.DUMMYFUNCTION("""COMPUTED_VALUE"""),220.0)</f>
        <v>220</v>
      </c>
      <c r="C2718" s="2">
        <f>IFERROR(__xludf.DUMMYFUNCTION("""COMPUTED_VALUE"""),223.23)</f>
        <v>223.23</v>
      </c>
      <c r="D2718" s="2">
        <f>IFERROR(__xludf.DUMMYFUNCTION("""COMPUTED_VALUE"""),217.03)</f>
        <v>217.03</v>
      </c>
      <c r="E2718" s="2">
        <f>IFERROR(__xludf.DUMMYFUNCTION("""COMPUTED_VALUE"""),222.24)</f>
        <v>222.24</v>
      </c>
      <c r="F2718" s="2">
        <f>IFERROR(__xludf.DUMMYFUNCTION("""COMPUTED_VALUE"""),2062123.0)</f>
        <v>2062123</v>
      </c>
    </row>
    <row r="2719">
      <c r="A2719" s="3">
        <f>IFERROR(__xludf.DUMMYFUNCTION("""COMPUTED_VALUE"""),40525.645833333336)</f>
        <v>40525.64583</v>
      </c>
      <c r="B2719" s="2">
        <f>IFERROR(__xludf.DUMMYFUNCTION("""COMPUTED_VALUE"""),224.3)</f>
        <v>224.3</v>
      </c>
      <c r="C2719" s="2">
        <f>IFERROR(__xludf.DUMMYFUNCTION("""COMPUTED_VALUE"""),224.5)</f>
        <v>224.5</v>
      </c>
      <c r="D2719" s="2">
        <f>IFERROR(__xludf.DUMMYFUNCTION("""COMPUTED_VALUE"""),218.14)</f>
        <v>218.14</v>
      </c>
      <c r="E2719" s="2">
        <f>IFERROR(__xludf.DUMMYFUNCTION("""COMPUTED_VALUE"""),223.9)</f>
        <v>223.9</v>
      </c>
      <c r="F2719" s="2">
        <f>IFERROR(__xludf.DUMMYFUNCTION("""COMPUTED_VALUE"""),791168.0)</f>
        <v>791168</v>
      </c>
    </row>
    <row r="2720">
      <c r="A2720" s="3">
        <f>IFERROR(__xludf.DUMMYFUNCTION("""COMPUTED_VALUE"""),40526.645833333336)</f>
        <v>40526.64583</v>
      </c>
      <c r="B2720" s="2">
        <f>IFERROR(__xludf.DUMMYFUNCTION("""COMPUTED_VALUE"""),224.7)</f>
        <v>224.7</v>
      </c>
      <c r="C2720" s="2">
        <f>IFERROR(__xludf.DUMMYFUNCTION("""COMPUTED_VALUE"""),227.59)</f>
        <v>227.59</v>
      </c>
      <c r="D2720" s="2">
        <f>IFERROR(__xludf.DUMMYFUNCTION("""COMPUTED_VALUE"""),221.2)</f>
        <v>221.2</v>
      </c>
      <c r="E2720" s="2">
        <f>IFERROR(__xludf.DUMMYFUNCTION("""COMPUTED_VALUE"""),223.83)</f>
        <v>223.83</v>
      </c>
      <c r="F2720" s="2">
        <f>IFERROR(__xludf.DUMMYFUNCTION("""COMPUTED_VALUE"""),592208.0)</f>
        <v>592208</v>
      </c>
    </row>
    <row r="2721">
      <c r="A2721" s="3">
        <f>IFERROR(__xludf.DUMMYFUNCTION("""COMPUTED_VALUE"""),40527.645833333336)</f>
        <v>40527.64583</v>
      </c>
      <c r="B2721" s="2">
        <f>IFERROR(__xludf.DUMMYFUNCTION("""COMPUTED_VALUE"""),223.0)</f>
        <v>223</v>
      </c>
      <c r="C2721" s="2">
        <f>IFERROR(__xludf.DUMMYFUNCTION("""COMPUTED_VALUE"""),223.0)</f>
        <v>223</v>
      </c>
      <c r="D2721" s="2">
        <f>IFERROR(__xludf.DUMMYFUNCTION("""COMPUTED_VALUE"""),215.0)</f>
        <v>215</v>
      </c>
      <c r="E2721" s="2">
        <f>IFERROR(__xludf.DUMMYFUNCTION("""COMPUTED_VALUE"""),216.29)</f>
        <v>216.29</v>
      </c>
      <c r="F2721" s="2">
        <f>IFERROR(__xludf.DUMMYFUNCTION("""COMPUTED_VALUE"""),1121021.0)</f>
        <v>1121021</v>
      </c>
    </row>
    <row r="2722">
      <c r="A2722" s="3">
        <f>IFERROR(__xludf.DUMMYFUNCTION("""COMPUTED_VALUE"""),40528.645833333336)</f>
        <v>40528.64583</v>
      </c>
      <c r="B2722" s="2">
        <f>IFERROR(__xludf.DUMMYFUNCTION("""COMPUTED_VALUE"""),216.3)</f>
        <v>216.3</v>
      </c>
      <c r="C2722" s="2">
        <f>IFERROR(__xludf.DUMMYFUNCTION("""COMPUTED_VALUE"""),221.96)</f>
        <v>221.96</v>
      </c>
      <c r="D2722" s="2">
        <f>IFERROR(__xludf.DUMMYFUNCTION("""COMPUTED_VALUE"""),215.0)</f>
        <v>215</v>
      </c>
      <c r="E2722" s="2">
        <f>IFERROR(__xludf.DUMMYFUNCTION("""COMPUTED_VALUE"""),220.08)</f>
        <v>220.08</v>
      </c>
      <c r="F2722" s="2">
        <f>IFERROR(__xludf.DUMMYFUNCTION("""COMPUTED_VALUE"""),975918.0)</f>
        <v>975918</v>
      </c>
    </row>
    <row r="2723">
      <c r="A2723" s="3">
        <f>IFERROR(__xludf.DUMMYFUNCTION("""COMPUTED_VALUE"""),40532.645833333336)</f>
        <v>40532.64583</v>
      </c>
      <c r="B2723" s="2">
        <f>IFERROR(__xludf.DUMMYFUNCTION("""COMPUTED_VALUE"""),219.98)</f>
        <v>219.98</v>
      </c>
      <c r="C2723" s="2">
        <f>IFERROR(__xludf.DUMMYFUNCTION("""COMPUTED_VALUE"""),219.98)</f>
        <v>219.98</v>
      </c>
      <c r="D2723" s="2">
        <f>IFERROR(__xludf.DUMMYFUNCTION("""COMPUTED_VALUE"""),215.15)</f>
        <v>215.15</v>
      </c>
      <c r="E2723" s="2">
        <f>IFERROR(__xludf.DUMMYFUNCTION("""COMPUTED_VALUE"""),217.25)</f>
        <v>217.25</v>
      </c>
      <c r="F2723" s="2">
        <f>IFERROR(__xludf.DUMMYFUNCTION("""COMPUTED_VALUE"""),516122.0)</f>
        <v>516122</v>
      </c>
    </row>
    <row r="2724">
      <c r="A2724" s="3">
        <f>IFERROR(__xludf.DUMMYFUNCTION("""COMPUTED_VALUE"""),40533.645833333336)</f>
        <v>40533.64583</v>
      </c>
      <c r="B2724" s="2">
        <f>IFERROR(__xludf.DUMMYFUNCTION("""COMPUTED_VALUE"""),217.3)</f>
        <v>217.3</v>
      </c>
      <c r="C2724" s="2">
        <f>IFERROR(__xludf.DUMMYFUNCTION("""COMPUTED_VALUE"""),221.91)</f>
        <v>221.91</v>
      </c>
      <c r="D2724" s="2">
        <f>IFERROR(__xludf.DUMMYFUNCTION("""COMPUTED_VALUE"""),217.19)</f>
        <v>217.19</v>
      </c>
      <c r="E2724" s="2">
        <f>IFERROR(__xludf.DUMMYFUNCTION("""COMPUTED_VALUE"""),221.41)</f>
        <v>221.41</v>
      </c>
      <c r="F2724" s="2">
        <f>IFERROR(__xludf.DUMMYFUNCTION("""COMPUTED_VALUE"""),617558.0)</f>
        <v>617558</v>
      </c>
    </row>
    <row r="2725">
      <c r="A2725" s="3">
        <f>IFERROR(__xludf.DUMMYFUNCTION("""COMPUTED_VALUE"""),40534.645833333336)</f>
        <v>40534.64583</v>
      </c>
      <c r="B2725" s="2">
        <f>IFERROR(__xludf.DUMMYFUNCTION("""COMPUTED_VALUE"""),223.3)</f>
        <v>223.3</v>
      </c>
      <c r="C2725" s="2">
        <f>IFERROR(__xludf.DUMMYFUNCTION("""COMPUTED_VALUE"""),224.0)</f>
        <v>224</v>
      </c>
      <c r="D2725" s="2">
        <f>IFERROR(__xludf.DUMMYFUNCTION("""COMPUTED_VALUE"""),217.01)</f>
        <v>217.01</v>
      </c>
      <c r="E2725" s="2">
        <f>IFERROR(__xludf.DUMMYFUNCTION("""COMPUTED_VALUE"""),217.88)</f>
        <v>217.88</v>
      </c>
      <c r="F2725" s="2">
        <f>IFERROR(__xludf.DUMMYFUNCTION("""COMPUTED_VALUE"""),750324.0)</f>
        <v>750324</v>
      </c>
    </row>
    <row r="2726">
      <c r="A2726" s="3">
        <f>IFERROR(__xludf.DUMMYFUNCTION("""COMPUTED_VALUE"""),40535.645833333336)</f>
        <v>40535.64583</v>
      </c>
      <c r="B2726" s="2">
        <f>IFERROR(__xludf.DUMMYFUNCTION("""COMPUTED_VALUE"""),218.0)</f>
        <v>218</v>
      </c>
      <c r="C2726" s="2">
        <f>IFERROR(__xludf.DUMMYFUNCTION("""COMPUTED_VALUE"""),220.4)</f>
        <v>220.4</v>
      </c>
      <c r="D2726" s="2">
        <f>IFERROR(__xludf.DUMMYFUNCTION("""COMPUTED_VALUE"""),217.4)</f>
        <v>217.4</v>
      </c>
      <c r="E2726" s="2">
        <f>IFERROR(__xludf.DUMMYFUNCTION("""COMPUTED_VALUE"""),219.1)</f>
        <v>219.1</v>
      </c>
      <c r="F2726" s="2">
        <f>IFERROR(__xludf.DUMMYFUNCTION("""COMPUTED_VALUE"""),326327.0)</f>
        <v>326327</v>
      </c>
    </row>
    <row r="2727">
      <c r="A2727" s="3">
        <f>IFERROR(__xludf.DUMMYFUNCTION("""COMPUTED_VALUE"""),40536.645833333336)</f>
        <v>40536.64583</v>
      </c>
      <c r="B2727" s="2">
        <f>IFERROR(__xludf.DUMMYFUNCTION("""COMPUTED_VALUE"""),218.9)</f>
        <v>218.9</v>
      </c>
      <c r="C2727" s="2">
        <f>IFERROR(__xludf.DUMMYFUNCTION("""COMPUTED_VALUE"""),222.48)</f>
        <v>222.48</v>
      </c>
      <c r="D2727" s="2">
        <f>IFERROR(__xludf.DUMMYFUNCTION("""COMPUTED_VALUE"""),217.5)</f>
        <v>217.5</v>
      </c>
      <c r="E2727" s="2">
        <f>IFERROR(__xludf.DUMMYFUNCTION("""COMPUTED_VALUE"""),221.84)</f>
        <v>221.84</v>
      </c>
      <c r="F2727" s="2">
        <f>IFERROR(__xludf.DUMMYFUNCTION("""COMPUTED_VALUE"""),351671.0)</f>
        <v>351671</v>
      </c>
    </row>
    <row r="2728">
      <c r="A2728" s="3">
        <f>IFERROR(__xludf.DUMMYFUNCTION("""COMPUTED_VALUE"""),40539.645833333336)</f>
        <v>40539.64583</v>
      </c>
      <c r="B2728" s="2">
        <f>IFERROR(__xludf.DUMMYFUNCTION("""COMPUTED_VALUE"""),221.9)</f>
        <v>221.9</v>
      </c>
      <c r="C2728" s="2">
        <f>IFERROR(__xludf.DUMMYFUNCTION("""COMPUTED_VALUE"""),223.0)</f>
        <v>223</v>
      </c>
      <c r="D2728" s="2">
        <f>IFERROR(__xludf.DUMMYFUNCTION("""COMPUTED_VALUE"""),219.71)</f>
        <v>219.71</v>
      </c>
      <c r="E2728" s="2">
        <f>IFERROR(__xludf.DUMMYFUNCTION("""COMPUTED_VALUE"""),221.37)</f>
        <v>221.37</v>
      </c>
      <c r="F2728" s="2">
        <f>IFERROR(__xludf.DUMMYFUNCTION("""COMPUTED_VALUE"""),377063.0)</f>
        <v>377063</v>
      </c>
    </row>
    <row r="2729">
      <c r="A2729" s="3">
        <f>IFERROR(__xludf.DUMMYFUNCTION("""COMPUTED_VALUE"""),40540.645833333336)</f>
        <v>40540.64583</v>
      </c>
      <c r="B2729" s="2">
        <f>IFERROR(__xludf.DUMMYFUNCTION("""COMPUTED_VALUE"""),222.39)</f>
        <v>222.39</v>
      </c>
      <c r="C2729" s="2">
        <f>IFERROR(__xludf.DUMMYFUNCTION("""COMPUTED_VALUE"""),226.87)</f>
        <v>226.87</v>
      </c>
      <c r="D2729" s="2">
        <f>IFERROR(__xludf.DUMMYFUNCTION("""COMPUTED_VALUE"""),221.51)</f>
        <v>221.51</v>
      </c>
      <c r="E2729" s="2">
        <f>IFERROR(__xludf.DUMMYFUNCTION("""COMPUTED_VALUE"""),225.61)</f>
        <v>225.61</v>
      </c>
      <c r="F2729" s="2">
        <f>IFERROR(__xludf.DUMMYFUNCTION("""COMPUTED_VALUE"""),467503.0)</f>
        <v>467503</v>
      </c>
    </row>
    <row r="2730">
      <c r="A2730" s="3">
        <f>IFERROR(__xludf.DUMMYFUNCTION("""COMPUTED_VALUE"""),40541.645833333336)</f>
        <v>40541.64583</v>
      </c>
      <c r="B2730" s="2">
        <f>IFERROR(__xludf.DUMMYFUNCTION("""COMPUTED_VALUE"""),225.6)</f>
        <v>225.6</v>
      </c>
      <c r="C2730" s="2">
        <f>IFERROR(__xludf.DUMMYFUNCTION("""COMPUTED_VALUE"""),233.68)</f>
        <v>233.68</v>
      </c>
      <c r="D2730" s="2">
        <f>IFERROR(__xludf.DUMMYFUNCTION("""COMPUTED_VALUE"""),225.36)</f>
        <v>225.36</v>
      </c>
      <c r="E2730" s="2">
        <f>IFERROR(__xludf.DUMMYFUNCTION("""COMPUTED_VALUE"""),232.78)</f>
        <v>232.78</v>
      </c>
      <c r="F2730" s="2">
        <f>IFERROR(__xludf.DUMMYFUNCTION("""COMPUTED_VALUE"""),807104.0)</f>
        <v>807104</v>
      </c>
    </row>
    <row r="2731">
      <c r="A2731" s="3">
        <f>IFERROR(__xludf.DUMMYFUNCTION("""COMPUTED_VALUE"""),40542.645833333336)</f>
        <v>40542.64583</v>
      </c>
      <c r="B2731" s="2">
        <f>IFERROR(__xludf.DUMMYFUNCTION("""COMPUTED_VALUE"""),233.62)</f>
        <v>233.62</v>
      </c>
      <c r="C2731" s="2">
        <f>IFERROR(__xludf.DUMMYFUNCTION("""COMPUTED_VALUE"""),234.34)</f>
        <v>234.34</v>
      </c>
      <c r="D2731" s="2">
        <f>IFERROR(__xludf.DUMMYFUNCTION("""COMPUTED_VALUE"""),228.81)</f>
        <v>228.81</v>
      </c>
      <c r="E2731" s="2">
        <f>IFERROR(__xludf.DUMMYFUNCTION("""COMPUTED_VALUE"""),230.55)</f>
        <v>230.55</v>
      </c>
      <c r="F2731" s="2">
        <f>IFERROR(__xludf.DUMMYFUNCTION("""COMPUTED_VALUE"""),725235.0)</f>
        <v>725235</v>
      </c>
    </row>
    <row r="2732">
      <c r="A2732" s="3">
        <f>IFERROR(__xludf.DUMMYFUNCTION("""COMPUTED_VALUE"""),40543.645833333336)</f>
        <v>40543.64583</v>
      </c>
      <c r="B2732" s="2">
        <f>IFERROR(__xludf.DUMMYFUNCTION("""COMPUTED_VALUE"""),230.5)</f>
        <v>230.5</v>
      </c>
      <c r="C2732" s="2">
        <f>IFERROR(__xludf.DUMMYFUNCTION("""COMPUTED_VALUE"""),236.5)</f>
        <v>236.5</v>
      </c>
      <c r="D2732" s="2">
        <f>IFERROR(__xludf.DUMMYFUNCTION("""COMPUTED_VALUE"""),229.21)</f>
        <v>229.21</v>
      </c>
      <c r="E2732" s="2">
        <f>IFERROR(__xludf.DUMMYFUNCTION("""COMPUTED_VALUE"""),234.64)</f>
        <v>234.64</v>
      </c>
      <c r="F2732" s="2">
        <f>IFERROR(__xludf.DUMMYFUNCTION("""COMPUTED_VALUE"""),824891.0)</f>
        <v>824891</v>
      </c>
    </row>
    <row r="2733">
      <c r="A2733" s="3">
        <f>IFERROR(__xludf.DUMMYFUNCTION("""COMPUTED_VALUE"""),40546.645833333336)</f>
        <v>40546.64583</v>
      </c>
      <c r="B2733" s="2">
        <f>IFERROR(__xludf.DUMMYFUNCTION("""COMPUTED_VALUE"""),237.0)</f>
        <v>237</v>
      </c>
      <c r="C2733" s="2">
        <f>IFERROR(__xludf.DUMMYFUNCTION("""COMPUTED_VALUE"""),239.96)</f>
        <v>239.96</v>
      </c>
      <c r="D2733" s="2">
        <f>IFERROR(__xludf.DUMMYFUNCTION("""COMPUTED_VALUE"""),235.04)</f>
        <v>235.04</v>
      </c>
      <c r="E2733" s="2">
        <f>IFERROR(__xludf.DUMMYFUNCTION("""COMPUTED_VALUE"""),239.05)</f>
        <v>239.05</v>
      </c>
      <c r="F2733" s="2">
        <f>IFERROR(__xludf.DUMMYFUNCTION("""COMPUTED_VALUE"""),539839.0)</f>
        <v>539839</v>
      </c>
    </row>
    <row r="2734">
      <c r="A2734" s="3">
        <f>IFERROR(__xludf.DUMMYFUNCTION("""COMPUTED_VALUE"""),40547.645833333336)</f>
        <v>40547.64583</v>
      </c>
      <c r="B2734" s="2">
        <f>IFERROR(__xludf.DUMMYFUNCTION("""COMPUTED_VALUE"""),238.65)</f>
        <v>238.65</v>
      </c>
      <c r="C2734" s="2">
        <f>IFERROR(__xludf.DUMMYFUNCTION("""COMPUTED_VALUE"""),238.8)</f>
        <v>238.8</v>
      </c>
      <c r="D2734" s="2">
        <f>IFERROR(__xludf.DUMMYFUNCTION("""COMPUTED_VALUE"""),233.3)</f>
        <v>233.3</v>
      </c>
      <c r="E2734" s="2">
        <f>IFERROR(__xludf.DUMMYFUNCTION("""COMPUTED_VALUE"""),234.56)</f>
        <v>234.56</v>
      </c>
      <c r="F2734" s="2">
        <f>IFERROR(__xludf.DUMMYFUNCTION("""COMPUTED_VALUE"""),828413.0)</f>
        <v>828413</v>
      </c>
    </row>
    <row r="2735">
      <c r="A2735" s="3">
        <f>IFERROR(__xludf.DUMMYFUNCTION("""COMPUTED_VALUE"""),40548.645833333336)</f>
        <v>40548.64583</v>
      </c>
      <c r="B2735" s="2">
        <f>IFERROR(__xludf.DUMMYFUNCTION("""COMPUTED_VALUE"""),234.97)</f>
        <v>234.97</v>
      </c>
      <c r="C2735" s="2">
        <f>IFERROR(__xludf.DUMMYFUNCTION("""COMPUTED_VALUE"""),234.97)</f>
        <v>234.97</v>
      </c>
      <c r="D2735" s="2">
        <f>IFERROR(__xludf.DUMMYFUNCTION("""COMPUTED_VALUE"""),229.75)</f>
        <v>229.75</v>
      </c>
      <c r="E2735" s="2">
        <f>IFERROR(__xludf.DUMMYFUNCTION("""COMPUTED_VALUE"""),230.82)</f>
        <v>230.82</v>
      </c>
      <c r="F2735" s="2">
        <f>IFERROR(__xludf.DUMMYFUNCTION("""COMPUTED_VALUE"""),782592.0)</f>
        <v>782592</v>
      </c>
    </row>
    <row r="2736">
      <c r="A2736" s="3">
        <f>IFERROR(__xludf.DUMMYFUNCTION("""COMPUTED_VALUE"""),40549.645833333336)</f>
        <v>40549.64583</v>
      </c>
      <c r="B2736" s="2">
        <f>IFERROR(__xludf.DUMMYFUNCTION("""COMPUTED_VALUE"""),231.6)</f>
        <v>231.6</v>
      </c>
      <c r="C2736" s="2">
        <f>IFERROR(__xludf.DUMMYFUNCTION("""COMPUTED_VALUE"""),234.26)</f>
        <v>234.26</v>
      </c>
      <c r="D2736" s="2">
        <f>IFERROR(__xludf.DUMMYFUNCTION("""COMPUTED_VALUE"""),230.9)</f>
        <v>230.9</v>
      </c>
      <c r="E2736" s="2">
        <f>IFERROR(__xludf.DUMMYFUNCTION("""COMPUTED_VALUE"""),232.78)</f>
        <v>232.78</v>
      </c>
      <c r="F2736" s="2">
        <f>IFERROR(__xludf.DUMMYFUNCTION("""COMPUTED_VALUE"""),543509.0)</f>
        <v>543509</v>
      </c>
    </row>
    <row r="2737">
      <c r="A2737" s="3">
        <f>IFERROR(__xludf.DUMMYFUNCTION("""COMPUTED_VALUE"""),40550.645833333336)</f>
        <v>40550.64583</v>
      </c>
      <c r="B2737" s="2">
        <f>IFERROR(__xludf.DUMMYFUNCTION("""COMPUTED_VALUE"""),232.62)</f>
        <v>232.62</v>
      </c>
      <c r="C2737" s="2">
        <f>IFERROR(__xludf.DUMMYFUNCTION("""COMPUTED_VALUE"""),232.62)</f>
        <v>232.62</v>
      </c>
      <c r="D2737" s="2">
        <f>IFERROR(__xludf.DUMMYFUNCTION("""COMPUTED_VALUE"""),226.1)</f>
        <v>226.1</v>
      </c>
      <c r="E2737" s="2">
        <f>IFERROR(__xludf.DUMMYFUNCTION("""COMPUTED_VALUE"""),226.95)</f>
        <v>226.95</v>
      </c>
      <c r="F2737" s="2">
        <f>IFERROR(__xludf.DUMMYFUNCTION("""COMPUTED_VALUE"""),794801.0)</f>
        <v>794801</v>
      </c>
    </row>
    <row r="2738">
      <c r="A2738" s="3">
        <f>IFERROR(__xludf.DUMMYFUNCTION("""COMPUTED_VALUE"""),40553.645833333336)</f>
        <v>40553.64583</v>
      </c>
      <c r="B2738" s="2">
        <f>IFERROR(__xludf.DUMMYFUNCTION("""COMPUTED_VALUE"""),225.61)</f>
        <v>225.61</v>
      </c>
      <c r="C2738" s="2">
        <f>IFERROR(__xludf.DUMMYFUNCTION("""COMPUTED_VALUE"""),227.0)</f>
        <v>227</v>
      </c>
      <c r="D2738" s="2">
        <f>IFERROR(__xludf.DUMMYFUNCTION("""COMPUTED_VALUE"""),213.8)</f>
        <v>213.8</v>
      </c>
      <c r="E2738" s="2">
        <f>IFERROR(__xludf.DUMMYFUNCTION("""COMPUTED_VALUE"""),215.23)</f>
        <v>215.23</v>
      </c>
      <c r="F2738" s="2">
        <f>IFERROR(__xludf.DUMMYFUNCTION("""COMPUTED_VALUE"""),2007086.0)</f>
        <v>2007086</v>
      </c>
    </row>
    <row r="2739">
      <c r="A2739" s="3">
        <f>IFERROR(__xludf.DUMMYFUNCTION("""COMPUTED_VALUE"""),40554.645833333336)</f>
        <v>40554.64583</v>
      </c>
      <c r="B2739" s="2">
        <f>IFERROR(__xludf.DUMMYFUNCTION("""COMPUTED_VALUE"""),217.0)</f>
        <v>217</v>
      </c>
      <c r="C2739" s="2">
        <f>IFERROR(__xludf.DUMMYFUNCTION("""COMPUTED_VALUE"""),221.87)</f>
        <v>221.87</v>
      </c>
      <c r="D2739" s="2">
        <f>IFERROR(__xludf.DUMMYFUNCTION("""COMPUTED_VALUE"""),212.5)</f>
        <v>212.5</v>
      </c>
      <c r="E2739" s="2">
        <f>IFERROR(__xludf.DUMMYFUNCTION("""COMPUTED_VALUE"""),214.66)</f>
        <v>214.66</v>
      </c>
      <c r="F2739" s="2">
        <f>IFERROR(__xludf.DUMMYFUNCTION("""COMPUTED_VALUE"""),1215759.0)</f>
        <v>1215759</v>
      </c>
    </row>
    <row r="2740">
      <c r="A2740" s="3">
        <f>IFERROR(__xludf.DUMMYFUNCTION("""COMPUTED_VALUE"""),40555.645833333336)</f>
        <v>40555.64583</v>
      </c>
      <c r="B2740" s="2">
        <f>IFERROR(__xludf.DUMMYFUNCTION("""COMPUTED_VALUE"""),216.9)</f>
        <v>216.9</v>
      </c>
      <c r="C2740" s="2">
        <f>IFERROR(__xludf.DUMMYFUNCTION("""COMPUTED_VALUE"""),221.4)</f>
        <v>221.4</v>
      </c>
      <c r="D2740" s="2">
        <f>IFERROR(__xludf.DUMMYFUNCTION("""COMPUTED_VALUE"""),210.66)</f>
        <v>210.66</v>
      </c>
      <c r="E2740" s="2">
        <f>IFERROR(__xludf.DUMMYFUNCTION("""COMPUTED_VALUE"""),220.53)</f>
        <v>220.53</v>
      </c>
      <c r="F2740" s="2">
        <f>IFERROR(__xludf.DUMMYFUNCTION("""COMPUTED_VALUE"""),990533.0)</f>
        <v>990533</v>
      </c>
    </row>
    <row r="2741">
      <c r="A2741" s="3">
        <f>IFERROR(__xludf.DUMMYFUNCTION("""COMPUTED_VALUE"""),40556.645833333336)</f>
        <v>40556.64583</v>
      </c>
      <c r="B2741" s="2">
        <f>IFERROR(__xludf.DUMMYFUNCTION("""COMPUTED_VALUE"""),220.9)</f>
        <v>220.9</v>
      </c>
      <c r="C2741" s="2">
        <f>IFERROR(__xludf.DUMMYFUNCTION("""COMPUTED_VALUE"""),221.74)</f>
        <v>221.74</v>
      </c>
      <c r="D2741" s="2">
        <f>IFERROR(__xludf.DUMMYFUNCTION("""COMPUTED_VALUE"""),212.64)</f>
        <v>212.64</v>
      </c>
      <c r="E2741" s="2">
        <f>IFERROR(__xludf.DUMMYFUNCTION("""COMPUTED_VALUE"""),214.3)</f>
        <v>214.3</v>
      </c>
      <c r="F2741" s="2">
        <f>IFERROR(__xludf.DUMMYFUNCTION("""COMPUTED_VALUE"""),948601.0)</f>
        <v>948601</v>
      </c>
    </row>
    <row r="2742">
      <c r="A2742" s="3">
        <f>IFERROR(__xludf.DUMMYFUNCTION("""COMPUTED_VALUE"""),40557.645833333336)</f>
        <v>40557.64583</v>
      </c>
      <c r="B2742" s="2">
        <f>IFERROR(__xludf.DUMMYFUNCTION("""COMPUTED_VALUE"""),215.0)</f>
        <v>215</v>
      </c>
      <c r="C2742" s="2">
        <f>IFERROR(__xludf.DUMMYFUNCTION("""COMPUTED_VALUE"""),220.8)</f>
        <v>220.8</v>
      </c>
      <c r="D2742" s="2">
        <f>IFERROR(__xludf.DUMMYFUNCTION("""COMPUTED_VALUE"""),203.0)</f>
        <v>203</v>
      </c>
      <c r="E2742" s="2">
        <f>IFERROR(__xludf.DUMMYFUNCTION("""COMPUTED_VALUE"""),204.96)</f>
        <v>204.96</v>
      </c>
      <c r="F2742" s="2">
        <f>IFERROR(__xludf.DUMMYFUNCTION("""COMPUTED_VALUE"""),1279141.0)</f>
        <v>1279141</v>
      </c>
    </row>
    <row r="2743">
      <c r="A2743" s="3">
        <f>IFERROR(__xludf.DUMMYFUNCTION("""COMPUTED_VALUE"""),40560.645833333336)</f>
        <v>40560.64583</v>
      </c>
      <c r="B2743" s="2">
        <f>IFERROR(__xludf.DUMMYFUNCTION("""COMPUTED_VALUE"""),206.0)</f>
        <v>206</v>
      </c>
      <c r="C2743" s="2">
        <f>IFERROR(__xludf.DUMMYFUNCTION("""COMPUTED_VALUE"""),209.3)</f>
        <v>209.3</v>
      </c>
      <c r="D2743" s="2">
        <f>IFERROR(__xludf.DUMMYFUNCTION("""COMPUTED_VALUE"""),205.06)</f>
        <v>205.06</v>
      </c>
      <c r="E2743" s="2">
        <f>IFERROR(__xludf.DUMMYFUNCTION("""COMPUTED_VALUE"""),206.81)</f>
        <v>206.81</v>
      </c>
      <c r="F2743" s="2">
        <f>IFERROR(__xludf.DUMMYFUNCTION("""COMPUTED_VALUE"""),1228082.0)</f>
        <v>1228082</v>
      </c>
    </row>
    <row r="2744">
      <c r="A2744" s="3">
        <f>IFERROR(__xludf.DUMMYFUNCTION("""COMPUTED_VALUE"""),40561.645833333336)</f>
        <v>40561.64583</v>
      </c>
      <c r="B2744" s="2">
        <f>IFERROR(__xludf.DUMMYFUNCTION("""COMPUTED_VALUE"""),208.68)</f>
        <v>208.68</v>
      </c>
      <c r="C2744" s="2">
        <f>IFERROR(__xludf.DUMMYFUNCTION("""COMPUTED_VALUE"""),211.6)</f>
        <v>211.6</v>
      </c>
      <c r="D2744" s="2">
        <f>IFERROR(__xludf.DUMMYFUNCTION("""COMPUTED_VALUE"""),204.67)</f>
        <v>204.67</v>
      </c>
      <c r="E2744" s="2">
        <f>IFERROR(__xludf.DUMMYFUNCTION("""COMPUTED_VALUE"""),210.94)</f>
        <v>210.94</v>
      </c>
      <c r="F2744" s="2">
        <f>IFERROR(__xludf.DUMMYFUNCTION("""COMPUTED_VALUE"""),842016.0)</f>
        <v>842016</v>
      </c>
    </row>
    <row r="2745">
      <c r="A2745" s="3">
        <f>IFERROR(__xludf.DUMMYFUNCTION("""COMPUTED_VALUE"""),40562.645833333336)</f>
        <v>40562.64583</v>
      </c>
      <c r="B2745" s="2">
        <f>IFERROR(__xludf.DUMMYFUNCTION("""COMPUTED_VALUE"""),211.16)</f>
        <v>211.16</v>
      </c>
      <c r="C2745" s="2">
        <f>IFERROR(__xludf.DUMMYFUNCTION("""COMPUTED_VALUE"""),211.41)</f>
        <v>211.41</v>
      </c>
      <c r="D2745" s="2">
        <f>IFERROR(__xludf.DUMMYFUNCTION("""COMPUTED_VALUE"""),206.3)</f>
        <v>206.3</v>
      </c>
      <c r="E2745" s="2">
        <f>IFERROR(__xludf.DUMMYFUNCTION("""COMPUTED_VALUE"""),207.55)</f>
        <v>207.55</v>
      </c>
      <c r="F2745" s="2">
        <f>IFERROR(__xludf.DUMMYFUNCTION("""COMPUTED_VALUE"""),899205.0)</f>
        <v>899205</v>
      </c>
    </row>
    <row r="2746">
      <c r="A2746" s="3">
        <f>IFERROR(__xludf.DUMMYFUNCTION("""COMPUTED_VALUE"""),40563.645833333336)</f>
        <v>40563.64583</v>
      </c>
      <c r="B2746" s="2">
        <f>IFERROR(__xludf.DUMMYFUNCTION("""COMPUTED_VALUE"""),206.93)</f>
        <v>206.93</v>
      </c>
      <c r="C2746" s="2">
        <f>IFERROR(__xludf.DUMMYFUNCTION("""COMPUTED_VALUE"""),213.44)</f>
        <v>213.44</v>
      </c>
      <c r="D2746" s="2">
        <f>IFERROR(__xludf.DUMMYFUNCTION("""COMPUTED_VALUE"""),204.59)</f>
        <v>204.59</v>
      </c>
      <c r="E2746" s="2">
        <f>IFERROR(__xludf.DUMMYFUNCTION("""COMPUTED_VALUE"""),211.76)</f>
        <v>211.76</v>
      </c>
      <c r="F2746" s="2">
        <f>IFERROR(__xludf.DUMMYFUNCTION("""COMPUTED_VALUE"""),963854.0)</f>
        <v>963854</v>
      </c>
    </row>
    <row r="2747">
      <c r="A2747" s="3">
        <f>IFERROR(__xludf.DUMMYFUNCTION("""COMPUTED_VALUE"""),40564.645833333336)</f>
        <v>40564.64583</v>
      </c>
      <c r="B2747" s="2">
        <f>IFERROR(__xludf.DUMMYFUNCTION("""COMPUTED_VALUE"""),210.4)</f>
        <v>210.4</v>
      </c>
      <c r="C2747" s="2">
        <f>IFERROR(__xludf.DUMMYFUNCTION("""COMPUTED_VALUE"""),212.47)</f>
        <v>212.47</v>
      </c>
      <c r="D2747" s="2">
        <f>IFERROR(__xludf.DUMMYFUNCTION("""COMPUTED_VALUE"""),207.61)</f>
        <v>207.61</v>
      </c>
      <c r="E2747" s="2">
        <f>IFERROR(__xludf.DUMMYFUNCTION("""COMPUTED_VALUE"""),209.41)</f>
        <v>209.41</v>
      </c>
      <c r="F2747" s="2">
        <f>IFERROR(__xludf.DUMMYFUNCTION("""COMPUTED_VALUE"""),829761.0)</f>
        <v>829761</v>
      </c>
    </row>
    <row r="2748">
      <c r="A2748" s="3">
        <f>IFERROR(__xludf.DUMMYFUNCTION("""COMPUTED_VALUE"""),40567.645833333336)</f>
        <v>40567.64583</v>
      </c>
      <c r="B2748" s="2">
        <f>IFERROR(__xludf.DUMMYFUNCTION("""COMPUTED_VALUE"""),209.5)</f>
        <v>209.5</v>
      </c>
      <c r="C2748" s="2">
        <f>IFERROR(__xludf.DUMMYFUNCTION("""COMPUTED_VALUE"""),215.4)</f>
        <v>215.4</v>
      </c>
      <c r="D2748" s="2">
        <f>IFERROR(__xludf.DUMMYFUNCTION("""COMPUTED_VALUE"""),207.3)</f>
        <v>207.3</v>
      </c>
      <c r="E2748" s="2">
        <f>IFERROR(__xludf.DUMMYFUNCTION("""COMPUTED_VALUE"""),214.86)</f>
        <v>214.86</v>
      </c>
      <c r="F2748" s="2">
        <f>IFERROR(__xludf.DUMMYFUNCTION("""COMPUTED_VALUE"""),1277416.0)</f>
        <v>1277416</v>
      </c>
    </row>
    <row r="2749">
      <c r="A2749" s="3">
        <f>IFERROR(__xludf.DUMMYFUNCTION("""COMPUTED_VALUE"""),40568.645833333336)</f>
        <v>40568.64583</v>
      </c>
      <c r="B2749" s="2">
        <f>IFERROR(__xludf.DUMMYFUNCTION("""COMPUTED_VALUE"""),215.12)</f>
        <v>215.12</v>
      </c>
      <c r="C2749" s="2">
        <f>IFERROR(__xludf.DUMMYFUNCTION("""COMPUTED_VALUE"""),217.49)</f>
        <v>217.49</v>
      </c>
      <c r="D2749" s="2">
        <f>IFERROR(__xludf.DUMMYFUNCTION("""COMPUTED_VALUE"""),207.01)</f>
        <v>207.01</v>
      </c>
      <c r="E2749" s="2">
        <f>IFERROR(__xludf.DUMMYFUNCTION("""COMPUTED_VALUE"""),208.43)</f>
        <v>208.43</v>
      </c>
      <c r="F2749" s="2">
        <f>IFERROR(__xludf.DUMMYFUNCTION("""COMPUTED_VALUE"""),1411054.0)</f>
        <v>1411054</v>
      </c>
    </row>
    <row r="2750">
      <c r="A2750" s="3">
        <f>IFERROR(__xludf.DUMMYFUNCTION("""COMPUTED_VALUE"""),40570.645833333336)</f>
        <v>40570.64583</v>
      </c>
      <c r="B2750" s="2">
        <f>IFERROR(__xludf.DUMMYFUNCTION("""COMPUTED_VALUE"""),210.0)</f>
        <v>210</v>
      </c>
      <c r="C2750" s="2">
        <f>IFERROR(__xludf.DUMMYFUNCTION("""COMPUTED_VALUE"""),210.0)</f>
        <v>210</v>
      </c>
      <c r="D2750" s="2">
        <f>IFERROR(__xludf.DUMMYFUNCTION("""COMPUTED_VALUE"""),204.1)</f>
        <v>204.1</v>
      </c>
      <c r="E2750" s="2">
        <f>IFERROR(__xludf.DUMMYFUNCTION("""COMPUTED_VALUE"""),205.09)</f>
        <v>205.09</v>
      </c>
      <c r="F2750" s="2">
        <f>IFERROR(__xludf.DUMMYFUNCTION("""COMPUTED_VALUE"""),1894558.0)</f>
        <v>1894558</v>
      </c>
    </row>
    <row r="2751">
      <c r="A2751" s="3">
        <f>IFERROR(__xludf.DUMMYFUNCTION("""COMPUTED_VALUE"""),40571.645833333336)</f>
        <v>40571.64583</v>
      </c>
      <c r="B2751" s="2">
        <f>IFERROR(__xludf.DUMMYFUNCTION("""COMPUTED_VALUE"""),205.5)</f>
        <v>205.5</v>
      </c>
      <c r="C2751" s="2">
        <f>IFERROR(__xludf.DUMMYFUNCTION("""COMPUTED_VALUE"""),208.94)</f>
        <v>208.94</v>
      </c>
      <c r="D2751" s="2">
        <f>IFERROR(__xludf.DUMMYFUNCTION("""COMPUTED_VALUE"""),204.21)</f>
        <v>204.21</v>
      </c>
      <c r="E2751" s="2">
        <f>IFERROR(__xludf.DUMMYFUNCTION("""COMPUTED_VALUE"""),205.43)</f>
        <v>205.43</v>
      </c>
      <c r="F2751" s="2">
        <f>IFERROR(__xludf.DUMMYFUNCTION("""COMPUTED_VALUE"""),1779842.0)</f>
        <v>1779842</v>
      </c>
    </row>
    <row r="2752">
      <c r="A2752" s="3">
        <f>IFERROR(__xludf.DUMMYFUNCTION("""COMPUTED_VALUE"""),40574.645833333336)</f>
        <v>40574.64583</v>
      </c>
      <c r="B2752" s="2">
        <f>IFERROR(__xludf.DUMMYFUNCTION("""COMPUTED_VALUE"""),204.27)</f>
        <v>204.27</v>
      </c>
      <c r="C2752" s="2">
        <f>IFERROR(__xludf.DUMMYFUNCTION("""COMPUTED_VALUE"""),206.35)</f>
        <v>206.35</v>
      </c>
      <c r="D2752" s="2">
        <f>IFERROR(__xludf.DUMMYFUNCTION("""COMPUTED_VALUE"""),199.62)</f>
        <v>199.62</v>
      </c>
      <c r="E2752" s="2">
        <f>IFERROR(__xludf.DUMMYFUNCTION("""COMPUTED_VALUE"""),204.73)</f>
        <v>204.73</v>
      </c>
      <c r="F2752" s="2">
        <f>IFERROR(__xludf.DUMMYFUNCTION("""COMPUTED_VALUE"""),1111803.0)</f>
        <v>1111803</v>
      </c>
    </row>
    <row r="2753">
      <c r="A2753" s="3">
        <f>IFERROR(__xludf.DUMMYFUNCTION("""COMPUTED_VALUE"""),40575.645833333336)</f>
        <v>40575.64583</v>
      </c>
      <c r="B2753" s="2">
        <f>IFERROR(__xludf.DUMMYFUNCTION("""COMPUTED_VALUE"""),207.69)</f>
        <v>207.69</v>
      </c>
      <c r="C2753" s="2">
        <f>IFERROR(__xludf.DUMMYFUNCTION("""COMPUTED_VALUE"""),207.69)</f>
        <v>207.69</v>
      </c>
      <c r="D2753" s="2">
        <f>IFERROR(__xludf.DUMMYFUNCTION("""COMPUTED_VALUE"""),201.51)</f>
        <v>201.51</v>
      </c>
      <c r="E2753" s="2">
        <f>IFERROR(__xludf.DUMMYFUNCTION("""COMPUTED_VALUE"""),203.96)</f>
        <v>203.96</v>
      </c>
      <c r="F2753" s="2">
        <f>IFERROR(__xludf.DUMMYFUNCTION("""COMPUTED_VALUE"""),855123.0)</f>
        <v>855123</v>
      </c>
    </row>
    <row r="2754">
      <c r="A2754" s="3">
        <f>IFERROR(__xludf.DUMMYFUNCTION("""COMPUTED_VALUE"""),40576.645833333336)</f>
        <v>40576.64583</v>
      </c>
      <c r="B2754" s="2">
        <f>IFERROR(__xludf.DUMMYFUNCTION("""COMPUTED_VALUE"""),205.15)</f>
        <v>205.15</v>
      </c>
      <c r="C2754" s="2">
        <f>IFERROR(__xludf.DUMMYFUNCTION("""COMPUTED_VALUE"""),206.35)</f>
        <v>206.35</v>
      </c>
      <c r="D2754" s="2">
        <f>IFERROR(__xludf.DUMMYFUNCTION("""COMPUTED_VALUE"""),200.62)</f>
        <v>200.62</v>
      </c>
      <c r="E2754" s="2">
        <f>IFERROR(__xludf.DUMMYFUNCTION("""COMPUTED_VALUE"""),201.99)</f>
        <v>201.99</v>
      </c>
      <c r="F2754" s="2">
        <f>IFERROR(__xludf.DUMMYFUNCTION("""COMPUTED_VALUE"""),976217.0)</f>
        <v>976217</v>
      </c>
    </row>
    <row r="2755">
      <c r="A2755" s="3">
        <f>IFERROR(__xludf.DUMMYFUNCTION("""COMPUTED_VALUE"""),40577.645833333336)</f>
        <v>40577.64583</v>
      </c>
      <c r="B2755" s="2">
        <f>IFERROR(__xludf.DUMMYFUNCTION("""COMPUTED_VALUE"""),202.0)</f>
        <v>202</v>
      </c>
      <c r="C2755" s="2">
        <f>IFERROR(__xludf.DUMMYFUNCTION("""COMPUTED_VALUE"""),207.18)</f>
        <v>207.18</v>
      </c>
      <c r="D2755" s="2">
        <f>IFERROR(__xludf.DUMMYFUNCTION("""COMPUTED_VALUE"""),201.0)</f>
        <v>201</v>
      </c>
      <c r="E2755" s="2">
        <f>IFERROR(__xludf.DUMMYFUNCTION("""COMPUTED_VALUE"""),206.1)</f>
        <v>206.1</v>
      </c>
      <c r="F2755" s="2">
        <f>IFERROR(__xludf.DUMMYFUNCTION("""COMPUTED_VALUE"""),579603.0)</f>
        <v>579603</v>
      </c>
    </row>
    <row r="2756">
      <c r="A2756" s="3">
        <f>IFERROR(__xludf.DUMMYFUNCTION("""COMPUTED_VALUE"""),40578.645833333336)</f>
        <v>40578.64583</v>
      </c>
      <c r="B2756" s="2">
        <f>IFERROR(__xludf.DUMMYFUNCTION("""COMPUTED_VALUE"""),205.1)</f>
        <v>205.1</v>
      </c>
      <c r="C2756" s="2">
        <f>IFERROR(__xludf.DUMMYFUNCTION("""COMPUTED_VALUE"""),208.5)</f>
        <v>208.5</v>
      </c>
      <c r="D2756" s="2">
        <f>IFERROR(__xludf.DUMMYFUNCTION("""COMPUTED_VALUE"""),200.5)</f>
        <v>200.5</v>
      </c>
      <c r="E2756" s="2">
        <f>IFERROR(__xludf.DUMMYFUNCTION("""COMPUTED_VALUE"""),201.78)</f>
        <v>201.78</v>
      </c>
      <c r="F2756" s="2">
        <f>IFERROR(__xludf.DUMMYFUNCTION("""COMPUTED_VALUE"""),925320.0)</f>
        <v>925320</v>
      </c>
    </row>
    <row r="2757">
      <c r="A2757" s="3">
        <f>IFERROR(__xludf.DUMMYFUNCTION("""COMPUTED_VALUE"""),40581.645833333336)</f>
        <v>40581.64583</v>
      </c>
      <c r="B2757" s="2">
        <f>IFERROR(__xludf.DUMMYFUNCTION("""COMPUTED_VALUE"""),204.5)</f>
        <v>204.5</v>
      </c>
      <c r="C2757" s="2">
        <f>IFERROR(__xludf.DUMMYFUNCTION("""COMPUTED_VALUE"""),206.0)</f>
        <v>206</v>
      </c>
      <c r="D2757" s="2">
        <f>IFERROR(__xludf.DUMMYFUNCTION("""COMPUTED_VALUE"""),202.02)</f>
        <v>202.02</v>
      </c>
      <c r="E2757" s="2">
        <f>IFERROR(__xludf.DUMMYFUNCTION("""COMPUTED_VALUE"""),203.89)</f>
        <v>203.89</v>
      </c>
      <c r="F2757" s="2">
        <f>IFERROR(__xludf.DUMMYFUNCTION("""COMPUTED_VALUE"""),855946.0)</f>
        <v>855946</v>
      </c>
    </row>
    <row r="2758">
      <c r="A2758" s="3">
        <f>IFERROR(__xludf.DUMMYFUNCTION("""COMPUTED_VALUE"""),40582.645833333336)</f>
        <v>40582.64583</v>
      </c>
      <c r="B2758" s="2">
        <f>IFERROR(__xludf.DUMMYFUNCTION("""COMPUTED_VALUE"""),205.99)</f>
        <v>205.99</v>
      </c>
      <c r="C2758" s="2">
        <f>IFERROR(__xludf.DUMMYFUNCTION("""COMPUTED_VALUE"""),206.0)</f>
        <v>206</v>
      </c>
      <c r="D2758" s="2">
        <f>IFERROR(__xludf.DUMMYFUNCTION("""COMPUTED_VALUE"""),198.51)</f>
        <v>198.51</v>
      </c>
      <c r="E2758" s="2">
        <f>IFERROR(__xludf.DUMMYFUNCTION("""COMPUTED_VALUE"""),200.29)</f>
        <v>200.29</v>
      </c>
      <c r="F2758" s="2">
        <f>IFERROR(__xludf.DUMMYFUNCTION("""COMPUTED_VALUE"""),719599.0)</f>
        <v>719599</v>
      </c>
    </row>
    <row r="2759">
      <c r="A2759" s="3">
        <f>IFERROR(__xludf.DUMMYFUNCTION("""COMPUTED_VALUE"""),40583.645833333336)</f>
        <v>40583.64583</v>
      </c>
      <c r="B2759" s="2">
        <f>IFERROR(__xludf.DUMMYFUNCTION("""COMPUTED_VALUE"""),199.8)</f>
        <v>199.8</v>
      </c>
      <c r="C2759" s="2">
        <f>IFERROR(__xludf.DUMMYFUNCTION("""COMPUTED_VALUE"""),203.5)</f>
        <v>203.5</v>
      </c>
      <c r="D2759" s="2">
        <f>IFERROR(__xludf.DUMMYFUNCTION("""COMPUTED_VALUE"""),198.14)</f>
        <v>198.14</v>
      </c>
      <c r="E2759" s="2">
        <f>IFERROR(__xludf.DUMMYFUNCTION("""COMPUTED_VALUE"""),202.23)</f>
        <v>202.23</v>
      </c>
      <c r="F2759" s="2">
        <f>IFERROR(__xludf.DUMMYFUNCTION("""COMPUTED_VALUE"""),735758.0)</f>
        <v>735758</v>
      </c>
    </row>
    <row r="2760">
      <c r="A2760" s="3">
        <f>IFERROR(__xludf.DUMMYFUNCTION("""COMPUTED_VALUE"""),40584.645833333336)</f>
        <v>40584.64583</v>
      </c>
      <c r="B2760" s="2">
        <f>IFERROR(__xludf.DUMMYFUNCTION("""COMPUTED_VALUE"""),201.6)</f>
        <v>201.6</v>
      </c>
      <c r="C2760" s="2">
        <f>IFERROR(__xludf.DUMMYFUNCTION("""COMPUTED_VALUE"""),204.9)</f>
        <v>204.9</v>
      </c>
      <c r="D2760" s="2">
        <f>IFERROR(__xludf.DUMMYFUNCTION("""COMPUTED_VALUE"""),200.0)</f>
        <v>200</v>
      </c>
      <c r="E2760" s="2">
        <f>IFERROR(__xludf.DUMMYFUNCTION("""COMPUTED_VALUE"""),201.59)</f>
        <v>201.59</v>
      </c>
      <c r="F2760" s="2">
        <f>IFERROR(__xludf.DUMMYFUNCTION("""COMPUTED_VALUE"""),1153559.0)</f>
        <v>1153559</v>
      </c>
    </row>
    <row r="2761">
      <c r="A2761" s="3">
        <f>IFERROR(__xludf.DUMMYFUNCTION("""COMPUTED_VALUE"""),40585.645833333336)</f>
        <v>40585.64583</v>
      </c>
      <c r="B2761" s="2">
        <f>IFERROR(__xludf.DUMMYFUNCTION("""COMPUTED_VALUE"""),199.5)</f>
        <v>199.5</v>
      </c>
      <c r="C2761" s="2">
        <f>IFERROR(__xludf.DUMMYFUNCTION("""COMPUTED_VALUE"""),206.0)</f>
        <v>206</v>
      </c>
      <c r="D2761" s="2">
        <f>IFERROR(__xludf.DUMMYFUNCTION("""COMPUTED_VALUE"""),199.5)</f>
        <v>199.5</v>
      </c>
      <c r="E2761" s="2">
        <f>IFERROR(__xludf.DUMMYFUNCTION("""COMPUTED_VALUE"""),205.93)</f>
        <v>205.93</v>
      </c>
      <c r="F2761" s="2">
        <f>IFERROR(__xludf.DUMMYFUNCTION("""COMPUTED_VALUE"""),1010342.0)</f>
        <v>1010342</v>
      </c>
    </row>
    <row r="2762">
      <c r="A2762" s="3">
        <f>IFERROR(__xludf.DUMMYFUNCTION("""COMPUTED_VALUE"""),40588.645833333336)</f>
        <v>40588.64583</v>
      </c>
      <c r="B2762" s="2">
        <f>IFERROR(__xludf.DUMMYFUNCTION("""COMPUTED_VALUE"""),205.01)</f>
        <v>205.01</v>
      </c>
      <c r="C2762" s="2">
        <f>IFERROR(__xludf.DUMMYFUNCTION("""COMPUTED_VALUE"""),211.02)</f>
        <v>211.02</v>
      </c>
      <c r="D2762" s="2">
        <f>IFERROR(__xludf.DUMMYFUNCTION("""COMPUTED_VALUE"""),205.01)</f>
        <v>205.01</v>
      </c>
      <c r="E2762" s="2">
        <f>IFERROR(__xludf.DUMMYFUNCTION("""COMPUTED_VALUE"""),210.55)</f>
        <v>210.55</v>
      </c>
      <c r="F2762" s="2">
        <f>IFERROR(__xludf.DUMMYFUNCTION("""COMPUTED_VALUE"""),592236.0)</f>
        <v>592236</v>
      </c>
    </row>
    <row r="2763">
      <c r="A2763" s="3">
        <f>IFERROR(__xludf.DUMMYFUNCTION("""COMPUTED_VALUE"""),40589.645833333336)</f>
        <v>40589.64583</v>
      </c>
      <c r="B2763" s="2">
        <f>IFERROR(__xludf.DUMMYFUNCTION("""COMPUTED_VALUE"""),211.0)</f>
        <v>211</v>
      </c>
      <c r="C2763" s="2">
        <f>IFERROR(__xludf.DUMMYFUNCTION("""COMPUTED_VALUE"""),212.8)</f>
        <v>212.8</v>
      </c>
      <c r="D2763" s="2">
        <f>IFERROR(__xludf.DUMMYFUNCTION("""COMPUTED_VALUE"""),207.53)</f>
        <v>207.53</v>
      </c>
      <c r="E2763" s="2">
        <f>IFERROR(__xludf.DUMMYFUNCTION("""COMPUTED_VALUE"""),210.7)</f>
        <v>210.7</v>
      </c>
      <c r="F2763" s="2">
        <f>IFERROR(__xludf.DUMMYFUNCTION("""COMPUTED_VALUE"""),759973.0)</f>
        <v>759973</v>
      </c>
    </row>
    <row r="2764">
      <c r="A2764" s="3">
        <f>IFERROR(__xludf.DUMMYFUNCTION("""COMPUTED_VALUE"""),40590.645833333336)</f>
        <v>40590.64583</v>
      </c>
      <c r="B2764" s="2">
        <f>IFERROR(__xludf.DUMMYFUNCTION("""COMPUTED_VALUE"""),211.4)</f>
        <v>211.4</v>
      </c>
      <c r="C2764" s="2">
        <f>IFERROR(__xludf.DUMMYFUNCTION("""COMPUTED_VALUE"""),212.2)</f>
        <v>212.2</v>
      </c>
      <c r="D2764" s="2">
        <f>IFERROR(__xludf.DUMMYFUNCTION("""COMPUTED_VALUE"""),208.51)</f>
        <v>208.51</v>
      </c>
      <c r="E2764" s="2">
        <f>IFERROR(__xludf.DUMMYFUNCTION("""COMPUTED_VALUE"""),209.49)</f>
        <v>209.49</v>
      </c>
      <c r="F2764" s="2">
        <f>IFERROR(__xludf.DUMMYFUNCTION("""COMPUTED_VALUE"""),455079.0)</f>
        <v>455079</v>
      </c>
    </row>
    <row r="2765">
      <c r="A2765" s="3">
        <f>IFERROR(__xludf.DUMMYFUNCTION("""COMPUTED_VALUE"""),40591.645833333336)</f>
        <v>40591.64583</v>
      </c>
      <c r="B2765" s="2">
        <f>IFERROR(__xludf.DUMMYFUNCTION("""COMPUTED_VALUE"""),210.0)</f>
        <v>210</v>
      </c>
      <c r="C2765" s="2">
        <f>IFERROR(__xludf.DUMMYFUNCTION("""COMPUTED_VALUE"""),219.4)</f>
        <v>219.4</v>
      </c>
      <c r="D2765" s="2">
        <f>IFERROR(__xludf.DUMMYFUNCTION("""COMPUTED_VALUE"""),209.5)</f>
        <v>209.5</v>
      </c>
      <c r="E2765" s="2">
        <f>IFERROR(__xludf.DUMMYFUNCTION("""COMPUTED_VALUE"""),218.56)</f>
        <v>218.56</v>
      </c>
      <c r="F2765" s="2">
        <f>IFERROR(__xludf.DUMMYFUNCTION("""COMPUTED_VALUE"""),1180492.0)</f>
        <v>1180492</v>
      </c>
    </row>
    <row r="2766">
      <c r="A2766" s="3">
        <f>IFERROR(__xludf.DUMMYFUNCTION("""COMPUTED_VALUE"""),40592.645833333336)</f>
        <v>40592.64583</v>
      </c>
      <c r="B2766" s="2">
        <f>IFERROR(__xludf.DUMMYFUNCTION("""COMPUTED_VALUE"""),218.4)</f>
        <v>218.4</v>
      </c>
      <c r="C2766" s="2">
        <f>IFERROR(__xludf.DUMMYFUNCTION("""COMPUTED_VALUE"""),224.31)</f>
        <v>224.31</v>
      </c>
      <c r="D2766" s="2">
        <f>IFERROR(__xludf.DUMMYFUNCTION("""COMPUTED_VALUE"""),216.53)</f>
        <v>216.53</v>
      </c>
      <c r="E2766" s="2">
        <f>IFERROR(__xludf.DUMMYFUNCTION("""COMPUTED_VALUE"""),217.61)</f>
        <v>217.61</v>
      </c>
      <c r="F2766" s="2">
        <f>IFERROR(__xludf.DUMMYFUNCTION("""COMPUTED_VALUE"""),1976787.0)</f>
        <v>1976787</v>
      </c>
    </row>
    <row r="2767">
      <c r="A2767" s="3">
        <f>IFERROR(__xludf.DUMMYFUNCTION("""COMPUTED_VALUE"""),40595.645833333336)</f>
        <v>40595.64583</v>
      </c>
      <c r="B2767" s="2">
        <f>IFERROR(__xludf.DUMMYFUNCTION("""COMPUTED_VALUE"""),216.5)</f>
        <v>216.5</v>
      </c>
      <c r="C2767" s="2">
        <f>IFERROR(__xludf.DUMMYFUNCTION("""COMPUTED_VALUE"""),220.8)</f>
        <v>220.8</v>
      </c>
      <c r="D2767" s="2">
        <f>IFERROR(__xludf.DUMMYFUNCTION("""COMPUTED_VALUE"""),213.25)</f>
        <v>213.25</v>
      </c>
      <c r="E2767" s="2">
        <f>IFERROR(__xludf.DUMMYFUNCTION("""COMPUTED_VALUE"""),220.17)</f>
        <v>220.17</v>
      </c>
      <c r="F2767" s="2">
        <f>IFERROR(__xludf.DUMMYFUNCTION("""COMPUTED_VALUE"""),560051.0)</f>
        <v>560051</v>
      </c>
    </row>
    <row r="2768">
      <c r="A2768" s="3">
        <f>IFERROR(__xludf.DUMMYFUNCTION("""COMPUTED_VALUE"""),40596.645833333336)</f>
        <v>40596.64583</v>
      </c>
      <c r="B2768" s="2">
        <f>IFERROR(__xludf.DUMMYFUNCTION("""COMPUTED_VALUE"""),219.0)</f>
        <v>219</v>
      </c>
      <c r="C2768" s="2">
        <f>IFERROR(__xludf.DUMMYFUNCTION("""COMPUTED_VALUE"""),219.17)</f>
        <v>219.17</v>
      </c>
      <c r="D2768" s="2">
        <f>IFERROR(__xludf.DUMMYFUNCTION("""COMPUTED_VALUE"""),212.54)</f>
        <v>212.54</v>
      </c>
      <c r="E2768" s="2">
        <f>IFERROR(__xludf.DUMMYFUNCTION("""COMPUTED_VALUE"""),213.85)</f>
        <v>213.85</v>
      </c>
      <c r="F2768" s="2">
        <f>IFERROR(__xludf.DUMMYFUNCTION("""COMPUTED_VALUE"""),579643.0)</f>
        <v>579643</v>
      </c>
    </row>
    <row r="2769">
      <c r="A2769" s="3">
        <f>IFERROR(__xludf.DUMMYFUNCTION("""COMPUTED_VALUE"""),40597.645833333336)</f>
        <v>40597.64583</v>
      </c>
      <c r="B2769" s="2">
        <f>IFERROR(__xludf.DUMMYFUNCTION("""COMPUTED_VALUE"""),212.52)</f>
        <v>212.52</v>
      </c>
      <c r="C2769" s="2">
        <f>IFERROR(__xludf.DUMMYFUNCTION("""COMPUTED_VALUE"""),215.3)</f>
        <v>215.3</v>
      </c>
      <c r="D2769" s="2">
        <f>IFERROR(__xludf.DUMMYFUNCTION("""COMPUTED_VALUE"""),210.02)</f>
        <v>210.02</v>
      </c>
      <c r="E2769" s="2">
        <f>IFERROR(__xludf.DUMMYFUNCTION("""COMPUTED_VALUE"""),211.41)</f>
        <v>211.41</v>
      </c>
      <c r="F2769" s="2">
        <f>IFERROR(__xludf.DUMMYFUNCTION("""COMPUTED_VALUE"""),611422.0)</f>
        <v>611422</v>
      </c>
    </row>
    <row r="2770">
      <c r="A2770" s="3">
        <f>IFERROR(__xludf.DUMMYFUNCTION("""COMPUTED_VALUE"""),40598.645833333336)</f>
        <v>40598.64583</v>
      </c>
      <c r="B2770" s="2">
        <f>IFERROR(__xludf.DUMMYFUNCTION("""COMPUTED_VALUE"""),208.7)</f>
        <v>208.7</v>
      </c>
      <c r="C2770" s="2">
        <f>IFERROR(__xludf.DUMMYFUNCTION("""COMPUTED_VALUE"""),211.86)</f>
        <v>211.86</v>
      </c>
      <c r="D2770" s="2">
        <f>IFERROR(__xludf.DUMMYFUNCTION("""COMPUTED_VALUE"""),204.58)</f>
        <v>204.58</v>
      </c>
      <c r="E2770" s="2">
        <f>IFERROR(__xludf.DUMMYFUNCTION("""COMPUTED_VALUE"""),205.91)</f>
        <v>205.91</v>
      </c>
      <c r="F2770" s="2">
        <f>IFERROR(__xludf.DUMMYFUNCTION("""COMPUTED_VALUE"""),1002777.0)</f>
        <v>1002777</v>
      </c>
    </row>
    <row r="2771">
      <c r="A2771" s="3">
        <f>IFERROR(__xludf.DUMMYFUNCTION("""COMPUTED_VALUE"""),40599.645833333336)</f>
        <v>40599.64583</v>
      </c>
      <c r="B2771" s="2">
        <f>IFERROR(__xludf.DUMMYFUNCTION("""COMPUTED_VALUE"""),208.7)</f>
        <v>208.7</v>
      </c>
      <c r="C2771" s="2">
        <f>IFERROR(__xludf.DUMMYFUNCTION("""COMPUTED_VALUE"""),208.7)</f>
        <v>208.7</v>
      </c>
      <c r="D2771" s="2">
        <f>IFERROR(__xludf.DUMMYFUNCTION("""COMPUTED_VALUE"""),201.8)</f>
        <v>201.8</v>
      </c>
      <c r="E2771" s="2">
        <f>IFERROR(__xludf.DUMMYFUNCTION("""COMPUTED_VALUE"""),204.22)</f>
        <v>204.22</v>
      </c>
      <c r="F2771" s="2">
        <f>IFERROR(__xludf.DUMMYFUNCTION("""COMPUTED_VALUE"""),630996.0)</f>
        <v>630996</v>
      </c>
    </row>
    <row r="2772">
      <c r="A2772" s="3">
        <f>IFERROR(__xludf.DUMMYFUNCTION("""COMPUTED_VALUE"""),40602.645833333336)</f>
        <v>40602.64583</v>
      </c>
      <c r="B2772" s="2">
        <f>IFERROR(__xludf.DUMMYFUNCTION("""COMPUTED_VALUE"""),206.4)</f>
        <v>206.4</v>
      </c>
      <c r="C2772" s="2">
        <f>IFERROR(__xludf.DUMMYFUNCTION("""COMPUTED_VALUE"""),212.1)</f>
        <v>212.1</v>
      </c>
      <c r="D2772" s="2">
        <f>IFERROR(__xludf.DUMMYFUNCTION("""COMPUTED_VALUE"""),203.5)</f>
        <v>203.5</v>
      </c>
      <c r="E2772" s="2">
        <f>IFERROR(__xludf.DUMMYFUNCTION("""COMPUTED_VALUE"""),205.23)</f>
        <v>205.23</v>
      </c>
      <c r="F2772" s="2">
        <f>IFERROR(__xludf.DUMMYFUNCTION("""COMPUTED_VALUE"""),1098136.0)</f>
        <v>1098136</v>
      </c>
    </row>
    <row r="2773">
      <c r="A2773" s="3">
        <f>IFERROR(__xludf.DUMMYFUNCTION("""COMPUTED_VALUE"""),40603.645833333336)</f>
        <v>40603.64583</v>
      </c>
      <c r="B2773" s="2">
        <f>IFERROR(__xludf.DUMMYFUNCTION("""COMPUTED_VALUE"""),207.48)</f>
        <v>207.48</v>
      </c>
      <c r="C2773" s="2">
        <f>IFERROR(__xludf.DUMMYFUNCTION("""COMPUTED_VALUE"""),215.0)</f>
        <v>215</v>
      </c>
      <c r="D2773" s="2">
        <f>IFERROR(__xludf.DUMMYFUNCTION("""COMPUTED_VALUE"""),205.9)</f>
        <v>205.9</v>
      </c>
      <c r="E2773" s="2">
        <f>IFERROR(__xludf.DUMMYFUNCTION("""COMPUTED_VALUE"""),213.9)</f>
        <v>213.9</v>
      </c>
      <c r="F2773" s="2">
        <f>IFERROR(__xludf.DUMMYFUNCTION("""COMPUTED_VALUE"""),1025058.0)</f>
        <v>1025058</v>
      </c>
    </row>
    <row r="2774">
      <c r="A2774" s="3">
        <f>IFERROR(__xludf.DUMMYFUNCTION("""COMPUTED_VALUE"""),40605.645833333336)</f>
        <v>40605.64583</v>
      </c>
      <c r="B2774" s="2">
        <f>IFERROR(__xludf.DUMMYFUNCTION("""COMPUTED_VALUE"""),213.49)</f>
        <v>213.49</v>
      </c>
      <c r="C2774" s="2">
        <f>IFERROR(__xludf.DUMMYFUNCTION("""COMPUTED_VALUE"""),222.23)</f>
        <v>222.23</v>
      </c>
      <c r="D2774" s="2">
        <f>IFERROR(__xludf.DUMMYFUNCTION("""COMPUTED_VALUE"""),213.01)</f>
        <v>213.01</v>
      </c>
      <c r="E2774" s="2">
        <f>IFERROR(__xludf.DUMMYFUNCTION("""COMPUTED_VALUE"""),219.31)</f>
        <v>219.31</v>
      </c>
      <c r="F2774" s="2">
        <f>IFERROR(__xludf.DUMMYFUNCTION("""COMPUTED_VALUE"""),1266882.0)</f>
        <v>1266882</v>
      </c>
    </row>
    <row r="2775">
      <c r="A2775" s="3">
        <f>IFERROR(__xludf.DUMMYFUNCTION("""COMPUTED_VALUE"""),40606.645833333336)</f>
        <v>40606.64583</v>
      </c>
      <c r="B2775" s="2">
        <f>IFERROR(__xludf.DUMMYFUNCTION("""COMPUTED_VALUE"""),221.0)</f>
        <v>221</v>
      </c>
      <c r="C2775" s="2">
        <f>IFERROR(__xludf.DUMMYFUNCTION("""COMPUTED_VALUE"""),223.29)</f>
        <v>223.29</v>
      </c>
      <c r="D2775" s="2">
        <f>IFERROR(__xludf.DUMMYFUNCTION("""COMPUTED_VALUE"""),220.65)</f>
        <v>220.65</v>
      </c>
      <c r="E2775" s="2">
        <f>IFERROR(__xludf.DUMMYFUNCTION("""COMPUTED_VALUE"""),221.83)</f>
        <v>221.83</v>
      </c>
      <c r="F2775" s="2">
        <f>IFERROR(__xludf.DUMMYFUNCTION("""COMPUTED_VALUE"""),985494.0)</f>
        <v>985494</v>
      </c>
    </row>
    <row r="2776">
      <c r="A2776" s="3">
        <f>IFERROR(__xludf.DUMMYFUNCTION("""COMPUTED_VALUE"""),40609.645833333336)</f>
        <v>40609.64583</v>
      </c>
      <c r="B2776" s="2">
        <f>IFERROR(__xludf.DUMMYFUNCTION("""COMPUTED_VALUE"""),220.4)</f>
        <v>220.4</v>
      </c>
      <c r="C2776" s="2">
        <f>IFERROR(__xludf.DUMMYFUNCTION("""COMPUTED_VALUE"""),220.4)</f>
        <v>220.4</v>
      </c>
      <c r="D2776" s="2">
        <f>IFERROR(__xludf.DUMMYFUNCTION("""COMPUTED_VALUE"""),215.09)</f>
        <v>215.09</v>
      </c>
      <c r="E2776" s="2">
        <f>IFERROR(__xludf.DUMMYFUNCTION("""COMPUTED_VALUE"""),217.31)</f>
        <v>217.31</v>
      </c>
      <c r="F2776" s="2">
        <f>IFERROR(__xludf.DUMMYFUNCTION("""COMPUTED_VALUE"""),642784.0)</f>
        <v>642784</v>
      </c>
    </row>
    <row r="2777">
      <c r="A2777" s="3">
        <f>IFERROR(__xludf.DUMMYFUNCTION("""COMPUTED_VALUE"""),40610.645833333336)</f>
        <v>40610.64583</v>
      </c>
      <c r="B2777" s="2">
        <f>IFERROR(__xludf.DUMMYFUNCTION("""COMPUTED_VALUE"""),215.8)</f>
        <v>215.8</v>
      </c>
      <c r="C2777" s="2">
        <f>IFERROR(__xludf.DUMMYFUNCTION("""COMPUTED_VALUE"""),221.85)</f>
        <v>221.85</v>
      </c>
      <c r="D2777" s="2">
        <f>IFERROR(__xludf.DUMMYFUNCTION("""COMPUTED_VALUE"""),215.65)</f>
        <v>215.65</v>
      </c>
      <c r="E2777" s="2">
        <f>IFERROR(__xludf.DUMMYFUNCTION("""COMPUTED_VALUE"""),220.65)</f>
        <v>220.65</v>
      </c>
      <c r="F2777" s="2">
        <f>IFERROR(__xludf.DUMMYFUNCTION("""COMPUTED_VALUE"""),898557.0)</f>
        <v>898557</v>
      </c>
    </row>
    <row r="2778">
      <c r="A2778" s="3">
        <f>IFERROR(__xludf.DUMMYFUNCTION("""COMPUTED_VALUE"""),40611.645833333336)</f>
        <v>40611.64583</v>
      </c>
      <c r="B2778" s="2">
        <f>IFERROR(__xludf.DUMMYFUNCTION("""COMPUTED_VALUE"""),221.0)</f>
        <v>221</v>
      </c>
      <c r="C2778" s="2">
        <f>IFERROR(__xludf.DUMMYFUNCTION("""COMPUTED_VALUE"""),223.87)</f>
        <v>223.87</v>
      </c>
      <c r="D2778" s="2">
        <f>IFERROR(__xludf.DUMMYFUNCTION("""COMPUTED_VALUE"""),219.5)</f>
        <v>219.5</v>
      </c>
      <c r="E2778" s="2">
        <f>IFERROR(__xludf.DUMMYFUNCTION("""COMPUTED_VALUE"""),220.61)</f>
        <v>220.61</v>
      </c>
      <c r="F2778" s="2">
        <f>IFERROR(__xludf.DUMMYFUNCTION("""COMPUTED_VALUE"""),904199.0)</f>
        <v>904199</v>
      </c>
    </row>
    <row r="2779">
      <c r="A2779" s="3">
        <f>IFERROR(__xludf.DUMMYFUNCTION("""COMPUTED_VALUE"""),40612.645833333336)</f>
        <v>40612.64583</v>
      </c>
      <c r="B2779" s="2">
        <f>IFERROR(__xludf.DUMMYFUNCTION("""COMPUTED_VALUE"""),219.2)</f>
        <v>219.2</v>
      </c>
      <c r="C2779" s="2">
        <f>IFERROR(__xludf.DUMMYFUNCTION("""COMPUTED_VALUE"""),221.5)</f>
        <v>221.5</v>
      </c>
      <c r="D2779" s="2">
        <f>IFERROR(__xludf.DUMMYFUNCTION("""COMPUTED_VALUE"""),218.24)</f>
        <v>218.24</v>
      </c>
      <c r="E2779" s="2">
        <f>IFERROR(__xludf.DUMMYFUNCTION("""COMPUTED_VALUE"""),220.84)</f>
        <v>220.84</v>
      </c>
      <c r="F2779" s="2">
        <f>IFERROR(__xludf.DUMMYFUNCTION("""COMPUTED_VALUE"""),747031.0)</f>
        <v>747031</v>
      </c>
    </row>
    <row r="2780">
      <c r="A2780" s="3">
        <f>IFERROR(__xludf.DUMMYFUNCTION("""COMPUTED_VALUE"""),40613.645833333336)</f>
        <v>40613.64583</v>
      </c>
      <c r="B2780" s="2">
        <f>IFERROR(__xludf.DUMMYFUNCTION("""COMPUTED_VALUE"""),218.21)</f>
        <v>218.21</v>
      </c>
      <c r="C2780" s="2">
        <f>IFERROR(__xludf.DUMMYFUNCTION("""COMPUTED_VALUE"""),221.7)</f>
        <v>221.7</v>
      </c>
      <c r="D2780" s="2">
        <f>IFERROR(__xludf.DUMMYFUNCTION("""COMPUTED_VALUE"""),217.5)</f>
        <v>217.5</v>
      </c>
      <c r="E2780" s="2">
        <f>IFERROR(__xludf.DUMMYFUNCTION("""COMPUTED_VALUE"""),218.64)</f>
        <v>218.64</v>
      </c>
      <c r="F2780" s="2">
        <f>IFERROR(__xludf.DUMMYFUNCTION("""COMPUTED_VALUE"""),655395.0)</f>
        <v>655395</v>
      </c>
    </row>
    <row r="2781">
      <c r="A2781" s="3">
        <f>IFERROR(__xludf.DUMMYFUNCTION("""COMPUTED_VALUE"""),40616.645833333336)</f>
        <v>40616.64583</v>
      </c>
      <c r="B2781" s="2">
        <f>IFERROR(__xludf.DUMMYFUNCTION("""COMPUTED_VALUE"""),217.2)</f>
        <v>217.2</v>
      </c>
      <c r="C2781" s="2">
        <f>IFERROR(__xludf.DUMMYFUNCTION("""COMPUTED_VALUE"""),221.9)</f>
        <v>221.9</v>
      </c>
      <c r="D2781" s="2">
        <f>IFERROR(__xludf.DUMMYFUNCTION("""COMPUTED_VALUE"""),217.2)</f>
        <v>217.2</v>
      </c>
      <c r="E2781" s="2">
        <f>IFERROR(__xludf.DUMMYFUNCTION("""COMPUTED_VALUE"""),221.48)</f>
        <v>221.48</v>
      </c>
      <c r="F2781" s="2">
        <f>IFERROR(__xludf.DUMMYFUNCTION("""COMPUTED_VALUE"""),654144.0)</f>
        <v>654144</v>
      </c>
    </row>
    <row r="2782">
      <c r="A2782" s="3">
        <f>IFERROR(__xludf.DUMMYFUNCTION("""COMPUTED_VALUE"""),40617.645833333336)</f>
        <v>40617.64583</v>
      </c>
      <c r="B2782" s="2">
        <f>IFERROR(__xludf.DUMMYFUNCTION("""COMPUTED_VALUE"""),217.0)</f>
        <v>217</v>
      </c>
      <c r="C2782" s="2">
        <f>IFERROR(__xludf.DUMMYFUNCTION("""COMPUTED_VALUE"""),220.77)</f>
        <v>220.77</v>
      </c>
      <c r="D2782" s="2">
        <f>IFERROR(__xludf.DUMMYFUNCTION("""COMPUTED_VALUE"""),213.0)</f>
        <v>213</v>
      </c>
      <c r="E2782" s="2">
        <f>IFERROR(__xludf.DUMMYFUNCTION("""COMPUTED_VALUE"""),218.46)</f>
        <v>218.46</v>
      </c>
      <c r="F2782" s="2">
        <f>IFERROR(__xludf.DUMMYFUNCTION("""COMPUTED_VALUE"""),1380100.0)</f>
        <v>1380100</v>
      </c>
    </row>
    <row r="2783">
      <c r="A2783" s="3">
        <f>IFERROR(__xludf.DUMMYFUNCTION("""COMPUTED_VALUE"""),40618.645833333336)</f>
        <v>40618.64583</v>
      </c>
      <c r="B2783" s="2">
        <f>IFERROR(__xludf.DUMMYFUNCTION("""COMPUTED_VALUE"""),219.6)</f>
        <v>219.6</v>
      </c>
      <c r="C2783" s="2">
        <f>IFERROR(__xludf.DUMMYFUNCTION("""COMPUTED_VALUE"""),220.5)</f>
        <v>220.5</v>
      </c>
      <c r="D2783" s="2">
        <f>IFERROR(__xludf.DUMMYFUNCTION("""COMPUTED_VALUE"""),217.86)</f>
        <v>217.86</v>
      </c>
      <c r="E2783" s="2">
        <f>IFERROR(__xludf.DUMMYFUNCTION("""COMPUTED_VALUE"""),218.38)</f>
        <v>218.38</v>
      </c>
      <c r="F2783" s="2">
        <f>IFERROR(__xludf.DUMMYFUNCTION("""COMPUTED_VALUE"""),580534.0)</f>
        <v>580534</v>
      </c>
    </row>
    <row r="2784">
      <c r="A2784" s="3">
        <f>IFERROR(__xludf.DUMMYFUNCTION("""COMPUTED_VALUE"""),40619.645833333336)</f>
        <v>40619.64583</v>
      </c>
      <c r="B2784" s="2">
        <f>IFERROR(__xludf.DUMMYFUNCTION("""COMPUTED_VALUE"""),217.02)</f>
        <v>217.02</v>
      </c>
      <c r="C2784" s="2">
        <f>IFERROR(__xludf.DUMMYFUNCTION("""COMPUTED_VALUE"""),223.3)</f>
        <v>223.3</v>
      </c>
      <c r="D2784" s="2">
        <f>IFERROR(__xludf.DUMMYFUNCTION("""COMPUTED_VALUE"""),216.61)</f>
        <v>216.61</v>
      </c>
      <c r="E2784" s="2">
        <f>IFERROR(__xludf.DUMMYFUNCTION("""COMPUTED_VALUE"""),218.15)</f>
        <v>218.15</v>
      </c>
      <c r="F2784" s="2">
        <f>IFERROR(__xludf.DUMMYFUNCTION("""COMPUTED_VALUE"""),1676062.0)</f>
        <v>1676062</v>
      </c>
    </row>
    <row r="2785">
      <c r="A2785" s="3">
        <f>IFERROR(__xludf.DUMMYFUNCTION("""COMPUTED_VALUE"""),40620.645833333336)</f>
        <v>40620.64583</v>
      </c>
      <c r="B2785" s="2">
        <f>IFERROR(__xludf.DUMMYFUNCTION("""COMPUTED_VALUE"""),218.0)</f>
        <v>218</v>
      </c>
      <c r="C2785" s="2">
        <f>IFERROR(__xludf.DUMMYFUNCTION("""COMPUTED_VALUE"""),219.62)</f>
        <v>219.62</v>
      </c>
      <c r="D2785" s="2">
        <f>IFERROR(__xludf.DUMMYFUNCTION("""COMPUTED_VALUE"""),214.21)</f>
        <v>214.21</v>
      </c>
      <c r="E2785" s="2">
        <f>IFERROR(__xludf.DUMMYFUNCTION("""COMPUTED_VALUE"""),214.93)</f>
        <v>214.93</v>
      </c>
      <c r="F2785" s="2">
        <f>IFERROR(__xludf.DUMMYFUNCTION("""COMPUTED_VALUE"""),482212.0)</f>
        <v>482212</v>
      </c>
    </row>
    <row r="2786">
      <c r="A2786" s="3">
        <f>IFERROR(__xludf.DUMMYFUNCTION("""COMPUTED_VALUE"""),40623.645833333336)</f>
        <v>40623.64583</v>
      </c>
      <c r="B2786" s="2">
        <f>IFERROR(__xludf.DUMMYFUNCTION("""COMPUTED_VALUE"""),217.02)</f>
        <v>217.02</v>
      </c>
      <c r="C2786" s="2">
        <f>IFERROR(__xludf.DUMMYFUNCTION("""COMPUTED_VALUE"""),217.87)</f>
        <v>217.87</v>
      </c>
      <c r="D2786" s="2">
        <f>IFERROR(__xludf.DUMMYFUNCTION("""COMPUTED_VALUE"""),214.65)</f>
        <v>214.65</v>
      </c>
      <c r="E2786" s="2">
        <f>IFERROR(__xludf.DUMMYFUNCTION("""COMPUTED_VALUE"""),215.45)</f>
        <v>215.45</v>
      </c>
      <c r="F2786" s="2">
        <f>IFERROR(__xludf.DUMMYFUNCTION("""COMPUTED_VALUE"""),615935.0)</f>
        <v>615935</v>
      </c>
    </row>
    <row r="2787">
      <c r="A2787" s="3">
        <f>IFERROR(__xludf.DUMMYFUNCTION("""COMPUTED_VALUE"""),40624.645833333336)</f>
        <v>40624.64583</v>
      </c>
      <c r="B2787" s="2">
        <f>IFERROR(__xludf.DUMMYFUNCTION("""COMPUTED_VALUE"""),215.91)</f>
        <v>215.91</v>
      </c>
      <c r="C2787" s="2">
        <f>IFERROR(__xludf.DUMMYFUNCTION("""COMPUTED_VALUE"""),217.3)</f>
        <v>217.3</v>
      </c>
      <c r="D2787" s="2">
        <f>IFERROR(__xludf.DUMMYFUNCTION("""COMPUTED_VALUE"""),214.21)</f>
        <v>214.21</v>
      </c>
      <c r="E2787" s="2">
        <f>IFERROR(__xludf.DUMMYFUNCTION("""COMPUTED_VALUE"""),215.16)</f>
        <v>215.16</v>
      </c>
      <c r="F2787" s="2">
        <f>IFERROR(__xludf.DUMMYFUNCTION("""COMPUTED_VALUE"""),471527.0)</f>
        <v>471527</v>
      </c>
    </row>
    <row r="2788">
      <c r="A2788" s="3">
        <f>IFERROR(__xludf.DUMMYFUNCTION("""COMPUTED_VALUE"""),40625.645833333336)</f>
        <v>40625.64583</v>
      </c>
      <c r="B2788" s="2">
        <f>IFERROR(__xludf.DUMMYFUNCTION("""COMPUTED_VALUE"""),215.0)</f>
        <v>215</v>
      </c>
      <c r="C2788" s="2">
        <f>IFERROR(__xludf.DUMMYFUNCTION("""COMPUTED_VALUE"""),218.19)</f>
        <v>218.19</v>
      </c>
      <c r="D2788" s="2">
        <f>IFERROR(__xludf.DUMMYFUNCTION("""COMPUTED_VALUE"""),214.51)</f>
        <v>214.51</v>
      </c>
      <c r="E2788" s="2">
        <f>IFERROR(__xludf.DUMMYFUNCTION("""COMPUTED_VALUE"""),216.42)</f>
        <v>216.42</v>
      </c>
      <c r="F2788" s="2">
        <f>IFERROR(__xludf.DUMMYFUNCTION("""COMPUTED_VALUE"""),465735.0)</f>
        <v>465735</v>
      </c>
    </row>
    <row r="2789">
      <c r="A2789" s="3">
        <f>IFERROR(__xludf.DUMMYFUNCTION("""COMPUTED_VALUE"""),40626.645833333336)</f>
        <v>40626.64583</v>
      </c>
      <c r="B2789" s="2">
        <f>IFERROR(__xludf.DUMMYFUNCTION("""COMPUTED_VALUE"""),217.9)</f>
        <v>217.9</v>
      </c>
      <c r="C2789" s="2">
        <f>IFERROR(__xludf.DUMMYFUNCTION("""COMPUTED_VALUE"""),219.89)</f>
        <v>219.89</v>
      </c>
      <c r="D2789" s="2">
        <f>IFERROR(__xludf.DUMMYFUNCTION("""COMPUTED_VALUE"""),216.85)</f>
        <v>216.85</v>
      </c>
      <c r="E2789" s="2">
        <f>IFERROR(__xludf.DUMMYFUNCTION("""COMPUTED_VALUE"""),219.28)</f>
        <v>219.28</v>
      </c>
      <c r="F2789" s="2">
        <f>IFERROR(__xludf.DUMMYFUNCTION("""COMPUTED_VALUE"""),441381.0)</f>
        <v>441381</v>
      </c>
    </row>
    <row r="2790">
      <c r="A2790" s="3">
        <f>IFERROR(__xludf.DUMMYFUNCTION("""COMPUTED_VALUE"""),40627.645833333336)</f>
        <v>40627.64583</v>
      </c>
      <c r="B2790" s="2">
        <f>IFERROR(__xludf.DUMMYFUNCTION("""COMPUTED_VALUE"""),220.7)</f>
        <v>220.7</v>
      </c>
      <c r="C2790" s="2">
        <f>IFERROR(__xludf.DUMMYFUNCTION("""COMPUTED_VALUE"""),227.5)</f>
        <v>227.5</v>
      </c>
      <c r="D2790" s="2">
        <f>IFERROR(__xludf.DUMMYFUNCTION("""COMPUTED_VALUE"""),220.0)</f>
        <v>220</v>
      </c>
      <c r="E2790" s="2">
        <f>IFERROR(__xludf.DUMMYFUNCTION("""COMPUTED_VALUE"""),226.51)</f>
        <v>226.51</v>
      </c>
      <c r="F2790" s="2">
        <f>IFERROR(__xludf.DUMMYFUNCTION("""COMPUTED_VALUE"""),890148.0)</f>
        <v>890148</v>
      </c>
    </row>
    <row r="2791">
      <c r="A2791" s="3">
        <f>IFERROR(__xludf.DUMMYFUNCTION("""COMPUTED_VALUE"""),40630.645833333336)</f>
        <v>40630.64583</v>
      </c>
      <c r="B2791" s="2">
        <f>IFERROR(__xludf.DUMMYFUNCTION("""COMPUTED_VALUE"""),226.5)</f>
        <v>226.5</v>
      </c>
      <c r="C2791" s="2">
        <f>IFERROR(__xludf.DUMMYFUNCTION("""COMPUTED_VALUE"""),231.2)</f>
        <v>231.2</v>
      </c>
      <c r="D2791" s="2">
        <f>IFERROR(__xludf.DUMMYFUNCTION("""COMPUTED_VALUE"""),226.5)</f>
        <v>226.5</v>
      </c>
      <c r="E2791" s="2">
        <f>IFERROR(__xludf.DUMMYFUNCTION("""COMPUTED_VALUE"""),229.68)</f>
        <v>229.68</v>
      </c>
      <c r="F2791" s="2">
        <f>IFERROR(__xludf.DUMMYFUNCTION("""COMPUTED_VALUE"""),1093031.0)</f>
        <v>1093031</v>
      </c>
    </row>
    <row r="2792">
      <c r="A2792" s="3">
        <f>IFERROR(__xludf.DUMMYFUNCTION("""COMPUTED_VALUE"""),40631.645833333336)</f>
        <v>40631.64583</v>
      </c>
      <c r="B2792" s="2">
        <f>IFERROR(__xludf.DUMMYFUNCTION("""COMPUTED_VALUE"""),231.0)</f>
        <v>231</v>
      </c>
      <c r="C2792" s="2">
        <f>IFERROR(__xludf.DUMMYFUNCTION("""COMPUTED_VALUE"""),232.38)</f>
        <v>232.38</v>
      </c>
      <c r="D2792" s="2">
        <f>IFERROR(__xludf.DUMMYFUNCTION("""COMPUTED_VALUE"""),228.46)</f>
        <v>228.46</v>
      </c>
      <c r="E2792" s="2">
        <f>IFERROR(__xludf.DUMMYFUNCTION("""COMPUTED_VALUE"""),230.51)</f>
        <v>230.51</v>
      </c>
      <c r="F2792" s="2">
        <f>IFERROR(__xludf.DUMMYFUNCTION("""COMPUTED_VALUE"""),1081830.0)</f>
        <v>1081830</v>
      </c>
    </row>
    <row r="2793">
      <c r="A2793" s="3">
        <f>IFERROR(__xludf.DUMMYFUNCTION("""COMPUTED_VALUE"""),40632.645833333336)</f>
        <v>40632.64583</v>
      </c>
      <c r="B2793" s="2">
        <f>IFERROR(__xludf.DUMMYFUNCTION("""COMPUTED_VALUE"""),231.5)</f>
        <v>231.5</v>
      </c>
      <c r="C2793" s="2">
        <f>IFERROR(__xludf.DUMMYFUNCTION("""COMPUTED_VALUE"""),236.4)</f>
        <v>236.4</v>
      </c>
      <c r="D2793" s="2">
        <f>IFERROR(__xludf.DUMMYFUNCTION("""COMPUTED_VALUE"""),230.6)</f>
        <v>230.6</v>
      </c>
      <c r="E2793" s="2">
        <f>IFERROR(__xludf.DUMMYFUNCTION("""COMPUTED_VALUE"""),234.15)</f>
        <v>234.15</v>
      </c>
      <c r="F2793" s="2">
        <f>IFERROR(__xludf.DUMMYFUNCTION("""COMPUTED_VALUE"""),1109742.0)</f>
        <v>1109742</v>
      </c>
    </row>
    <row r="2794">
      <c r="A2794" s="3">
        <f>IFERROR(__xludf.DUMMYFUNCTION("""COMPUTED_VALUE"""),40633.645833333336)</f>
        <v>40633.64583</v>
      </c>
      <c r="B2794" s="2">
        <f>IFERROR(__xludf.DUMMYFUNCTION("""COMPUTED_VALUE"""),235.0)</f>
        <v>235</v>
      </c>
      <c r="C2794" s="2">
        <f>IFERROR(__xludf.DUMMYFUNCTION("""COMPUTED_VALUE"""),239.59)</f>
        <v>239.59</v>
      </c>
      <c r="D2794" s="2">
        <f>IFERROR(__xludf.DUMMYFUNCTION("""COMPUTED_VALUE"""),230.51)</f>
        <v>230.51</v>
      </c>
      <c r="E2794" s="2">
        <f>IFERROR(__xludf.DUMMYFUNCTION("""COMPUTED_VALUE"""),234.59)</f>
        <v>234.59</v>
      </c>
      <c r="F2794" s="2">
        <f>IFERROR(__xludf.DUMMYFUNCTION("""COMPUTED_VALUE"""),1893191.0)</f>
        <v>1893191</v>
      </c>
    </row>
    <row r="2795">
      <c r="A2795" s="3">
        <f>IFERROR(__xludf.DUMMYFUNCTION("""COMPUTED_VALUE"""),40634.645833333336)</f>
        <v>40634.64583</v>
      </c>
      <c r="B2795" s="2">
        <f>IFERROR(__xludf.DUMMYFUNCTION("""COMPUTED_VALUE"""),235.3)</f>
        <v>235.3</v>
      </c>
      <c r="C2795" s="2">
        <f>IFERROR(__xludf.DUMMYFUNCTION("""COMPUTED_VALUE"""),236.5)</f>
        <v>236.5</v>
      </c>
      <c r="D2795" s="2">
        <f>IFERROR(__xludf.DUMMYFUNCTION("""COMPUTED_VALUE"""),232.3)</f>
        <v>232.3</v>
      </c>
      <c r="E2795" s="2">
        <f>IFERROR(__xludf.DUMMYFUNCTION("""COMPUTED_VALUE"""),233.38)</f>
        <v>233.38</v>
      </c>
      <c r="F2795" s="2">
        <f>IFERROR(__xludf.DUMMYFUNCTION("""COMPUTED_VALUE"""),436929.0)</f>
        <v>436929</v>
      </c>
    </row>
    <row r="2796">
      <c r="A2796" s="3">
        <f>IFERROR(__xludf.DUMMYFUNCTION("""COMPUTED_VALUE"""),40637.645833333336)</f>
        <v>40637.64583</v>
      </c>
      <c r="B2796" s="2">
        <f>IFERROR(__xludf.DUMMYFUNCTION("""COMPUTED_VALUE"""),234.0)</f>
        <v>234</v>
      </c>
      <c r="C2796" s="2">
        <f>IFERROR(__xludf.DUMMYFUNCTION("""COMPUTED_VALUE"""),240.5)</f>
        <v>240.5</v>
      </c>
      <c r="D2796" s="2">
        <f>IFERROR(__xludf.DUMMYFUNCTION("""COMPUTED_VALUE"""),234.0)</f>
        <v>234</v>
      </c>
      <c r="E2796" s="2">
        <f>IFERROR(__xludf.DUMMYFUNCTION("""COMPUTED_VALUE"""),240.08)</f>
        <v>240.08</v>
      </c>
      <c r="F2796" s="2">
        <f>IFERROR(__xludf.DUMMYFUNCTION("""COMPUTED_VALUE"""),632227.0)</f>
        <v>632227</v>
      </c>
    </row>
    <row r="2797">
      <c r="A2797" s="3">
        <f>IFERROR(__xludf.DUMMYFUNCTION("""COMPUTED_VALUE"""),40638.645833333336)</f>
        <v>40638.64583</v>
      </c>
      <c r="B2797" s="2">
        <f>IFERROR(__xludf.DUMMYFUNCTION("""COMPUTED_VALUE"""),240.0)</f>
        <v>240</v>
      </c>
      <c r="C2797" s="2">
        <f>IFERROR(__xludf.DUMMYFUNCTION("""COMPUTED_VALUE"""),241.0)</f>
        <v>241</v>
      </c>
      <c r="D2797" s="2">
        <f>IFERROR(__xludf.DUMMYFUNCTION("""COMPUTED_VALUE"""),236.81)</f>
        <v>236.81</v>
      </c>
      <c r="E2797" s="2">
        <f>IFERROR(__xludf.DUMMYFUNCTION("""COMPUTED_VALUE"""),239.58)</f>
        <v>239.58</v>
      </c>
      <c r="F2797" s="2">
        <f>IFERROR(__xludf.DUMMYFUNCTION("""COMPUTED_VALUE"""),841266.0)</f>
        <v>841266</v>
      </c>
    </row>
    <row r="2798">
      <c r="A2798" s="3">
        <f>IFERROR(__xludf.DUMMYFUNCTION("""COMPUTED_VALUE"""),40639.645833333336)</f>
        <v>40639.64583</v>
      </c>
      <c r="B2798" s="2">
        <f>IFERROR(__xludf.DUMMYFUNCTION("""COMPUTED_VALUE"""),239.1)</f>
        <v>239.1</v>
      </c>
      <c r="C2798" s="2">
        <f>IFERROR(__xludf.DUMMYFUNCTION("""COMPUTED_VALUE"""),239.5)</f>
        <v>239.5</v>
      </c>
      <c r="D2798" s="2">
        <f>IFERROR(__xludf.DUMMYFUNCTION("""COMPUTED_VALUE"""),235.1)</f>
        <v>235.1</v>
      </c>
      <c r="E2798" s="2">
        <f>IFERROR(__xludf.DUMMYFUNCTION("""COMPUTED_VALUE"""),237.6)</f>
        <v>237.6</v>
      </c>
      <c r="F2798" s="2">
        <f>IFERROR(__xludf.DUMMYFUNCTION("""COMPUTED_VALUE"""),646986.0)</f>
        <v>646986</v>
      </c>
    </row>
    <row r="2799">
      <c r="A2799" s="3">
        <f>IFERROR(__xludf.DUMMYFUNCTION("""COMPUTED_VALUE"""),40640.645833333336)</f>
        <v>40640.64583</v>
      </c>
      <c r="B2799" s="2">
        <f>IFERROR(__xludf.DUMMYFUNCTION("""COMPUTED_VALUE"""),237.5)</f>
        <v>237.5</v>
      </c>
      <c r="C2799" s="2">
        <f>IFERROR(__xludf.DUMMYFUNCTION("""COMPUTED_VALUE"""),237.8)</f>
        <v>237.8</v>
      </c>
      <c r="D2799" s="2">
        <f>IFERROR(__xludf.DUMMYFUNCTION("""COMPUTED_VALUE"""),233.96)</f>
        <v>233.96</v>
      </c>
      <c r="E2799" s="2">
        <f>IFERROR(__xludf.DUMMYFUNCTION("""COMPUTED_VALUE"""),235.48)</f>
        <v>235.48</v>
      </c>
      <c r="F2799" s="2">
        <f>IFERROR(__xludf.DUMMYFUNCTION("""COMPUTED_VALUE"""),655816.0)</f>
        <v>655816</v>
      </c>
    </row>
    <row r="2800">
      <c r="A2800" s="3">
        <f>IFERROR(__xludf.DUMMYFUNCTION("""COMPUTED_VALUE"""),40641.645833333336)</f>
        <v>40641.64583</v>
      </c>
      <c r="B2800" s="2">
        <f>IFERROR(__xludf.DUMMYFUNCTION("""COMPUTED_VALUE"""),235.4)</f>
        <v>235.4</v>
      </c>
      <c r="C2800" s="2">
        <f>IFERROR(__xludf.DUMMYFUNCTION("""COMPUTED_VALUE"""),238.5)</f>
        <v>238.5</v>
      </c>
      <c r="D2800" s="2">
        <f>IFERROR(__xludf.DUMMYFUNCTION("""COMPUTED_VALUE"""),234.51)</f>
        <v>234.51</v>
      </c>
      <c r="E2800" s="2">
        <f>IFERROR(__xludf.DUMMYFUNCTION("""COMPUTED_VALUE"""),235.24)</f>
        <v>235.24</v>
      </c>
      <c r="F2800" s="2">
        <f>IFERROR(__xludf.DUMMYFUNCTION("""COMPUTED_VALUE"""),772017.0)</f>
        <v>772017</v>
      </c>
    </row>
    <row r="2801">
      <c r="A2801" s="3">
        <f>IFERROR(__xludf.DUMMYFUNCTION("""COMPUTED_VALUE"""),40644.645833333336)</f>
        <v>40644.64583</v>
      </c>
      <c r="B2801" s="2">
        <f>IFERROR(__xludf.DUMMYFUNCTION("""COMPUTED_VALUE"""),232.52)</f>
        <v>232.52</v>
      </c>
      <c r="C2801" s="2">
        <f>IFERROR(__xludf.DUMMYFUNCTION("""COMPUTED_VALUE"""),233.76)</f>
        <v>233.76</v>
      </c>
      <c r="D2801" s="2">
        <f>IFERROR(__xludf.DUMMYFUNCTION("""COMPUTED_VALUE"""),228.86)</f>
        <v>228.86</v>
      </c>
      <c r="E2801" s="2">
        <f>IFERROR(__xludf.DUMMYFUNCTION("""COMPUTED_VALUE"""),229.61)</f>
        <v>229.61</v>
      </c>
      <c r="F2801" s="2">
        <f>IFERROR(__xludf.DUMMYFUNCTION("""COMPUTED_VALUE"""),1120818.0)</f>
        <v>1120818</v>
      </c>
    </row>
    <row r="2802">
      <c r="A2802" s="3">
        <f>IFERROR(__xludf.DUMMYFUNCTION("""COMPUTED_VALUE"""),40646.645833333336)</f>
        <v>40646.64583</v>
      </c>
      <c r="B2802" s="2">
        <f>IFERROR(__xludf.DUMMYFUNCTION("""COMPUTED_VALUE"""),227.95)</f>
        <v>227.95</v>
      </c>
      <c r="C2802" s="2">
        <f>IFERROR(__xludf.DUMMYFUNCTION("""COMPUTED_VALUE"""),238.36)</f>
        <v>238.36</v>
      </c>
      <c r="D2802" s="2">
        <f>IFERROR(__xludf.DUMMYFUNCTION("""COMPUTED_VALUE"""),227.5)</f>
        <v>227.5</v>
      </c>
      <c r="E2802" s="2">
        <f>IFERROR(__xludf.DUMMYFUNCTION("""COMPUTED_VALUE"""),236.9)</f>
        <v>236.9</v>
      </c>
      <c r="F2802" s="2">
        <f>IFERROR(__xludf.DUMMYFUNCTION("""COMPUTED_VALUE"""),903389.0)</f>
        <v>903389</v>
      </c>
    </row>
    <row r="2803">
      <c r="A2803" s="3">
        <f>IFERROR(__xludf.DUMMYFUNCTION("""COMPUTED_VALUE"""),40648.645833333336)</f>
        <v>40648.64583</v>
      </c>
      <c r="B2803" s="2">
        <f>IFERROR(__xludf.DUMMYFUNCTION("""COMPUTED_VALUE"""),237.5)</f>
        <v>237.5</v>
      </c>
      <c r="C2803" s="2">
        <f>IFERROR(__xludf.DUMMYFUNCTION("""COMPUTED_VALUE"""),239.2)</f>
        <v>239.2</v>
      </c>
      <c r="D2803" s="2">
        <f>IFERROR(__xludf.DUMMYFUNCTION("""COMPUTED_VALUE"""),234.4)</f>
        <v>234.4</v>
      </c>
      <c r="E2803" s="2">
        <f>IFERROR(__xludf.DUMMYFUNCTION("""COMPUTED_VALUE"""),236.31)</f>
        <v>236.31</v>
      </c>
      <c r="F2803" s="2">
        <f>IFERROR(__xludf.DUMMYFUNCTION("""COMPUTED_VALUE"""),859093.0)</f>
        <v>859093</v>
      </c>
    </row>
    <row r="2804">
      <c r="A2804" s="3">
        <f>IFERROR(__xludf.DUMMYFUNCTION("""COMPUTED_VALUE"""),40651.645833333336)</f>
        <v>40651.64583</v>
      </c>
      <c r="B2804" s="2">
        <f>IFERROR(__xludf.DUMMYFUNCTION("""COMPUTED_VALUE"""),237.88)</f>
        <v>237.88</v>
      </c>
      <c r="C2804" s="2">
        <f>IFERROR(__xludf.DUMMYFUNCTION("""COMPUTED_VALUE"""),239.99)</f>
        <v>239.99</v>
      </c>
      <c r="D2804" s="2">
        <f>IFERROR(__xludf.DUMMYFUNCTION("""COMPUTED_VALUE"""),230.44)</f>
        <v>230.44</v>
      </c>
      <c r="E2804" s="2">
        <f>IFERROR(__xludf.DUMMYFUNCTION("""COMPUTED_VALUE"""),231.18)</f>
        <v>231.18</v>
      </c>
      <c r="F2804" s="2">
        <f>IFERROR(__xludf.DUMMYFUNCTION("""COMPUTED_VALUE"""),1035327.0)</f>
        <v>1035327</v>
      </c>
    </row>
    <row r="2805">
      <c r="A2805" s="3">
        <f>IFERROR(__xludf.DUMMYFUNCTION("""COMPUTED_VALUE"""),40652.645833333336)</f>
        <v>40652.64583</v>
      </c>
      <c r="B2805" s="2">
        <f>IFERROR(__xludf.DUMMYFUNCTION("""COMPUTED_VALUE"""),234.0)</f>
        <v>234</v>
      </c>
      <c r="C2805" s="2">
        <f>IFERROR(__xludf.DUMMYFUNCTION("""COMPUTED_VALUE"""),235.88)</f>
        <v>235.88</v>
      </c>
      <c r="D2805" s="2">
        <f>IFERROR(__xludf.DUMMYFUNCTION("""COMPUTED_VALUE"""),232.45)</f>
        <v>232.45</v>
      </c>
      <c r="E2805" s="2">
        <f>IFERROR(__xludf.DUMMYFUNCTION("""COMPUTED_VALUE"""),234.75)</f>
        <v>234.75</v>
      </c>
      <c r="F2805" s="2">
        <f>IFERROR(__xludf.DUMMYFUNCTION("""COMPUTED_VALUE"""),746243.0)</f>
        <v>746243</v>
      </c>
    </row>
    <row r="2806">
      <c r="A2806" s="3">
        <f>IFERROR(__xludf.DUMMYFUNCTION("""COMPUTED_VALUE"""),40653.645833333336)</f>
        <v>40653.64583</v>
      </c>
      <c r="B2806" s="2">
        <f>IFERROR(__xludf.DUMMYFUNCTION("""COMPUTED_VALUE"""),236.06)</f>
        <v>236.06</v>
      </c>
      <c r="C2806" s="2">
        <f>IFERROR(__xludf.DUMMYFUNCTION("""COMPUTED_VALUE"""),238.9)</f>
        <v>238.9</v>
      </c>
      <c r="D2806" s="2">
        <f>IFERROR(__xludf.DUMMYFUNCTION("""COMPUTED_VALUE"""),234.8)</f>
        <v>234.8</v>
      </c>
      <c r="E2806" s="2">
        <f>IFERROR(__xludf.DUMMYFUNCTION("""COMPUTED_VALUE"""),237.2)</f>
        <v>237.2</v>
      </c>
      <c r="F2806" s="2">
        <f>IFERROR(__xludf.DUMMYFUNCTION("""COMPUTED_VALUE"""),654807.0)</f>
        <v>654807</v>
      </c>
    </row>
    <row r="2807">
      <c r="A2807" s="3">
        <f>IFERROR(__xludf.DUMMYFUNCTION("""COMPUTED_VALUE"""),40654.645833333336)</f>
        <v>40654.64583</v>
      </c>
      <c r="B2807" s="2">
        <f>IFERROR(__xludf.DUMMYFUNCTION("""COMPUTED_VALUE"""),238.2)</f>
        <v>238.2</v>
      </c>
      <c r="C2807" s="2">
        <f>IFERROR(__xludf.DUMMYFUNCTION("""COMPUTED_VALUE"""),241.69)</f>
        <v>241.69</v>
      </c>
      <c r="D2807" s="2">
        <f>IFERROR(__xludf.DUMMYFUNCTION("""COMPUTED_VALUE"""),238.2)</f>
        <v>238.2</v>
      </c>
      <c r="E2807" s="2">
        <f>IFERROR(__xludf.DUMMYFUNCTION("""COMPUTED_VALUE"""),241.06)</f>
        <v>241.06</v>
      </c>
      <c r="F2807" s="2">
        <f>IFERROR(__xludf.DUMMYFUNCTION("""COMPUTED_VALUE"""),1620535.0)</f>
        <v>1620535</v>
      </c>
    </row>
    <row r="2808">
      <c r="A2808" s="3">
        <f>IFERROR(__xludf.DUMMYFUNCTION("""COMPUTED_VALUE"""),40658.645833333336)</f>
        <v>40658.64583</v>
      </c>
      <c r="B2808" s="2">
        <f>IFERROR(__xludf.DUMMYFUNCTION("""COMPUTED_VALUE"""),242.3)</f>
        <v>242.3</v>
      </c>
      <c r="C2808" s="2">
        <f>IFERROR(__xludf.DUMMYFUNCTION("""COMPUTED_VALUE"""),244.11)</f>
        <v>244.11</v>
      </c>
      <c r="D2808" s="2">
        <f>IFERROR(__xludf.DUMMYFUNCTION("""COMPUTED_VALUE"""),238.6)</f>
        <v>238.6</v>
      </c>
      <c r="E2808" s="2">
        <f>IFERROR(__xludf.DUMMYFUNCTION("""COMPUTED_VALUE"""),239.1)</f>
        <v>239.1</v>
      </c>
      <c r="F2808" s="2">
        <f>IFERROR(__xludf.DUMMYFUNCTION("""COMPUTED_VALUE"""),632287.0)</f>
        <v>632287</v>
      </c>
    </row>
    <row r="2809">
      <c r="A2809" s="3">
        <f>IFERROR(__xludf.DUMMYFUNCTION("""COMPUTED_VALUE"""),40659.645833333336)</f>
        <v>40659.64583</v>
      </c>
      <c r="B2809" s="2">
        <f>IFERROR(__xludf.DUMMYFUNCTION("""COMPUTED_VALUE"""),238.66)</f>
        <v>238.66</v>
      </c>
      <c r="C2809" s="2">
        <f>IFERROR(__xludf.DUMMYFUNCTION("""COMPUTED_VALUE"""),239.79)</f>
        <v>239.79</v>
      </c>
      <c r="D2809" s="2">
        <f>IFERROR(__xludf.DUMMYFUNCTION("""COMPUTED_VALUE"""),234.05)</f>
        <v>234.05</v>
      </c>
      <c r="E2809" s="2">
        <f>IFERROR(__xludf.DUMMYFUNCTION("""COMPUTED_VALUE"""),235.99)</f>
        <v>235.99</v>
      </c>
      <c r="F2809" s="2">
        <f>IFERROR(__xludf.DUMMYFUNCTION("""COMPUTED_VALUE"""),632185.0)</f>
        <v>632185</v>
      </c>
    </row>
    <row r="2810">
      <c r="A2810" s="3">
        <f>IFERROR(__xludf.DUMMYFUNCTION("""COMPUTED_VALUE"""),40660.645833333336)</f>
        <v>40660.64583</v>
      </c>
      <c r="B2810" s="2">
        <f>IFERROR(__xludf.DUMMYFUNCTION("""COMPUTED_VALUE"""),237.6)</f>
        <v>237.6</v>
      </c>
      <c r="C2810" s="2">
        <f>IFERROR(__xludf.DUMMYFUNCTION("""COMPUTED_VALUE"""),237.9)</f>
        <v>237.9</v>
      </c>
      <c r="D2810" s="2">
        <f>IFERROR(__xludf.DUMMYFUNCTION("""COMPUTED_VALUE"""),232.63)</f>
        <v>232.63</v>
      </c>
      <c r="E2810" s="2">
        <f>IFERROR(__xludf.DUMMYFUNCTION("""COMPUTED_VALUE"""),235.33)</f>
        <v>235.33</v>
      </c>
      <c r="F2810" s="2">
        <f>IFERROR(__xludf.DUMMYFUNCTION("""COMPUTED_VALUE"""),714765.0)</f>
        <v>714765</v>
      </c>
    </row>
    <row r="2811">
      <c r="A2811" s="3">
        <f>IFERROR(__xludf.DUMMYFUNCTION("""COMPUTED_VALUE"""),40661.645833333336)</f>
        <v>40661.64583</v>
      </c>
      <c r="B2811" s="2">
        <f>IFERROR(__xludf.DUMMYFUNCTION("""COMPUTED_VALUE"""),236.31)</f>
        <v>236.31</v>
      </c>
      <c r="C2811" s="2">
        <f>IFERROR(__xludf.DUMMYFUNCTION("""COMPUTED_VALUE"""),236.9)</f>
        <v>236.9</v>
      </c>
      <c r="D2811" s="2">
        <f>IFERROR(__xludf.DUMMYFUNCTION("""COMPUTED_VALUE"""),233.0)</f>
        <v>233</v>
      </c>
      <c r="E2811" s="2">
        <f>IFERROR(__xludf.DUMMYFUNCTION("""COMPUTED_VALUE"""),233.78)</f>
        <v>233.78</v>
      </c>
      <c r="F2811" s="2">
        <f>IFERROR(__xludf.DUMMYFUNCTION("""COMPUTED_VALUE"""),1338482.0)</f>
        <v>1338482</v>
      </c>
    </row>
    <row r="2812">
      <c r="A2812" s="3">
        <f>IFERROR(__xludf.DUMMYFUNCTION("""COMPUTED_VALUE"""),40662.645833333336)</f>
        <v>40662.64583</v>
      </c>
      <c r="B2812" s="2">
        <f>IFERROR(__xludf.DUMMYFUNCTION("""COMPUTED_VALUE"""),232.5)</f>
        <v>232.5</v>
      </c>
      <c r="C2812" s="2">
        <f>IFERROR(__xludf.DUMMYFUNCTION("""COMPUTED_VALUE"""),233.97)</f>
        <v>233.97</v>
      </c>
      <c r="D2812" s="2">
        <f>IFERROR(__xludf.DUMMYFUNCTION("""COMPUTED_VALUE"""),228.1)</f>
        <v>228.1</v>
      </c>
      <c r="E2812" s="2">
        <f>IFERROR(__xludf.DUMMYFUNCTION("""COMPUTED_VALUE"""),229.56)</f>
        <v>229.56</v>
      </c>
      <c r="F2812" s="2">
        <f>IFERROR(__xludf.DUMMYFUNCTION("""COMPUTED_VALUE"""),931294.0)</f>
        <v>931294</v>
      </c>
    </row>
    <row r="2813">
      <c r="A2813" s="3">
        <f>IFERROR(__xludf.DUMMYFUNCTION("""COMPUTED_VALUE"""),40665.645833333336)</f>
        <v>40665.64583</v>
      </c>
      <c r="B2813" s="2">
        <f>IFERROR(__xludf.DUMMYFUNCTION("""COMPUTED_VALUE"""),230.6)</f>
        <v>230.6</v>
      </c>
      <c r="C2813" s="2">
        <f>IFERROR(__xludf.DUMMYFUNCTION("""COMPUTED_VALUE"""),231.57)</f>
        <v>231.57</v>
      </c>
      <c r="D2813" s="2">
        <f>IFERROR(__xludf.DUMMYFUNCTION("""COMPUTED_VALUE"""),226.2)</f>
        <v>226.2</v>
      </c>
      <c r="E2813" s="2">
        <f>IFERROR(__xludf.DUMMYFUNCTION("""COMPUTED_VALUE"""),229.01)</f>
        <v>229.01</v>
      </c>
      <c r="F2813" s="2">
        <f>IFERROR(__xludf.DUMMYFUNCTION("""COMPUTED_VALUE"""),707837.0)</f>
        <v>707837</v>
      </c>
    </row>
    <row r="2814">
      <c r="A2814" s="3">
        <f>IFERROR(__xludf.DUMMYFUNCTION("""COMPUTED_VALUE"""),40666.645833333336)</f>
        <v>40666.64583</v>
      </c>
      <c r="B2814" s="2">
        <f>IFERROR(__xludf.DUMMYFUNCTION("""COMPUTED_VALUE"""),228.86)</f>
        <v>228.86</v>
      </c>
      <c r="C2814" s="2">
        <f>IFERROR(__xludf.DUMMYFUNCTION("""COMPUTED_VALUE"""),229.56)</f>
        <v>229.56</v>
      </c>
      <c r="D2814" s="2">
        <f>IFERROR(__xludf.DUMMYFUNCTION("""COMPUTED_VALUE"""),222.22)</f>
        <v>222.22</v>
      </c>
      <c r="E2814" s="2">
        <f>IFERROR(__xludf.DUMMYFUNCTION("""COMPUTED_VALUE"""),223.56)</f>
        <v>223.56</v>
      </c>
      <c r="F2814" s="2">
        <f>IFERROR(__xludf.DUMMYFUNCTION("""COMPUTED_VALUE"""),1074028.0)</f>
        <v>1074028</v>
      </c>
    </row>
    <row r="2815">
      <c r="A2815" s="3">
        <f>IFERROR(__xludf.DUMMYFUNCTION("""COMPUTED_VALUE"""),40667.645833333336)</f>
        <v>40667.64583</v>
      </c>
      <c r="B2815" s="2">
        <f>IFERROR(__xludf.DUMMYFUNCTION("""COMPUTED_VALUE"""),224.4)</f>
        <v>224.4</v>
      </c>
      <c r="C2815" s="2">
        <f>IFERROR(__xludf.DUMMYFUNCTION("""COMPUTED_VALUE"""),228.51)</f>
        <v>228.51</v>
      </c>
      <c r="D2815" s="2">
        <f>IFERROR(__xludf.DUMMYFUNCTION("""COMPUTED_VALUE"""),220.78)</f>
        <v>220.78</v>
      </c>
      <c r="E2815" s="2">
        <f>IFERROR(__xludf.DUMMYFUNCTION("""COMPUTED_VALUE"""),226.15)</f>
        <v>226.15</v>
      </c>
      <c r="F2815" s="2">
        <f>IFERROR(__xludf.DUMMYFUNCTION("""COMPUTED_VALUE"""),1321061.0)</f>
        <v>1321061</v>
      </c>
    </row>
    <row r="2816">
      <c r="A2816" s="3">
        <f>IFERROR(__xludf.DUMMYFUNCTION("""COMPUTED_VALUE"""),40668.645833333336)</f>
        <v>40668.64583</v>
      </c>
      <c r="B2816" s="2">
        <f>IFERROR(__xludf.DUMMYFUNCTION("""COMPUTED_VALUE"""),225.59)</f>
        <v>225.59</v>
      </c>
      <c r="C2816" s="2">
        <f>IFERROR(__xludf.DUMMYFUNCTION("""COMPUTED_VALUE"""),227.48)</f>
        <v>227.48</v>
      </c>
      <c r="D2816" s="2">
        <f>IFERROR(__xludf.DUMMYFUNCTION("""COMPUTED_VALUE"""),221.0)</f>
        <v>221</v>
      </c>
      <c r="E2816" s="2">
        <f>IFERROR(__xludf.DUMMYFUNCTION("""COMPUTED_VALUE"""),222.05)</f>
        <v>222.05</v>
      </c>
      <c r="F2816" s="2">
        <f>IFERROR(__xludf.DUMMYFUNCTION("""COMPUTED_VALUE"""),934949.0)</f>
        <v>934949</v>
      </c>
    </row>
    <row r="2817">
      <c r="A2817" s="3">
        <f>IFERROR(__xludf.DUMMYFUNCTION("""COMPUTED_VALUE"""),40669.645833333336)</f>
        <v>40669.64583</v>
      </c>
      <c r="B2817" s="2">
        <f>IFERROR(__xludf.DUMMYFUNCTION("""COMPUTED_VALUE"""),222.5)</f>
        <v>222.5</v>
      </c>
      <c r="C2817" s="2">
        <f>IFERROR(__xludf.DUMMYFUNCTION("""COMPUTED_VALUE"""),232.0)</f>
        <v>232</v>
      </c>
      <c r="D2817" s="2">
        <f>IFERROR(__xludf.DUMMYFUNCTION("""COMPUTED_VALUE"""),222.5)</f>
        <v>222.5</v>
      </c>
      <c r="E2817" s="2">
        <f>IFERROR(__xludf.DUMMYFUNCTION("""COMPUTED_VALUE"""),229.73)</f>
        <v>229.73</v>
      </c>
      <c r="F2817" s="2">
        <f>IFERROR(__xludf.DUMMYFUNCTION("""COMPUTED_VALUE"""),1077573.0)</f>
        <v>1077573</v>
      </c>
    </row>
    <row r="2818">
      <c r="A2818" s="3">
        <f>IFERROR(__xludf.DUMMYFUNCTION("""COMPUTED_VALUE"""),40672.645833333336)</f>
        <v>40672.64583</v>
      </c>
      <c r="B2818" s="2">
        <f>IFERROR(__xludf.DUMMYFUNCTION("""COMPUTED_VALUE"""),230.2)</f>
        <v>230.2</v>
      </c>
      <c r="C2818" s="2">
        <f>IFERROR(__xludf.DUMMYFUNCTION("""COMPUTED_VALUE"""),231.5)</f>
        <v>231.5</v>
      </c>
      <c r="D2818" s="2">
        <f>IFERROR(__xludf.DUMMYFUNCTION("""COMPUTED_VALUE"""),224.84)</f>
        <v>224.84</v>
      </c>
      <c r="E2818" s="2">
        <f>IFERROR(__xludf.DUMMYFUNCTION("""COMPUTED_VALUE"""),227.89)</f>
        <v>227.89</v>
      </c>
      <c r="F2818" s="2">
        <f>IFERROR(__xludf.DUMMYFUNCTION("""COMPUTED_VALUE"""),389859.0)</f>
        <v>389859</v>
      </c>
    </row>
    <row r="2819">
      <c r="A2819" s="3">
        <f>IFERROR(__xludf.DUMMYFUNCTION("""COMPUTED_VALUE"""),40673.645833333336)</f>
        <v>40673.64583</v>
      </c>
      <c r="B2819" s="2">
        <f>IFERROR(__xludf.DUMMYFUNCTION("""COMPUTED_VALUE"""),227.8)</f>
        <v>227.8</v>
      </c>
      <c r="C2819" s="2">
        <f>IFERROR(__xludf.DUMMYFUNCTION("""COMPUTED_VALUE"""),227.8)</f>
        <v>227.8</v>
      </c>
      <c r="D2819" s="2">
        <f>IFERROR(__xludf.DUMMYFUNCTION("""COMPUTED_VALUE"""),222.51)</f>
        <v>222.51</v>
      </c>
      <c r="E2819" s="2">
        <f>IFERROR(__xludf.DUMMYFUNCTION("""COMPUTED_VALUE"""),224.64)</f>
        <v>224.64</v>
      </c>
      <c r="F2819" s="2">
        <f>IFERROR(__xludf.DUMMYFUNCTION("""COMPUTED_VALUE"""),652322.0)</f>
        <v>652322</v>
      </c>
    </row>
    <row r="2820">
      <c r="A2820" s="3">
        <f>IFERROR(__xludf.DUMMYFUNCTION("""COMPUTED_VALUE"""),40674.645833333336)</f>
        <v>40674.64583</v>
      </c>
      <c r="B2820" s="2">
        <f>IFERROR(__xludf.DUMMYFUNCTION("""COMPUTED_VALUE"""),226.0)</f>
        <v>226</v>
      </c>
      <c r="C2820" s="2">
        <f>IFERROR(__xludf.DUMMYFUNCTION("""COMPUTED_VALUE"""),226.89)</f>
        <v>226.89</v>
      </c>
      <c r="D2820" s="2">
        <f>IFERROR(__xludf.DUMMYFUNCTION("""COMPUTED_VALUE"""),222.1)</f>
        <v>222.1</v>
      </c>
      <c r="E2820" s="2">
        <f>IFERROR(__xludf.DUMMYFUNCTION("""COMPUTED_VALUE"""),226.11)</f>
        <v>226.11</v>
      </c>
      <c r="F2820" s="2">
        <f>IFERROR(__xludf.DUMMYFUNCTION("""COMPUTED_VALUE"""),491085.0)</f>
        <v>491085</v>
      </c>
    </row>
    <row r="2821">
      <c r="A2821" s="3">
        <f>IFERROR(__xludf.DUMMYFUNCTION("""COMPUTED_VALUE"""),40675.645833333336)</f>
        <v>40675.64583</v>
      </c>
      <c r="B2821" s="2">
        <f>IFERROR(__xludf.DUMMYFUNCTION("""COMPUTED_VALUE"""),225.0)</f>
        <v>225</v>
      </c>
      <c r="C2821" s="2">
        <f>IFERROR(__xludf.DUMMYFUNCTION("""COMPUTED_VALUE"""),226.49)</f>
        <v>226.49</v>
      </c>
      <c r="D2821" s="2">
        <f>IFERROR(__xludf.DUMMYFUNCTION("""COMPUTED_VALUE"""),223.5)</f>
        <v>223.5</v>
      </c>
      <c r="E2821" s="2">
        <f>IFERROR(__xludf.DUMMYFUNCTION("""COMPUTED_VALUE"""),224.02)</f>
        <v>224.02</v>
      </c>
      <c r="F2821" s="2">
        <f>IFERROR(__xludf.DUMMYFUNCTION("""COMPUTED_VALUE"""),473943.0)</f>
        <v>473943</v>
      </c>
    </row>
    <row r="2822">
      <c r="A2822" s="3">
        <f>IFERROR(__xludf.DUMMYFUNCTION("""COMPUTED_VALUE"""),40676.645833333336)</f>
        <v>40676.64583</v>
      </c>
      <c r="B2822" s="2">
        <f>IFERROR(__xludf.DUMMYFUNCTION("""COMPUTED_VALUE"""),223.2)</f>
        <v>223.2</v>
      </c>
      <c r="C2822" s="2">
        <f>IFERROR(__xludf.DUMMYFUNCTION("""COMPUTED_VALUE"""),229.0)</f>
        <v>229</v>
      </c>
      <c r="D2822" s="2">
        <f>IFERROR(__xludf.DUMMYFUNCTION("""COMPUTED_VALUE"""),222.59)</f>
        <v>222.59</v>
      </c>
      <c r="E2822" s="2">
        <f>IFERROR(__xludf.DUMMYFUNCTION("""COMPUTED_VALUE"""),225.11)</f>
        <v>225.11</v>
      </c>
      <c r="F2822" s="2">
        <f>IFERROR(__xludf.DUMMYFUNCTION("""COMPUTED_VALUE"""),582307.0)</f>
        <v>582307</v>
      </c>
    </row>
    <row r="2823">
      <c r="A2823" s="3">
        <f>IFERROR(__xludf.DUMMYFUNCTION("""COMPUTED_VALUE"""),40679.645833333336)</f>
        <v>40679.64583</v>
      </c>
      <c r="B2823" s="2">
        <f>IFERROR(__xludf.DUMMYFUNCTION("""COMPUTED_VALUE"""),224.5)</f>
        <v>224.5</v>
      </c>
      <c r="C2823" s="2">
        <f>IFERROR(__xludf.DUMMYFUNCTION("""COMPUTED_VALUE"""),226.61)</f>
        <v>226.61</v>
      </c>
      <c r="D2823" s="2">
        <f>IFERROR(__xludf.DUMMYFUNCTION("""COMPUTED_VALUE"""),223.63)</f>
        <v>223.63</v>
      </c>
      <c r="E2823" s="2">
        <f>IFERROR(__xludf.DUMMYFUNCTION("""COMPUTED_VALUE"""),225.31)</f>
        <v>225.31</v>
      </c>
      <c r="F2823" s="2">
        <f>IFERROR(__xludf.DUMMYFUNCTION("""COMPUTED_VALUE"""),627062.0)</f>
        <v>627062</v>
      </c>
    </row>
    <row r="2824">
      <c r="A2824" s="3">
        <f>IFERROR(__xludf.DUMMYFUNCTION("""COMPUTED_VALUE"""),40680.645833333336)</f>
        <v>40680.64583</v>
      </c>
      <c r="B2824" s="2">
        <f>IFERROR(__xludf.DUMMYFUNCTION("""COMPUTED_VALUE"""),225.2)</f>
        <v>225.2</v>
      </c>
      <c r="C2824" s="2">
        <f>IFERROR(__xludf.DUMMYFUNCTION("""COMPUTED_VALUE"""),227.4)</f>
        <v>227.4</v>
      </c>
      <c r="D2824" s="2">
        <f>IFERROR(__xludf.DUMMYFUNCTION("""COMPUTED_VALUE"""),224.1)</f>
        <v>224.1</v>
      </c>
      <c r="E2824" s="2">
        <f>IFERROR(__xludf.DUMMYFUNCTION("""COMPUTED_VALUE"""),225.25)</f>
        <v>225.25</v>
      </c>
      <c r="F2824" s="2">
        <f>IFERROR(__xludf.DUMMYFUNCTION("""COMPUTED_VALUE"""),611194.0)</f>
        <v>611194</v>
      </c>
    </row>
    <row r="2825">
      <c r="A2825" s="3">
        <f>IFERROR(__xludf.DUMMYFUNCTION("""COMPUTED_VALUE"""),40681.645833333336)</f>
        <v>40681.64583</v>
      </c>
      <c r="B2825" s="2">
        <f>IFERROR(__xludf.DUMMYFUNCTION("""COMPUTED_VALUE"""),225.81)</f>
        <v>225.81</v>
      </c>
      <c r="C2825" s="2">
        <f>IFERROR(__xludf.DUMMYFUNCTION("""COMPUTED_VALUE"""),227.77)</f>
        <v>227.77</v>
      </c>
      <c r="D2825" s="2">
        <f>IFERROR(__xludf.DUMMYFUNCTION("""COMPUTED_VALUE"""),224.3)</f>
        <v>224.3</v>
      </c>
      <c r="E2825" s="2">
        <f>IFERROR(__xludf.DUMMYFUNCTION("""COMPUTED_VALUE"""),226.74)</f>
        <v>226.74</v>
      </c>
      <c r="F2825" s="2">
        <f>IFERROR(__xludf.DUMMYFUNCTION("""COMPUTED_VALUE"""),693548.0)</f>
        <v>693548</v>
      </c>
    </row>
    <row r="2826">
      <c r="A2826" s="3">
        <f>IFERROR(__xludf.DUMMYFUNCTION("""COMPUTED_VALUE"""),40682.645833333336)</f>
        <v>40682.64583</v>
      </c>
      <c r="B2826" s="2">
        <f>IFERROR(__xludf.DUMMYFUNCTION("""COMPUTED_VALUE"""),227.05)</f>
        <v>227.05</v>
      </c>
      <c r="C2826" s="2">
        <f>IFERROR(__xludf.DUMMYFUNCTION("""COMPUTED_VALUE"""),228.4)</f>
        <v>228.4</v>
      </c>
      <c r="D2826" s="2">
        <f>IFERROR(__xludf.DUMMYFUNCTION("""COMPUTED_VALUE"""),225.77)</f>
        <v>225.77</v>
      </c>
      <c r="E2826" s="2">
        <f>IFERROR(__xludf.DUMMYFUNCTION("""COMPUTED_VALUE"""),227.38)</f>
        <v>227.38</v>
      </c>
      <c r="F2826" s="2">
        <f>IFERROR(__xludf.DUMMYFUNCTION("""COMPUTED_VALUE"""),751127.0)</f>
        <v>751127</v>
      </c>
    </row>
    <row r="2827">
      <c r="A2827" s="3">
        <f>IFERROR(__xludf.DUMMYFUNCTION("""COMPUTED_VALUE"""),40683.645833333336)</f>
        <v>40683.64583</v>
      </c>
      <c r="B2827" s="2">
        <f>IFERROR(__xludf.DUMMYFUNCTION("""COMPUTED_VALUE"""),227.0)</f>
        <v>227</v>
      </c>
      <c r="C2827" s="2">
        <f>IFERROR(__xludf.DUMMYFUNCTION("""COMPUTED_VALUE"""),232.0)</f>
        <v>232</v>
      </c>
      <c r="D2827" s="2">
        <f>IFERROR(__xludf.DUMMYFUNCTION("""COMPUTED_VALUE"""),225.54)</f>
        <v>225.54</v>
      </c>
      <c r="E2827" s="2">
        <f>IFERROR(__xludf.DUMMYFUNCTION("""COMPUTED_VALUE"""),231.57)</f>
        <v>231.57</v>
      </c>
      <c r="F2827" s="2">
        <f>IFERROR(__xludf.DUMMYFUNCTION("""COMPUTED_VALUE"""),1191387.0)</f>
        <v>1191387</v>
      </c>
    </row>
    <row r="2828">
      <c r="A2828" s="3">
        <f>IFERROR(__xludf.DUMMYFUNCTION("""COMPUTED_VALUE"""),40686.645833333336)</f>
        <v>40686.64583</v>
      </c>
      <c r="B2828" s="2">
        <f>IFERROR(__xludf.DUMMYFUNCTION("""COMPUTED_VALUE"""),229.5)</f>
        <v>229.5</v>
      </c>
      <c r="C2828" s="2">
        <f>IFERROR(__xludf.DUMMYFUNCTION("""COMPUTED_VALUE"""),229.88)</f>
        <v>229.88</v>
      </c>
      <c r="D2828" s="2">
        <f>IFERROR(__xludf.DUMMYFUNCTION("""COMPUTED_VALUE"""),224.6)</f>
        <v>224.6</v>
      </c>
      <c r="E2828" s="2">
        <f>IFERROR(__xludf.DUMMYFUNCTION("""COMPUTED_VALUE"""),226.47)</f>
        <v>226.47</v>
      </c>
      <c r="F2828" s="2">
        <f>IFERROR(__xludf.DUMMYFUNCTION("""COMPUTED_VALUE"""),1004640.0)</f>
        <v>1004640</v>
      </c>
    </row>
    <row r="2829">
      <c r="A2829" s="3">
        <f>IFERROR(__xludf.DUMMYFUNCTION("""COMPUTED_VALUE"""),40687.645833333336)</f>
        <v>40687.64583</v>
      </c>
      <c r="B2829" s="2">
        <f>IFERROR(__xludf.DUMMYFUNCTION("""COMPUTED_VALUE"""),225.4)</f>
        <v>225.4</v>
      </c>
      <c r="C2829" s="2">
        <f>IFERROR(__xludf.DUMMYFUNCTION("""COMPUTED_VALUE"""),229.25)</f>
        <v>229.25</v>
      </c>
      <c r="D2829" s="2">
        <f>IFERROR(__xludf.DUMMYFUNCTION("""COMPUTED_VALUE"""),224.82)</f>
        <v>224.82</v>
      </c>
      <c r="E2829" s="2">
        <f>IFERROR(__xludf.DUMMYFUNCTION("""COMPUTED_VALUE"""),225.53)</f>
        <v>225.53</v>
      </c>
      <c r="F2829" s="2">
        <f>IFERROR(__xludf.DUMMYFUNCTION("""COMPUTED_VALUE"""),450244.0)</f>
        <v>450244</v>
      </c>
    </row>
    <row r="2830">
      <c r="A2830" s="3">
        <f>IFERROR(__xludf.DUMMYFUNCTION("""COMPUTED_VALUE"""),40688.645833333336)</f>
        <v>40688.64583</v>
      </c>
      <c r="B2830" s="2">
        <f>IFERROR(__xludf.DUMMYFUNCTION("""COMPUTED_VALUE"""),225.0)</f>
        <v>225</v>
      </c>
      <c r="C2830" s="2">
        <f>IFERROR(__xludf.DUMMYFUNCTION("""COMPUTED_VALUE"""),226.7)</f>
        <v>226.7</v>
      </c>
      <c r="D2830" s="2">
        <f>IFERROR(__xludf.DUMMYFUNCTION("""COMPUTED_VALUE"""),224.54)</f>
        <v>224.54</v>
      </c>
      <c r="E2830" s="2">
        <f>IFERROR(__xludf.DUMMYFUNCTION("""COMPUTED_VALUE"""),225.48)</f>
        <v>225.48</v>
      </c>
      <c r="F2830" s="2">
        <f>IFERROR(__xludf.DUMMYFUNCTION("""COMPUTED_VALUE"""),415744.0)</f>
        <v>415744</v>
      </c>
    </row>
    <row r="2831">
      <c r="A2831" s="3">
        <f>IFERROR(__xludf.DUMMYFUNCTION("""COMPUTED_VALUE"""),40689.645833333336)</f>
        <v>40689.64583</v>
      </c>
      <c r="B2831" s="2">
        <f>IFERROR(__xludf.DUMMYFUNCTION("""COMPUTED_VALUE"""),225.5)</f>
        <v>225.5</v>
      </c>
      <c r="C2831" s="2">
        <f>IFERROR(__xludf.DUMMYFUNCTION("""COMPUTED_VALUE"""),227.7)</f>
        <v>227.7</v>
      </c>
      <c r="D2831" s="2">
        <f>IFERROR(__xludf.DUMMYFUNCTION("""COMPUTED_VALUE"""),224.0)</f>
        <v>224</v>
      </c>
      <c r="E2831" s="2">
        <f>IFERROR(__xludf.DUMMYFUNCTION("""COMPUTED_VALUE"""),226.42)</f>
        <v>226.42</v>
      </c>
      <c r="F2831" s="2">
        <f>IFERROR(__xludf.DUMMYFUNCTION("""COMPUTED_VALUE"""),994995.0)</f>
        <v>994995</v>
      </c>
    </row>
    <row r="2832">
      <c r="A2832" s="3">
        <f>IFERROR(__xludf.DUMMYFUNCTION("""COMPUTED_VALUE"""),40690.645833333336)</f>
        <v>40690.64583</v>
      </c>
      <c r="B2832" s="2">
        <f>IFERROR(__xludf.DUMMYFUNCTION("""COMPUTED_VALUE"""),226.49)</f>
        <v>226.49</v>
      </c>
      <c r="C2832" s="2">
        <f>IFERROR(__xludf.DUMMYFUNCTION("""COMPUTED_VALUE"""),231.2)</f>
        <v>231.2</v>
      </c>
      <c r="D2832" s="2">
        <f>IFERROR(__xludf.DUMMYFUNCTION("""COMPUTED_VALUE"""),226.26)</f>
        <v>226.26</v>
      </c>
      <c r="E2832" s="2">
        <f>IFERROR(__xludf.DUMMYFUNCTION("""COMPUTED_VALUE"""),230.36)</f>
        <v>230.36</v>
      </c>
      <c r="F2832" s="2">
        <f>IFERROR(__xludf.DUMMYFUNCTION("""COMPUTED_VALUE"""),583102.0)</f>
        <v>583102</v>
      </c>
    </row>
    <row r="2833">
      <c r="A2833" s="3">
        <f>IFERROR(__xludf.DUMMYFUNCTION("""COMPUTED_VALUE"""),40693.645833333336)</f>
        <v>40693.64583</v>
      </c>
      <c r="B2833" s="2">
        <f>IFERROR(__xludf.DUMMYFUNCTION("""COMPUTED_VALUE"""),230.4)</f>
        <v>230.4</v>
      </c>
      <c r="C2833" s="2">
        <f>IFERROR(__xludf.DUMMYFUNCTION("""COMPUTED_VALUE"""),232.76)</f>
        <v>232.76</v>
      </c>
      <c r="D2833" s="2">
        <f>IFERROR(__xludf.DUMMYFUNCTION("""COMPUTED_VALUE"""),229.74)</f>
        <v>229.74</v>
      </c>
      <c r="E2833" s="2">
        <f>IFERROR(__xludf.DUMMYFUNCTION("""COMPUTED_VALUE"""),230.76)</f>
        <v>230.76</v>
      </c>
      <c r="F2833" s="2">
        <f>IFERROR(__xludf.DUMMYFUNCTION("""COMPUTED_VALUE"""),392475.0)</f>
        <v>392475</v>
      </c>
    </row>
    <row r="2834">
      <c r="A2834" s="3">
        <f>IFERROR(__xludf.DUMMYFUNCTION("""COMPUTED_VALUE"""),40694.645833333336)</f>
        <v>40694.64583</v>
      </c>
      <c r="B2834" s="2">
        <f>IFERROR(__xludf.DUMMYFUNCTION("""COMPUTED_VALUE"""),232.49)</f>
        <v>232.49</v>
      </c>
      <c r="C2834" s="2">
        <f>IFERROR(__xludf.DUMMYFUNCTION("""COMPUTED_VALUE"""),240.87)</f>
        <v>240.87</v>
      </c>
      <c r="D2834" s="2">
        <f>IFERROR(__xludf.DUMMYFUNCTION("""COMPUTED_VALUE"""),231.5)</f>
        <v>231.5</v>
      </c>
      <c r="E2834" s="2">
        <f>IFERROR(__xludf.DUMMYFUNCTION("""COMPUTED_VALUE"""),239.96)</f>
        <v>239.96</v>
      </c>
      <c r="F2834" s="2">
        <f>IFERROR(__xludf.DUMMYFUNCTION("""COMPUTED_VALUE"""),1769673.0)</f>
        <v>1769673</v>
      </c>
    </row>
    <row r="2835">
      <c r="A2835" s="3">
        <f>IFERROR(__xludf.DUMMYFUNCTION("""COMPUTED_VALUE"""),40695.645833333336)</f>
        <v>40695.64583</v>
      </c>
      <c r="B2835" s="2">
        <f>IFERROR(__xludf.DUMMYFUNCTION("""COMPUTED_VALUE"""),239.0)</f>
        <v>239</v>
      </c>
      <c r="C2835" s="2">
        <f>IFERROR(__xludf.DUMMYFUNCTION("""COMPUTED_VALUE"""),240.7)</f>
        <v>240.7</v>
      </c>
      <c r="D2835" s="2">
        <f>IFERROR(__xludf.DUMMYFUNCTION("""COMPUTED_VALUE"""),237.48)</f>
        <v>237.48</v>
      </c>
      <c r="E2835" s="2">
        <f>IFERROR(__xludf.DUMMYFUNCTION("""COMPUTED_VALUE"""),239.82)</f>
        <v>239.82</v>
      </c>
      <c r="F2835" s="2">
        <f>IFERROR(__xludf.DUMMYFUNCTION("""COMPUTED_VALUE"""),657167.0)</f>
        <v>657167</v>
      </c>
    </row>
    <row r="2836">
      <c r="A2836" s="3">
        <f>IFERROR(__xludf.DUMMYFUNCTION("""COMPUTED_VALUE"""),40696.645833333336)</f>
        <v>40696.64583</v>
      </c>
      <c r="B2836" s="2">
        <f>IFERROR(__xludf.DUMMYFUNCTION("""COMPUTED_VALUE"""),235.51)</f>
        <v>235.51</v>
      </c>
      <c r="C2836" s="2">
        <f>IFERROR(__xludf.DUMMYFUNCTION("""COMPUTED_VALUE"""),236.67)</f>
        <v>236.67</v>
      </c>
      <c r="D2836" s="2">
        <f>IFERROR(__xludf.DUMMYFUNCTION("""COMPUTED_VALUE"""),234.5)</f>
        <v>234.5</v>
      </c>
      <c r="E2836" s="2">
        <f>IFERROR(__xludf.DUMMYFUNCTION("""COMPUTED_VALUE"""),236.03)</f>
        <v>236.03</v>
      </c>
      <c r="F2836" s="2">
        <f>IFERROR(__xludf.DUMMYFUNCTION("""COMPUTED_VALUE"""),672276.0)</f>
        <v>672276</v>
      </c>
    </row>
    <row r="2837">
      <c r="A2837" s="3">
        <f>IFERROR(__xludf.DUMMYFUNCTION("""COMPUTED_VALUE"""),40697.645833333336)</f>
        <v>40697.64583</v>
      </c>
      <c r="B2837" s="2">
        <f>IFERROR(__xludf.DUMMYFUNCTION("""COMPUTED_VALUE"""),236.0)</f>
        <v>236</v>
      </c>
      <c r="C2837" s="2">
        <f>IFERROR(__xludf.DUMMYFUNCTION("""COMPUTED_VALUE"""),237.09)</f>
        <v>237.09</v>
      </c>
      <c r="D2837" s="2">
        <f>IFERROR(__xludf.DUMMYFUNCTION("""COMPUTED_VALUE"""),234.85)</f>
        <v>234.85</v>
      </c>
      <c r="E2837" s="2">
        <f>IFERROR(__xludf.DUMMYFUNCTION("""COMPUTED_VALUE"""),235.68)</f>
        <v>235.68</v>
      </c>
      <c r="F2837" s="2">
        <f>IFERROR(__xludf.DUMMYFUNCTION("""COMPUTED_VALUE"""),598853.0)</f>
        <v>598853</v>
      </c>
    </row>
    <row r="2838">
      <c r="A2838" s="3">
        <f>IFERROR(__xludf.DUMMYFUNCTION("""COMPUTED_VALUE"""),40700.645833333336)</f>
        <v>40700.64583</v>
      </c>
      <c r="B2838" s="2">
        <f>IFERROR(__xludf.DUMMYFUNCTION("""COMPUTED_VALUE"""),234.53)</f>
        <v>234.53</v>
      </c>
      <c r="C2838" s="2">
        <f>IFERROR(__xludf.DUMMYFUNCTION("""COMPUTED_VALUE"""),239.0)</f>
        <v>239</v>
      </c>
      <c r="D2838" s="2">
        <f>IFERROR(__xludf.DUMMYFUNCTION("""COMPUTED_VALUE"""),234.53)</f>
        <v>234.53</v>
      </c>
      <c r="E2838" s="2">
        <f>IFERROR(__xludf.DUMMYFUNCTION("""COMPUTED_VALUE"""),238.13)</f>
        <v>238.13</v>
      </c>
      <c r="F2838" s="2">
        <f>IFERROR(__xludf.DUMMYFUNCTION("""COMPUTED_VALUE"""),584280.0)</f>
        <v>584280</v>
      </c>
    </row>
    <row r="2839">
      <c r="A2839" s="3">
        <f>IFERROR(__xludf.DUMMYFUNCTION("""COMPUTED_VALUE"""),40701.645833333336)</f>
        <v>40701.64583</v>
      </c>
      <c r="B2839" s="2">
        <f>IFERROR(__xludf.DUMMYFUNCTION("""COMPUTED_VALUE"""),236.51)</f>
        <v>236.51</v>
      </c>
      <c r="C2839" s="2">
        <f>IFERROR(__xludf.DUMMYFUNCTION("""COMPUTED_VALUE"""),239.07)</f>
        <v>239.07</v>
      </c>
      <c r="D2839" s="2">
        <f>IFERROR(__xludf.DUMMYFUNCTION("""COMPUTED_VALUE"""),236.38)</f>
        <v>236.38</v>
      </c>
      <c r="E2839" s="2">
        <f>IFERROR(__xludf.DUMMYFUNCTION("""COMPUTED_VALUE"""),237.65)</f>
        <v>237.65</v>
      </c>
      <c r="F2839" s="2">
        <f>IFERROR(__xludf.DUMMYFUNCTION("""COMPUTED_VALUE"""),406347.0)</f>
        <v>406347</v>
      </c>
    </row>
    <row r="2840">
      <c r="A2840" s="3">
        <f>IFERROR(__xludf.DUMMYFUNCTION("""COMPUTED_VALUE"""),40702.645833333336)</f>
        <v>40702.64583</v>
      </c>
      <c r="B2840" s="2">
        <f>IFERROR(__xludf.DUMMYFUNCTION("""COMPUTED_VALUE"""),235.62)</f>
        <v>235.62</v>
      </c>
      <c r="C2840" s="2">
        <f>IFERROR(__xludf.DUMMYFUNCTION("""COMPUTED_VALUE"""),237.2)</f>
        <v>237.2</v>
      </c>
      <c r="D2840" s="2">
        <f>IFERROR(__xludf.DUMMYFUNCTION("""COMPUTED_VALUE"""),234.82)</f>
        <v>234.82</v>
      </c>
      <c r="E2840" s="2">
        <f>IFERROR(__xludf.DUMMYFUNCTION("""COMPUTED_VALUE"""),235.53)</f>
        <v>235.53</v>
      </c>
      <c r="F2840" s="2">
        <f>IFERROR(__xludf.DUMMYFUNCTION("""COMPUTED_VALUE"""),513939.0)</f>
        <v>513939</v>
      </c>
    </row>
    <row r="2841">
      <c r="A2841" s="3">
        <f>IFERROR(__xludf.DUMMYFUNCTION("""COMPUTED_VALUE"""),40703.645833333336)</f>
        <v>40703.64583</v>
      </c>
      <c r="B2841" s="2">
        <f>IFERROR(__xludf.DUMMYFUNCTION("""COMPUTED_VALUE"""),235.48)</f>
        <v>235.48</v>
      </c>
      <c r="C2841" s="2">
        <f>IFERROR(__xludf.DUMMYFUNCTION("""COMPUTED_VALUE"""),237.46)</f>
        <v>237.46</v>
      </c>
      <c r="D2841" s="2">
        <f>IFERROR(__xludf.DUMMYFUNCTION("""COMPUTED_VALUE"""),234.15)</f>
        <v>234.15</v>
      </c>
      <c r="E2841" s="2">
        <f>IFERROR(__xludf.DUMMYFUNCTION("""COMPUTED_VALUE"""),236.28)</f>
        <v>236.28</v>
      </c>
      <c r="F2841" s="2">
        <f>IFERROR(__xludf.DUMMYFUNCTION("""COMPUTED_VALUE"""),322994.0)</f>
        <v>322994</v>
      </c>
    </row>
    <row r="2842">
      <c r="A2842" s="3">
        <f>IFERROR(__xludf.DUMMYFUNCTION("""COMPUTED_VALUE"""),40704.645833333336)</f>
        <v>40704.64583</v>
      </c>
      <c r="B2842" s="2">
        <f>IFERROR(__xludf.DUMMYFUNCTION("""COMPUTED_VALUE"""),236.8)</f>
        <v>236.8</v>
      </c>
      <c r="C2842" s="2">
        <f>IFERROR(__xludf.DUMMYFUNCTION("""COMPUTED_VALUE"""),237.45)</f>
        <v>237.45</v>
      </c>
      <c r="D2842" s="2">
        <f>IFERROR(__xludf.DUMMYFUNCTION("""COMPUTED_VALUE"""),233.02)</f>
        <v>233.02</v>
      </c>
      <c r="E2842" s="2">
        <f>IFERROR(__xludf.DUMMYFUNCTION("""COMPUTED_VALUE"""),236.25)</f>
        <v>236.25</v>
      </c>
      <c r="F2842" s="2">
        <f>IFERROR(__xludf.DUMMYFUNCTION("""COMPUTED_VALUE"""),437191.0)</f>
        <v>437191</v>
      </c>
    </row>
    <row r="2843">
      <c r="A2843" s="3">
        <f>IFERROR(__xludf.DUMMYFUNCTION("""COMPUTED_VALUE"""),40707.645833333336)</f>
        <v>40707.64583</v>
      </c>
      <c r="B2843" s="2">
        <f>IFERROR(__xludf.DUMMYFUNCTION("""COMPUTED_VALUE"""),235.31)</f>
        <v>235.31</v>
      </c>
      <c r="C2843" s="2">
        <f>IFERROR(__xludf.DUMMYFUNCTION("""COMPUTED_VALUE"""),238.0)</f>
        <v>238</v>
      </c>
      <c r="D2843" s="2">
        <f>IFERROR(__xludf.DUMMYFUNCTION("""COMPUTED_VALUE"""),234.41)</f>
        <v>234.41</v>
      </c>
      <c r="E2843" s="2">
        <f>IFERROR(__xludf.DUMMYFUNCTION("""COMPUTED_VALUE"""),237.26)</f>
        <v>237.26</v>
      </c>
      <c r="F2843" s="2">
        <f>IFERROR(__xludf.DUMMYFUNCTION("""COMPUTED_VALUE"""),391778.0)</f>
        <v>391778</v>
      </c>
    </row>
    <row r="2844">
      <c r="A2844" s="3">
        <f>IFERROR(__xludf.DUMMYFUNCTION("""COMPUTED_VALUE"""),40708.645833333336)</f>
        <v>40708.64583</v>
      </c>
      <c r="B2844" s="2">
        <f>IFERROR(__xludf.DUMMYFUNCTION("""COMPUTED_VALUE"""),237.8)</f>
        <v>237.8</v>
      </c>
      <c r="C2844" s="2">
        <f>IFERROR(__xludf.DUMMYFUNCTION("""COMPUTED_VALUE"""),239.8)</f>
        <v>239.8</v>
      </c>
      <c r="D2844" s="2">
        <f>IFERROR(__xludf.DUMMYFUNCTION("""COMPUTED_VALUE"""),236.55)</f>
        <v>236.55</v>
      </c>
      <c r="E2844" s="2">
        <f>IFERROR(__xludf.DUMMYFUNCTION("""COMPUTED_VALUE"""),238.25)</f>
        <v>238.25</v>
      </c>
      <c r="F2844" s="2">
        <f>IFERROR(__xludf.DUMMYFUNCTION("""COMPUTED_VALUE"""),621660.0)</f>
        <v>621660</v>
      </c>
    </row>
    <row r="2845">
      <c r="A2845" s="3">
        <f>IFERROR(__xludf.DUMMYFUNCTION("""COMPUTED_VALUE"""),40709.645833333336)</f>
        <v>40709.64583</v>
      </c>
      <c r="B2845" s="2">
        <f>IFERROR(__xludf.DUMMYFUNCTION("""COMPUTED_VALUE"""),238.0)</f>
        <v>238</v>
      </c>
      <c r="C2845" s="2">
        <f>IFERROR(__xludf.DUMMYFUNCTION("""COMPUTED_VALUE"""),239.58)</f>
        <v>239.58</v>
      </c>
      <c r="D2845" s="2">
        <f>IFERROR(__xludf.DUMMYFUNCTION("""COMPUTED_VALUE"""),236.7)</f>
        <v>236.7</v>
      </c>
      <c r="E2845" s="2">
        <f>IFERROR(__xludf.DUMMYFUNCTION("""COMPUTED_VALUE"""),237.28)</f>
        <v>237.28</v>
      </c>
      <c r="F2845" s="2">
        <f>IFERROR(__xludf.DUMMYFUNCTION("""COMPUTED_VALUE"""),703894.0)</f>
        <v>703894</v>
      </c>
    </row>
    <row r="2846">
      <c r="A2846" s="3">
        <f>IFERROR(__xludf.DUMMYFUNCTION("""COMPUTED_VALUE"""),40710.645833333336)</f>
        <v>40710.64583</v>
      </c>
      <c r="B2846" s="2">
        <f>IFERROR(__xludf.DUMMYFUNCTION("""COMPUTED_VALUE"""),236.4)</f>
        <v>236.4</v>
      </c>
      <c r="C2846" s="2">
        <f>IFERROR(__xludf.DUMMYFUNCTION("""COMPUTED_VALUE"""),237.2)</f>
        <v>237.2</v>
      </c>
      <c r="D2846" s="2">
        <f>IFERROR(__xludf.DUMMYFUNCTION("""COMPUTED_VALUE"""),233.81)</f>
        <v>233.81</v>
      </c>
      <c r="E2846" s="2">
        <f>IFERROR(__xludf.DUMMYFUNCTION("""COMPUTED_VALUE"""),234.3)</f>
        <v>234.3</v>
      </c>
      <c r="F2846" s="2">
        <f>IFERROR(__xludf.DUMMYFUNCTION("""COMPUTED_VALUE"""),421265.0)</f>
        <v>421265</v>
      </c>
    </row>
    <row r="2847">
      <c r="A2847" s="3">
        <f>IFERROR(__xludf.DUMMYFUNCTION("""COMPUTED_VALUE"""),40711.645833333336)</f>
        <v>40711.64583</v>
      </c>
      <c r="B2847" s="2">
        <f>IFERROR(__xludf.DUMMYFUNCTION("""COMPUTED_VALUE"""),235.05)</f>
        <v>235.05</v>
      </c>
      <c r="C2847" s="2">
        <f>IFERROR(__xludf.DUMMYFUNCTION("""COMPUTED_VALUE"""),236.61)</f>
        <v>236.61</v>
      </c>
      <c r="D2847" s="2">
        <f>IFERROR(__xludf.DUMMYFUNCTION("""COMPUTED_VALUE"""),233.36)</f>
        <v>233.36</v>
      </c>
      <c r="E2847" s="2">
        <f>IFERROR(__xludf.DUMMYFUNCTION("""COMPUTED_VALUE"""),234.93)</f>
        <v>234.93</v>
      </c>
      <c r="F2847" s="2">
        <f>IFERROR(__xludf.DUMMYFUNCTION("""COMPUTED_VALUE"""),710674.0)</f>
        <v>710674</v>
      </c>
    </row>
    <row r="2848">
      <c r="A2848" s="3">
        <f>IFERROR(__xludf.DUMMYFUNCTION("""COMPUTED_VALUE"""),40714.645833333336)</f>
        <v>40714.64583</v>
      </c>
      <c r="B2848" s="2">
        <f>IFERROR(__xludf.DUMMYFUNCTION("""COMPUTED_VALUE"""),234.21)</f>
        <v>234.21</v>
      </c>
      <c r="C2848" s="2">
        <f>IFERROR(__xludf.DUMMYFUNCTION("""COMPUTED_VALUE"""),236.15)</f>
        <v>236.15</v>
      </c>
      <c r="D2848" s="2">
        <f>IFERROR(__xludf.DUMMYFUNCTION("""COMPUTED_VALUE"""),227.2)</f>
        <v>227.2</v>
      </c>
      <c r="E2848" s="2">
        <f>IFERROR(__xludf.DUMMYFUNCTION("""COMPUTED_VALUE"""),229.9)</f>
        <v>229.9</v>
      </c>
      <c r="F2848" s="2">
        <f>IFERROR(__xludf.DUMMYFUNCTION("""COMPUTED_VALUE"""),781285.0)</f>
        <v>781285</v>
      </c>
    </row>
    <row r="2849">
      <c r="A2849" s="3">
        <f>IFERROR(__xludf.DUMMYFUNCTION("""COMPUTED_VALUE"""),40715.645833333336)</f>
        <v>40715.64583</v>
      </c>
      <c r="B2849" s="2">
        <f>IFERROR(__xludf.DUMMYFUNCTION("""COMPUTED_VALUE"""),230.2)</f>
        <v>230.2</v>
      </c>
      <c r="C2849" s="2">
        <f>IFERROR(__xludf.DUMMYFUNCTION("""COMPUTED_VALUE"""),234.4)</f>
        <v>234.4</v>
      </c>
      <c r="D2849" s="2">
        <f>IFERROR(__xludf.DUMMYFUNCTION("""COMPUTED_VALUE"""),230.2)</f>
        <v>230.2</v>
      </c>
      <c r="E2849" s="2">
        <f>IFERROR(__xludf.DUMMYFUNCTION("""COMPUTED_VALUE"""),232.56)</f>
        <v>232.56</v>
      </c>
      <c r="F2849" s="2">
        <f>IFERROR(__xludf.DUMMYFUNCTION("""COMPUTED_VALUE"""),507886.0)</f>
        <v>507886</v>
      </c>
    </row>
    <row r="2850">
      <c r="A2850" s="3">
        <f>IFERROR(__xludf.DUMMYFUNCTION("""COMPUTED_VALUE"""),40716.645833333336)</f>
        <v>40716.64583</v>
      </c>
      <c r="B2850" s="2">
        <f>IFERROR(__xludf.DUMMYFUNCTION("""COMPUTED_VALUE"""),233.25)</f>
        <v>233.25</v>
      </c>
      <c r="C2850" s="2">
        <f>IFERROR(__xludf.DUMMYFUNCTION("""COMPUTED_VALUE"""),234.78)</f>
        <v>234.78</v>
      </c>
      <c r="D2850" s="2">
        <f>IFERROR(__xludf.DUMMYFUNCTION("""COMPUTED_VALUE"""),231.24)</f>
        <v>231.24</v>
      </c>
      <c r="E2850" s="2">
        <f>IFERROR(__xludf.DUMMYFUNCTION("""COMPUTED_VALUE"""),232.27)</f>
        <v>232.27</v>
      </c>
      <c r="F2850" s="2">
        <f>IFERROR(__xludf.DUMMYFUNCTION("""COMPUTED_VALUE"""),309158.0)</f>
        <v>309158</v>
      </c>
    </row>
    <row r="2851">
      <c r="A2851" s="3">
        <f>IFERROR(__xludf.DUMMYFUNCTION("""COMPUTED_VALUE"""),40717.645833333336)</f>
        <v>40717.64583</v>
      </c>
      <c r="B2851" s="2">
        <f>IFERROR(__xludf.DUMMYFUNCTION("""COMPUTED_VALUE"""),231.9)</f>
        <v>231.9</v>
      </c>
      <c r="C2851" s="2">
        <f>IFERROR(__xludf.DUMMYFUNCTION("""COMPUTED_VALUE"""),233.95)</f>
        <v>233.95</v>
      </c>
      <c r="D2851" s="2">
        <f>IFERROR(__xludf.DUMMYFUNCTION("""COMPUTED_VALUE"""),231.0)</f>
        <v>231</v>
      </c>
      <c r="E2851" s="2">
        <f>IFERROR(__xludf.DUMMYFUNCTION("""COMPUTED_VALUE"""),233.38)</f>
        <v>233.38</v>
      </c>
      <c r="F2851" s="2">
        <f>IFERROR(__xludf.DUMMYFUNCTION("""COMPUTED_VALUE"""),413379.0)</f>
        <v>413379</v>
      </c>
    </row>
    <row r="2852">
      <c r="A2852" s="3">
        <f>IFERROR(__xludf.DUMMYFUNCTION("""COMPUTED_VALUE"""),40718.645833333336)</f>
        <v>40718.64583</v>
      </c>
      <c r="B2852" s="2">
        <f>IFERROR(__xludf.DUMMYFUNCTION("""COMPUTED_VALUE"""),234.9)</f>
        <v>234.9</v>
      </c>
      <c r="C2852" s="2">
        <f>IFERROR(__xludf.DUMMYFUNCTION("""COMPUTED_VALUE"""),239.0)</f>
        <v>239</v>
      </c>
      <c r="D2852" s="2">
        <f>IFERROR(__xludf.DUMMYFUNCTION("""COMPUTED_VALUE"""),234.16)</f>
        <v>234.16</v>
      </c>
      <c r="E2852" s="2">
        <f>IFERROR(__xludf.DUMMYFUNCTION("""COMPUTED_VALUE"""),238.31)</f>
        <v>238.31</v>
      </c>
      <c r="F2852" s="2">
        <f>IFERROR(__xludf.DUMMYFUNCTION("""COMPUTED_VALUE"""),828773.0)</f>
        <v>828773</v>
      </c>
    </row>
    <row r="2853">
      <c r="A2853" s="3">
        <f>IFERROR(__xludf.DUMMYFUNCTION("""COMPUTED_VALUE"""),40721.645833333336)</f>
        <v>40721.64583</v>
      </c>
      <c r="B2853" s="2">
        <f>IFERROR(__xludf.DUMMYFUNCTION("""COMPUTED_VALUE"""),238.3)</f>
        <v>238.3</v>
      </c>
      <c r="C2853" s="2">
        <f>IFERROR(__xludf.DUMMYFUNCTION("""COMPUTED_VALUE"""),243.19)</f>
        <v>243.19</v>
      </c>
      <c r="D2853" s="2">
        <f>IFERROR(__xludf.DUMMYFUNCTION("""COMPUTED_VALUE"""),237.26)</f>
        <v>237.26</v>
      </c>
      <c r="E2853" s="2">
        <f>IFERROR(__xludf.DUMMYFUNCTION("""COMPUTED_VALUE"""),241.61)</f>
        <v>241.61</v>
      </c>
      <c r="F2853" s="2">
        <f>IFERROR(__xludf.DUMMYFUNCTION("""COMPUTED_VALUE"""),1025619.0)</f>
        <v>1025619</v>
      </c>
    </row>
    <row r="2854">
      <c r="A2854" s="3">
        <f>IFERROR(__xludf.DUMMYFUNCTION("""COMPUTED_VALUE"""),40722.645833333336)</f>
        <v>40722.64583</v>
      </c>
      <c r="B2854" s="2">
        <f>IFERROR(__xludf.DUMMYFUNCTION("""COMPUTED_VALUE"""),242.94)</f>
        <v>242.94</v>
      </c>
      <c r="C2854" s="2">
        <f>IFERROR(__xludf.DUMMYFUNCTION("""COMPUTED_VALUE"""),243.0)</f>
        <v>243</v>
      </c>
      <c r="D2854" s="2">
        <f>IFERROR(__xludf.DUMMYFUNCTION("""COMPUTED_VALUE"""),240.46)</f>
        <v>240.46</v>
      </c>
      <c r="E2854" s="2">
        <f>IFERROR(__xludf.DUMMYFUNCTION("""COMPUTED_VALUE"""),242.31)</f>
        <v>242.31</v>
      </c>
      <c r="F2854" s="2">
        <f>IFERROR(__xludf.DUMMYFUNCTION("""COMPUTED_VALUE"""),609681.0)</f>
        <v>609681</v>
      </c>
    </row>
    <row r="2855">
      <c r="A2855" s="3">
        <f>IFERROR(__xludf.DUMMYFUNCTION("""COMPUTED_VALUE"""),40723.645833333336)</f>
        <v>40723.64583</v>
      </c>
      <c r="B2855" s="2">
        <f>IFERROR(__xludf.DUMMYFUNCTION("""COMPUTED_VALUE"""),243.5)</f>
        <v>243.5</v>
      </c>
      <c r="C2855" s="2">
        <f>IFERROR(__xludf.DUMMYFUNCTION("""COMPUTED_VALUE"""),249.9)</f>
        <v>249.9</v>
      </c>
      <c r="D2855" s="2">
        <f>IFERROR(__xludf.DUMMYFUNCTION("""COMPUTED_VALUE"""),243.5)</f>
        <v>243.5</v>
      </c>
      <c r="E2855" s="2">
        <f>IFERROR(__xludf.DUMMYFUNCTION("""COMPUTED_VALUE"""),248.91)</f>
        <v>248.91</v>
      </c>
      <c r="F2855" s="2">
        <f>IFERROR(__xludf.DUMMYFUNCTION("""COMPUTED_VALUE"""),1025244.0)</f>
        <v>1025244</v>
      </c>
    </row>
    <row r="2856">
      <c r="A2856" s="3">
        <f>IFERROR(__xludf.DUMMYFUNCTION("""COMPUTED_VALUE"""),40724.645833333336)</f>
        <v>40724.64583</v>
      </c>
      <c r="B2856" s="2">
        <f>IFERROR(__xludf.DUMMYFUNCTION("""COMPUTED_VALUE"""),249.9)</f>
        <v>249.9</v>
      </c>
      <c r="C2856" s="2">
        <f>IFERROR(__xludf.DUMMYFUNCTION("""COMPUTED_VALUE"""),252.5)</f>
        <v>252.5</v>
      </c>
      <c r="D2856" s="2">
        <f>IFERROR(__xludf.DUMMYFUNCTION("""COMPUTED_VALUE"""),247.61)</f>
        <v>247.61</v>
      </c>
      <c r="E2856" s="2">
        <f>IFERROR(__xludf.DUMMYFUNCTION("""COMPUTED_VALUE"""),251.56)</f>
        <v>251.56</v>
      </c>
      <c r="F2856" s="2">
        <f>IFERROR(__xludf.DUMMYFUNCTION("""COMPUTED_VALUE"""),1342060.0)</f>
        <v>1342060</v>
      </c>
    </row>
    <row r="2857">
      <c r="A2857" s="3">
        <f>IFERROR(__xludf.DUMMYFUNCTION("""COMPUTED_VALUE"""),40725.645833333336)</f>
        <v>40725.64583</v>
      </c>
      <c r="B2857" s="2">
        <f>IFERROR(__xludf.DUMMYFUNCTION("""COMPUTED_VALUE"""),254.0)</f>
        <v>254</v>
      </c>
      <c r="C2857" s="2">
        <f>IFERROR(__xludf.DUMMYFUNCTION("""COMPUTED_VALUE"""),254.76)</f>
        <v>254.76</v>
      </c>
      <c r="D2857" s="2">
        <f>IFERROR(__xludf.DUMMYFUNCTION("""COMPUTED_VALUE"""),247.8)</f>
        <v>247.8</v>
      </c>
      <c r="E2857" s="2">
        <f>IFERROR(__xludf.DUMMYFUNCTION("""COMPUTED_VALUE"""),250.13)</f>
        <v>250.13</v>
      </c>
      <c r="F2857" s="2">
        <f>IFERROR(__xludf.DUMMYFUNCTION("""COMPUTED_VALUE"""),665242.0)</f>
        <v>665242</v>
      </c>
    </row>
    <row r="2858">
      <c r="A2858" s="3">
        <f>IFERROR(__xludf.DUMMYFUNCTION("""COMPUTED_VALUE"""),40728.645833333336)</f>
        <v>40728.64583</v>
      </c>
      <c r="B2858" s="2">
        <f>IFERROR(__xludf.DUMMYFUNCTION("""COMPUTED_VALUE"""),253.5)</f>
        <v>253.5</v>
      </c>
      <c r="C2858" s="2">
        <f>IFERROR(__xludf.DUMMYFUNCTION("""COMPUTED_VALUE"""),254.2)</f>
        <v>254.2</v>
      </c>
      <c r="D2858" s="2">
        <f>IFERROR(__xludf.DUMMYFUNCTION("""COMPUTED_VALUE"""),251.24)</f>
        <v>251.24</v>
      </c>
      <c r="E2858" s="2">
        <f>IFERROR(__xludf.DUMMYFUNCTION("""COMPUTED_VALUE"""),253.22)</f>
        <v>253.22</v>
      </c>
      <c r="F2858" s="2">
        <f>IFERROR(__xludf.DUMMYFUNCTION("""COMPUTED_VALUE"""),716168.0)</f>
        <v>716168</v>
      </c>
    </row>
    <row r="2859">
      <c r="A2859" s="3">
        <f>IFERROR(__xludf.DUMMYFUNCTION("""COMPUTED_VALUE"""),40729.645833333336)</f>
        <v>40729.64583</v>
      </c>
      <c r="B2859" s="2">
        <f>IFERROR(__xludf.DUMMYFUNCTION("""COMPUTED_VALUE"""),252.2)</f>
        <v>252.2</v>
      </c>
      <c r="C2859" s="2">
        <f>IFERROR(__xludf.DUMMYFUNCTION("""COMPUTED_VALUE"""),255.2)</f>
        <v>255.2</v>
      </c>
      <c r="D2859" s="2">
        <f>IFERROR(__xludf.DUMMYFUNCTION("""COMPUTED_VALUE"""),251.45)</f>
        <v>251.45</v>
      </c>
      <c r="E2859" s="2">
        <f>IFERROR(__xludf.DUMMYFUNCTION("""COMPUTED_VALUE"""),254.11)</f>
        <v>254.11</v>
      </c>
      <c r="F2859" s="2">
        <f>IFERROR(__xludf.DUMMYFUNCTION("""COMPUTED_VALUE"""),531864.0)</f>
        <v>531864</v>
      </c>
    </row>
    <row r="2860">
      <c r="A2860" s="3">
        <f>IFERROR(__xludf.DUMMYFUNCTION("""COMPUTED_VALUE"""),40730.645833333336)</f>
        <v>40730.64583</v>
      </c>
      <c r="B2860" s="2">
        <f>IFERROR(__xludf.DUMMYFUNCTION("""COMPUTED_VALUE"""),253.5)</f>
        <v>253.5</v>
      </c>
      <c r="C2860" s="2">
        <f>IFERROR(__xludf.DUMMYFUNCTION("""COMPUTED_VALUE"""),256.0)</f>
        <v>256</v>
      </c>
      <c r="D2860" s="2">
        <f>IFERROR(__xludf.DUMMYFUNCTION("""COMPUTED_VALUE"""),251.5)</f>
        <v>251.5</v>
      </c>
      <c r="E2860" s="2">
        <f>IFERROR(__xludf.DUMMYFUNCTION("""COMPUTED_VALUE"""),254.53)</f>
        <v>254.53</v>
      </c>
      <c r="F2860" s="2">
        <f>IFERROR(__xludf.DUMMYFUNCTION("""COMPUTED_VALUE"""),589287.0)</f>
        <v>589287</v>
      </c>
    </row>
    <row r="2861">
      <c r="A2861" s="3">
        <f>IFERROR(__xludf.DUMMYFUNCTION("""COMPUTED_VALUE"""),40731.645833333336)</f>
        <v>40731.64583</v>
      </c>
      <c r="B2861" s="2">
        <f>IFERROR(__xludf.DUMMYFUNCTION("""COMPUTED_VALUE"""),254.61)</f>
        <v>254.61</v>
      </c>
      <c r="C2861" s="2">
        <f>IFERROR(__xludf.DUMMYFUNCTION("""COMPUTED_VALUE"""),257.5)</f>
        <v>257.5</v>
      </c>
      <c r="D2861" s="2">
        <f>IFERROR(__xludf.DUMMYFUNCTION("""COMPUTED_VALUE"""),253.41)</f>
        <v>253.41</v>
      </c>
      <c r="E2861" s="2">
        <f>IFERROR(__xludf.DUMMYFUNCTION("""COMPUTED_VALUE"""),256.58)</f>
        <v>256.58</v>
      </c>
      <c r="F2861" s="2">
        <f>IFERROR(__xludf.DUMMYFUNCTION("""COMPUTED_VALUE"""),738902.0)</f>
        <v>738902</v>
      </c>
    </row>
    <row r="2862">
      <c r="A2862" s="3">
        <f>IFERROR(__xludf.DUMMYFUNCTION("""COMPUTED_VALUE"""),40732.645833333336)</f>
        <v>40732.64583</v>
      </c>
      <c r="B2862" s="2">
        <f>IFERROR(__xludf.DUMMYFUNCTION("""COMPUTED_VALUE"""),256.6)</f>
        <v>256.6</v>
      </c>
      <c r="C2862" s="2">
        <f>IFERROR(__xludf.DUMMYFUNCTION("""COMPUTED_VALUE"""),258.33)</f>
        <v>258.33</v>
      </c>
      <c r="D2862" s="2">
        <f>IFERROR(__xludf.DUMMYFUNCTION("""COMPUTED_VALUE"""),255.37)</f>
        <v>255.37</v>
      </c>
      <c r="E2862" s="2">
        <f>IFERROR(__xludf.DUMMYFUNCTION("""COMPUTED_VALUE"""),255.91)</f>
        <v>255.91</v>
      </c>
      <c r="F2862" s="2">
        <f>IFERROR(__xludf.DUMMYFUNCTION("""COMPUTED_VALUE"""),754468.0)</f>
        <v>754468</v>
      </c>
    </row>
    <row r="2863">
      <c r="A2863" s="3">
        <f>IFERROR(__xludf.DUMMYFUNCTION("""COMPUTED_VALUE"""),40735.645833333336)</f>
        <v>40735.64583</v>
      </c>
      <c r="B2863" s="2">
        <f>IFERROR(__xludf.DUMMYFUNCTION("""COMPUTED_VALUE"""),255.9)</f>
        <v>255.9</v>
      </c>
      <c r="C2863" s="2">
        <f>IFERROR(__xludf.DUMMYFUNCTION("""COMPUTED_VALUE"""),256.41)</f>
        <v>256.41</v>
      </c>
      <c r="D2863" s="2">
        <f>IFERROR(__xludf.DUMMYFUNCTION("""COMPUTED_VALUE"""),251.51)</f>
        <v>251.51</v>
      </c>
      <c r="E2863" s="2">
        <f>IFERROR(__xludf.DUMMYFUNCTION("""COMPUTED_VALUE"""),252.44)</f>
        <v>252.44</v>
      </c>
      <c r="F2863" s="2">
        <f>IFERROR(__xludf.DUMMYFUNCTION("""COMPUTED_VALUE"""),397250.0)</f>
        <v>397250</v>
      </c>
    </row>
    <row r="2864">
      <c r="A2864" s="3">
        <f>IFERROR(__xludf.DUMMYFUNCTION("""COMPUTED_VALUE"""),40736.645833333336)</f>
        <v>40736.64583</v>
      </c>
      <c r="B2864" s="2">
        <f>IFERROR(__xludf.DUMMYFUNCTION("""COMPUTED_VALUE"""),251.0)</f>
        <v>251</v>
      </c>
      <c r="C2864" s="2">
        <f>IFERROR(__xludf.DUMMYFUNCTION("""COMPUTED_VALUE"""),251.0)</f>
        <v>251</v>
      </c>
      <c r="D2864" s="2">
        <f>IFERROR(__xludf.DUMMYFUNCTION("""COMPUTED_VALUE"""),246.02)</f>
        <v>246.02</v>
      </c>
      <c r="E2864" s="2">
        <f>IFERROR(__xludf.DUMMYFUNCTION("""COMPUTED_VALUE"""),247.98)</f>
        <v>247.98</v>
      </c>
      <c r="F2864" s="2">
        <f>IFERROR(__xludf.DUMMYFUNCTION("""COMPUTED_VALUE"""),736090.0)</f>
        <v>736090</v>
      </c>
    </row>
    <row r="2865">
      <c r="A2865" s="3">
        <f>IFERROR(__xludf.DUMMYFUNCTION("""COMPUTED_VALUE"""),40737.645833333336)</f>
        <v>40737.64583</v>
      </c>
      <c r="B2865" s="2">
        <f>IFERROR(__xludf.DUMMYFUNCTION("""COMPUTED_VALUE"""),249.0)</f>
        <v>249</v>
      </c>
      <c r="C2865" s="2">
        <f>IFERROR(__xludf.DUMMYFUNCTION("""COMPUTED_VALUE"""),252.9)</f>
        <v>252.9</v>
      </c>
      <c r="D2865" s="2">
        <f>IFERROR(__xludf.DUMMYFUNCTION("""COMPUTED_VALUE"""),247.81)</f>
        <v>247.81</v>
      </c>
      <c r="E2865" s="2">
        <f>IFERROR(__xludf.DUMMYFUNCTION("""COMPUTED_VALUE"""),251.97)</f>
        <v>251.97</v>
      </c>
      <c r="F2865" s="2">
        <f>IFERROR(__xludf.DUMMYFUNCTION("""COMPUTED_VALUE"""),372091.0)</f>
        <v>372091</v>
      </c>
    </row>
    <row r="2866">
      <c r="A2866" s="3">
        <f>IFERROR(__xludf.DUMMYFUNCTION("""COMPUTED_VALUE"""),40738.645833333336)</f>
        <v>40738.64583</v>
      </c>
      <c r="B2866" s="2">
        <f>IFERROR(__xludf.DUMMYFUNCTION("""COMPUTED_VALUE"""),252.55)</f>
        <v>252.55</v>
      </c>
      <c r="C2866" s="2">
        <f>IFERROR(__xludf.DUMMYFUNCTION("""COMPUTED_VALUE"""),256.65)</f>
        <v>256.65</v>
      </c>
      <c r="D2866" s="2">
        <f>IFERROR(__xludf.DUMMYFUNCTION("""COMPUTED_VALUE"""),249.4)</f>
        <v>249.4</v>
      </c>
      <c r="E2866" s="2">
        <f>IFERROR(__xludf.DUMMYFUNCTION("""COMPUTED_VALUE"""),252.98)</f>
        <v>252.98</v>
      </c>
      <c r="F2866" s="2">
        <f>IFERROR(__xludf.DUMMYFUNCTION("""COMPUTED_VALUE"""),2338586.0)</f>
        <v>2338586</v>
      </c>
    </row>
    <row r="2867">
      <c r="A2867" s="3">
        <f>IFERROR(__xludf.DUMMYFUNCTION("""COMPUTED_VALUE"""),40739.645833333336)</f>
        <v>40739.64583</v>
      </c>
      <c r="B2867" s="2">
        <f>IFERROR(__xludf.DUMMYFUNCTION("""COMPUTED_VALUE"""),253.23)</f>
        <v>253.23</v>
      </c>
      <c r="C2867" s="2">
        <f>IFERROR(__xludf.DUMMYFUNCTION("""COMPUTED_VALUE"""),255.23)</f>
        <v>255.23</v>
      </c>
      <c r="D2867" s="2">
        <f>IFERROR(__xludf.DUMMYFUNCTION("""COMPUTED_VALUE"""),251.5)</f>
        <v>251.5</v>
      </c>
      <c r="E2867" s="2">
        <f>IFERROR(__xludf.DUMMYFUNCTION("""COMPUTED_VALUE"""),254.48)</f>
        <v>254.48</v>
      </c>
      <c r="F2867" s="2">
        <f>IFERROR(__xludf.DUMMYFUNCTION("""COMPUTED_VALUE"""),1372538.0)</f>
        <v>1372538</v>
      </c>
    </row>
    <row r="2868">
      <c r="A2868" s="3">
        <f>IFERROR(__xludf.DUMMYFUNCTION("""COMPUTED_VALUE"""),40742.645833333336)</f>
        <v>40742.64583</v>
      </c>
      <c r="B2868" s="2">
        <f>IFERROR(__xludf.DUMMYFUNCTION("""COMPUTED_VALUE"""),255.98)</f>
        <v>255.98</v>
      </c>
      <c r="C2868" s="2">
        <f>IFERROR(__xludf.DUMMYFUNCTION("""COMPUTED_VALUE"""),259.45)</f>
        <v>259.45</v>
      </c>
      <c r="D2868" s="2">
        <f>IFERROR(__xludf.DUMMYFUNCTION("""COMPUTED_VALUE"""),254.0)</f>
        <v>254</v>
      </c>
      <c r="E2868" s="2">
        <f>IFERROR(__xludf.DUMMYFUNCTION("""COMPUTED_VALUE"""),257.52)</f>
        <v>257.52</v>
      </c>
      <c r="F2868" s="2">
        <f>IFERROR(__xludf.DUMMYFUNCTION("""COMPUTED_VALUE"""),1552474.0)</f>
        <v>1552474</v>
      </c>
    </row>
    <row r="2869">
      <c r="A2869" s="3">
        <f>IFERROR(__xludf.DUMMYFUNCTION("""COMPUTED_VALUE"""),40743.645833333336)</f>
        <v>40743.64583</v>
      </c>
      <c r="B2869" s="2">
        <f>IFERROR(__xludf.DUMMYFUNCTION("""COMPUTED_VALUE"""),258.75)</f>
        <v>258.75</v>
      </c>
      <c r="C2869" s="2">
        <f>IFERROR(__xludf.DUMMYFUNCTION("""COMPUTED_VALUE"""),259.5)</f>
        <v>259.5</v>
      </c>
      <c r="D2869" s="2">
        <f>IFERROR(__xludf.DUMMYFUNCTION("""COMPUTED_VALUE"""),254.18)</f>
        <v>254.18</v>
      </c>
      <c r="E2869" s="2">
        <f>IFERROR(__xludf.DUMMYFUNCTION("""COMPUTED_VALUE"""),255.43)</f>
        <v>255.43</v>
      </c>
      <c r="F2869" s="2">
        <f>IFERROR(__xludf.DUMMYFUNCTION("""COMPUTED_VALUE"""),4263166.0)</f>
        <v>4263166</v>
      </c>
    </row>
    <row r="2870">
      <c r="A2870" s="3">
        <f>IFERROR(__xludf.DUMMYFUNCTION("""COMPUTED_VALUE"""),40744.645833333336)</f>
        <v>40744.64583</v>
      </c>
      <c r="B2870" s="2">
        <f>IFERROR(__xludf.DUMMYFUNCTION("""COMPUTED_VALUE"""),258.2)</f>
        <v>258.2</v>
      </c>
      <c r="C2870" s="2">
        <f>IFERROR(__xludf.DUMMYFUNCTION("""COMPUTED_VALUE"""),258.2)</f>
        <v>258.2</v>
      </c>
      <c r="D2870" s="2">
        <f>IFERROR(__xludf.DUMMYFUNCTION("""COMPUTED_VALUE"""),251.0)</f>
        <v>251</v>
      </c>
      <c r="E2870" s="2">
        <f>IFERROR(__xludf.DUMMYFUNCTION("""COMPUTED_VALUE"""),251.55)</f>
        <v>251.55</v>
      </c>
      <c r="F2870" s="2">
        <f>IFERROR(__xludf.DUMMYFUNCTION("""COMPUTED_VALUE"""),1852161.0)</f>
        <v>1852161</v>
      </c>
    </row>
    <row r="2871">
      <c r="A2871" s="3">
        <f>IFERROR(__xludf.DUMMYFUNCTION("""COMPUTED_VALUE"""),40745.645833333336)</f>
        <v>40745.64583</v>
      </c>
      <c r="B2871" s="2">
        <f>IFERROR(__xludf.DUMMYFUNCTION("""COMPUTED_VALUE"""),252.4)</f>
        <v>252.4</v>
      </c>
      <c r="C2871" s="2">
        <f>IFERROR(__xludf.DUMMYFUNCTION("""COMPUTED_VALUE"""),252.45)</f>
        <v>252.45</v>
      </c>
      <c r="D2871" s="2">
        <f>IFERROR(__xludf.DUMMYFUNCTION("""COMPUTED_VALUE"""),247.25)</f>
        <v>247.25</v>
      </c>
      <c r="E2871" s="2">
        <f>IFERROR(__xludf.DUMMYFUNCTION("""COMPUTED_VALUE"""),248.15)</f>
        <v>248.15</v>
      </c>
      <c r="F2871" s="2">
        <f>IFERROR(__xludf.DUMMYFUNCTION("""COMPUTED_VALUE"""),3220256.0)</f>
        <v>3220256</v>
      </c>
    </row>
    <row r="2872">
      <c r="A2872" s="3">
        <f>IFERROR(__xludf.DUMMYFUNCTION("""COMPUTED_VALUE"""),40746.645833333336)</f>
        <v>40746.64583</v>
      </c>
      <c r="B2872" s="2">
        <f>IFERROR(__xludf.DUMMYFUNCTION("""COMPUTED_VALUE"""),250.0)</f>
        <v>250</v>
      </c>
      <c r="C2872" s="2">
        <f>IFERROR(__xludf.DUMMYFUNCTION("""COMPUTED_VALUE"""),253.53)</f>
        <v>253.53</v>
      </c>
      <c r="D2872" s="2">
        <f>IFERROR(__xludf.DUMMYFUNCTION("""COMPUTED_VALUE"""),249.43)</f>
        <v>249.43</v>
      </c>
      <c r="E2872" s="2">
        <f>IFERROR(__xludf.DUMMYFUNCTION("""COMPUTED_VALUE"""),250.78)</f>
        <v>250.78</v>
      </c>
      <c r="F2872" s="2">
        <f>IFERROR(__xludf.DUMMYFUNCTION("""COMPUTED_VALUE"""),3158530.0)</f>
        <v>3158530</v>
      </c>
    </row>
    <row r="2873">
      <c r="A2873" s="3">
        <f>IFERROR(__xludf.DUMMYFUNCTION("""COMPUTED_VALUE"""),40749.645833333336)</f>
        <v>40749.64583</v>
      </c>
      <c r="B2873" s="2">
        <f>IFERROR(__xludf.DUMMYFUNCTION("""COMPUTED_VALUE"""),250.78)</f>
        <v>250.78</v>
      </c>
      <c r="C2873" s="2">
        <f>IFERROR(__xludf.DUMMYFUNCTION("""COMPUTED_VALUE"""),253.25)</f>
        <v>253.25</v>
      </c>
      <c r="D2873" s="2">
        <f>IFERROR(__xludf.DUMMYFUNCTION("""COMPUTED_VALUE"""),248.58)</f>
        <v>248.58</v>
      </c>
      <c r="E2873" s="2">
        <f>IFERROR(__xludf.DUMMYFUNCTION("""COMPUTED_VALUE"""),252.6)</f>
        <v>252.6</v>
      </c>
      <c r="F2873" s="2">
        <f>IFERROR(__xludf.DUMMYFUNCTION("""COMPUTED_VALUE"""),3342607.0)</f>
        <v>3342607</v>
      </c>
    </row>
    <row r="2874">
      <c r="A2874" s="3">
        <f>IFERROR(__xludf.DUMMYFUNCTION("""COMPUTED_VALUE"""),40750.645833333336)</f>
        <v>40750.64583</v>
      </c>
      <c r="B2874" s="2">
        <f>IFERROR(__xludf.DUMMYFUNCTION("""COMPUTED_VALUE"""),252.68)</f>
        <v>252.68</v>
      </c>
      <c r="C2874" s="2">
        <f>IFERROR(__xludf.DUMMYFUNCTION("""COMPUTED_VALUE"""),255.1)</f>
        <v>255.1</v>
      </c>
      <c r="D2874" s="2">
        <f>IFERROR(__xludf.DUMMYFUNCTION("""COMPUTED_VALUE"""),247.63)</f>
        <v>247.63</v>
      </c>
      <c r="E2874" s="2">
        <f>IFERROR(__xludf.DUMMYFUNCTION("""COMPUTED_VALUE"""),249.08)</f>
        <v>249.08</v>
      </c>
      <c r="F2874" s="2">
        <f>IFERROR(__xludf.DUMMYFUNCTION("""COMPUTED_VALUE"""),2645382.0)</f>
        <v>2645382</v>
      </c>
    </row>
    <row r="2875">
      <c r="A2875" s="3">
        <f>IFERROR(__xludf.DUMMYFUNCTION("""COMPUTED_VALUE"""),40751.645833333336)</f>
        <v>40751.64583</v>
      </c>
      <c r="B2875" s="2">
        <f>IFERROR(__xludf.DUMMYFUNCTION("""COMPUTED_VALUE"""),249.68)</f>
        <v>249.68</v>
      </c>
      <c r="C2875" s="2">
        <f>IFERROR(__xludf.DUMMYFUNCTION("""COMPUTED_VALUE"""),251.98)</f>
        <v>251.98</v>
      </c>
      <c r="D2875" s="2">
        <f>IFERROR(__xludf.DUMMYFUNCTION("""COMPUTED_VALUE"""),246.0)</f>
        <v>246</v>
      </c>
      <c r="E2875" s="2">
        <f>IFERROR(__xludf.DUMMYFUNCTION("""COMPUTED_VALUE"""),251.03)</f>
        <v>251.03</v>
      </c>
      <c r="F2875" s="2">
        <f>IFERROR(__xludf.DUMMYFUNCTION("""COMPUTED_VALUE"""),2765678.0)</f>
        <v>2765678</v>
      </c>
    </row>
    <row r="2876">
      <c r="A2876" s="3">
        <f>IFERROR(__xludf.DUMMYFUNCTION("""COMPUTED_VALUE"""),40752.645833333336)</f>
        <v>40752.64583</v>
      </c>
      <c r="B2876" s="2">
        <f>IFERROR(__xludf.DUMMYFUNCTION("""COMPUTED_VALUE"""),249.75)</f>
        <v>249.75</v>
      </c>
      <c r="C2876" s="2">
        <f>IFERROR(__xludf.DUMMYFUNCTION("""COMPUTED_VALUE"""),249.75)</f>
        <v>249.75</v>
      </c>
      <c r="D2876" s="2">
        <f>IFERROR(__xludf.DUMMYFUNCTION("""COMPUTED_VALUE"""),242.3)</f>
        <v>242.3</v>
      </c>
      <c r="E2876" s="2">
        <f>IFERROR(__xludf.DUMMYFUNCTION("""COMPUTED_VALUE"""),243.65)</f>
        <v>243.65</v>
      </c>
      <c r="F2876" s="2">
        <f>IFERROR(__xludf.DUMMYFUNCTION("""COMPUTED_VALUE"""),5354489.0)</f>
        <v>5354489</v>
      </c>
    </row>
    <row r="2877">
      <c r="A2877" s="3">
        <f>IFERROR(__xludf.DUMMYFUNCTION("""COMPUTED_VALUE"""),40753.645833333336)</f>
        <v>40753.64583</v>
      </c>
      <c r="B2877" s="2">
        <f>IFERROR(__xludf.DUMMYFUNCTION("""COMPUTED_VALUE"""),244.95)</f>
        <v>244.95</v>
      </c>
      <c r="C2877" s="2">
        <f>IFERROR(__xludf.DUMMYFUNCTION("""COMPUTED_VALUE"""),244.95)</f>
        <v>244.95</v>
      </c>
      <c r="D2877" s="2">
        <f>IFERROR(__xludf.DUMMYFUNCTION("""COMPUTED_VALUE"""),240.55)</f>
        <v>240.55</v>
      </c>
      <c r="E2877" s="2">
        <f>IFERROR(__xludf.DUMMYFUNCTION("""COMPUTED_VALUE"""),243.4)</f>
        <v>243.4</v>
      </c>
      <c r="F2877" s="2">
        <f>IFERROR(__xludf.DUMMYFUNCTION("""COMPUTED_VALUE"""),2997667.0)</f>
        <v>2997667</v>
      </c>
    </row>
    <row r="2878">
      <c r="A2878" s="3">
        <f>IFERROR(__xludf.DUMMYFUNCTION("""COMPUTED_VALUE"""),40756.645833333336)</f>
        <v>40756.64583</v>
      </c>
      <c r="B2878" s="2">
        <f>IFERROR(__xludf.DUMMYFUNCTION("""COMPUTED_VALUE"""),246.73)</f>
        <v>246.73</v>
      </c>
      <c r="C2878" s="2">
        <f>IFERROR(__xludf.DUMMYFUNCTION("""COMPUTED_VALUE"""),247.98)</f>
        <v>247.98</v>
      </c>
      <c r="D2878" s="2">
        <f>IFERROR(__xludf.DUMMYFUNCTION("""COMPUTED_VALUE"""),242.25)</f>
        <v>242.25</v>
      </c>
      <c r="E2878" s="2">
        <f>IFERROR(__xludf.DUMMYFUNCTION("""COMPUTED_VALUE"""),244.0)</f>
        <v>244</v>
      </c>
      <c r="F2878" s="2">
        <f>IFERROR(__xludf.DUMMYFUNCTION("""COMPUTED_VALUE"""),2202354.0)</f>
        <v>2202354</v>
      </c>
    </row>
    <row r="2879">
      <c r="A2879" s="3">
        <f>IFERROR(__xludf.DUMMYFUNCTION("""COMPUTED_VALUE"""),40757.645833333336)</f>
        <v>40757.64583</v>
      </c>
      <c r="B2879" s="2">
        <f>IFERROR(__xludf.DUMMYFUNCTION("""COMPUTED_VALUE"""),243.95)</f>
        <v>243.95</v>
      </c>
      <c r="C2879" s="2">
        <f>IFERROR(__xludf.DUMMYFUNCTION("""COMPUTED_VALUE"""),243.95)</f>
        <v>243.95</v>
      </c>
      <c r="D2879" s="2">
        <f>IFERROR(__xludf.DUMMYFUNCTION("""COMPUTED_VALUE"""),240.0)</f>
        <v>240</v>
      </c>
      <c r="E2879" s="2">
        <f>IFERROR(__xludf.DUMMYFUNCTION("""COMPUTED_VALUE"""),241.43)</f>
        <v>241.43</v>
      </c>
      <c r="F2879" s="2">
        <f>IFERROR(__xludf.DUMMYFUNCTION("""COMPUTED_VALUE"""),1982494.0)</f>
        <v>1982494</v>
      </c>
    </row>
    <row r="2880">
      <c r="A2880" s="3">
        <f>IFERROR(__xludf.DUMMYFUNCTION("""COMPUTED_VALUE"""),40758.645833333336)</f>
        <v>40758.64583</v>
      </c>
      <c r="B2880" s="2">
        <f>IFERROR(__xludf.DUMMYFUNCTION("""COMPUTED_VALUE"""),239.35)</f>
        <v>239.35</v>
      </c>
      <c r="C2880" s="2">
        <f>IFERROR(__xludf.DUMMYFUNCTION("""COMPUTED_VALUE"""),244.7)</f>
        <v>244.7</v>
      </c>
      <c r="D2880" s="2">
        <f>IFERROR(__xludf.DUMMYFUNCTION("""COMPUTED_VALUE"""),238.0)</f>
        <v>238</v>
      </c>
      <c r="E2880" s="2">
        <f>IFERROR(__xludf.DUMMYFUNCTION("""COMPUTED_VALUE"""),241.03)</f>
        <v>241.03</v>
      </c>
      <c r="F2880" s="2">
        <f>IFERROR(__xludf.DUMMYFUNCTION("""COMPUTED_VALUE"""),2082567.0)</f>
        <v>2082567</v>
      </c>
    </row>
    <row r="2881">
      <c r="A2881" s="3">
        <f>IFERROR(__xludf.DUMMYFUNCTION("""COMPUTED_VALUE"""),40759.645833333336)</f>
        <v>40759.64583</v>
      </c>
      <c r="B2881" s="2">
        <f>IFERROR(__xludf.DUMMYFUNCTION("""COMPUTED_VALUE"""),242.05)</f>
        <v>242.05</v>
      </c>
      <c r="C2881" s="2">
        <f>IFERROR(__xludf.DUMMYFUNCTION("""COMPUTED_VALUE"""),244.45)</f>
        <v>244.45</v>
      </c>
      <c r="D2881" s="2">
        <f>IFERROR(__xludf.DUMMYFUNCTION("""COMPUTED_VALUE"""),237.5)</f>
        <v>237.5</v>
      </c>
      <c r="E2881" s="2">
        <f>IFERROR(__xludf.DUMMYFUNCTION("""COMPUTED_VALUE"""),238.23)</f>
        <v>238.23</v>
      </c>
      <c r="F2881" s="2">
        <f>IFERROR(__xludf.DUMMYFUNCTION("""COMPUTED_VALUE"""),1829606.0)</f>
        <v>1829606</v>
      </c>
    </row>
    <row r="2882">
      <c r="A2882" s="3">
        <f>IFERROR(__xludf.DUMMYFUNCTION("""COMPUTED_VALUE"""),40760.645833333336)</f>
        <v>40760.64583</v>
      </c>
      <c r="B2882" s="2">
        <f>IFERROR(__xludf.DUMMYFUNCTION("""COMPUTED_VALUE"""),232.5)</f>
        <v>232.5</v>
      </c>
      <c r="C2882" s="2">
        <f>IFERROR(__xludf.DUMMYFUNCTION("""COMPUTED_VALUE"""),237.9)</f>
        <v>237.9</v>
      </c>
      <c r="D2882" s="2">
        <f>IFERROR(__xludf.DUMMYFUNCTION("""COMPUTED_VALUE"""),228.55)</f>
        <v>228.55</v>
      </c>
      <c r="E2882" s="2">
        <f>IFERROR(__xludf.DUMMYFUNCTION("""COMPUTED_VALUE"""),236.53)</f>
        <v>236.53</v>
      </c>
      <c r="F2882" s="2">
        <f>IFERROR(__xludf.DUMMYFUNCTION("""COMPUTED_VALUE"""),3156094.0)</f>
        <v>3156094</v>
      </c>
    </row>
    <row r="2883">
      <c r="A2883" s="3">
        <f>IFERROR(__xludf.DUMMYFUNCTION("""COMPUTED_VALUE"""),40763.645833333336)</f>
        <v>40763.64583</v>
      </c>
      <c r="B2883" s="2">
        <f>IFERROR(__xludf.DUMMYFUNCTION("""COMPUTED_VALUE"""),231.5)</f>
        <v>231.5</v>
      </c>
      <c r="C2883" s="2">
        <f>IFERROR(__xludf.DUMMYFUNCTION("""COMPUTED_VALUE"""),240.0)</f>
        <v>240</v>
      </c>
      <c r="D2883" s="2">
        <f>IFERROR(__xludf.DUMMYFUNCTION("""COMPUTED_VALUE"""),229.03)</f>
        <v>229.03</v>
      </c>
      <c r="E2883" s="2">
        <f>IFERROR(__xludf.DUMMYFUNCTION("""COMPUTED_VALUE"""),231.05)</f>
        <v>231.05</v>
      </c>
      <c r="F2883" s="2">
        <f>IFERROR(__xludf.DUMMYFUNCTION("""COMPUTED_VALUE"""),4308373.0)</f>
        <v>4308373</v>
      </c>
    </row>
    <row r="2884">
      <c r="A2884" s="3">
        <f>IFERROR(__xludf.DUMMYFUNCTION("""COMPUTED_VALUE"""),40764.645833333336)</f>
        <v>40764.64583</v>
      </c>
      <c r="B2884" s="2">
        <f>IFERROR(__xludf.DUMMYFUNCTION("""COMPUTED_VALUE"""),225.0)</f>
        <v>225</v>
      </c>
      <c r="C2884" s="2">
        <f>IFERROR(__xludf.DUMMYFUNCTION("""COMPUTED_VALUE"""),236.78)</f>
        <v>236.78</v>
      </c>
      <c r="D2884" s="2">
        <f>IFERROR(__xludf.DUMMYFUNCTION("""COMPUTED_VALUE"""),224.93)</f>
        <v>224.93</v>
      </c>
      <c r="E2884" s="2">
        <f>IFERROR(__xludf.DUMMYFUNCTION("""COMPUTED_VALUE"""),232.23)</f>
        <v>232.23</v>
      </c>
      <c r="F2884" s="2">
        <f>IFERROR(__xludf.DUMMYFUNCTION("""COMPUTED_VALUE"""),4490924.0)</f>
        <v>4490924</v>
      </c>
    </row>
    <row r="2885">
      <c r="A2885" s="3">
        <f>IFERROR(__xludf.DUMMYFUNCTION("""COMPUTED_VALUE"""),40765.645833333336)</f>
        <v>40765.64583</v>
      </c>
      <c r="B2885" s="2">
        <f>IFERROR(__xludf.DUMMYFUNCTION("""COMPUTED_VALUE"""),247.4)</f>
        <v>247.4</v>
      </c>
      <c r="C2885" s="2">
        <f>IFERROR(__xludf.DUMMYFUNCTION("""COMPUTED_VALUE"""),247.4)</f>
        <v>247.4</v>
      </c>
      <c r="D2885" s="2">
        <f>IFERROR(__xludf.DUMMYFUNCTION("""COMPUTED_VALUE"""),236.7)</f>
        <v>236.7</v>
      </c>
      <c r="E2885" s="2">
        <f>IFERROR(__xludf.DUMMYFUNCTION("""COMPUTED_VALUE"""),239.95)</f>
        <v>239.95</v>
      </c>
      <c r="F2885" s="2">
        <f>IFERROR(__xludf.DUMMYFUNCTION("""COMPUTED_VALUE"""),3267226.0)</f>
        <v>3267226</v>
      </c>
    </row>
    <row r="2886">
      <c r="A2886" s="3">
        <f>IFERROR(__xludf.DUMMYFUNCTION("""COMPUTED_VALUE"""),40766.645833333336)</f>
        <v>40766.64583</v>
      </c>
      <c r="B2886" s="2">
        <f>IFERROR(__xludf.DUMMYFUNCTION("""COMPUTED_VALUE"""),239.35)</f>
        <v>239.35</v>
      </c>
      <c r="C2886" s="2">
        <f>IFERROR(__xludf.DUMMYFUNCTION("""COMPUTED_VALUE"""),242.35)</f>
        <v>242.35</v>
      </c>
      <c r="D2886" s="2">
        <f>IFERROR(__xludf.DUMMYFUNCTION("""COMPUTED_VALUE"""),237.5)</f>
        <v>237.5</v>
      </c>
      <c r="E2886" s="2">
        <f>IFERROR(__xludf.DUMMYFUNCTION("""COMPUTED_VALUE"""),239.98)</f>
        <v>239.98</v>
      </c>
      <c r="F2886" s="2">
        <f>IFERROR(__xludf.DUMMYFUNCTION("""COMPUTED_VALUE"""),2102304.0)</f>
        <v>2102304</v>
      </c>
    </row>
    <row r="2887">
      <c r="A2887" s="3">
        <f>IFERROR(__xludf.DUMMYFUNCTION("""COMPUTED_VALUE"""),40767.645833333336)</f>
        <v>40767.64583</v>
      </c>
      <c r="B2887" s="2">
        <f>IFERROR(__xludf.DUMMYFUNCTION("""COMPUTED_VALUE"""),242.55)</f>
        <v>242.55</v>
      </c>
      <c r="C2887" s="2">
        <f>IFERROR(__xludf.DUMMYFUNCTION("""COMPUTED_VALUE"""),243.0)</f>
        <v>243</v>
      </c>
      <c r="D2887" s="2">
        <f>IFERROR(__xludf.DUMMYFUNCTION("""COMPUTED_VALUE"""),232.05)</f>
        <v>232.05</v>
      </c>
      <c r="E2887" s="2">
        <f>IFERROR(__xludf.DUMMYFUNCTION("""COMPUTED_VALUE"""),234.03)</f>
        <v>234.03</v>
      </c>
      <c r="F2887" s="2">
        <f>IFERROR(__xludf.DUMMYFUNCTION("""COMPUTED_VALUE"""),2853388.0)</f>
        <v>2853388</v>
      </c>
    </row>
    <row r="2888">
      <c r="A2888" s="3">
        <f>IFERROR(__xludf.DUMMYFUNCTION("""COMPUTED_VALUE"""),40771.645833333336)</f>
        <v>40771.64583</v>
      </c>
      <c r="B2888" s="2">
        <f>IFERROR(__xludf.DUMMYFUNCTION("""COMPUTED_VALUE"""),239.2)</f>
        <v>239.2</v>
      </c>
      <c r="C2888" s="2">
        <f>IFERROR(__xludf.DUMMYFUNCTION("""COMPUTED_VALUE"""),239.2)</f>
        <v>239.2</v>
      </c>
      <c r="D2888" s="2">
        <f>IFERROR(__xludf.DUMMYFUNCTION("""COMPUTED_VALUE"""),227.33)</f>
        <v>227.33</v>
      </c>
      <c r="E2888" s="2">
        <f>IFERROR(__xludf.DUMMYFUNCTION("""COMPUTED_VALUE"""),228.23)</f>
        <v>228.23</v>
      </c>
      <c r="F2888" s="2">
        <f>IFERROR(__xludf.DUMMYFUNCTION("""COMPUTED_VALUE"""),3055648.0)</f>
        <v>3055648</v>
      </c>
    </row>
    <row r="2889">
      <c r="A2889" s="3">
        <f>IFERROR(__xludf.DUMMYFUNCTION("""COMPUTED_VALUE"""),40772.645833333336)</f>
        <v>40772.64583</v>
      </c>
      <c r="B2889" s="2">
        <f>IFERROR(__xludf.DUMMYFUNCTION("""COMPUTED_VALUE"""),228.03)</f>
        <v>228.03</v>
      </c>
      <c r="C2889" s="2">
        <f>IFERROR(__xludf.DUMMYFUNCTION("""COMPUTED_VALUE"""),236.23)</f>
        <v>236.23</v>
      </c>
      <c r="D2889" s="2">
        <f>IFERROR(__xludf.DUMMYFUNCTION("""COMPUTED_VALUE"""),227.95)</f>
        <v>227.95</v>
      </c>
      <c r="E2889" s="2">
        <f>IFERROR(__xludf.DUMMYFUNCTION("""COMPUTED_VALUE"""),233.75)</f>
        <v>233.75</v>
      </c>
      <c r="F2889" s="2">
        <f>IFERROR(__xludf.DUMMYFUNCTION("""COMPUTED_VALUE"""),3134201.0)</f>
        <v>3134201</v>
      </c>
    </row>
    <row r="2890">
      <c r="A2890" s="3">
        <f>IFERROR(__xludf.DUMMYFUNCTION("""COMPUTED_VALUE"""),40774.645833333336)</f>
        <v>40774.64583</v>
      </c>
      <c r="B2890" s="2">
        <f>IFERROR(__xludf.DUMMYFUNCTION("""COMPUTED_VALUE"""),227.5)</f>
        <v>227.5</v>
      </c>
      <c r="C2890" s="2">
        <f>IFERROR(__xludf.DUMMYFUNCTION("""COMPUTED_VALUE"""),231.75)</f>
        <v>231.75</v>
      </c>
      <c r="D2890" s="2">
        <f>IFERROR(__xludf.DUMMYFUNCTION("""COMPUTED_VALUE"""),225.0)</f>
        <v>225</v>
      </c>
      <c r="E2890" s="2">
        <f>IFERROR(__xludf.DUMMYFUNCTION("""COMPUTED_VALUE"""),230.43)</f>
        <v>230.43</v>
      </c>
      <c r="F2890" s="2">
        <f>IFERROR(__xludf.DUMMYFUNCTION("""COMPUTED_VALUE"""),4480259.0)</f>
        <v>4480259</v>
      </c>
    </row>
    <row r="2891">
      <c r="A2891" s="3">
        <f>IFERROR(__xludf.DUMMYFUNCTION("""COMPUTED_VALUE"""),40777.645833333336)</f>
        <v>40777.64583</v>
      </c>
      <c r="B2891" s="2">
        <f>IFERROR(__xludf.DUMMYFUNCTION("""COMPUTED_VALUE"""),230.03)</f>
        <v>230.03</v>
      </c>
      <c r="C2891" s="2">
        <f>IFERROR(__xludf.DUMMYFUNCTION("""COMPUTED_VALUE"""),231.98)</f>
        <v>231.98</v>
      </c>
      <c r="D2891" s="2">
        <f>IFERROR(__xludf.DUMMYFUNCTION("""COMPUTED_VALUE"""),225.35)</f>
        <v>225.35</v>
      </c>
      <c r="E2891" s="2">
        <f>IFERROR(__xludf.DUMMYFUNCTION("""COMPUTED_VALUE"""),226.53)</f>
        <v>226.53</v>
      </c>
      <c r="F2891" s="2">
        <f>IFERROR(__xludf.DUMMYFUNCTION("""COMPUTED_VALUE"""),2977249.0)</f>
        <v>2977249</v>
      </c>
    </row>
    <row r="2892">
      <c r="A2892" s="3">
        <f>IFERROR(__xludf.DUMMYFUNCTION("""COMPUTED_VALUE"""),40778.645833333336)</f>
        <v>40778.64583</v>
      </c>
      <c r="B2892" s="2">
        <f>IFERROR(__xludf.DUMMYFUNCTION("""COMPUTED_VALUE"""),228.7)</f>
        <v>228.7</v>
      </c>
      <c r="C2892" s="2">
        <f>IFERROR(__xludf.DUMMYFUNCTION("""COMPUTED_VALUE"""),231.25)</f>
        <v>231.25</v>
      </c>
      <c r="D2892" s="2">
        <f>IFERROR(__xludf.DUMMYFUNCTION("""COMPUTED_VALUE"""),222.65)</f>
        <v>222.65</v>
      </c>
      <c r="E2892" s="2">
        <f>IFERROR(__xludf.DUMMYFUNCTION("""COMPUTED_VALUE"""),229.7)</f>
        <v>229.7</v>
      </c>
      <c r="F2892" s="2">
        <f>IFERROR(__xludf.DUMMYFUNCTION("""COMPUTED_VALUE"""),4036273.0)</f>
        <v>4036273</v>
      </c>
    </row>
    <row r="2893">
      <c r="A2893" s="3">
        <f>IFERROR(__xludf.DUMMYFUNCTION("""COMPUTED_VALUE"""),40779.645833333336)</f>
        <v>40779.64583</v>
      </c>
      <c r="B2893" s="2">
        <f>IFERROR(__xludf.DUMMYFUNCTION("""COMPUTED_VALUE"""),229.0)</f>
        <v>229</v>
      </c>
      <c r="C2893" s="2">
        <f>IFERROR(__xludf.DUMMYFUNCTION("""COMPUTED_VALUE"""),231.2)</f>
        <v>231.2</v>
      </c>
      <c r="D2893" s="2">
        <f>IFERROR(__xludf.DUMMYFUNCTION("""COMPUTED_VALUE"""),226.25)</f>
        <v>226.25</v>
      </c>
      <c r="E2893" s="2">
        <f>IFERROR(__xludf.DUMMYFUNCTION("""COMPUTED_VALUE"""),228.0)</f>
        <v>228</v>
      </c>
      <c r="F2893" s="2">
        <f>IFERROR(__xludf.DUMMYFUNCTION("""COMPUTED_VALUE"""),3185614.0)</f>
        <v>3185614</v>
      </c>
    </row>
    <row r="2894">
      <c r="A2894" s="3">
        <f>IFERROR(__xludf.DUMMYFUNCTION("""COMPUTED_VALUE"""),40780.645833333336)</f>
        <v>40780.64583</v>
      </c>
      <c r="B2894" s="2">
        <f>IFERROR(__xludf.DUMMYFUNCTION("""COMPUTED_VALUE"""),229.7)</f>
        <v>229.7</v>
      </c>
      <c r="C2894" s="2">
        <f>IFERROR(__xludf.DUMMYFUNCTION("""COMPUTED_VALUE"""),229.7)</f>
        <v>229.7</v>
      </c>
      <c r="D2894" s="2">
        <f>IFERROR(__xludf.DUMMYFUNCTION("""COMPUTED_VALUE"""),220.35)</f>
        <v>220.35</v>
      </c>
      <c r="E2894" s="2">
        <f>IFERROR(__xludf.DUMMYFUNCTION("""COMPUTED_VALUE"""),221.83)</f>
        <v>221.83</v>
      </c>
      <c r="F2894" s="2">
        <f>IFERROR(__xludf.DUMMYFUNCTION("""COMPUTED_VALUE"""),5800210.0)</f>
        <v>5800210</v>
      </c>
    </row>
    <row r="2895">
      <c r="A2895" s="3">
        <f>IFERROR(__xludf.DUMMYFUNCTION("""COMPUTED_VALUE"""),40781.645833333336)</f>
        <v>40781.64583</v>
      </c>
      <c r="B2895" s="2">
        <f>IFERROR(__xludf.DUMMYFUNCTION("""COMPUTED_VALUE"""),222.0)</f>
        <v>222</v>
      </c>
      <c r="C2895" s="2">
        <f>IFERROR(__xludf.DUMMYFUNCTION("""COMPUTED_VALUE"""),225.28)</f>
        <v>225.28</v>
      </c>
      <c r="D2895" s="2">
        <f>IFERROR(__xludf.DUMMYFUNCTION("""COMPUTED_VALUE"""),218.08)</f>
        <v>218.08</v>
      </c>
      <c r="E2895" s="2">
        <f>IFERROR(__xludf.DUMMYFUNCTION("""COMPUTED_VALUE"""),219.48)</f>
        <v>219.48</v>
      </c>
      <c r="F2895" s="2">
        <f>IFERROR(__xludf.DUMMYFUNCTION("""COMPUTED_VALUE"""),2130956.0)</f>
        <v>2130956</v>
      </c>
    </row>
    <row r="2896">
      <c r="A2896" s="3">
        <f>IFERROR(__xludf.DUMMYFUNCTION("""COMPUTED_VALUE"""),40784.645833333336)</f>
        <v>40784.64583</v>
      </c>
      <c r="B2896" s="2">
        <f>IFERROR(__xludf.DUMMYFUNCTION("""COMPUTED_VALUE"""),222.25)</f>
        <v>222.25</v>
      </c>
      <c r="C2896" s="2">
        <f>IFERROR(__xludf.DUMMYFUNCTION("""COMPUTED_VALUE"""),228.98)</f>
        <v>228.98</v>
      </c>
      <c r="D2896" s="2">
        <f>IFERROR(__xludf.DUMMYFUNCTION("""COMPUTED_VALUE"""),221.58)</f>
        <v>221.58</v>
      </c>
      <c r="E2896" s="2">
        <f>IFERROR(__xludf.DUMMYFUNCTION("""COMPUTED_VALUE"""),228.23)</f>
        <v>228.23</v>
      </c>
      <c r="F2896" s="2">
        <f>IFERROR(__xludf.DUMMYFUNCTION("""COMPUTED_VALUE"""),2900099.0)</f>
        <v>2900099</v>
      </c>
    </row>
    <row r="2897">
      <c r="A2897" s="3">
        <f>IFERROR(__xludf.DUMMYFUNCTION("""COMPUTED_VALUE"""),40785.645833333336)</f>
        <v>40785.64583</v>
      </c>
      <c r="B2897" s="2">
        <f>IFERROR(__xludf.DUMMYFUNCTION("""COMPUTED_VALUE"""),230.98)</f>
        <v>230.98</v>
      </c>
      <c r="C2897" s="2">
        <f>IFERROR(__xludf.DUMMYFUNCTION("""COMPUTED_VALUE"""),237.5)</f>
        <v>237.5</v>
      </c>
      <c r="D2897" s="2">
        <f>IFERROR(__xludf.DUMMYFUNCTION("""COMPUTED_VALUE"""),229.4)</f>
        <v>229.4</v>
      </c>
      <c r="E2897" s="2">
        <f>IFERROR(__xludf.DUMMYFUNCTION("""COMPUTED_VALUE"""),235.98)</f>
        <v>235.98</v>
      </c>
      <c r="F2897" s="2">
        <f>IFERROR(__xludf.DUMMYFUNCTION("""COMPUTED_VALUE"""),3897324.0)</f>
        <v>3897324</v>
      </c>
    </row>
    <row r="2898">
      <c r="A2898" s="3">
        <f>IFERROR(__xludf.DUMMYFUNCTION("""COMPUTED_VALUE"""),40788.645833333336)</f>
        <v>40788.64583</v>
      </c>
      <c r="B2898" s="2">
        <f>IFERROR(__xludf.DUMMYFUNCTION("""COMPUTED_VALUE"""),242.0)</f>
        <v>242</v>
      </c>
      <c r="C2898" s="2">
        <f>IFERROR(__xludf.DUMMYFUNCTION("""COMPUTED_VALUE"""),242.0)</f>
        <v>242</v>
      </c>
      <c r="D2898" s="2">
        <f>IFERROR(__xludf.DUMMYFUNCTION("""COMPUTED_VALUE"""),234.0)</f>
        <v>234</v>
      </c>
      <c r="E2898" s="2">
        <f>IFERROR(__xludf.DUMMYFUNCTION("""COMPUTED_VALUE"""),236.4)</f>
        <v>236.4</v>
      </c>
      <c r="F2898" s="2">
        <f>IFERROR(__xludf.DUMMYFUNCTION("""COMPUTED_VALUE"""),3797737.0)</f>
        <v>3797737</v>
      </c>
    </row>
    <row r="2899">
      <c r="A2899" s="3">
        <f>IFERROR(__xludf.DUMMYFUNCTION("""COMPUTED_VALUE"""),40791.645833333336)</f>
        <v>40791.64583</v>
      </c>
      <c r="B2899" s="2">
        <f>IFERROR(__xludf.DUMMYFUNCTION("""COMPUTED_VALUE"""),234.9)</f>
        <v>234.9</v>
      </c>
      <c r="C2899" s="2">
        <f>IFERROR(__xludf.DUMMYFUNCTION("""COMPUTED_VALUE"""),237.0)</f>
        <v>237</v>
      </c>
      <c r="D2899" s="2">
        <f>IFERROR(__xludf.DUMMYFUNCTION("""COMPUTED_VALUE"""),231.33)</f>
        <v>231.33</v>
      </c>
      <c r="E2899" s="2">
        <f>IFERROR(__xludf.DUMMYFUNCTION("""COMPUTED_VALUE"""),235.13)</f>
        <v>235.13</v>
      </c>
      <c r="F2899" s="2">
        <f>IFERROR(__xludf.DUMMYFUNCTION("""COMPUTED_VALUE"""),2950179.0)</f>
        <v>2950179</v>
      </c>
    </row>
    <row r="2900">
      <c r="A2900" s="3">
        <f>IFERROR(__xludf.DUMMYFUNCTION("""COMPUTED_VALUE"""),40792.645833333336)</f>
        <v>40792.64583</v>
      </c>
      <c r="B2900" s="2">
        <f>IFERROR(__xludf.DUMMYFUNCTION("""COMPUTED_VALUE"""),234.3)</f>
        <v>234.3</v>
      </c>
      <c r="C2900" s="2">
        <f>IFERROR(__xludf.DUMMYFUNCTION("""COMPUTED_VALUE"""),238.2)</f>
        <v>238.2</v>
      </c>
      <c r="D2900" s="2">
        <f>IFERROR(__xludf.DUMMYFUNCTION("""COMPUTED_VALUE"""),230.0)</f>
        <v>230</v>
      </c>
      <c r="E2900" s="2">
        <f>IFERROR(__xludf.DUMMYFUNCTION("""COMPUTED_VALUE"""),236.4)</f>
        <v>236.4</v>
      </c>
      <c r="F2900" s="2">
        <f>IFERROR(__xludf.DUMMYFUNCTION("""COMPUTED_VALUE"""),4465198.0)</f>
        <v>4465198</v>
      </c>
    </row>
    <row r="2901">
      <c r="A2901" s="3">
        <f>IFERROR(__xludf.DUMMYFUNCTION("""COMPUTED_VALUE"""),40793.645833333336)</f>
        <v>40793.64583</v>
      </c>
      <c r="B2901" s="2">
        <f>IFERROR(__xludf.DUMMYFUNCTION("""COMPUTED_VALUE"""),238.0)</f>
        <v>238</v>
      </c>
      <c r="C2901" s="2">
        <f>IFERROR(__xludf.DUMMYFUNCTION("""COMPUTED_VALUE"""),244.98)</f>
        <v>244.98</v>
      </c>
      <c r="D2901" s="2">
        <f>IFERROR(__xludf.DUMMYFUNCTION("""COMPUTED_VALUE"""),236.43)</f>
        <v>236.43</v>
      </c>
      <c r="E2901" s="2">
        <f>IFERROR(__xludf.DUMMYFUNCTION("""COMPUTED_VALUE"""),244.05)</f>
        <v>244.05</v>
      </c>
      <c r="F2901" s="2">
        <f>IFERROR(__xludf.DUMMYFUNCTION("""COMPUTED_VALUE"""),3686643.0)</f>
        <v>3686643</v>
      </c>
    </row>
    <row r="2902">
      <c r="A2902" s="3">
        <f>IFERROR(__xludf.DUMMYFUNCTION("""COMPUTED_VALUE"""),40794.645833333336)</f>
        <v>40794.64583</v>
      </c>
      <c r="B2902" s="2">
        <f>IFERROR(__xludf.DUMMYFUNCTION("""COMPUTED_VALUE"""),244.85)</f>
        <v>244.85</v>
      </c>
      <c r="C2902" s="2">
        <f>IFERROR(__xludf.DUMMYFUNCTION("""COMPUTED_VALUE"""),244.85)</f>
        <v>244.85</v>
      </c>
      <c r="D2902" s="2">
        <f>IFERROR(__xludf.DUMMYFUNCTION("""COMPUTED_VALUE"""),239.58)</f>
        <v>239.58</v>
      </c>
      <c r="E2902" s="2">
        <f>IFERROR(__xludf.DUMMYFUNCTION("""COMPUTED_VALUE"""),241.85)</f>
        <v>241.85</v>
      </c>
      <c r="F2902" s="2">
        <f>IFERROR(__xludf.DUMMYFUNCTION("""COMPUTED_VALUE"""),2041012.0)</f>
        <v>2041012</v>
      </c>
    </row>
    <row r="2903">
      <c r="A2903" s="3">
        <f>IFERROR(__xludf.DUMMYFUNCTION("""COMPUTED_VALUE"""),40795.645833333336)</f>
        <v>40795.64583</v>
      </c>
      <c r="B2903" s="2">
        <f>IFERROR(__xludf.DUMMYFUNCTION("""COMPUTED_VALUE"""),241.95)</f>
        <v>241.95</v>
      </c>
      <c r="C2903" s="2">
        <f>IFERROR(__xludf.DUMMYFUNCTION("""COMPUTED_VALUE"""),242.85)</f>
        <v>242.85</v>
      </c>
      <c r="D2903" s="2">
        <f>IFERROR(__xludf.DUMMYFUNCTION("""COMPUTED_VALUE"""),235.35)</f>
        <v>235.35</v>
      </c>
      <c r="E2903" s="2">
        <f>IFERROR(__xludf.DUMMYFUNCTION("""COMPUTED_VALUE"""),236.63)</f>
        <v>236.63</v>
      </c>
      <c r="F2903" s="2">
        <f>IFERROR(__xludf.DUMMYFUNCTION("""COMPUTED_VALUE"""),2582854.0)</f>
        <v>2582854</v>
      </c>
    </row>
    <row r="2904">
      <c r="A2904" s="3">
        <f>IFERROR(__xludf.DUMMYFUNCTION("""COMPUTED_VALUE"""),40798.645833333336)</f>
        <v>40798.64583</v>
      </c>
      <c r="B2904" s="2">
        <f>IFERROR(__xludf.DUMMYFUNCTION("""COMPUTED_VALUE"""),233.5)</f>
        <v>233.5</v>
      </c>
      <c r="C2904" s="2">
        <f>IFERROR(__xludf.DUMMYFUNCTION("""COMPUTED_VALUE"""),235.6)</f>
        <v>235.6</v>
      </c>
      <c r="D2904" s="2">
        <f>IFERROR(__xludf.DUMMYFUNCTION("""COMPUTED_VALUE"""),231.25)</f>
        <v>231.25</v>
      </c>
      <c r="E2904" s="2">
        <f>IFERROR(__xludf.DUMMYFUNCTION("""COMPUTED_VALUE"""),234.68)</f>
        <v>234.68</v>
      </c>
      <c r="F2904" s="2">
        <f>IFERROR(__xludf.DUMMYFUNCTION("""COMPUTED_VALUE"""),1746380.0)</f>
        <v>1746380</v>
      </c>
    </row>
    <row r="2905">
      <c r="A2905" s="3">
        <f>IFERROR(__xludf.DUMMYFUNCTION("""COMPUTED_VALUE"""),40799.645833333336)</f>
        <v>40799.64583</v>
      </c>
      <c r="B2905" s="2">
        <f>IFERROR(__xludf.DUMMYFUNCTION("""COMPUTED_VALUE"""),235.5)</f>
        <v>235.5</v>
      </c>
      <c r="C2905" s="2">
        <f>IFERROR(__xludf.DUMMYFUNCTION("""COMPUTED_VALUE"""),237.9)</f>
        <v>237.9</v>
      </c>
      <c r="D2905" s="2">
        <f>IFERROR(__xludf.DUMMYFUNCTION("""COMPUTED_VALUE"""),232.0)</f>
        <v>232</v>
      </c>
      <c r="E2905" s="2">
        <f>IFERROR(__xludf.DUMMYFUNCTION("""COMPUTED_VALUE"""),233.85)</f>
        <v>233.85</v>
      </c>
      <c r="F2905" s="2">
        <f>IFERROR(__xludf.DUMMYFUNCTION("""COMPUTED_VALUE"""),1793988.0)</f>
        <v>1793988</v>
      </c>
    </row>
    <row r="2906">
      <c r="A2906" s="3">
        <f>IFERROR(__xludf.DUMMYFUNCTION("""COMPUTED_VALUE"""),40800.645833333336)</f>
        <v>40800.64583</v>
      </c>
      <c r="B2906" s="2">
        <f>IFERROR(__xludf.DUMMYFUNCTION("""COMPUTED_VALUE"""),233.7)</f>
        <v>233.7</v>
      </c>
      <c r="C2906" s="2">
        <f>IFERROR(__xludf.DUMMYFUNCTION("""COMPUTED_VALUE"""),241.55)</f>
        <v>241.55</v>
      </c>
      <c r="D2906" s="2">
        <f>IFERROR(__xludf.DUMMYFUNCTION("""COMPUTED_VALUE"""),230.53)</f>
        <v>230.53</v>
      </c>
      <c r="E2906" s="2">
        <f>IFERROR(__xludf.DUMMYFUNCTION("""COMPUTED_VALUE"""),239.45)</f>
        <v>239.45</v>
      </c>
      <c r="F2906" s="2">
        <f>IFERROR(__xludf.DUMMYFUNCTION("""COMPUTED_VALUE"""),1937252.0)</f>
        <v>1937252</v>
      </c>
    </row>
    <row r="2907">
      <c r="A2907" s="3">
        <f>IFERROR(__xludf.DUMMYFUNCTION("""COMPUTED_VALUE"""),40801.645833333336)</f>
        <v>40801.64583</v>
      </c>
      <c r="B2907" s="2">
        <f>IFERROR(__xludf.DUMMYFUNCTION("""COMPUTED_VALUE"""),242.95)</f>
        <v>242.95</v>
      </c>
      <c r="C2907" s="2">
        <f>IFERROR(__xludf.DUMMYFUNCTION("""COMPUTED_VALUE"""),244.03)</f>
        <v>244.03</v>
      </c>
      <c r="D2907" s="2">
        <f>IFERROR(__xludf.DUMMYFUNCTION("""COMPUTED_VALUE"""),235.8)</f>
        <v>235.8</v>
      </c>
      <c r="E2907" s="2">
        <f>IFERROR(__xludf.DUMMYFUNCTION("""COMPUTED_VALUE"""),242.33)</f>
        <v>242.33</v>
      </c>
      <c r="F2907" s="2">
        <f>IFERROR(__xludf.DUMMYFUNCTION("""COMPUTED_VALUE"""),2184190.0)</f>
        <v>2184190</v>
      </c>
    </row>
    <row r="2908">
      <c r="A2908" s="3">
        <f>IFERROR(__xludf.DUMMYFUNCTION("""COMPUTED_VALUE"""),40802.645833333336)</f>
        <v>40802.64583</v>
      </c>
      <c r="B2908" s="2">
        <f>IFERROR(__xludf.DUMMYFUNCTION("""COMPUTED_VALUE"""),243.13)</f>
        <v>243.13</v>
      </c>
      <c r="C2908" s="2">
        <f>IFERROR(__xludf.DUMMYFUNCTION("""COMPUTED_VALUE"""),245.0)</f>
        <v>245</v>
      </c>
      <c r="D2908" s="2">
        <f>IFERROR(__xludf.DUMMYFUNCTION("""COMPUTED_VALUE"""),238.15)</f>
        <v>238.15</v>
      </c>
      <c r="E2908" s="2">
        <f>IFERROR(__xludf.DUMMYFUNCTION("""COMPUTED_VALUE"""),241.85)</f>
        <v>241.85</v>
      </c>
      <c r="F2908" s="2">
        <f>IFERROR(__xludf.DUMMYFUNCTION("""COMPUTED_VALUE"""),2736752.0)</f>
        <v>2736752</v>
      </c>
    </row>
    <row r="2909">
      <c r="A2909" s="3">
        <f>IFERROR(__xludf.DUMMYFUNCTION("""COMPUTED_VALUE"""),40805.645833333336)</f>
        <v>40805.64583</v>
      </c>
      <c r="B2909" s="2">
        <f>IFERROR(__xludf.DUMMYFUNCTION("""COMPUTED_VALUE"""),240.95)</f>
        <v>240.95</v>
      </c>
      <c r="C2909" s="2">
        <f>IFERROR(__xludf.DUMMYFUNCTION("""COMPUTED_VALUE"""),243.5)</f>
        <v>243.5</v>
      </c>
      <c r="D2909" s="2">
        <f>IFERROR(__xludf.DUMMYFUNCTION("""COMPUTED_VALUE"""),238.55)</f>
        <v>238.55</v>
      </c>
      <c r="E2909" s="2">
        <f>IFERROR(__xludf.DUMMYFUNCTION("""COMPUTED_VALUE"""),242.38)</f>
        <v>242.38</v>
      </c>
      <c r="F2909" s="2">
        <f>IFERROR(__xludf.DUMMYFUNCTION("""COMPUTED_VALUE"""),2097305.0)</f>
        <v>2097305</v>
      </c>
    </row>
    <row r="2910">
      <c r="A2910" s="3">
        <f>IFERROR(__xludf.DUMMYFUNCTION("""COMPUTED_VALUE"""),40806.645833333336)</f>
        <v>40806.64583</v>
      </c>
      <c r="B2910" s="2">
        <f>IFERROR(__xludf.DUMMYFUNCTION("""COMPUTED_VALUE"""),242.5)</f>
        <v>242.5</v>
      </c>
      <c r="C2910" s="2">
        <f>IFERROR(__xludf.DUMMYFUNCTION("""COMPUTED_VALUE"""),246.63)</f>
        <v>246.63</v>
      </c>
      <c r="D2910" s="2">
        <f>IFERROR(__xludf.DUMMYFUNCTION("""COMPUTED_VALUE"""),241.5)</f>
        <v>241.5</v>
      </c>
      <c r="E2910" s="2">
        <f>IFERROR(__xludf.DUMMYFUNCTION("""COMPUTED_VALUE"""),245.68)</f>
        <v>245.68</v>
      </c>
      <c r="F2910" s="2">
        <f>IFERROR(__xludf.DUMMYFUNCTION("""COMPUTED_VALUE"""),2958817.0)</f>
        <v>2958817</v>
      </c>
    </row>
    <row r="2911">
      <c r="A2911" s="3">
        <f>IFERROR(__xludf.DUMMYFUNCTION("""COMPUTED_VALUE"""),40807.645833333336)</f>
        <v>40807.64583</v>
      </c>
      <c r="B2911" s="2">
        <f>IFERROR(__xludf.DUMMYFUNCTION("""COMPUTED_VALUE"""),246.38)</f>
        <v>246.38</v>
      </c>
      <c r="C2911" s="2">
        <f>IFERROR(__xludf.DUMMYFUNCTION("""COMPUTED_VALUE"""),248.83)</f>
        <v>248.83</v>
      </c>
      <c r="D2911" s="2">
        <f>IFERROR(__xludf.DUMMYFUNCTION("""COMPUTED_VALUE"""),244.2)</f>
        <v>244.2</v>
      </c>
      <c r="E2911" s="2">
        <f>IFERROR(__xludf.DUMMYFUNCTION("""COMPUTED_VALUE"""),247.25)</f>
        <v>247.25</v>
      </c>
      <c r="F2911" s="2">
        <f>IFERROR(__xludf.DUMMYFUNCTION("""COMPUTED_VALUE"""),3222849.0)</f>
        <v>3222849</v>
      </c>
    </row>
    <row r="2912">
      <c r="A2912" s="3">
        <f>IFERROR(__xludf.DUMMYFUNCTION("""COMPUTED_VALUE"""),40808.645833333336)</f>
        <v>40808.64583</v>
      </c>
      <c r="B2912" s="2">
        <f>IFERROR(__xludf.DUMMYFUNCTION("""COMPUTED_VALUE"""),243.95)</f>
        <v>243.95</v>
      </c>
      <c r="C2912" s="2">
        <f>IFERROR(__xludf.DUMMYFUNCTION("""COMPUTED_VALUE"""),244.5)</f>
        <v>244.5</v>
      </c>
      <c r="D2912" s="2">
        <f>IFERROR(__xludf.DUMMYFUNCTION("""COMPUTED_VALUE"""),232.75)</f>
        <v>232.75</v>
      </c>
      <c r="E2912" s="2">
        <f>IFERROR(__xludf.DUMMYFUNCTION("""COMPUTED_VALUE"""),236.15)</f>
        <v>236.15</v>
      </c>
      <c r="F2912" s="2">
        <f>IFERROR(__xludf.DUMMYFUNCTION("""COMPUTED_VALUE"""),2547772.0)</f>
        <v>2547772</v>
      </c>
    </row>
    <row r="2913">
      <c r="A2913" s="3">
        <f>IFERROR(__xludf.DUMMYFUNCTION("""COMPUTED_VALUE"""),40809.645833333336)</f>
        <v>40809.64583</v>
      </c>
      <c r="B2913" s="2">
        <f>IFERROR(__xludf.DUMMYFUNCTION("""COMPUTED_VALUE"""),234.28)</f>
        <v>234.28</v>
      </c>
      <c r="C2913" s="2">
        <f>IFERROR(__xludf.DUMMYFUNCTION("""COMPUTED_VALUE"""),235.0)</f>
        <v>235</v>
      </c>
      <c r="D2913" s="2">
        <f>IFERROR(__xludf.DUMMYFUNCTION("""COMPUTED_VALUE"""),226.25)</f>
        <v>226.25</v>
      </c>
      <c r="E2913" s="2">
        <f>IFERROR(__xludf.DUMMYFUNCTION("""COMPUTED_VALUE"""),228.2)</f>
        <v>228.2</v>
      </c>
      <c r="F2913" s="2">
        <f>IFERROR(__xludf.DUMMYFUNCTION("""COMPUTED_VALUE"""),8227806.0)</f>
        <v>8227806</v>
      </c>
    </row>
    <row r="2914">
      <c r="A2914" s="3">
        <f>IFERROR(__xludf.DUMMYFUNCTION("""COMPUTED_VALUE"""),40812.645833333336)</f>
        <v>40812.64583</v>
      </c>
      <c r="B2914" s="2">
        <f>IFERROR(__xludf.DUMMYFUNCTION("""COMPUTED_VALUE"""),228.0)</f>
        <v>228</v>
      </c>
      <c r="C2914" s="2">
        <f>IFERROR(__xludf.DUMMYFUNCTION("""COMPUTED_VALUE"""),228.83)</f>
        <v>228.83</v>
      </c>
      <c r="D2914" s="2">
        <f>IFERROR(__xludf.DUMMYFUNCTION("""COMPUTED_VALUE"""),219.73)</f>
        <v>219.73</v>
      </c>
      <c r="E2914" s="2">
        <f>IFERROR(__xludf.DUMMYFUNCTION("""COMPUTED_VALUE"""),225.05)</f>
        <v>225.05</v>
      </c>
      <c r="F2914" s="2">
        <f>IFERROR(__xludf.DUMMYFUNCTION("""COMPUTED_VALUE"""),6946267.0)</f>
        <v>6946267</v>
      </c>
    </row>
    <row r="2915">
      <c r="A2915" s="3">
        <f>IFERROR(__xludf.DUMMYFUNCTION("""COMPUTED_VALUE"""),40813.645833333336)</f>
        <v>40813.64583</v>
      </c>
      <c r="B2915" s="2">
        <f>IFERROR(__xludf.DUMMYFUNCTION("""COMPUTED_VALUE"""),229.0)</f>
        <v>229</v>
      </c>
      <c r="C2915" s="2">
        <f>IFERROR(__xludf.DUMMYFUNCTION("""COMPUTED_VALUE"""),230.95)</f>
        <v>230.95</v>
      </c>
      <c r="D2915" s="2">
        <f>IFERROR(__xludf.DUMMYFUNCTION("""COMPUTED_VALUE"""),227.05)</f>
        <v>227.05</v>
      </c>
      <c r="E2915" s="2">
        <f>IFERROR(__xludf.DUMMYFUNCTION("""COMPUTED_VALUE"""),228.73)</f>
        <v>228.73</v>
      </c>
      <c r="F2915" s="2">
        <f>IFERROR(__xludf.DUMMYFUNCTION("""COMPUTED_VALUE"""),4005709.0)</f>
        <v>4005709</v>
      </c>
    </row>
    <row r="2916">
      <c r="A2916" s="3">
        <f>IFERROR(__xludf.DUMMYFUNCTION("""COMPUTED_VALUE"""),40814.645833333336)</f>
        <v>40814.64583</v>
      </c>
      <c r="B2916" s="2">
        <f>IFERROR(__xludf.DUMMYFUNCTION("""COMPUTED_VALUE"""),231.2)</f>
        <v>231.2</v>
      </c>
      <c r="C2916" s="2">
        <f>IFERROR(__xludf.DUMMYFUNCTION("""COMPUTED_VALUE"""),232.68)</f>
        <v>232.68</v>
      </c>
      <c r="D2916" s="2">
        <f>IFERROR(__xludf.DUMMYFUNCTION("""COMPUTED_VALUE"""),225.88)</f>
        <v>225.88</v>
      </c>
      <c r="E2916" s="2">
        <f>IFERROR(__xludf.DUMMYFUNCTION("""COMPUTED_VALUE"""),229.0)</f>
        <v>229</v>
      </c>
      <c r="F2916" s="2">
        <f>IFERROR(__xludf.DUMMYFUNCTION("""COMPUTED_VALUE"""),3805938.0)</f>
        <v>3805938</v>
      </c>
    </row>
    <row r="2917">
      <c r="A2917" s="3">
        <f>IFERROR(__xludf.DUMMYFUNCTION("""COMPUTED_VALUE"""),40815.645833333336)</f>
        <v>40815.64583</v>
      </c>
      <c r="B2917" s="2">
        <f>IFERROR(__xludf.DUMMYFUNCTION("""COMPUTED_VALUE"""),228.78)</f>
        <v>228.78</v>
      </c>
      <c r="C2917" s="2">
        <f>IFERROR(__xludf.DUMMYFUNCTION("""COMPUTED_VALUE"""),237.4)</f>
        <v>237.4</v>
      </c>
      <c r="D2917" s="2">
        <f>IFERROR(__xludf.DUMMYFUNCTION("""COMPUTED_VALUE"""),226.33)</f>
        <v>226.33</v>
      </c>
      <c r="E2917" s="2">
        <f>IFERROR(__xludf.DUMMYFUNCTION("""COMPUTED_VALUE"""),235.3)</f>
        <v>235.3</v>
      </c>
      <c r="F2917" s="2">
        <f>IFERROR(__xludf.DUMMYFUNCTION("""COMPUTED_VALUE"""),8133246.0)</f>
        <v>8133246</v>
      </c>
    </row>
    <row r="2918">
      <c r="A2918" s="3">
        <f>IFERROR(__xludf.DUMMYFUNCTION("""COMPUTED_VALUE"""),40816.645833333336)</f>
        <v>40816.64583</v>
      </c>
      <c r="B2918" s="2">
        <f>IFERROR(__xludf.DUMMYFUNCTION("""COMPUTED_VALUE"""),232.93)</f>
        <v>232.93</v>
      </c>
      <c r="C2918" s="2">
        <f>IFERROR(__xludf.DUMMYFUNCTION("""COMPUTED_VALUE"""),237.4)</f>
        <v>237.4</v>
      </c>
      <c r="D2918" s="2">
        <f>IFERROR(__xludf.DUMMYFUNCTION("""COMPUTED_VALUE"""),232.2)</f>
        <v>232.2</v>
      </c>
      <c r="E2918" s="2">
        <f>IFERROR(__xludf.DUMMYFUNCTION("""COMPUTED_VALUE"""),233.83)</f>
        <v>233.83</v>
      </c>
      <c r="F2918" s="2">
        <f>IFERROR(__xludf.DUMMYFUNCTION("""COMPUTED_VALUE"""),4757200.0)</f>
        <v>4757200</v>
      </c>
    </row>
    <row r="2919">
      <c r="A2919" s="3">
        <f>IFERROR(__xludf.DUMMYFUNCTION("""COMPUTED_VALUE"""),40819.645833333336)</f>
        <v>40819.64583</v>
      </c>
      <c r="B2919" s="2">
        <f>IFERROR(__xludf.DUMMYFUNCTION("""COMPUTED_VALUE"""),230.08)</f>
        <v>230.08</v>
      </c>
      <c r="C2919" s="2">
        <f>IFERROR(__xludf.DUMMYFUNCTION("""COMPUTED_VALUE"""),232.45)</f>
        <v>232.45</v>
      </c>
      <c r="D2919" s="2">
        <f>IFERROR(__xludf.DUMMYFUNCTION("""COMPUTED_VALUE"""),225.38)</f>
        <v>225.38</v>
      </c>
      <c r="E2919" s="2">
        <f>IFERROR(__xludf.DUMMYFUNCTION("""COMPUTED_VALUE"""),228.03)</f>
        <v>228.03</v>
      </c>
      <c r="F2919" s="2">
        <f>IFERROR(__xludf.DUMMYFUNCTION("""COMPUTED_VALUE"""),4534059.0)</f>
        <v>4534059</v>
      </c>
    </row>
    <row r="2920">
      <c r="A2920" s="3">
        <f>IFERROR(__xludf.DUMMYFUNCTION("""COMPUTED_VALUE"""),40820.645833333336)</f>
        <v>40820.64583</v>
      </c>
      <c r="B2920" s="2">
        <f>IFERROR(__xludf.DUMMYFUNCTION("""COMPUTED_VALUE"""),226.25)</f>
        <v>226.25</v>
      </c>
      <c r="C2920" s="2">
        <f>IFERROR(__xludf.DUMMYFUNCTION("""COMPUTED_VALUE"""),228.0)</f>
        <v>228</v>
      </c>
      <c r="D2920" s="2">
        <f>IFERROR(__xludf.DUMMYFUNCTION("""COMPUTED_VALUE"""),220.25)</f>
        <v>220.25</v>
      </c>
      <c r="E2920" s="2">
        <f>IFERROR(__xludf.DUMMYFUNCTION("""COMPUTED_VALUE"""),224.45)</f>
        <v>224.45</v>
      </c>
      <c r="F2920" s="2">
        <f>IFERROR(__xludf.DUMMYFUNCTION("""COMPUTED_VALUE"""),3740798.0)</f>
        <v>3740798</v>
      </c>
    </row>
    <row r="2921">
      <c r="A2921" s="3">
        <f>IFERROR(__xludf.DUMMYFUNCTION("""COMPUTED_VALUE"""),40821.645833333336)</f>
        <v>40821.64583</v>
      </c>
      <c r="B2921" s="2">
        <f>IFERROR(__xludf.DUMMYFUNCTION("""COMPUTED_VALUE"""),224.48)</f>
        <v>224.48</v>
      </c>
      <c r="C2921" s="2">
        <f>IFERROR(__xludf.DUMMYFUNCTION("""COMPUTED_VALUE"""),228.13)</f>
        <v>228.13</v>
      </c>
      <c r="D2921" s="2">
        <f>IFERROR(__xludf.DUMMYFUNCTION("""COMPUTED_VALUE"""),218.28)</f>
        <v>218.28</v>
      </c>
      <c r="E2921" s="2">
        <f>IFERROR(__xludf.DUMMYFUNCTION("""COMPUTED_VALUE"""),219.35)</f>
        <v>219.35</v>
      </c>
      <c r="F2921" s="2">
        <f>IFERROR(__xludf.DUMMYFUNCTION("""COMPUTED_VALUE"""),4133748.0)</f>
        <v>4133748</v>
      </c>
    </row>
    <row r="2922">
      <c r="A2922" s="3">
        <f>IFERROR(__xludf.DUMMYFUNCTION("""COMPUTED_VALUE"""),40823.645833333336)</f>
        <v>40823.64583</v>
      </c>
      <c r="B2922" s="2">
        <f>IFERROR(__xludf.DUMMYFUNCTION("""COMPUTED_VALUE"""),226.35)</f>
        <v>226.35</v>
      </c>
      <c r="C2922" s="2">
        <f>IFERROR(__xludf.DUMMYFUNCTION("""COMPUTED_VALUE"""),230.0)</f>
        <v>230</v>
      </c>
      <c r="D2922" s="2">
        <f>IFERROR(__xludf.DUMMYFUNCTION("""COMPUTED_VALUE"""),223.1)</f>
        <v>223.1</v>
      </c>
      <c r="E2922" s="2">
        <f>IFERROR(__xludf.DUMMYFUNCTION("""COMPUTED_VALUE"""),225.0)</f>
        <v>225</v>
      </c>
      <c r="F2922" s="2">
        <f>IFERROR(__xludf.DUMMYFUNCTION("""COMPUTED_VALUE"""),4721751.0)</f>
        <v>4721751</v>
      </c>
    </row>
    <row r="2923">
      <c r="A2923" s="3">
        <f>IFERROR(__xludf.DUMMYFUNCTION("""COMPUTED_VALUE"""),40826.645833333336)</f>
        <v>40826.64583</v>
      </c>
      <c r="B2923" s="2">
        <f>IFERROR(__xludf.DUMMYFUNCTION("""COMPUTED_VALUE"""),226.0)</f>
        <v>226</v>
      </c>
      <c r="C2923" s="2">
        <f>IFERROR(__xludf.DUMMYFUNCTION("""COMPUTED_VALUE"""),229.0)</f>
        <v>229</v>
      </c>
      <c r="D2923" s="2">
        <f>IFERROR(__xludf.DUMMYFUNCTION("""COMPUTED_VALUE"""),225.03)</f>
        <v>225.03</v>
      </c>
      <c r="E2923" s="2">
        <f>IFERROR(__xludf.DUMMYFUNCTION("""COMPUTED_VALUE"""),227.35)</f>
        <v>227.35</v>
      </c>
      <c r="F2923" s="2">
        <f>IFERROR(__xludf.DUMMYFUNCTION("""COMPUTED_VALUE"""),6031496.0)</f>
        <v>6031496</v>
      </c>
    </row>
    <row r="2924">
      <c r="A2924" s="3">
        <f>IFERROR(__xludf.DUMMYFUNCTION("""COMPUTED_VALUE"""),40827.645833333336)</f>
        <v>40827.64583</v>
      </c>
      <c r="B2924" s="2">
        <f>IFERROR(__xludf.DUMMYFUNCTION("""COMPUTED_VALUE"""),230.35)</f>
        <v>230.35</v>
      </c>
      <c r="C2924" s="2">
        <f>IFERROR(__xludf.DUMMYFUNCTION("""COMPUTED_VALUE"""),232.45)</f>
        <v>232.45</v>
      </c>
      <c r="D2924" s="2">
        <f>IFERROR(__xludf.DUMMYFUNCTION("""COMPUTED_VALUE"""),227.58)</f>
        <v>227.58</v>
      </c>
      <c r="E2924" s="2">
        <f>IFERROR(__xludf.DUMMYFUNCTION("""COMPUTED_VALUE"""),228.75)</f>
        <v>228.75</v>
      </c>
      <c r="F2924" s="2">
        <f>IFERROR(__xludf.DUMMYFUNCTION("""COMPUTED_VALUE"""),2496879.0)</f>
        <v>2496879</v>
      </c>
    </row>
    <row r="2925">
      <c r="A2925" s="3">
        <f>IFERROR(__xludf.DUMMYFUNCTION("""COMPUTED_VALUE"""),40828.645833333336)</f>
        <v>40828.64583</v>
      </c>
      <c r="B2925" s="2">
        <f>IFERROR(__xludf.DUMMYFUNCTION("""COMPUTED_VALUE"""),230.98)</f>
        <v>230.98</v>
      </c>
      <c r="C2925" s="2">
        <f>IFERROR(__xludf.DUMMYFUNCTION("""COMPUTED_VALUE"""),234.95)</f>
        <v>234.95</v>
      </c>
      <c r="D2925" s="2">
        <f>IFERROR(__xludf.DUMMYFUNCTION("""COMPUTED_VALUE"""),226.73)</f>
        <v>226.73</v>
      </c>
      <c r="E2925" s="2">
        <f>IFERROR(__xludf.DUMMYFUNCTION("""COMPUTED_VALUE"""),233.58)</f>
        <v>233.58</v>
      </c>
      <c r="F2925" s="2">
        <f>IFERROR(__xludf.DUMMYFUNCTION("""COMPUTED_VALUE"""),4483890.0)</f>
        <v>4483890</v>
      </c>
    </row>
    <row r="2926">
      <c r="A2926" s="3">
        <f>IFERROR(__xludf.DUMMYFUNCTION("""COMPUTED_VALUE"""),40829.645833333336)</f>
        <v>40829.64583</v>
      </c>
      <c r="B2926" s="2">
        <f>IFERROR(__xludf.DUMMYFUNCTION("""COMPUTED_VALUE"""),237.5)</f>
        <v>237.5</v>
      </c>
      <c r="C2926" s="2">
        <f>IFERROR(__xludf.DUMMYFUNCTION("""COMPUTED_VALUE"""),238.1)</f>
        <v>238.1</v>
      </c>
      <c r="D2926" s="2">
        <f>IFERROR(__xludf.DUMMYFUNCTION("""COMPUTED_VALUE"""),233.8)</f>
        <v>233.8</v>
      </c>
      <c r="E2926" s="2">
        <f>IFERROR(__xludf.DUMMYFUNCTION("""COMPUTED_VALUE"""),235.33)</f>
        <v>235.33</v>
      </c>
      <c r="F2926" s="2">
        <f>IFERROR(__xludf.DUMMYFUNCTION("""COMPUTED_VALUE"""),2933351.0)</f>
        <v>2933351</v>
      </c>
    </row>
    <row r="2927">
      <c r="A2927" s="3">
        <f>IFERROR(__xludf.DUMMYFUNCTION("""COMPUTED_VALUE"""),40830.645833333336)</f>
        <v>40830.64583</v>
      </c>
      <c r="B2927" s="2">
        <f>IFERROR(__xludf.DUMMYFUNCTION("""COMPUTED_VALUE"""),234.5)</f>
        <v>234.5</v>
      </c>
      <c r="C2927" s="2">
        <f>IFERROR(__xludf.DUMMYFUNCTION("""COMPUTED_VALUE"""),238.2)</f>
        <v>238.2</v>
      </c>
      <c r="D2927" s="2">
        <f>IFERROR(__xludf.DUMMYFUNCTION("""COMPUTED_VALUE"""),232.68)</f>
        <v>232.68</v>
      </c>
      <c r="E2927" s="2">
        <f>IFERROR(__xludf.DUMMYFUNCTION("""COMPUTED_VALUE"""),236.95)</f>
        <v>236.95</v>
      </c>
      <c r="F2927" s="2">
        <f>IFERROR(__xludf.DUMMYFUNCTION("""COMPUTED_VALUE"""),1667510.0)</f>
        <v>1667510</v>
      </c>
    </row>
    <row r="2928">
      <c r="A2928" s="3">
        <f>IFERROR(__xludf.DUMMYFUNCTION("""COMPUTED_VALUE"""),40833.645833333336)</f>
        <v>40833.64583</v>
      </c>
      <c r="B2928" s="2">
        <f>IFERROR(__xludf.DUMMYFUNCTION("""COMPUTED_VALUE"""),238.3)</f>
        <v>238.3</v>
      </c>
      <c r="C2928" s="2">
        <f>IFERROR(__xludf.DUMMYFUNCTION("""COMPUTED_VALUE"""),240.25)</f>
        <v>240.25</v>
      </c>
      <c r="D2928" s="2">
        <f>IFERROR(__xludf.DUMMYFUNCTION("""COMPUTED_VALUE"""),236.18)</f>
        <v>236.18</v>
      </c>
      <c r="E2928" s="2">
        <f>IFERROR(__xludf.DUMMYFUNCTION("""COMPUTED_VALUE"""),239.03)</f>
        <v>239.03</v>
      </c>
      <c r="F2928" s="2">
        <f>IFERROR(__xludf.DUMMYFUNCTION("""COMPUTED_VALUE"""),1771816.0)</f>
        <v>1771816</v>
      </c>
    </row>
    <row r="2929">
      <c r="A2929" s="3">
        <f>IFERROR(__xludf.DUMMYFUNCTION("""COMPUTED_VALUE"""),40834.645833333336)</f>
        <v>40834.64583</v>
      </c>
      <c r="B2929" s="2">
        <f>IFERROR(__xludf.DUMMYFUNCTION("""COMPUTED_VALUE"""),236.95)</f>
        <v>236.95</v>
      </c>
      <c r="C2929" s="2">
        <f>IFERROR(__xludf.DUMMYFUNCTION("""COMPUTED_VALUE"""),240.7)</f>
        <v>240.7</v>
      </c>
      <c r="D2929" s="2">
        <f>IFERROR(__xludf.DUMMYFUNCTION("""COMPUTED_VALUE"""),236.0)</f>
        <v>236</v>
      </c>
      <c r="E2929" s="2">
        <f>IFERROR(__xludf.DUMMYFUNCTION("""COMPUTED_VALUE"""),239.08)</f>
        <v>239.08</v>
      </c>
      <c r="F2929" s="2">
        <f>IFERROR(__xludf.DUMMYFUNCTION("""COMPUTED_VALUE"""),2027255.0)</f>
        <v>2027255</v>
      </c>
    </row>
    <row r="2930">
      <c r="A2930" s="3">
        <f>IFERROR(__xludf.DUMMYFUNCTION("""COMPUTED_VALUE"""),40835.645833333336)</f>
        <v>40835.64583</v>
      </c>
      <c r="B2930" s="2">
        <f>IFERROR(__xludf.DUMMYFUNCTION("""COMPUTED_VALUE"""),241.48)</f>
        <v>241.48</v>
      </c>
      <c r="C2930" s="2">
        <f>IFERROR(__xludf.DUMMYFUNCTION("""COMPUTED_VALUE"""),247.3)</f>
        <v>247.3</v>
      </c>
      <c r="D2930" s="2">
        <f>IFERROR(__xludf.DUMMYFUNCTION("""COMPUTED_VALUE"""),239.65)</f>
        <v>239.65</v>
      </c>
      <c r="E2930" s="2">
        <f>IFERROR(__xludf.DUMMYFUNCTION("""COMPUTED_VALUE"""),245.93)</f>
        <v>245.93</v>
      </c>
      <c r="F2930" s="2">
        <f>IFERROR(__xludf.DUMMYFUNCTION("""COMPUTED_VALUE"""),4344521.0)</f>
        <v>4344521</v>
      </c>
    </row>
    <row r="2931">
      <c r="A2931" s="3">
        <f>IFERROR(__xludf.DUMMYFUNCTION("""COMPUTED_VALUE"""),40836.645833333336)</f>
        <v>40836.64583</v>
      </c>
      <c r="B2931" s="2">
        <f>IFERROR(__xludf.DUMMYFUNCTION("""COMPUTED_VALUE"""),244.0)</f>
        <v>244</v>
      </c>
      <c r="C2931" s="2">
        <f>IFERROR(__xludf.DUMMYFUNCTION("""COMPUTED_VALUE"""),246.2)</f>
        <v>246.2</v>
      </c>
      <c r="D2931" s="2">
        <f>IFERROR(__xludf.DUMMYFUNCTION("""COMPUTED_VALUE"""),240.3)</f>
        <v>240.3</v>
      </c>
      <c r="E2931" s="2">
        <f>IFERROR(__xludf.DUMMYFUNCTION("""COMPUTED_VALUE"""),244.78)</f>
        <v>244.78</v>
      </c>
      <c r="F2931" s="2">
        <f>IFERROR(__xludf.DUMMYFUNCTION("""COMPUTED_VALUE"""),2838426.0)</f>
        <v>2838426</v>
      </c>
    </row>
    <row r="2932">
      <c r="A2932" s="3">
        <f>IFERROR(__xludf.DUMMYFUNCTION("""COMPUTED_VALUE"""),40837.645833333336)</f>
        <v>40837.64583</v>
      </c>
      <c r="B2932" s="2">
        <f>IFERROR(__xludf.DUMMYFUNCTION("""COMPUTED_VALUE"""),245.03)</f>
        <v>245.03</v>
      </c>
      <c r="C2932" s="2">
        <f>IFERROR(__xludf.DUMMYFUNCTION("""COMPUTED_VALUE"""),245.9)</f>
        <v>245.9</v>
      </c>
      <c r="D2932" s="2">
        <f>IFERROR(__xludf.DUMMYFUNCTION("""COMPUTED_VALUE"""),241.65)</f>
        <v>241.65</v>
      </c>
      <c r="E2932" s="2">
        <f>IFERROR(__xludf.DUMMYFUNCTION("""COMPUTED_VALUE"""),243.5)</f>
        <v>243.5</v>
      </c>
      <c r="F2932" s="2">
        <f>IFERROR(__xludf.DUMMYFUNCTION("""COMPUTED_VALUE"""),2290366.0)</f>
        <v>2290366</v>
      </c>
    </row>
    <row r="2933">
      <c r="A2933" s="3">
        <f>IFERROR(__xludf.DUMMYFUNCTION("""COMPUTED_VALUE"""),40840.645833333336)</f>
        <v>40840.64583</v>
      </c>
      <c r="B2933" s="2">
        <f>IFERROR(__xludf.DUMMYFUNCTION("""COMPUTED_VALUE"""),246.38)</f>
        <v>246.38</v>
      </c>
      <c r="C2933" s="2">
        <f>IFERROR(__xludf.DUMMYFUNCTION("""COMPUTED_VALUE"""),248.5)</f>
        <v>248.5</v>
      </c>
      <c r="D2933" s="2">
        <f>IFERROR(__xludf.DUMMYFUNCTION("""COMPUTED_VALUE"""),241.48)</f>
        <v>241.48</v>
      </c>
      <c r="E2933" s="2">
        <f>IFERROR(__xludf.DUMMYFUNCTION("""COMPUTED_VALUE"""),242.18)</f>
        <v>242.18</v>
      </c>
      <c r="F2933" s="2">
        <f>IFERROR(__xludf.DUMMYFUNCTION("""COMPUTED_VALUE"""),2435773.0)</f>
        <v>2435773</v>
      </c>
    </row>
    <row r="2934">
      <c r="A2934" s="3">
        <f>IFERROR(__xludf.DUMMYFUNCTION("""COMPUTED_VALUE"""),40841.645833333336)</f>
        <v>40841.64583</v>
      </c>
      <c r="B2934" s="2">
        <f>IFERROR(__xludf.DUMMYFUNCTION("""COMPUTED_VALUE"""),243.93)</f>
        <v>243.93</v>
      </c>
      <c r="C2934" s="2">
        <f>IFERROR(__xludf.DUMMYFUNCTION("""COMPUTED_VALUE"""),245.38)</f>
        <v>245.38</v>
      </c>
      <c r="D2934" s="2">
        <f>IFERROR(__xludf.DUMMYFUNCTION("""COMPUTED_VALUE"""),224.28)</f>
        <v>224.28</v>
      </c>
      <c r="E2934" s="2">
        <f>IFERROR(__xludf.DUMMYFUNCTION("""COMPUTED_VALUE"""),234.0)</f>
        <v>234</v>
      </c>
      <c r="F2934" s="2">
        <f>IFERROR(__xludf.DUMMYFUNCTION("""COMPUTED_VALUE"""),2.0657504E7)</f>
        <v>20657504</v>
      </c>
    </row>
    <row r="2935">
      <c r="A2935" s="3">
        <f>IFERROR(__xludf.DUMMYFUNCTION("""COMPUTED_VALUE"""),40842.645833333336)</f>
        <v>40842.64583</v>
      </c>
      <c r="B2935" s="2">
        <f>IFERROR(__xludf.DUMMYFUNCTION("""COMPUTED_VALUE"""),236.0)</f>
        <v>236</v>
      </c>
      <c r="C2935" s="2">
        <f>IFERROR(__xludf.DUMMYFUNCTION("""COMPUTED_VALUE"""),237.45)</f>
        <v>237.45</v>
      </c>
      <c r="D2935" s="2">
        <f>IFERROR(__xludf.DUMMYFUNCTION("""COMPUTED_VALUE"""),235.0)</f>
        <v>235</v>
      </c>
      <c r="E2935" s="2">
        <f>IFERROR(__xludf.DUMMYFUNCTION("""COMPUTED_VALUE"""),236.0)</f>
        <v>236</v>
      </c>
      <c r="F2935" s="2">
        <f>IFERROR(__xludf.DUMMYFUNCTION("""COMPUTED_VALUE"""),499071.0)</f>
        <v>499071</v>
      </c>
    </row>
    <row r="2936">
      <c r="A2936" s="3">
        <f>IFERROR(__xludf.DUMMYFUNCTION("""COMPUTED_VALUE"""),40844.645833333336)</f>
        <v>40844.64583</v>
      </c>
      <c r="B2936" s="2">
        <f>IFERROR(__xludf.DUMMYFUNCTION("""COMPUTED_VALUE"""),243.0)</f>
        <v>243</v>
      </c>
      <c r="C2936" s="2">
        <f>IFERROR(__xludf.DUMMYFUNCTION("""COMPUTED_VALUE"""),247.25)</f>
        <v>247.25</v>
      </c>
      <c r="D2936" s="2">
        <f>IFERROR(__xludf.DUMMYFUNCTION("""COMPUTED_VALUE"""),239.88)</f>
        <v>239.88</v>
      </c>
      <c r="E2936" s="2">
        <f>IFERROR(__xludf.DUMMYFUNCTION("""COMPUTED_VALUE"""),241.33)</f>
        <v>241.33</v>
      </c>
      <c r="F2936" s="2">
        <f>IFERROR(__xludf.DUMMYFUNCTION("""COMPUTED_VALUE"""),4509612.0)</f>
        <v>4509612</v>
      </c>
    </row>
    <row r="2937">
      <c r="A2937" s="3">
        <f>IFERROR(__xludf.DUMMYFUNCTION("""COMPUTED_VALUE"""),40847.645833333336)</f>
        <v>40847.64583</v>
      </c>
      <c r="B2937" s="2">
        <f>IFERROR(__xludf.DUMMYFUNCTION("""COMPUTED_VALUE"""),241.5)</f>
        <v>241.5</v>
      </c>
      <c r="C2937" s="2">
        <f>IFERROR(__xludf.DUMMYFUNCTION("""COMPUTED_VALUE"""),245.88)</f>
        <v>245.88</v>
      </c>
      <c r="D2937" s="2">
        <f>IFERROR(__xludf.DUMMYFUNCTION("""COMPUTED_VALUE"""),238.58)</f>
        <v>238.58</v>
      </c>
      <c r="E2937" s="2">
        <f>IFERROR(__xludf.DUMMYFUNCTION("""COMPUTED_VALUE"""),245.0)</f>
        <v>245</v>
      </c>
      <c r="F2937" s="2">
        <f>IFERROR(__xludf.DUMMYFUNCTION("""COMPUTED_VALUE"""),3212854.0)</f>
        <v>3212854</v>
      </c>
    </row>
    <row r="2938">
      <c r="A2938" s="3">
        <f>IFERROR(__xludf.DUMMYFUNCTION("""COMPUTED_VALUE"""),40848.645833333336)</f>
        <v>40848.64583</v>
      </c>
      <c r="B2938" s="2">
        <f>IFERROR(__xludf.DUMMYFUNCTION("""COMPUTED_VALUE"""),242.55)</f>
        <v>242.55</v>
      </c>
      <c r="C2938" s="2">
        <f>IFERROR(__xludf.DUMMYFUNCTION("""COMPUTED_VALUE"""),246.5)</f>
        <v>246.5</v>
      </c>
      <c r="D2938" s="2">
        <f>IFERROR(__xludf.DUMMYFUNCTION("""COMPUTED_VALUE"""),240.0)</f>
        <v>240</v>
      </c>
      <c r="E2938" s="2">
        <f>IFERROR(__xludf.DUMMYFUNCTION("""COMPUTED_VALUE"""),241.15)</f>
        <v>241.15</v>
      </c>
      <c r="F2938" s="2">
        <f>IFERROR(__xludf.DUMMYFUNCTION("""COMPUTED_VALUE"""),3324879.0)</f>
        <v>3324879</v>
      </c>
    </row>
    <row r="2939">
      <c r="A2939" s="3">
        <f>IFERROR(__xludf.DUMMYFUNCTION("""COMPUTED_VALUE"""),40849.645833333336)</f>
        <v>40849.64583</v>
      </c>
      <c r="B2939" s="2">
        <f>IFERROR(__xludf.DUMMYFUNCTION("""COMPUTED_VALUE"""),239.35)</f>
        <v>239.35</v>
      </c>
      <c r="C2939" s="2">
        <f>IFERROR(__xludf.DUMMYFUNCTION("""COMPUTED_VALUE"""),244.0)</f>
        <v>244</v>
      </c>
      <c r="D2939" s="2">
        <f>IFERROR(__xludf.DUMMYFUNCTION("""COMPUTED_VALUE"""),238.75)</f>
        <v>238.75</v>
      </c>
      <c r="E2939" s="2">
        <f>IFERROR(__xludf.DUMMYFUNCTION("""COMPUTED_VALUE"""),241.55)</f>
        <v>241.55</v>
      </c>
      <c r="F2939" s="2">
        <f>IFERROR(__xludf.DUMMYFUNCTION("""COMPUTED_VALUE"""),2527955.0)</f>
        <v>2527955</v>
      </c>
    </row>
    <row r="2940">
      <c r="A2940" s="3">
        <f>IFERROR(__xludf.DUMMYFUNCTION("""COMPUTED_VALUE"""),40850.645833333336)</f>
        <v>40850.64583</v>
      </c>
      <c r="B2940" s="2">
        <f>IFERROR(__xludf.DUMMYFUNCTION("""COMPUTED_VALUE"""),240.5)</f>
        <v>240.5</v>
      </c>
      <c r="C2940" s="2">
        <f>IFERROR(__xludf.DUMMYFUNCTION("""COMPUTED_VALUE"""),242.43)</f>
        <v>242.43</v>
      </c>
      <c r="D2940" s="2">
        <f>IFERROR(__xludf.DUMMYFUNCTION("""COMPUTED_VALUE"""),236.05)</f>
        <v>236.05</v>
      </c>
      <c r="E2940" s="2">
        <f>IFERROR(__xludf.DUMMYFUNCTION("""COMPUTED_VALUE"""),240.93)</f>
        <v>240.93</v>
      </c>
      <c r="F2940" s="2">
        <f>IFERROR(__xludf.DUMMYFUNCTION("""COMPUTED_VALUE"""),2626409.0)</f>
        <v>2626409</v>
      </c>
    </row>
    <row r="2941">
      <c r="A2941" s="3">
        <f>IFERROR(__xludf.DUMMYFUNCTION("""COMPUTED_VALUE"""),40851.645833333336)</f>
        <v>40851.64583</v>
      </c>
      <c r="B2941" s="2">
        <f>IFERROR(__xludf.DUMMYFUNCTION("""COMPUTED_VALUE"""),243.35)</f>
        <v>243.35</v>
      </c>
      <c r="C2941" s="2">
        <f>IFERROR(__xludf.DUMMYFUNCTION("""COMPUTED_VALUE"""),243.95)</f>
        <v>243.95</v>
      </c>
      <c r="D2941" s="2">
        <f>IFERROR(__xludf.DUMMYFUNCTION("""COMPUTED_VALUE"""),240.15)</f>
        <v>240.15</v>
      </c>
      <c r="E2941" s="2">
        <f>IFERROR(__xludf.DUMMYFUNCTION("""COMPUTED_VALUE"""),241.5)</f>
        <v>241.5</v>
      </c>
      <c r="F2941" s="2">
        <f>IFERROR(__xludf.DUMMYFUNCTION("""COMPUTED_VALUE"""),1700805.0)</f>
        <v>1700805</v>
      </c>
    </row>
    <row r="2942">
      <c r="A2942" s="3">
        <f>IFERROR(__xludf.DUMMYFUNCTION("""COMPUTED_VALUE"""),40855.645833333336)</f>
        <v>40855.64583</v>
      </c>
      <c r="B2942" s="2">
        <f>IFERROR(__xludf.DUMMYFUNCTION("""COMPUTED_VALUE"""),241.5)</f>
        <v>241.5</v>
      </c>
      <c r="C2942" s="2">
        <f>IFERROR(__xludf.DUMMYFUNCTION("""COMPUTED_VALUE"""),243.68)</f>
        <v>243.68</v>
      </c>
      <c r="D2942" s="2">
        <f>IFERROR(__xludf.DUMMYFUNCTION("""COMPUTED_VALUE"""),239.25)</f>
        <v>239.25</v>
      </c>
      <c r="E2942" s="2">
        <f>IFERROR(__xludf.DUMMYFUNCTION("""COMPUTED_VALUE"""),242.13)</f>
        <v>242.13</v>
      </c>
      <c r="F2942" s="2">
        <f>IFERROR(__xludf.DUMMYFUNCTION("""COMPUTED_VALUE"""),2098202.0)</f>
        <v>2098202</v>
      </c>
    </row>
    <row r="2943">
      <c r="A2943" s="3">
        <f>IFERROR(__xludf.DUMMYFUNCTION("""COMPUTED_VALUE"""),40856.645833333336)</f>
        <v>40856.64583</v>
      </c>
      <c r="B2943" s="2">
        <f>IFERROR(__xludf.DUMMYFUNCTION("""COMPUTED_VALUE"""),242.5)</f>
        <v>242.5</v>
      </c>
      <c r="C2943" s="2">
        <f>IFERROR(__xludf.DUMMYFUNCTION("""COMPUTED_VALUE"""),242.85)</f>
        <v>242.85</v>
      </c>
      <c r="D2943" s="2">
        <f>IFERROR(__xludf.DUMMYFUNCTION("""COMPUTED_VALUE"""),237.65)</f>
        <v>237.65</v>
      </c>
      <c r="E2943" s="2">
        <f>IFERROR(__xludf.DUMMYFUNCTION("""COMPUTED_VALUE"""),238.63)</f>
        <v>238.63</v>
      </c>
      <c r="F2943" s="2">
        <f>IFERROR(__xludf.DUMMYFUNCTION("""COMPUTED_VALUE"""),2151247.0)</f>
        <v>2151247</v>
      </c>
    </row>
    <row r="2944">
      <c r="A2944" s="3">
        <f>IFERROR(__xludf.DUMMYFUNCTION("""COMPUTED_VALUE"""),40858.645833333336)</f>
        <v>40858.64583</v>
      </c>
      <c r="B2944" s="2">
        <f>IFERROR(__xludf.DUMMYFUNCTION("""COMPUTED_VALUE"""),237.83)</f>
        <v>237.83</v>
      </c>
      <c r="C2944" s="2">
        <f>IFERROR(__xludf.DUMMYFUNCTION("""COMPUTED_VALUE"""),239.2)</f>
        <v>239.2</v>
      </c>
      <c r="D2944" s="2">
        <f>IFERROR(__xludf.DUMMYFUNCTION("""COMPUTED_VALUE"""),231.3)</f>
        <v>231.3</v>
      </c>
      <c r="E2944" s="2">
        <f>IFERROR(__xludf.DUMMYFUNCTION("""COMPUTED_VALUE"""),232.03)</f>
        <v>232.03</v>
      </c>
      <c r="F2944" s="2">
        <f>IFERROR(__xludf.DUMMYFUNCTION("""COMPUTED_VALUE"""),2302509.0)</f>
        <v>2302509</v>
      </c>
    </row>
    <row r="2945">
      <c r="A2945" s="3">
        <f>IFERROR(__xludf.DUMMYFUNCTION("""COMPUTED_VALUE"""),40861.645833333336)</f>
        <v>40861.64583</v>
      </c>
      <c r="B2945" s="2">
        <f>IFERROR(__xludf.DUMMYFUNCTION("""COMPUTED_VALUE"""),234.95)</f>
        <v>234.95</v>
      </c>
      <c r="C2945" s="2">
        <f>IFERROR(__xludf.DUMMYFUNCTION("""COMPUTED_VALUE"""),239.93)</f>
        <v>239.93</v>
      </c>
      <c r="D2945" s="2">
        <f>IFERROR(__xludf.DUMMYFUNCTION("""COMPUTED_VALUE"""),234.48)</f>
        <v>234.48</v>
      </c>
      <c r="E2945" s="2">
        <f>IFERROR(__xludf.DUMMYFUNCTION("""COMPUTED_VALUE"""),235.7)</f>
        <v>235.7</v>
      </c>
      <c r="F2945" s="2">
        <f>IFERROR(__xludf.DUMMYFUNCTION("""COMPUTED_VALUE"""),3057141.0)</f>
        <v>3057141</v>
      </c>
    </row>
    <row r="2946">
      <c r="A2946" s="3">
        <f>IFERROR(__xludf.DUMMYFUNCTION("""COMPUTED_VALUE"""),40862.645833333336)</f>
        <v>40862.64583</v>
      </c>
      <c r="B2946" s="2">
        <f>IFERROR(__xludf.DUMMYFUNCTION("""COMPUTED_VALUE"""),235.35)</f>
        <v>235.35</v>
      </c>
      <c r="C2946" s="2">
        <f>IFERROR(__xludf.DUMMYFUNCTION("""COMPUTED_VALUE"""),238.9)</f>
        <v>238.9</v>
      </c>
      <c r="D2946" s="2">
        <f>IFERROR(__xludf.DUMMYFUNCTION("""COMPUTED_VALUE"""),234.95)</f>
        <v>234.95</v>
      </c>
      <c r="E2946" s="2">
        <f>IFERROR(__xludf.DUMMYFUNCTION("""COMPUTED_VALUE"""),236.13)</f>
        <v>236.13</v>
      </c>
      <c r="F2946" s="2">
        <f>IFERROR(__xludf.DUMMYFUNCTION("""COMPUTED_VALUE"""),2911073.0)</f>
        <v>2911073</v>
      </c>
    </row>
    <row r="2947">
      <c r="A2947" s="3">
        <f>IFERROR(__xludf.DUMMYFUNCTION("""COMPUTED_VALUE"""),40863.645833333336)</f>
        <v>40863.64583</v>
      </c>
      <c r="B2947" s="2">
        <f>IFERROR(__xludf.DUMMYFUNCTION("""COMPUTED_VALUE"""),235.0)</f>
        <v>235</v>
      </c>
      <c r="C2947" s="2">
        <f>IFERROR(__xludf.DUMMYFUNCTION("""COMPUTED_VALUE"""),236.0)</f>
        <v>236</v>
      </c>
      <c r="D2947" s="2">
        <f>IFERROR(__xludf.DUMMYFUNCTION("""COMPUTED_VALUE"""),230.15)</f>
        <v>230.15</v>
      </c>
      <c r="E2947" s="2">
        <f>IFERROR(__xludf.DUMMYFUNCTION("""COMPUTED_VALUE"""),232.85)</f>
        <v>232.85</v>
      </c>
      <c r="F2947" s="2">
        <f>IFERROR(__xludf.DUMMYFUNCTION("""COMPUTED_VALUE"""),1779400.0)</f>
        <v>1779400</v>
      </c>
    </row>
    <row r="2948">
      <c r="A2948" s="3">
        <f>IFERROR(__xludf.DUMMYFUNCTION("""COMPUTED_VALUE"""),40864.645833333336)</f>
        <v>40864.64583</v>
      </c>
      <c r="B2948" s="2">
        <f>IFERROR(__xludf.DUMMYFUNCTION("""COMPUTED_VALUE"""),231.58)</f>
        <v>231.58</v>
      </c>
      <c r="C2948" s="2">
        <f>IFERROR(__xludf.DUMMYFUNCTION("""COMPUTED_VALUE"""),235.0)</f>
        <v>235</v>
      </c>
      <c r="D2948" s="2">
        <f>IFERROR(__xludf.DUMMYFUNCTION("""COMPUTED_VALUE"""),228.3)</f>
        <v>228.3</v>
      </c>
      <c r="E2948" s="2">
        <f>IFERROR(__xludf.DUMMYFUNCTION("""COMPUTED_VALUE"""),229.68)</f>
        <v>229.68</v>
      </c>
      <c r="F2948" s="2">
        <f>IFERROR(__xludf.DUMMYFUNCTION("""COMPUTED_VALUE"""),2694342.0)</f>
        <v>2694342</v>
      </c>
    </row>
    <row r="2949">
      <c r="A2949" s="3">
        <f>IFERROR(__xludf.DUMMYFUNCTION("""COMPUTED_VALUE"""),40865.645833333336)</f>
        <v>40865.64583</v>
      </c>
      <c r="B2949" s="2">
        <f>IFERROR(__xludf.DUMMYFUNCTION("""COMPUTED_VALUE"""),227.6)</f>
        <v>227.6</v>
      </c>
      <c r="C2949" s="2">
        <f>IFERROR(__xludf.DUMMYFUNCTION("""COMPUTED_VALUE"""),230.8)</f>
        <v>230.8</v>
      </c>
      <c r="D2949" s="2">
        <f>IFERROR(__xludf.DUMMYFUNCTION("""COMPUTED_VALUE"""),225.05)</f>
        <v>225.05</v>
      </c>
      <c r="E2949" s="2">
        <f>IFERROR(__xludf.DUMMYFUNCTION("""COMPUTED_VALUE"""),229.15)</f>
        <v>229.15</v>
      </c>
      <c r="F2949" s="2">
        <f>IFERROR(__xludf.DUMMYFUNCTION("""COMPUTED_VALUE"""),2930186.0)</f>
        <v>2930186</v>
      </c>
    </row>
    <row r="2950">
      <c r="A2950" s="3">
        <f>IFERROR(__xludf.DUMMYFUNCTION("""COMPUTED_VALUE"""),40868.645833333336)</f>
        <v>40868.64583</v>
      </c>
      <c r="B2950" s="2">
        <f>IFERROR(__xludf.DUMMYFUNCTION("""COMPUTED_VALUE"""),228.0)</f>
        <v>228</v>
      </c>
      <c r="C2950" s="2">
        <f>IFERROR(__xludf.DUMMYFUNCTION("""COMPUTED_VALUE"""),228.0)</f>
        <v>228</v>
      </c>
      <c r="D2950" s="2">
        <f>IFERROR(__xludf.DUMMYFUNCTION("""COMPUTED_VALUE"""),220.0)</f>
        <v>220</v>
      </c>
      <c r="E2950" s="2">
        <f>IFERROR(__xludf.DUMMYFUNCTION("""COMPUTED_VALUE"""),222.33)</f>
        <v>222.33</v>
      </c>
      <c r="F2950" s="2">
        <f>IFERROR(__xludf.DUMMYFUNCTION("""COMPUTED_VALUE"""),2548509.0)</f>
        <v>2548509</v>
      </c>
    </row>
    <row r="2951">
      <c r="A2951" s="3">
        <f>IFERROR(__xludf.DUMMYFUNCTION("""COMPUTED_VALUE"""),40869.645833333336)</f>
        <v>40869.64583</v>
      </c>
      <c r="B2951" s="2">
        <f>IFERROR(__xludf.DUMMYFUNCTION("""COMPUTED_VALUE"""),223.5)</f>
        <v>223.5</v>
      </c>
      <c r="C2951" s="2">
        <f>IFERROR(__xludf.DUMMYFUNCTION("""COMPUTED_VALUE"""),224.75)</f>
        <v>224.75</v>
      </c>
      <c r="D2951" s="2">
        <f>IFERROR(__xludf.DUMMYFUNCTION("""COMPUTED_VALUE"""),220.0)</f>
        <v>220</v>
      </c>
      <c r="E2951" s="2">
        <f>IFERROR(__xludf.DUMMYFUNCTION("""COMPUTED_VALUE"""),222.03)</f>
        <v>222.03</v>
      </c>
      <c r="F2951" s="2">
        <f>IFERROR(__xludf.DUMMYFUNCTION("""COMPUTED_VALUE"""),3804576.0)</f>
        <v>3804576</v>
      </c>
    </row>
    <row r="2952">
      <c r="A2952" s="3">
        <f>IFERROR(__xludf.DUMMYFUNCTION("""COMPUTED_VALUE"""),40870.645833333336)</f>
        <v>40870.64583</v>
      </c>
      <c r="B2952" s="2">
        <f>IFERROR(__xludf.DUMMYFUNCTION("""COMPUTED_VALUE"""),220.88)</f>
        <v>220.88</v>
      </c>
      <c r="C2952" s="2">
        <f>IFERROR(__xludf.DUMMYFUNCTION("""COMPUTED_VALUE"""),220.88)</f>
        <v>220.88</v>
      </c>
      <c r="D2952" s="2">
        <f>IFERROR(__xludf.DUMMYFUNCTION("""COMPUTED_VALUE"""),207.1)</f>
        <v>207.1</v>
      </c>
      <c r="E2952" s="2">
        <f>IFERROR(__xludf.DUMMYFUNCTION("""COMPUTED_VALUE"""),213.05)</f>
        <v>213.05</v>
      </c>
      <c r="F2952" s="2">
        <f>IFERROR(__xludf.DUMMYFUNCTION("""COMPUTED_VALUE"""),6391409.0)</f>
        <v>6391409</v>
      </c>
    </row>
    <row r="2953">
      <c r="A2953" s="3">
        <f>IFERROR(__xludf.DUMMYFUNCTION("""COMPUTED_VALUE"""),40871.645833333336)</f>
        <v>40871.64583</v>
      </c>
      <c r="B2953" s="2">
        <f>IFERROR(__xludf.DUMMYFUNCTION("""COMPUTED_VALUE"""),214.4)</f>
        <v>214.4</v>
      </c>
      <c r="C2953" s="2">
        <f>IFERROR(__xludf.DUMMYFUNCTION("""COMPUTED_VALUE"""),217.5)</f>
        <v>217.5</v>
      </c>
      <c r="D2953" s="2">
        <f>IFERROR(__xludf.DUMMYFUNCTION("""COMPUTED_VALUE"""),205.65)</f>
        <v>205.65</v>
      </c>
      <c r="E2953" s="2">
        <f>IFERROR(__xludf.DUMMYFUNCTION("""COMPUTED_VALUE"""),214.83)</f>
        <v>214.83</v>
      </c>
      <c r="F2953" s="2">
        <f>IFERROR(__xludf.DUMMYFUNCTION("""COMPUTED_VALUE"""),7221297.0)</f>
        <v>7221297</v>
      </c>
    </row>
    <row r="2954">
      <c r="A2954" s="3">
        <f>IFERROR(__xludf.DUMMYFUNCTION("""COMPUTED_VALUE"""),40872.645833333336)</f>
        <v>40872.64583</v>
      </c>
      <c r="B2954" s="2">
        <f>IFERROR(__xludf.DUMMYFUNCTION("""COMPUTED_VALUE"""),213.88)</f>
        <v>213.88</v>
      </c>
      <c r="C2954" s="2">
        <f>IFERROR(__xludf.DUMMYFUNCTION("""COMPUTED_VALUE"""),217.45)</f>
        <v>217.45</v>
      </c>
      <c r="D2954" s="2">
        <f>IFERROR(__xludf.DUMMYFUNCTION("""COMPUTED_VALUE"""),209.53)</f>
        <v>209.53</v>
      </c>
      <c r="E2954" s="2">
        <f>IFERROR(__xludf.DUMMYFUNCTION("""COMPUTED_VALUE"""),215.45)</f>
        <v>215.45</v>
      </c>
      <c r="F2954" s="2">
        <f>IFERROR(__xludf.DUMMYFUNCTION("""COMPUTED_VALUE"""),4726617.0)</f>
        <v>4726617</v>
      </c>
    </row>
    <row r="2955">
      <c r="A2955" s="3">
        <f>IFERROR(__xludf.DUMMYFUNCTION("""COMPUTED_VALUE"""),40875.645833333336)</f>
        <v>40875.64583</v>
      </c>
      <c r="B2955" s="2">
        <f>IFERROR(__xludf.DUMMYFUNCTION("""COMPUTED_VALUE"""),218.0)</f>
        <v>218</v>
      </c>
      <c r="C2955" s="2">
        <f>IFERROR(__xludf.DUMMYFUNCTION("""COMPUTED_VALUE"""),222.48)</f>
        <v>222.48</v>
      </c>
      <c r="D2955" s="2">
        <f>IFERROR(__xludf.DUMMYFUNCTION("""COMPUTED_VALUE"""),217.05)</f>
        <v>217.05</v>
      </c>
      <c r="E2955" s="2">
        <f>IFERROR(__xludf.DUMMYFUNCTION("""COMPUTED_VALUE"""),220.43)</f>
        <v>220.43</v>
      </c>
      <c r="F2955" s="2">
        <f>IFERROR(__xludf.DUMMYFUNCTION("""COMPUTED_VALUE"""),2722929.0)</f>
        <v>2722929</v>
      </c>
    </row>
    <row r="2956">
      <c r="A2956" s="3">
        <f>IFERROR(__xludf.DUMMYFUNCTION("""COMPUTED_VALUE"""),40876.645833333336)</f>
        <v>40876.64583</v>
      </c>
      <c r="B2956" s="2">
        <f>IFERROR(__xludf.DUMMYFUNCTION("""COMPUTED_VALUE"""),222.0)</f>
        <v>222</v>
      </c>
      <c r="C2956" s="2">
        <f>IFERROR(__xludf.DUMMYFUNCTION("""COMPUTED_VALUE"""),222.78)</f>
        <v>222.78</v>
      </c>
      <c r="D2956" s="2">
        <f>IFERROR(__xludf.DUMMYFUNCTION("""COMPUTED_VALUE"""),216.1)</f>
        <v>216.1</v>
      </c>
      <c r="E2956" s="2">
        <f>IFERROR(__xludf.DUMMYFUNCTION("""COMPUTED_VALUE"""),217.6)</f>
        <v>217.6</v>
      </c>
      <c r="F2956" s="2">
        <f>IFERROR(__xludf.DUMMYFUNCTION("""COMPUTED_VALUE"""),3707756.0)</f>
        <v>3707756</v>
      </c>
    </row>
    <row r="2957">
      <c r="A2957" s="3">
        <f>IFERROR(__xludf.DUMMYFUNCTION("""COMPUTED_VALUE"""),40877.645833333336)</f>
        <v>40877.64583</v>
      </c>
      <c r="B2957" s="2">
        <f>IFERROR(__xludf.DUMMYFUNCTION("""COMPUTED_VALUE"""),214.6)</f>
        <v>214.6</v>
      </c>
      <c r="C2957" s="2">
        <f>IFERROR(__xludf.DUMMYFUNCTION("""COMPUTED_VALUE"""),224.83)</f>
        <v>224.83</v>
      </c>
      <c r="D2957" s="2">
        <f>IFERROR(__xludf.DUMMYFUNCTION("""COMPUTED_VALUE"""),214.6)</f>
        <v>214.6</v>
      </c>
      <c r="E2957" s="2">
        <f>IFERROR(__xludf.DUMMYFUNCTION("""COMPUTED_VALUE"""),221.25)</f>
        <v>221.25</v>
      </c>
      <c r="F2957" s="2">
        <f>IFERROR(__xludf.DUMMYFUNCTION("""COMPUTED_VALUE"""),7053637.0)</f>
        <v>7053637</v>
      </c>
    </row>
    <row r="2958">
      <c r="A2958" s="3">
        <f>IFERROR(__xludf.DUMMYFUNCTION("""COMPUTED_VALUE"""),40878.645833333336)</f>
        <v>40878.64583</v>
      </c>
      <c r="B2958" s="2">
        <f>IFERROR(__xludf.DUMMYFUNCTION("""COMPUTED_VALUE"""),229.48)</f>
        <v>229.48</v>
      </c>
      <c r="C2958" s="2">
        <f>IFERROR(__xludf.DUMMYFUNCTION("""COMPUTED_VALUE"""),233.5)</f>
        <v>233.5</v>
      </c>
      <c r="D2958" s="2">
        <f>IFERROR(__xludf.DUMMYFUNCTION("""COMPUTED_VALUE"""),224.73)</f>
        <v>224.73</v>
      </c>
      <c r="E2958" s="2">
        <f>IFERROR(__xludf.DUMMYFUNCTION("""COMPUTED_VALUE"""),226.75)</f>
        <v>226.75</v>
      </c>
      <c r="F2958" s="2">
        <f>IFERROR(__xludf.DUMMYFUNCTION("""COMPUTED_VALUE"""),3482446.0)</f>
        <v>3482446</v>
      </c>
    </row>
    <row r="2959">
      <c r="A2959" s="3">
        <f>IFERROR(__xludf.DUMMYFUNCTION("""COMPUTED_VALUE"""),40879.645833333336)</f>
        <v>40879.64583</v>
      </c>
      <c r="B2959" s="2">
        <f>IFERROR(__xludf.DUMMYFUNCTION("""COMPUTED_VALUE"""),227.58)</f>
        <v>227.58</v>
      </c>
      <c r="C2959" s="2">
        <f>IFERROR(__xludf.DUMMYFUNCTION("""COMPUTED_VALUE"""),233.95)</f>
        <v>233.95</v>
      </c>
      <c r="D2959" s="2">
        <f>IFERROR(__xludf.DUMMYFUNCTION("""COMPUTED_VALUE"""),226.58)</f>
        <v>226.58</v>
      </c>
      <c r="E2959" s="2">
        <f>IFERROR(__xludf.DUMMYFUNCTION("""COMPUTED_VALUE"""),233.0)</f>
        <v>233</v>
      </c>
      <c r="F2959" s="2">
        <f>IFERROR(__xludf.DUMMYFUNCTION("""COMPUTED_VALUE"""),2809257.0)</f>
        <v>2809257</v>
      </c>
    </row>
    <row r="2960">
      <c r="A2960" s="3">
        <f>IFERROR(__xludf.DUMMYFUNCTION("""COMPUTED_VALUE"""),40882.645833333336)</f>
        <v>40882.64583</v>
      </c>
      <c r="B2960" s="2">
        <f>IFERROR(__xludf.DUMMYFUNCTION("""COMPUTED_VALUE"""),231.85)</f>
        <v>231.85</v>
      </c>
      <c r="C2960" s="2">
        <f>IFERROR(__xludf.DUMMYFUNCTION("""COMPUTED_VALUE"""),233.73)</f>
        <v>233.73</v>
      </c>
      <c r="D2960" s="2">
        <f>IFERROR(__xludf.DUMMYFUNCTION("""COMPUTED_VALUE"""),229.0)</f>
        <v>229</v>
      </c>
      <c r="E2960" s="2">
        <f>IFERROR(__xludf.DUMMYFUNCTION("""COMPUTED_VALUE"""),231.18)</f>
        <v>231.18</v>
      </c>
      <c r="F2960" s="2">
        <f>IFERROR(__xludf.DUMMYFUNCTION("""COMPUTED_VALUE"""),2188307.0)</f>
        <v>2188307</v>
      </c>
    </row>
    <row r="2961">
      <c r="A2961" s="3">
        <f>IFERROR(__xludf.DUMMYFUNCTION("""COMPUTED_VALUE"""),40884.645833333336)</f>
        <v>40884.64583</v>
      </c>
      <c r="B2961" s="2">
        <f>IFERROR(__xludf.DUMMYFUNCTION("""COMPUTED_VALUE"""),235.0)</f>
        <v>235</v>
      </c>
      <c r="C2961" s="2">
        <f>IFERROR(__xludf.DUMMYFUNCTION("""COMPUTED_VALUE"""),235.45)</f>
        <v>235.45</v>
      </c>
      <c r="D2961" s="2">
        <f>IFERROR(__xludf.DUMMYFUNCTION("""COMPUTED_VALUE"""),231.05)</f>
        <v>231.05</v>
      </c>
      <c r="E2961" s="2">
        <f>IFERROR(__xludf.DUMMYFUNCTION("""COMPUTED_VALUE"""),233.55)</f>
        <v>233.55</v>
      </c>
      <c r="F2961" s="2">
        <f>IFERROR(__xludf.DUMMYFUNCTION("""COMPUTED_VALUE"""),2793236.0)</f>
        <v>2793236</v>
      </c>
    </row>
    <row r="2962">
      <c r="A2962" s="3">
        <f>IFERROR(__xludf.DUMMYFUNCTION("""COMPUTED_VALUE"""),40885.645833333336)</f>
        <v>40885.64583</v>
      </c>
      <c r="B2962" s="2">
        <f>IFERROR(__xludf.DUMMYFUNCTION("""COMPUTED_VALUE"""),233.5)</f>
        <v>233.5</v>
      </c>
      <c r="C2962" s="2">
        <f>IFERROR(__xludf.DUMMYFUNCTION("""COMPUTED_VALUE"""),233.85)</f>
        <v>233.85</v>
      </c>
      <c r="D2962" s="2">
        <f>IFERROR(__xludf.DUMMYFUNCTION("""COMPUTED_VALUE"""),225.55)</f>
        <v>225.55</v>
      </c>
      <c r="E2962" s="2">
        <f>IFERROR(__xludf.DUMMYFUNCTION("""COMPUTED_VALUE"""),226.88)</f>
        <v>226.88</v>
      </c>
      <c r="F2962" s="2">
        <f>IFERROR(__xludf.DUMMYFUNCTION("""COMPUTED_VALUE"""),3139250.0)</f>
        <v>3139250</v>
      </c>
    </row>
    <row r="2963">
      <c r="A2963" s="3">
        <f>IFERROR(__xludf.DUMMYFUNCTION("""COMPUTED_VALUE"""),40886.645833333336)</f>
        <v>40886.64583</v>
      </c>
      <c r="B2963" s="2">
        <f>IFERROR(__xludf.DUMMYFUNCTION("""COMPUTED_VALUE"""),223.5)</f>
        <v>223.5</v>
      </c>
      <c r="C2963" s="2">
        <f>IFERROR(__xludf.DUMMYFUNCTION("""COMPUTED_VALUE"""),225.6)</f>
        <v>225.6</v>
      </c>
      <c r="D2963" s="2">
        <f>IFERROR(__xludf.DUMMYFUNCTION("""COMPUTED_VALUE"""),220.25)</f>
        <v>220.25</v>
      </c>
      <c r="E2963" s="2">
        <f>IFERROR(__xludf.DUMMYFUNCTION("""COMPUTED_VALUE"""),221.88)</f>
        <v>221.88</v>
      </c>
      <c r="F2963" s="2">
        <f>IFERROR(__xludf.DUMMYFUNCTION("""COMPUTED_VALUE"""),3401728.0)</f>
        <v>3401728</v>
      </c>
    </row>
    <row r="2964">
      <c r="A2964" s="3">
        <f>IFERROR(__xludf.DUMMYFUNCTION("""COMPUTED_VALUE"""),40889.645833333336)</f>
        <v>40889.64583</v>
      </c>
      <c r="B2964" s="2">
        <f>IFERROR(__xludf.DUMMYFUNCTION("""COMPUTED_VALUE"""),224.05)</f>
        <v>224.05</v>
      </c>
      <c r="C2964" s="2">
        <f>IFERROR(__xludf.DUMMYFUNCTION("""COMPUTED_VALUE"""),225.48)</f>
        <v>225.48</v>
      </c>
      <c r="D2964" s="2">
        <f>IFERROR(__xludf.DUMMYFUNCTION("""COMPUTED_VALUE"""),213.15)</f>
        <v>213.15</v>
      </c>
      <c r="E2964" s="2">
        <f>IFERROR(__xludf.DUMMYFUNCTION("""COMPUTED_VALUE"""),216.03)</f>
        <v>216.03</v>
      </c>
      <c r="F2964" s="2">
        <f>IFERROR(__xludf.DUMMYFUNCTION("""COMPUTED_VALUE"""),3017789.0)</f>
        <v>3017789</v>
      </c>
    </row>
    <row r="2965">
      <c r="A2965" s="3">
        <f>IFERROR(__xludf.DUMMYFUNCTION("""COMPUTED_VALUE"""),40890.645833333336)</f>
        <v>40890.64583</v>
      </c>
      <c r="B2965" s="2">
        <f>IFERROR(__xludf.DUMMYFUNCTION("""COMPUTED_VALUE"""),214.0)</f>
        <v>214</v>
      </c>
      <c r="C2965" s="2">
        <f>IFERROR(__xludf.DUMMYFUNCTION("""COMPUTED_VALUE"""),222.7)</f>
        <v>222.7</v>
      </c>
      <c r="D2965" s="2">
        <f>IFERROR(__xludf.DUMMYFUNCTION("""COMPUTED_VALUE"""),213.0)</f>
        <v>213</v>
      </c>
      <c r="E2965" s="2">
        <f>IFERROR(__xludf.DUMMYFUNCTION("""COMPUTED_VALUE"""),219.2)</f>
        <v>219.2</v>
      </c>
      <c r="F2965" s="2">
        <f>IFERROR(__xludf.DUMMYFUNCTION("""COMPUTED_VALUE"""),3731470.0)</f>
        <v>3731470</v>
      </c>
    </row>
    <row r="2966">
      <c r="A2966" s="3">
        <f>IFERROR(__xludf.DUMMYFUNCTION("""COMPUTED_VALUE"""),40891.645833333336)</f>
        <v>40891.64583</v>
      </c>
      <c r="B2966" s="2">
        <f>IFERROR(__xludf.DUMMYFUNCTION("""COMPUTED_VALUE"""),219.5)</f>
        <v>219.5</v>
      </c>
      <c r="C2966" s="2">
        <f>IFERROR(__xludf.DUMMYFUNCTION("""COMPUTED_VALUE"""),221.88)</f>
        <v>221.88</v>
      </c>
      <c r="D2966" s="2">
        <f>IFERROR(__xludf.DUMMYFUNCTION("""COMPUTED_VALUE"""),215.13)</f>
        <v>215.13</v>
      </c>
      <c r="E2966" s="2">
        <f>IFERROR(__xludf.DUMMYFUNCTION("""COMPUTED_VALUE"""),217.18)</f>
        <v>217.18</v>
      </c>
      <c r="F2966" s="2">
        <f>IFERROR(__xludf.DUMMYFUNCTION("""COMPUTED_VALUE"""),6076681.0)</f>
        <v>6076681</v>
      </c>
    </row>
    <row r="2967">
      <c r="A2967" s="3">
        <f>IFERROR(__xludf.DUMMYFUNCTION("""COMPUTED_VALUE"""),40892.645833333336)</f>
        <v>40892.64583</v>
      </c>
      <c r="B2967" s="2">
        <f>IFERROR(__xludf.DUMMYFUNCTION("""COMPUTED_VALUE"""),214.5)</f>
        <v>214.5</v>
      </c>
      <c r="C2967" s="2">
        <f>IFERROR(__xludf.DUMMYFUNCTION("""COMPUTED_VALUE"""),218.0)</f>
        <v>218</v>
      </c>
      <c r="D2967" s="2">
        <f>IFERROR(__xludf.DUMMYFUNCTION("""COMPUTED_VALUE"""),213.5)</f>
        <v>213.5</v>
      </c>
      <c r="E2967" s="2">
        <f>IFERROR(__xludf.DUMMYFUNCTION("""COMPUTED_VALUE"""),215.68)</f>
        <v>215.68</v>
      </c>
      <c r="F2967" s="2">
        <f>IFERROR(__xludf.DUMMYFUNCTION("""COMPUTED_VALUE"""),6740035.0)</f>
        <v>6740035</v>
      </c>
    </row>
    <row r="2968">
      <c r="A2968" s="3">
        <f>IFERROR(__xludf.DUMMYFUNCTION("""COMPUTED_VALUE"""),40893.645833333336)</f>
        <v>40893.64583</v>
      </c>
      <c r="B2968" s="2">
        <f>IFERROR(__xludf.DUMMYFUNCTION("""COMPUTED_VALUE"""),217.05)</f>
        <v>217.05</v>
      </c>
      <c r="C2968" s="2">
        <f>IFERROR(__xludf.DUMMYFUNCTION("""COMPUTED_VALUE"""),220.25)</f>
        <v>220.25</v>
      </c>
      <c r="D2968" s="2">
        <f>IFERROR(__xludf.DUMMYFUNCTION("""COMPUTED_VALUE"""),205.0)</f>
        <v>205</v>
      </c>
      <c r="E2968" s="2">
        <f>IFERROR(__xludf.DUMMYFUNCTION("""COMPUTED_VALUE"""),207.65)</f>
        <v>207.65</v>
      </c>
      <c r="F2968" s="2">
        <f>IFERROR(__xludf.DUMMYFUNCTION("""COMPUTED_VALUE"""),7356205.0)</f>
        <v>7356205</v>
      </c>
    </row>
    <row r="2969">
      <c r="A2969" s="3">
        <f>IFERROR(__xludf.DUMMYFUNCTION("""COMPUTED_VALUE"""),40896.645833333336)</f>
        <v>40896.64583</v>
      </c>
      <c r="B2969" s="2">
        <f>IFERROR(__xludf.DUMMYFUNCTION("""COMPUTED_VALUE"""),206.03)</f>
        <v>206.03</v>
      </c>
      <c r="C2969" s="2">
        <f>IFERROR(__xludf.DUMMYFUNCTION("""COMPUTED_VALUE"""),206.5)</f>
        <v>206.5</v>
      </c>
      <c r="D2969" s="2">
        <f>IFERROR(__xludf.DUMMYFUNCTION("""COMPUTED_VALUE"""),200.13)</f>
        <v>200.13</v>
      </c>
      <c r="E2969" s="2">
        <f>IFERROR(__xludf.DUMMYFUNCTION("""COMPUTED_VALUE"""),203.0)</f>
        <v>203</v>
      </c>
      <c r="F2969" s="2">
        <f>IFERROR(__xludf.DUMMYFUNCTION("""COMPUTED_VALUE"""),8085381.0)</f>
        <v>8085381</v>
      </c>
    </row>
    <row r="2970">
      <c r="A2970" s="3">
        <f>IFERROR(__xludf.DUMMYFUNCTION("""COMPUTED_VALUE"""),40897.645833333336)</f>
        <v>40897.64583</v>
      </c>
      <c r="B2970" s="2">
        <f>IFERROR(__xludf.DUMMYFUNCTION("""COMPUTED_VALUE"""),203.0)</f>
        <v>203</v>
      </c>
      <c r="C2970" s="2">
        <f>IFERROR(__xludf.DUMMYFUNCTION("""COMPUTED_VALUE"""),210.8)</f>
        <v>210.8</v>
      </c>
      <c r="D2970" s="2">
        <f>IFERROR(__xludf.DUMMYFUNCTION("""COMPUTED_VALUE"""),202.0)</f>
        <v>202</v>
      </c>
      <c r="E2970" s="2">
        <f>IFERROR(__xludf.DUMMYFUNCTION("""COMPUTED_VALUE"""),207.1)</f>
        <v>207.1</v>
      </c>
      <c r="F2970" s="2">
        <f>IFERROR(__xludf.DUMMYFUNCTION("""COMPUTED_VALUE"""),4995892.0)</f>
        <v>4995892</v>
      </c>
    </row>
    <row r="2971">
      <c r="A2971" s="3">
        <f>IFERROR(__xludf.DUMMYFUNCTION("""COMPUTED_VALUE"""),40898.645833333336)</f>
        <v>40898.64583</v>
      </c>
      <c r="B2971" s="2">
        <f>IFERROR(__xludf.DUMMYFUNCTION("""COMPUTED_VALUE"""),213.0)</f>
        <v>213</v>
      </c>
      <c r="C2971" s="2">
        <f>IFERROR(__xludf.DUMMYFUNCTION("""COMPUTED_VALUE"""),219.7)</f>
        <v>219.7</v>
      </c>
      <c r="D2971" s="2">
        <f>IFERROR(__xludf.DUMMYFUNCTION("""COMPUTED_VALUE"""),208.9)</f>
        <v>208.9</v>
      </c>
      <c r="E2971" s="2">
        <f>IFERROR(__xludf.DUMMYFUNCTION("""COMPUTED_VALUE"""),217.73)</f>
        <v>217.73</v>
      </c>
      <c r="F2971" s="2">
        <f>IFERROR(__xludf.DUMMYFUNCTION("""COMPUTED_VALUE"""),3746720.0)</f>
        <v>3746720</v>
      </c>
    </row>
    <row r="2972">
      <c r="A2972" s="3">
        <f>IFERROR(__xludf.DUMMYFUNCTION("""COMPUTED_VALUE"""),40899.645833333336)</f>
        <v>40899.64583</v>
      </c>
      <c r="B2972" s="2">
        <f>IFERROR(__xludf.DUMMYFUNCTION("""COMPUTED_VALUE"""),215.75)</f>
        <v>215.75</v>
      </c>
      <c r="C2972" s="2">
        <f>IFERROR(__xludf.DUMMYFUNCTION("""COMPUTED_VALUE"""),222.4)</f>
        <v>222.4</v>
      </c>
      <c r="D2972" s="2">
        <f>IFERROR(__xludf.DUMMYFUNCTION("""COMPUTED_VALUE"""),214.4)</f>
        <v>214.4</v>
      </c>
      <c r="E2972" s="2">
        <f>IFERROR(__xludf.DUMMYFUNCTION("""COMPUTED_VALUE"""),221.43)</f>
        <v>221.43</v>
      </c>
      <c r="F2972" s="2">
        <f>IFERROR(__xludf.DUMMYFUNCTION("""COMPUTED_VALUE"""),3394017.0)</f>
        <v>3394017</v>
      </c>
    </row>
    <row r="2973">
      <c r="A2973" s="3">
        <f>IFERROR(__xludf.DUMMYFUNCTION("""COMPUTED_VALUE"""),40900.645833333336)</f>
        <v>40900.64583</v>
      </c>
      <c r="B2973" s="2">
        <f>IFERROR(__xludf.DUMMYFUNCTION("""COMPUTED_VALUE"""),222.1)</f>
        <v>222.1</v>
      </c>
      <c r="C2973" s="2">
        <f>IFERROR(__xludf.DUMMYFUNCTION("""COMPUTED_VALUE"""),223.25)</f>
        <v>223.25</v>
      </c>
      <c r="D2973" s="2">
        <f>IFERROR(__xludf.DUMMYFUNCTION("""COMPUTED_VALUE"""),218.0)</f>
        <v>218</v>
      </c>
      <c r="E2973" s="2">
        <f>IFERROR(__xludf.DUMMYFUNCTION("""COMPUTED_VALUE"""),218.78)</f>
        <v>218.78</v>
      </c>
      <c r="F2973" s="2">
        <f>IFERROR(__xludf.DUMMYFUNCTION("""COMPUTED_VALUE"""),1713825.0)</f>
        <v>1713825</v>
      </c>
    </row>
    <row r="2974">
      <c r="A2974" s="3">
        <f>IFERROR(__xludf.DUMMYFUNCTION("""COMPUTED_VALUE"""),40903.645833333336)</f>
        <v>40903.64583</v>
      </c>
      <c r="B2974" s="2">
        <f>IFERROR(__xludf.DUMMYFUNCTION("""COMPUTED_VALUE"""),219.5)</f>
        <v>219.5</v>
      </c>
      <c r="C2974" s="2">
        <f>IFERROR(__xludf.DUMMYFUNCTION("""COMPUTED_VALUE"""),222.7)</f>
        <v>222.7</v>
      </c>
      <c r="D2974" s="2">
        <f>IFERROR(__xludf.DUMMYFUNCTION("""COMPUTED_VALUE"""),218.53)</f>
        <v>218.53</v>
      </c>
      <c r="E2974" s="2">
        <f>IFERROR(__xludf.DUMMYFUNCTION("""COMPUTED_VALUE"""),221.85)</f>
        <v>221.85</v>
      </c>
      <c r="F2974" s="2">
        <f>IFERROR(__xludf.DUMMYFUNCTION("""COMPUTED_VALUE"""),1141190.0)</f>
        <v>1141190</v>
      </c>
    </row>
    <row r="2975">
      <c r="A2975" s="3">
        <f>IFERROR(__xludf.DUMMYFUNCTION("""COMPUTED_VALUE"""),40904.645833333336)</f>
        <v>40904.64583</v>
      </c>
      <c r="B2975" s="2">
        <f>IFERROR(__xludf.DUMMYFUNCTION("""COMPUTED_VALUE"""),220.15)</f>
        <v>220.15</v>
      </c>
      <c r="C2975" s="2">
        <f>IFERROR(__xludf.DUMMYFUNCTION("""COMPUTED_VALUE"""),221.8)</f>
        <v>221.8</v>
      </c>
      <c r="D2975" s="2">
        <f>IFERROR(__xludf.DUMMYFUNCTION("""COMPUTED_VALUE"""),217.85)</f>
        <v>217.85</v>
      </c>
      <c r="E2975" s="2">
        <f>IFERROR(__xludf.DUMMYFUNCTION("""COMPUTED_VALUE"""),219.85)</f>
        <v>219.85</v>
      </c>
      <c r="F2975" s="2">
        <f>IFERROR(__xludf.DUMMYFUNCTION("""COMPUTED_VALUE"""),1573559.0)</f>
        <v>1573559</v>
      </c>
    </row>
    <row r="2976">
      <c r="A2976" s="3">
        <f>IFERROR(__xludf.DUMMYFUNCTION("""COMPUTED_VALUE"""),40905.645833333336)</f>
        <v>40905.64583</v>
      </c>
      <c r="B2976" s="2">
        <f>IFERROR(__xludf.DUMMYFUNCTION("""COMPUTED_VALUE"""),221.25)</f>
        <v>221.25</v>
      </c>
      <c r="C2976" s="2">
        <f>IFERROR(__xludf.DUMMYFUNCTION("""COMPUTED_VALUE"""),221.5)</f>
        <v>221.5</v>
      </c>
      <c r="D2976" s="2">
        <f>IFERROR(__xludf.DUMMYFUNCTION("""COMPUTED_VALUE"""),216.53)</f>
        <v>216.53</v>
      </c>
      <c r="E2976" s="2">
        <f>IFERROR(__xludf.DUMMYFUNCTION("""COMPUTED_VALUE"""),219.9)</f>
        <v>219.9</v>
      </c>
      <c r="F2976" s="2">
        <f>IFERROR(__xludf.DUMMYFUNCTION("""COMPUTED_VALUE"""),1917085.0)</f>
        <v>1917085</v>
      </c>
    </row>
    <row r="2977">
      <c r="A2977" s="3">
        <f>IFERROR(__xludf.DUMMYFUNCTION("""COMPUTED_VALUE"""),40906.645833333336)</f>
        <v>40906.64583</v>
      </c>
      <c r="B2977" s="2">
        <f>IFERROR(__xludf.DUMMYFUNCTION("""COMPUTED_VALUE"""),217.83)</f>
        <v>217.83</v>
      </c>
      <c r="C2977" s="2">
        <f>IFERROR(__xludf.DUMMYFUNCTION("""COMPUTED_VALUE"""),221.0)</f>
        <v>221</v>
      </c>
      <c r="D2977" s="2">
        <f>IFERROR(__xludf.DUMMYFUNCTION("""COMPUTED_VALUE"""),213.0)</f>
        <v>213</v>
      </c>
      <c r="E2977" s="2">
        <f>IFERROR(__xludf.DUMMYFUNCTION("""COMPUTED_VALUE"""),214.8)</f>
        <v>214.8</v>
      </c>
      <c r="F2977" s="2">
        <f>IFERROR(__xludf.DUMMYFUNCTION("""COMPUTED_VALUE"""),2732657.0)</f>
        <v>2732657</v>
      </c>
    </row>
    <row r="2978">
      <c r="A2978" s="3">
        <f>IFERROR(__xludf.DUMMYFUNCTION("""COMPUTED_VALUE"""),40907.645833333336)</f>
        <v>40907.64583</v>
      </c>
      <c r="B2978" s="2">
        <f>IFERROR(__xludf.DUMMYFUNCTION("""COMPUTED_VALUE"""),216.9)</f>
        <v>216.9</v>
      </c>
      <c r="C2978" s="2">
        <f>IFERROR(__xludf.DUMMYFUNCTION("""COMPUTED_VALUE"""),217.0)</f>
        <v>217</v>
      </c>
      <c r="D2978" s="2">
        <f>IFERROR(__xludf.DUMMYFUNCTION("""COMPUTED_VALUE"""),211.05)</f>
        <v>211.05</v>
      </c>
      <c r="E2978" s="2">
        <f>IFERROR(__xludf.DUMMYFUNCTION("""COMPUTED_VALUE"""),213.43)</f>
        <v>213.43</v>
      </c>
      <c r="F2978" s="2">
        <f>IFERROR(__xludf.DUMMYFUNCTION("""COMPUTED_VALUE"""),1919104.0)</f>
        <v>1919104</v>
      </c>
    </row>
    <row r="2979">
      <c r="A2979" s="3">
        <f>IFERROR(__xludf.DUMMYFUNCTION("""COMPUTED_VALUE"""),40910.645833333336)</f>
        <v>40910.64583</v>
      </c>
      <c r="B2979" s="2">
        <f>IFERROR(__xludf.DUMMYFUNCTION("""COMPUTED_VALUE"""),214.45)</f>
        <v>214.45</v>
      </c>
      <c r="C2979" s="2">
        <f>IFERROR(__xludf.DUMMYFUNCTION("""COMPUTED_VALUE"""),214.9)</f>
        <v>214.9</v>
      </c>
      <c r="D2979" s="2">
        <f>IFERROR(__xludf.DUMMYFUNCTION("""COMPUTED_VALUE"""),209.75)</f>
        <v>209.75</v>
      </c>
      <c r="E2979" s="2">
        <f>IFERROR(__xludf.DUMMYFUNCTION("""COMPUTED_VALUE"""),213.43)</f>
        <v>213.43</v>
      </c>
      <c r="F2979" s="2">
        <f>IFERROR(__xludf.DUMMYFUNCTION("""COMPUTED_VALUE"""),1757499.0)</f>
        <v>1757499</v>
      </c>
    </row>
    <row r="2980">
      <c r="A2980" s="3">
        <f>IFERROR(__xludf.DUMMYFUNCTION("""COMPUTED_VALUE"""),40911.645833333336)</f>
        <v>40911.64583</v>
      </c>
      <c r="B2980" s="2">
        <f>IFERROR(__xludf.DUMMYFUNCTION("""COMPUTED_VALUE"""),215.7)</f>
        <v>215.7</v>
      </c>
      <c r="C2980" s="2">
        <f>IFERROR(__xludf.DUMMYFUNCTION("""COMPUTED_VALUE"""),220.45)</f>
        <v>220.45</v>
      </c>
      <c r="D2980" s="2">
        <f>IFERROR(__xludf.DUMMYFUNCTION("""COMPUTED_VALUE"""),215.0)</f>
        <v>215</v>
      </c>
      <c r="E2980" s="2">
        <f>IFERROR(__xludf.DUMMYFUNCTION("""COMPUTED_VALUE"""),219.58)</f>
        <v>219.58</v>
      </c>
      <c r="F2980" s="2">
        <f>IFERROR(__xludf.DUMMYFUNCTION("""COMPUTED_VALUE"""),1719619.0)</f>
        <v>1719619</v>
      </c>
    </row>
    <row r="2981">
      <c r="A2981" s="3">
        <f>IFERROR(__xludf.DUMMYFUNCTION("""COMPUTED_VALUE"""),40912.645833333336)</f>
        <v>40912.64583</v>
      </c>
      <c r="B2981" s="2">
        <f>IFERROR(__xludf.DUMMYFUNCTION("""COMPUTED_VALUE"""),220.95)</f>
        <v>220.95</v>
      </c>
      <c r="C2981" s="2">
        <f>IFERROR(__xludf.DUMMYFUNCTION("""COMPUTED_VALUE"""),222.48)</f>
        <v>222.48</v>
      </c>
      <c r="D2981" s="2">
        <f>IFERROR(__xludf.DUMMYFUNCTION("""COMPUTED_VALUE"""),215.43)</f>
        <v>215.43</v>
      </c>
      <c r="E2981" s="2">
        <f>IFERROR(__xludf.DUMMYFUNCTION("""COMPUTED_VALUE"""),221.65)</f>
        <v>221.65</v>
      </c>
      <c r="F2981" s="2">
        <f>IFERROR(__xludf.DUMMYFUNCTION("""COMPUTED_VALUE"""),2435739.0)</f>
        <v>2435739</v>
      </c>
    </row>
    <row r="2982">
      <c r="A2982" s="3">
        <f>IFERROR(__xludf.DUMMYFUNCTION("""COMPUTED_VALUE"""),40913.645833333336)</f>
        <v>40913.64583</v>
      </c>
      <c r="B2982" s="2">
        <f>IFERROR(__xludf.DUMMYFUNCTION("""COMPUTED_VALUE"""),222.0)</f>
        <v>222</v>
      </c>
      <c r="C2982" s="2">
        <f>IFERROR(__xludf.DUMMYFUNCTION("""COMPUTED_VALUE"""),223.35)</f>
        <v>223.35</v>
      </c>
      <c r="D2982" s="2">
        <f>IFERROR(__xludf.DUMMYFUNCTION("""COMPUTED_VALUE"""),220.15)</f>
        <v>220.15</v>
      </c>
      <c r="E2982" s="2">
        <f>IFERROR(__xludf.DUMMYFUNCTION("""COMPUTED_VALUE"""),221.83)</f>
        <v>221.83</v>
      </c>
      <c r="F2982" s="2">
        <f>IFERROR(__xludf.DUMMYFUNCTION("""COMPUTED_VALUE"""),1690303.0)</f>
        <v>1690303</v>
      </c>
    </row>
    <row r="2983">
      <c r="A2983" s="3">
        <f>IFERROR(__xludf.DUMMYFUNCTION("""COMPUTED_VALUE"""),40914.645833333336)</f>
        <v>40914.64583</v>
      </c>
      <c r="B2983" s="2">
        <f>IFERROR(__xludf.DUMMYFUNCTION("""COMPUTED_VALUE"""),220.5)</f>
        <v>220.5</v>
      </c>
      <c r="C2983" s="2">
        <f>IFERROR(__xludf.DUMMYFUNCTION("""COMPUTED_VALUE"""),228.58)</f>
        <v>228.58</v>
      </c>
      <c r="D2983" s="2">
        <f>IFERROR(__xludf.DUMMYFUNCTION("""COMPUTED_VALUE"""),219.48)</f>
        <v>219.48</v>
      </c>
      <c r="E2983" s="2">
        <f>IFERROR(__xludf.DUMMYFUNCTION("""COMPUTED_VALUE"""),226.65)</f>
        <v>226.65</v>
      </c>
      <c r="F2983" s="2">
        <f>IFERROR(__xludf.DUMMYFUNCTION("""COMPUTED_VALUE"""),1988611.0)</f>
        <v>1988611</v>
      </c>
    </row>
    <row r="2984">
      <c r="A2984" s="3">
        <f>IFERROR(__xludf.DUMMYFUNCTION("""COMPUTED_VALUE"""),40917.645833333336)</f>
        <v>40917.64583</v>
      </c>
      <c r="B2984" s="2">
        <f>IFERROR(__xludf.DUMMYFUNCTION("""COMPUTED_VALUE"""),225.95)</f>
        <v>225.95</v>
      </c>
      <c r="C2984" s="2">
        <f>IFERROR(__xludf.DUMMYFUNCTION("""COMPUTED_VALUE"""),228.55)</f>
        <v>228.55</v>
      </c>
      <c r="D2984" s="2">
        <f>IFERROR(__xludf.DUMMYFUNCTION("""COMPUTED_VALUE"""),223.0)</f>
        <v>223</v>
      </c>
      <c r="E2984" s="2">
        <f>IFERROR(__xludf.DUMMYFUNCTION("""COMPUTED_VALUE"""),227.85)</f>
        <v>227.85</v>
      </c>
      <c r="F2984" s="2">
        <f>IFERROR(__xludf.DUMMYFUNCTION("""COMPUTED_VALUE"""),2115984.0)</f>
        <v>2115984</v>
      </c>
    </row>
    <row r="2985">
      <c r="A2985" s="3">
        <f>IFERROR(__xludf.DUMMYFUNCTION("""COMPUTED_VALUE"""),40918.645833333336)</f>
        <v>40918.64583</v>
      </c>
      <c r="B2985" s="2">
        <f>IFERROR(__xludf.DUMMYFUNCTION("""COMPUTED_VALUE"""),230.0)</f>
        <v>230</v>
      </c>
      <c r="C2985" s="2">
        <f>IFERROR(__xludf.DUMMYFUNCTION("""COMPUTED_VALUE"""),231.15)</f>
        <v>231.15</v>
      </c>
      <c r="D2985" s="2">
        <f>IFERROR(__xludf.DUMMYFUNCTION("""COMPUTED_VALUE"""),228.0)</f>
        <v>228</v>
      </c>
      <c r="E2985" s="2">
        <f>IFERROR(__xludf.DUMMYFUNCTION("""COMPUTED_VALUE"""),229.85)</f>
        <v>229.85</v>
      </c>
      <c r="F2985" s="2">
        <f>IFERROR(__xludf.DUMMYFUNCTION("""COMPUTED_VALUE"""),2245693.0)</f>
        <v>2245693</v>
      </c>
    </row>
    <row r="2986">
      <c r="A2986" s="3">
        <f>IFERROR(__xludf.DUMMYFUNCTION("""COMPUTED_VALUE"""),40919.645833333336)</f>
        <v>40919.64583</v>
      </c>
      <c r="B2986" s="2">
        <f>IFERROR(__xludf.DUMMYFUNCTION("""COMPUTED_VALUE"""),230.25)</f>
        <v>230.25</v>
      </c>
      <c r="C2986" s="2">
        <f>IFERROR(__xludf.DUMMYFUNCTION("""COMPUTED_VALUE"""),232.0)</f>
        <v>232</v>
      </c>
      <c r="D2986" s="2">
        <f>IFERROR(__xludf.DUMMYFUNCTION("""COMPUTED_VALUE"""),227.5)</f>
        <v>227.5</v>
      </c>
      <c r="E2986" s="2">
        <f>IFERROR(__xludf.DUMMYFUNCTION("""COMPUTED_VALUE"""),231.33)</f>
        <v>231.33</v>
      </c>
      <c r="F2986" s="2">
        <f>IFERROR(__xludf.DUMMYFUNCTION("""COMPUTED_VALUE"""),1929778.0)</f>
        <v>1929778</v>
      </c>
    </row>
    <row r="2987">
      <c r="A2987" s="3">
        <f>IFERROR(__xludf.DUMMYFUNCTION("""COMPUTED_VALUE"""),40920.645833333336)</f>
        <v>40920.64583</v>
      </c>
      <c r="B2987" s="2">
        <f>IFERROR(__xludf.DUMMYFUNCTION("""COMPUTED_VALUE"""),230.85)</f>
        <v>230.85</v>
      </c>
      <c r="C2987" s="2">
        <f>IFERROR(__xludf.DUMMYFUNCTION("""COMPUTED_VALUE"""),234.55)</f>
        <v>234.55</v>
      </c>
      <c r="D2987" s="2">
        <f>IFERROR(__xludf.DUMMYFUNCTION("""COMPUTED_VALUE"""),230.6)</f>
        <v>230.6</v>
      </c>
      <c r="E2987" s="2">
        <f>IFERROR(__xludf.DUMMYFUNCTION("""COMPUTED_VALUE"""),233.33)</f>
        <v>233.33</v>
      </c>
      <c r="F2987" s="2">
        <f>IFERROR(__xludf.DUMMYFUNCTION("""COMPUTED_VALUE"""),1993861.0)</f>
        <v>1993861</v>
      </c>
    </row>
    <row r="2988">
      <c r="A2988" s="3">
        <f>IFERROR(__xludf.DUMMYFUNCTION("""COMPUTED_VALUE"""),40921.645833333336)</f>
        <v>40921.64583</v>
      </c>
      <c r="B2988" s="2">
        <f>IFERROR(__xludf.DUMMYFUNCTION("""COMPUTED_VALUE"""),235.0)</f>
        <v>235</v>
      </c>
      <c r="C2988" s="2">
        <f>IFERROR(__xludf.DUMMYFUNCTION("""COMPUTED_VALUE"""),236.53)</f>
        <v>236.53</v>
      </c>
      <c r="D2988" s="2">
        <f>IFERROR(__xludf.DUMMYFUNCTION("""COMPUTED_VALUE"""),230.53)</f>
        <v>230.53</v>
      </c>
      <c r="E2988" s="2">
        <f>IFERROR(__xludf.DUMMYFUNCTION("""COMPUTED_VALUE"""),234.8)</f>
        <v>234.8</v>
      </c>
      <c r="F2988" s="2">
        <f>IFERROR(__xludf.DUMMYFUNCTION("""COMPUTED_VALUE"""),1845421.0)</f>
        <v>1845421</v>
      </c>
    </row>
    <row r="2989">
      <c r="A2989" s="3">
        <f>IFERROR(__xludf.DUMMYFUNCTION("""COMPUTED_VALUE"""),40924.645833333336)</f>
        <v>40924.64583</v>
      </c>
      <c r="B2989" s="2">
        <f>IFERROR(__xludf.DUMMYFUNCTION("""COMPUTED_VALUE"""),233.4)</f>
        <v>233.4</v>
      </c>
      <c r="C2989" s="2">
        <f>IFERROR(__xludf.DUMMYFUNCTION("""COMPUTED_VALUE"""),233.93)</f>
        <v>233.93</v>
      </c>
      <c r="D2989" s="2">
        <f>IFERROR(__xludf.DUMMYFUNCTION("""COMPUTED_VALUE"""),229.13)</f>
        <v>229.13</v>
      </c>
      <c r="E2989" s="2">
        <f>IFERROR(__xludf.DUMMYFUNCTION("""COMPUTED_VALUE"""),230.25)</f>
        <v>230.25</v>
      </c>
      <c r="F2989" s="2">
        <f>IFERROR(__xludf.DUMMYFUNCTION("""COMPUTED_VALUE"""),1595855.0)</f>
        <v>1595855</v>
      </c>
    </row>
    <row r="2990">
      <c r="A2990" s="3">
        <f>IFERROR(__xludf.DUMMYFUNCTION("""COMPUTED_VALUE"""),40925.645833333336)</f>
        <v>40925.64583</v>
      </c>
      <c r="B2990" s="2">
        <f>IFERROR(__xludf.DUMMYFUNCTION("""COMPUTED_VALUE"""),231.95)</f>
        <v>231.95</v>
      </c>
      <c r="C2990" s="2">
        <f>IFERROR(__xludf.DUMMYFUNCTION("""COMPUTED_VALUE"""),234.5)</f>
        <v>234.5</v>
      </c>
      <c r="D2990" s="2">
        <f>IFERROR(__xludf.DUMMYFUNCTION("""COMPUTED_VALUE"""),231.5)</f>
        <v>231.5</v>
      </c>
      <c r="E2990" s="2">
        <f>IFERROR(__xludf.DUMMYFUNCTION("""COMPUTED_VALUE"""),234.2)</f>
        <v>234.2</v>
      </c>
      <c r="F2990" s="2">
        <f>IFERROR(__xludf.DUMMYFUNCTION("""COMPUTED_VALUE"""),1830504.0)</f>
        <v>1830504</v>
      </c>
    </row>
    <row r="2991">
      <c r="A2991" s="3">
        <f>IFERROR(__xludf.DUMMYFUNCTION("""COMPUTED_VALUE"""),40926.645833333336)</f>
        <v>40926.64583</v>
      </c>
      <c r="B2991" s="2">
        <f>IFERROR(__xludf.DUMMYFUNCTION("""COMPUTED_VALUE"""),236.45)</f>
        <v>236.45</v>
      </c>
      <c r="C2991" s="2">
        <f>IFERROR(__xludf.DUMMYFUNCTION("""COMPUTED_VALUE"""),242.7)</f>
        <v>242.7</v>
      </c>
      <c r="D2991" s="2">
        <f>IFERROR(__xludf.DUMMYFUNCTION("""COMPUTED_VALUE"""),234.8)</f>
        <v>234.8</v>
      </c>
      <c r="E2991" s="2">
        <f>IFERROR(__xludf.DUMMYFUNCTION("""COMPUTED_VALUE"""),240.95)</f>
        <v>240.95</v>
      </c>
      <c r="F2991" s="2">
        <f>IFERROR(__xludf.DUMMYFUNCTION("""COMPUTED_VALUE"""),5034311.0)</f>
        <v>5034311</v>
      </c>
    </row>
    <row r="2992">
      <c r="A2992" s="3">
        <f>IFERROR(__xludf.DUMMYFUNCTION("""COMPUTED_VALUE"""),40927.645833333336)</f>
        <v>40927.64583</v>
      </c>
      <c r="B2992" s="2">
        <f>IFERROR(__xludf.DUMMYFUNCTION("""COMPUTED_VALUE"""),243.0)</f>
        <v>243</v>
      </c>
      <c r="C2992" s="2">
        <f>IFERROR(__xludf.DUMMYFUNCTION("""COMPUTED_VALUE"""),245.13)</f>
        <v>245.13</v>
      </c>
      <c r="D2992" s="2">
        <f>IFERROR(__xludf.DUMMYFUNCTION("""COMPUTED_VALUE"""),240.15)</f>
        <v>240.15</v>
      </c>
      <c r="E2992" s="2">
        <f>IFERROR(__xludf.DUMMYFUNCTION("""COMPUTED_VALUE"""),243.4)</f>
        <v>243.4</v>
      </c>
      <c r="F2992" s="2">
        <f>IFERROR(__xludf.DUMMYFUNCTION("""COMPUTED_VALUE"""),4210544.0)</f>
        <v>4210544</v>
      </c>
    </row>
    <row r="2993">
      <c r="A2993" s="3">
        <f>IFERROR(__xludf.DUMMYFUNCTION("""COMPUTED_VALUE"""),40928.645833333336)</f>
        <v>40928.64583</v>
      </c>
      <c r="B2993" s="2">
        <f>IFERROR(__xludf.DUMMYFUNCTION("""COMPUTED_VALUE"""),245.0)</f>
        <v>245</v>
      </c>
      <c r="C2993" s="2">
        <f>IFERROR(__xludf.DUMMYFUNCTION("""COMPUTED_VALUE"""),246.73)</f>
        <v>246.73</v>
      </c>
      <c r="D2993" s="2">
        <f>IFERROR(__xludf.DUMMYFUNCTION("""COMPUTED_VALUE"""),240.23)</f>
        <v>240.23</v>
      </c>
      <c r="E2993" s="2">
        <f>IFERROR(__xludf.DUMMYFUNCTION("""COMPUTED_VALUE"""),245.28)</f>
        <v>245.28</v>
      </c>
      <c r="F2993" s="2">
        <f>IFERROR(__xludf.DUMMYFUNCTION("""COMPUTED_VALUE"""),3597565.0)</f>
        <v>3597565</v>
      </c>
    </row>
    <row r="2994">
      <c r="A2994" s="3">
        <f>IFERROR(__xludf.DUMMYFUNCTION("""COMPUTED_VALUE"""),40931.645833333336)</f>
        <v>40931.64583</v>
      </c>
      <c r="B2994" s="2">
        <f>IFERROR(__xludf.DUMMYFUNCTION("""COMPUTED_VALUE"""),243.0)</f>
        <v>243</v>
      </c>
      <c r="C2994" s="2">
        <f>IFERROR(__xludf.DUMMYFUNCTION("""COMPUTED_VALUE"""),243.88)</f>
        <v>243.88</v>
      </c>
      <c r="D2994" s="2">
        <f>IFERROR(__xludf.DUMMYFUNCTION("""COMPUTED_VALUE"""),240.45)</f>
        <v>240.45</v>
      </c>
      <c r="E2994" s="2">
        <f>IFERROR(__xludf.DUMMYFUNCTION("""COMPUTED_VALUE"""),242.0)</f>
        <v>242</v>
      </c>
      <c r="F2994" s="2">
        <f>IFERROR(__xludf.DUMMYFUNCTION("""COMPUTED_VALUE"""),1883432.0)</f>
        <v>1883432</v>
      </c>
    </row>
    <row r="2995">
      <c r="A2995" s="3">
        <f>IFERROR(__xludf.DUMMYFUNCTION("""COMPUTED_VALUE"""),40932.645833333336)</f>
        <v>40932.64583</v>
      </c>
      <c r="B2995" s="2">
        <f>IFERROR(__xludf.DUMMYFUNCTION("""COMPUTED_VALUE"""),242.63)</f>
        <v>242.63</v>
      </c>
      <c r="C2995" s="2">
        <f>IFERROR(__xludf.DUMMYFUNCTION("""COMPUTED_VALUE"""),246.55)</f>
        <v>246.55</v>
      </c>
      <c r="D2995" s="2">
        <f>IFERROR(__xludf.DUMMYFUNCTION("""COMPUTED_VALUE"""),240.28)</f>
        <v>240.28</v>
      </c>
      <c r="E2995" s="2">
        <f>IFERROR(__xludf.DUMMYFUNCTION("""COMPUTED_VALUE"""),244.4)</f>
        <v>244.4</v>
      </c>
      <c r="F2995" s="2">
        <f>IFERROR(__xludf.DUMMYFUNCTION("""COMPUTED_VALUE"""),3765988.0)</f>
        <v>3765988</v>
      </c>
    </row>
    <row r="2996">
      <c r="A2996" s="3">
        <f>IFERROR(__xludf.DUMMYFUNCTION("""COMPUTED_VALUE"""),40933.645833333336)</f>
        <v>40933.64583</v>
      </c>
      <c r="B2996" s="2">
        <f>IFERROR(__xludf.DUMMYFUNCTION("""COMPUTED_VALUE"""),245.13)</f>
        <v>245.13</v>
      </c>
      <c r="C2996" s="2">
        <f>IFERROR(__xludf.DUMMYFUNCTION("""COMPUTED_VALUE"""),246.5)</f>
        <v>246.5</v>
      </c>
      <c r="D2996" s="2">
        <f>IFERROR(__xludf.DUMMYFUNCTION("""COMPUTED_VALUE"""),242.88)</f>
        <v>242.88</v>
      </c>
      <c r="E2996" s="2">
        <f>IFERROR(__xludf.DUMMYFUNCTION("""COMPUTED_VALUE"""),245.1)</f>
        <v>245.1</v>
      </c>
      <c r="F2996" s="2">
        <f>IFERROR(__xludf.DUMMYFUNCTION("""COMPUTED_VALUE"""),3704775.0)</f>
        <v>3704775</v>
      </c>
    </row>
    <row r="2997">
      <c r="A2997" s="3">
        <f>IFERROR(__xludf.DUMMYFUNCTION("""COMPUTED_VALUE"""),40935.645833333336)</f>
        <v>40935.64583</v>
      </c>
      <c r="B2997" s="2">
        <f>IFERROR(__xludf.DUMMYFUNCTION("""COMPUTED_VALUE"""),251.95)</f>
        <v>251.95</v>
      </c>
      <c r="C2997" s="2">
        <f>IFERROR(__xludf.DUMMYFUNCTION("""COMPUTED_VALUE"""),252.0)</f>
        <v>252</v>
      </c>
      <c r="D2997" s="2">
        <f>IFERROR(__xludf.DUMMYFUNCTION("""COMPUTED_VALUE"""),239.83)</f>
        <v>239.83</v>
      </c>
      <c r="E2997" s="2">
        <f>IFERROR(__xludf.DUMMYFUNCTION("""COMPUTED_VALUE"""),242.1)</f>
        <v>242.1</v>
      </c>
      <c r="F2997" s="2">
        <f>IFERROR(__xludf.DUMMYFUNCTION("""COMPUTED_VALUE"""),3719409.0)</f>
        <v>3719409</v>
      </c>
    </row>
    <row r="2998">
      <c r="A2998" s="3">
        <f>IFERROR(__xludf.DUMMYFUNCTION("""COMPUTED_VALUE"""),40938.645833333336)</f>
        <v>40938.64583</v>
      </c>
      <c r="B2998" s="2">
        <f>IFERROR(__xludf.DUMMYFUNCTION("""COMPUTED_VALUE"""),241.48)</f>
        <v>241.48</v>
      </c>
      <c r="C2998" s="2">
        <f>IFERROR(__xludf.DUMMYFUNCTION("""COMPUTED_VALUE"""),241.5)</f>
        <v>241.5</v>
      </c>
      <c r="D2998" s="2">
        <f>IFERROR(__xludf.DUMMYFUNCTION("""COMPUTED_VALUE"""),236.5)</f>
        <v>236.5</v>
      </c>
      <c r="E2998" s="2">
        <f>IFERROR(__xludf.DUMMYFUNCTION("""COMPUTED_VALUE"""),239.53)</f>
        <v>239.53</v>
      </c>
      <c r="F2998" s="2">
        <f>IFERROR(__xludf.DUMMYFUNCTION("""COMPUTED_VALUE"""),2493754.0)</f>
        <v>2493754</v>
      </c>
    </row>
    <row r="2999">
      <c r="A2999" s="3">
        <f>IFERROR(__xludf.DUMMYFUNCTION("""COMPUTED_VALUE"""),40939.645833333336)</f>
        <v>40939.64583</v>
      </c>
      <c r="B2999" s="2">
        <f>IFERROR(__xludf.DUMMYFUNCTION("""COMPUTED_VALUE"""),241.75)</f>
        <v>241.75</v>
      </c>
      <c r="C2999" s="2">
        <f>IFERROR(__xludf.DUMMYFUNCTION("""COMPUTED_VALUE"""),247.5)</f>
        <v>247.5</v>
      </c>
      <c r="D2999" s="2">
        <f>IFERROR(__xludf.DUMMYFUNCTION("""COMPUTED_VALUE"""),239.93)</f>
        <v>239.93</v>
      </c>
      <c r="E2999" s="2">
        <f>IFERROR(__xludf.DUMMYFUNCTION("""COMPUTED_VALUE"""),246.05)</f>
        <v>246.05</v>
      </c>
      <c r="F2999" s="2">
        <f>IFERROR(__xludf.DUMMYFUNCTION("""COMPUTED_VALUE"""),2663462.0)</f>
        <v>2663462</v>
      </c>
    </row>
    <row r="3000">
      <c r="A3000" s="3">
        <f>IFERROR(__xludf.DUMMYFUNCTION("""COMPUTED_VALUE"""),40940.645833333336)</f>
        <v>40940.64583</v>
      </c>
      <c r="B3000" s="2">
        <f>IFERROR(__xludf.DUMMYFUNCTION("""COMPUTED_VALUE"""),247.25)</f>
        <v>247.25</v>
      </c>
      <c r="C3000" s="2">
        <f>IFERROR(__xludf.DUMMYFUNCTION("""COMPUTED_VALUE"""),249.85)</f>
        <v>249.85</v>
      </c>
      <c r="D3000" s="2">
        <f>IFERROR(__xludf.DUMMYFUNCTION("""COMPUTED_VALUE"""),240.68)</f>
        <v>240.68</v>
      </c>
      <c r="E3000" s="2">
        <f>IFERROR(__xludf.DUMMYFUNCTION("""COMPUTED_VALUE"""),248.58)</f>
        <v>248.58</v>
      </c>
      <c r="F3000" s="2">
        <f>IFERROR(__xludf.DUMMYFUNCTION("""COMPUTED_VALUE"""),3005149.0)</f>
        <v>3005149</v>
      </c>
    </row>
    <row r="3001">
      <c r="A3001" s="3">
        <f>IFERROR(__xludf.DUMMYFUNCTION("""COMPUTED_VALUE"""),40941.645833333336)</f>
        <v>40941.64583</v>
      </c>
      <c r="B3001" s="2">
        <f>IFERROR(__xludf.DUMMYFUNCTION("""COMPUTED_VALUE"""),249.5)</f>
        <v>249.5</v>
      </c>
      <c r="C3001" s="2">
        <f>IFERROR(__xludf.DUMMYFUNCTION("""COMPUTED_VALUE"""),250.0)</f>
        <v>250</v>
      </c>
      <c r="D3001" s="2">
        <f>IFERROR(__xludf.DUMMYFUNCTION("""COMPUTED_VALUE"""),245.65)</f>
        <v>245.65</v>
      </c>
      <c r="E3001" s="2">
        <f>IFERROR(__xludf.DUMMYFUNCTION("""COMPUTED_VALUE"""),248.95)</f>
        <v>248.95</v>
      </c>
      <c r="F3001" s="2">
        <f>IFERROR(__xludf.DUMMYFUNCTION("""COMPUTED_VALUE"""),5710427.0)</f>
        <v>5710427</v>
      </c>
    </row>
    <row r="3002">
      <c r="A3002" s="3">
        <f>IFERROR(__xludf.DUMMYFUNCTION("""COMPUTED_VALUE"""),40942.645833333336)</f>
        <v>40942.64583</v>
      </c>
      <c r="B3002" s="2">
        <f>IFERROR(__xludf.DUMMYFUNCTION("""COMPUTED_VALUE"""),248.75)</f>
        <v>248.75</v>
      </c>
      <c r="C3002" s="2">
        <f>IFERROR(__xludf.DUMMYFUNCTION("""COMPUTED_VALUE"""),254.0)</f>
        <v>254</v>
      </c>
      <c r="D3002" s="2">
        <f>IFERROR(__xludf.DUMMYFUNCTION("""COMPUTED_VALUE"""),247.63)</f>
        <v>247.63</v>
      </c>
      <c r="E3002" s="2">
        <f>IFERROR(__xludf.DUMMYFUNCTION("""COMPUTED_VALUE"""),253.13)</f>
        <v>253.13</v>
      </c>
      <c r="F3002" s="2">
        <f>IFERROR(__xludf.DUMMYFUNCTION("""COMPUTED_VALUE"""),3728751.0)</f>
        <v>3728751</v>
      </c>
    </row>
    <row r="3003">
      <c r="A3003" s="3">
        <f>IFERROR(__xludf.DUMMYFUNCTION("""COMPUTED_VALUE"""),40945.645833333336)</f>
        <v>40945.64583</v>
      </c>
      <c r="B3003" s="2">
        <f>IFERROR(__xludf.DUMMYFUNCTION("""COMPUTED_VALUE"""),255.0)</f>
        <v>255</v>
      </c>
      <c r="C3003" s="2">
        <f>IFERROR(__xludf.DUMMYFUNCTION("""COMPUTED_VALUE"""),258.0)</f>
        <v>258</v>
      </c>
      <c r="D3003" s="2">
        <f>IFERROR(__xludf.DUMMYFUNCTION("""COMPUTED_VALUE"""),250.0)</f>
        <v>250</v>
      </c>
      <c r="E3003" s="2">
        <f>IFERROR(__xludf.DUMMYFUNCTION("""COMPUTED_VALUE"""),253.85)</f>
        <v>253.85</v>
      </c>
      <c r="F3003" s="2">
        <f>IFERROR(__xludf.DUMMYFUNCTION("""COMPUTED_VALUE"""),4359656.0)</f>
        <v>4359656</v>
      </c>
    </row>
    <row r="3004">
      <c r="A3004" s="3">
        <f>IFERROR(__xludf.DUMMYFUNCTION("""COMPUTED_VALUE"""),40946.645833333336)</f>
        <v>40946.64583</v>
      </c>
      <c r="B3004" s="2">
        <f>IFERROR(__xludf.DUMMYFUNCTION("""COMPUTED_VALUE"""),257.0)</f>
        <v>257</v>
      </c>
      <c r="C3004" s="2">
        <f>IFERROR(__xludf.DUMMYFUNCTION("""COMPUTED_VALUE"""),257.7)</f>
        <v>257.7</v>
      </c>
      <c r="D3004" s="2">
        <f>IFERROR(__xludf.DUMMYFUNCTION("""COMPUTED_VALUE"""),254.0)</f>
        <v>254</v>
      </c>
      <c r="E3004" s="2">
        <f>IFERROR(__xludf.DUMMYFUNCTION("""COMPUTED_VALUE"""),254.65)</f>
        <v>254.65</v>
      </c>
      <c r="F3004" s="2">
        <f>IFERROR(__xludf.DUMMYFUNCTION("""COMPUTED_VALUE"""),3018927.0)</f>
        <v>3018927</v>
      </c>
    </row>
    <row r="3005">
      <c r="A3005" s="3">
        <f>IFERROR(__xludf.DUMMYFUNCTION("""COMPUTED_VALUE"""),40947.645833333336)</f>
        <v>40947.64583</v>
      </c>
      <c r="B3005" s="2">
        <f>IFERROR(__xludf.DUMMYFUNCTION("""COMPUTED_VALUE"""),255.35)</f>
        <v>255.35</v>
      </c>
      <c r="C3005" s="2">
        <f>IFERROR(__xludf.DUMMYFUNCTION("""COMPUTED_VALUE"""),258.9)</f>
        <v>258.9</v>
      </c>
      <c r="D3005" s="2">
        <f>IFERROR(__xludf.DUMMYFUNCTION("""COMPUTED_VALUE"""),251.38)</f>
        <v>251.38</v>
      </c>
      <c r="E3005" s="2">
        <f>IFERROR(__xludf.DUMMYFUNCTION("""COMPUTED_VALUE"""),254.23)</f>
        <v>254.23</v>
      </c>
      <c r="F3005" s="2">
        <f>IFERROR(__xludf.DUMMYFUNCTION("""COMPUTED_VALUE"""),3465287.0)</f>
        <v>3465287</v>
      </c>
    </row>
    <row r="3006">
      <c r="A3006" s="3">
        <f>IFERROR(__xludf.DUMMYFUNCTION("""COMPUTED_VALUE"""),40948.645833333336)</f>
        <v>40948.64583</v>
      </c>
      <c r="B3006" s="2">
        <f>IFERROR(__xludf.DUMMYFUNCTION("""COMPUTED_VALUE"""),252.85)</f>
        <v>252.85</v>
      </c>
      <c r="C3006" s="2">
        <f>IFERROR(__xludf.DUMMYFUNCTION("""COMPUTED_VALUE"""),262.98)</f>
        <v>262.98</v>
      </c>
      <c r="D3006" s="2">
        <f>IFERROR(__xludf.DUMMYFUNCTION("""COMPUTED_VALUE"""),252.83)</f>
        <v>252.83</v>
      </c>
      <c r="E3006" s="2">
        <f>IFERROR(__xludf.DUMMYFUNCTION("""COMPUTED_VALUE"""),261.27)</f>
        <v>261.27</v>
      </c>
      <c r="F3006" s="2">
        <f>IFERROR(__xludf.DUMMYFUNCTION("""COMPUTED_VALUE"""),4340256.0)</f>
        <v>4340256</v>
      </c>
    </row>
    <row r="3007">
      <c r="A3007" s="3">
        <f>IFERROR(__xludf.DUMMYFUNCTION("""COMPUTED_VALUE"""),40949.645833333336)</f>
        <v>40949.64583</v>
      </c>
      <c r="B3007" s="2">
        <f>IFERROR(__xludf.DUMMYFUNCTION("""COMPUTED_VALUE"""),261.4)</f>
        <v>261.4</v>
      </c>
      <c r="C3007" s="2">
        <f>IFERROR(__xludf.DUMMYFUNCTION("""COMPUTED_VALUE"""),262.83)</f>
        <v>262.83</v>
      </c>
      <c r="D3007" s="2">
        <f>IFERROR(__xludf.DUMMYFUNCTION("""COMPUTED_VALUE"""),257.0)</f>
        <v>257</v>
      </c>
      <c r="E3007" s="2">
        <f>IFERROR(__xludf.DUMMYFUNCTION("""COMPUTED_VALUE"""),258.75)</f>
        <v>258.75</v>
      </c>
      <c r="F3007" s="2">
        <f>IFERROR(__xludf.DUMMYFUNCTION("""COMPUTED_VALUE"""),2878793.0)</f>
        <v>2878793</v>
      </c>
    </row>
    <row r="3008">
      <c r="A3008" s="3">
        <f>IFERROR(__xludf.DUMMYFUNCTION("""COMPUTED_VALUE"""),40952.645833333336)</f>
        <v>40952.64583</v>
      </c>
      <c r="B3008" s="2">
        <f>IFERROR(__xludf.DUMMYFUNCTION("""COMPUTED_VALUE"""),259.33)</f>
        <v>259.33</v>
      </c>
      <c r="C3008" s="2">
        <f>IFERROR(__xludf.DUMMYFUNCTION("""COMPUTED_VALUE"""),262.5)</f>
        <v>262.5</v>
      </c>
      <c r="D3008" s="2">
        <f>IFERROR(__xludf.DUMMYFUNCTION("""COMPUTED_VALUE"""),257.95)</f>
        <v>257.95</v>
      </c>
      <c r="E3008" s="2">
        <f>IFERROR(__xludf.DUMMYFUNCTION("""COMPUTED_VALUE"""),260.98)</f>
        <v>260.98</v>
      </c>
      <c r="F3008" s="2">
        <f>IFERROR(__xludf.DUMMYFUNCTION("""COMPUTED_VALUE"""),3653581.0)</f>
        <v>3653581</v>
      </c>
    </row>
    <row r="3009">
      <c r="A3009" s="3">
        <f>IFERROR(__xludf.DUMMYFUNCTION("""COMPUTED_VALUE"""),40953.645833333336)</f>
        <v>40953.64583</v>
      </c>
      <c r="B3009" s="2">
        <f>IFERROR(__xludf.DUMMYFUNCTION("""COMPUTED_VALUE"""),261.25)</f>
        <v>261.25</v>
      </c>
      <c r="C3009" s="2">
        <f>IFERROR(__xludf.DUMMYFUNCTION("""COMPUTED_VALUE"""),261.9)</f>
        <v>261.9</v>
      </c>
      <c r="D3009" s="2">
        <f>IFERROR(__xludf.DUMMYFUNCTION("""COMPUTED_VALUE"""),257.52)</f>
        <v>257.52</v>
      </c>
      <c r="E3009" s="2">
        <f>IFERROR(__xludf.DUMMYFUNCTION("""COMPUTED_VALUE"""),258.95)</f>
        <v>258.95</v>
      </c>
      <c r="F3009" s="2">
        <f>IFERROR(__xludf.DUMMYFUNCTION("""COMPUTED_VALUE"""),3278707.0)</f>
        <v>3278707</v>
      </c>
    </row>
    <row r="3010">
      <c r="A3010" s="3">
        <f>IFERROR(__xludf.DUMMYFUNCTION("""COMPUTED_VALUE"""),40954.645833333336)</f>
        <v>40954.64583</v>
      </c>
      <c r="B3010" s="2">
        <f>IFERROR(__xludf.DUMMYFUNCTION("""COMPUTED_VALUE"""),260.25)</f>
        <v>260.25</v>
      </c>
      <c r="C3010" s="2">
        <f>IFERROR(__xludf.DUMMYFUNCTION("""COMPUTED_VALUE"""),267.45)</f>
        <v>267.45</v>
      </c>
      <c r="D3010" s="2">
        <f>IFERROR(__xludf.DUMMYFUNCTION("""COMPUTED_VALUE"""),258.63)</f>
        <v>258.63</v>
      </c>
      <c r="E3010" s="2">
        <f>IFERROR(__xludf.DUMMYFUNCTION("""COMPUTED_VALUE"""),266.52)</f>
        <v>266.52</v>
      </c>
      <c r="F3010" s="2">
        <f>IFERROR(__xludf.DUMMYFUNCTION("""COMPUTED_VALUE"""),4844896.0)</f>
        <v>4844896</v>
      </c>
    </row>
    <row r="3011">
      <c r="A3011" s="3">
        <f>IFERROR(__xludf.DUMMYFUNCTION("""COMPUTED_VALUE"""),40955.645833333336)</f>
        <v>40955.64583</v>
      </c>
      <c r="B3011" s="2">
        <f>IFERROR(__xludf.DUMMYFUNCTION("""COMPUTED_VALUE"""),265.5)</f>
        <v>265.5</v>
      </c>
      <c r="C3011" s="2">
        <f>IFERROR(__xludf.DUMMYFUNCTION("""COMPUTED_VALUE"""),268.92)</f>
        <v>268.92</v>
      </c>
      <c r="D3011" s="2">
        <f>IFERROR(__xludf.DUMMYFUNCTION("""COMPUTED_VALUE"""),261.63)</f>
        <v>261.63</v>
      </c>
      <c r="E3011" s="2">
        <f>IFERROR(__xludf.DUMMYFUNCTION("""COMPUTED_VALUE"""),263.23)</f>
        <v>263.23</v>
      </c>
      <c r="F3011" s="2">
        <f>IFERROR(__xludf.DUMMYFUNCTION("""COMPUTED_VALUE"""),2031066.0)</f>
        <v>2031066</v>
      </c>
    </row>
    <row r="3012">
      <c r="A3012" s="3">
        <f>IFERROR(__xludf.DUMMYFUNCTION("""COMPUTED_VALUE"""),40956.645833333336)</f>
        <v>40956.64583</v>
      </c>
      <c r="B3012" s="2">
        <f>IFERROR(__xludf.DUMMYFUNCTION("""COMPUTED_VALUE"""),265.63)</f>
        <v>265.63</v>
      </c>
      <c r="C3012" s="2">
        <f>IFERROR(__xludf.DUMMYFUNCTION("""COMPUTED_VALUE"""),266.5)</f>
        <v>266.5</v>
      </c>
      <c r="D3012" s="2">
        <f>IFERROR(__xludf.DUMMYFUNCTION("""COMPUTED_VALUE"""),260.05)</f>
        <v>260.05</v>
      </c>
      <c r="E3012" s="2">
        <f>IFERROR(__xludf.DUMMYFUNCTION("""COMPUTED_VALUE"""),264.15)</f>
        <v>264.15</v>
      </c>
      <c r="F3012" s="2">
        <f>IFERROR(__xludf.DUMMYFUNCTION("""COMPUTED_VALUE"""),3554912.0)</f>
        <v>3554912</v>
      </c>
    </row>
    <row r="3013">
      <c r="A3013" s="3">
        <f>IFERROR(__xludf.DUMMYFUNCTION("""COMPUTED_VALUE"""),40960.645833333336)</f>
        <v>40960.64583</v>
      </c>
      <c r="B3013" s="2">
        <f>IFERROR(__xludf.DUMMYFUNCTION("""COMPUTED_VALUE"""),263.0)</f>
        <v>263</v>
      </c>
      <c r="C3013" s="2">
        <f>IFERROR(__xludf.DUMMYFUNCTION("""COMPUTED_VALUE"""),266.75)</f>
        <v>266.75</v>
      </c>
      <c r="D3013" s="2">
        <f>IFERROR(__xludf.DUMMYFUNCTION("""COMPUTED_VALUE"""),260.25)</f>
        <v>260.25</v>
      </c>
      <c r="E3013" s="2">
        <f>IFERROR(__xludf.DUMMYFUNCTION("""COMPUTED_VALUE"""),266.02)</f>
        <v>266.02</v>
      </c>
      <c r="F3013" s="2">
        <f>IFERROR(__xludf.DUMMYFUNCTION("""COMPUTED_VALUE"""),3707784.0)</f>
        <v>3707784</v>
      </c>
    </row>
    <row r="3014">
      <c r="A3014" s="3">
        <f>IFERROR(__xludf.DUMMYFUNCTION("""COMPUTED_VALUE"""),40961.645833333336)</f>
        <v>40961.64583</v>
      </c>
      <c r="B3014" s="2">
        <f>IFERROR(__xludf.DUMMYFUNCTION("""COMPUTED_VALUE"""),265.0)</f>
        <v>265</v>
      </c>
      <c r="C3014" s="2">
        <f>IFERROR(__xludf.DUMMYFUNCTION("""COMPUTED_VALUE"""),269.45)</f>
        <v>269.45</v>
      </c>
      <c r="D3014" s="2">
        <f>IFERROR(__xludf.DUMMYFUNCTION("""COMPUTED_VALUE"""),263.33)</f>
        <v>263.33</v>
      </c>
      <c r="E3014" s="2">
        <f>IFERROR(__xludf.DUMMYFUNCTION("""COMPUTED_VALUE"""),265.73)</f>
        <v>265.73</v>
      </c>
      <c r="F3014" s="2">
        <f>IFERROR(__xludf.DUMMYFUNCTION("""COMPUTED_VALUE"""),3480777.0)</f>
        <v>3480777</v>
      </c>
    </row>
    <row r="3015">
      <c r="A3015" s="3">
        <f>IFERROR(__xludf.DUMMYFUNCTION("""COMPUTED_VALUE"""),40962.645833333336)</f>
        <v>40962.64583</v>
      </c>
      <c r="B3015" s="2">
        <f>IFERROR(__xludf.DUMMYFUNCTION("""COMPUTED_VALUE"""),263.6)</f>
        <v>263.6</v>
      </c>
      <c r="C3015" s="2">
        <f>IFERROR(__xludf.DUMMYFUNCTION("""COMPUTED_VALUE"""),267.98)</f>
        <v>267.98</v>
      </c>
      <c r="D3015" s="2">
        <f>IFERROR(__xludf.DUMMYFUNCTION("""COMPUTED_VALUE"""),263.6)</f>
        <v>263.6</v>
      </c>
      <c r="E3015" s="2">
        <f>IFERROR(__xludf.DUMMYFUNCTION("""COMPUTED_VALUE"""),266.58)</f>
        <v>266.58</v>
      </c>
      <c r="F3015" s="2">
        <f>IFERROR(__xludf.DUMMYFUNCTION("""COMPUTED_VALUE"""),4273937.0)</f>
        <v>4273937</v>
      </c>
    </row>
    <row r="3016">
      <c r="A3016" s="3">
        <f>IFERROR(__xludf.DUMMYFUNCTION("""COMPUTED_VALUE"""),40963.645833333336)</f>
        <v>40963.64583</v>
      </c>
      <c r="B3016" s="2">
        <f>IFERROR(__xludf.DUMMYFUNCTION("""COMPUTED_VALUE"""),263.6)</f>
        <v>263.6</v>
      </c>
      <c r="C3016" s="2">
        <f>IFERROR(__xludf.DUMMYFUNCTION("""COMPUTED_VALUE"""),267.7)</f>
        <v>267.7</v>
      </c>
      <c r="D3016" s="2">
        <f>IFERROR(__xludf.DUMMYFUNCTION("""COMPUTED_VALUE"""),257.67)</f>
        <v>257.67</v>
      </c>
      <c r="E3016" s="2">
        <f>IFERROR(__xludf.DUMMYFUNCTION("""COMPUTED_VALUE"""),262.33)</f>
        <v>262.33</v>
      </c>
      <c r="F3016" s="2">
        <f>IFERROR(__xludf.DUMMYFUNCTION("""COMPUTED_VALUE"""),4095042.0)</f>
        <v>4095042</v>
      </c>
    </row>
    <row r="3017">
      <c r="A3017" s="3">
        <f>IFERROR(__xludf.DUMMYFUNCTION("""COMPUTED_VALUE"""),40966.645833333336)</f>
        <v>40966.64583</v>
      </c>
      <c r="B3017" s="2">
        <f>IFERROR(__xludf.DUMMYFUNCTION("""COMPUTED_VALUE"""),263.45)</f>
        <v>263.45</v>
      </c>
      <c r="C3017" s="2">
        <f>IFERROR(__xludf.DUMMYFUNCTION("""COMPUTED_VALUE"""),265.73)</f>
        <v>265.73</v>
      </c>
      <c r="D3017" s="2">
        <f>IFERROR(__xludf.DUMMYFUNCTION("""COMPUTED_VALUE"""),256.08)</f>
        <v>256.08</v>
      </c>
      <c r="E3017" s="2">
        <f>IFERROR(__xludf.DUMMYFUNCTION("""COMPUTED_VALUE"""),257.8)</f>
        <v>257.8</v>
      </c>
      <c r="F3017" s="2">
        <f>IFERROR(__xludf.DUMMYFUNCTION("""COMPUTED_VALUE"""),3830323.0)</f>
        <v>3830323</v>
      </c>
    </row>
    <row r="3018">
      <c r="A3018" s="3">
        <f>IFERROR(__xludf.DUMMYFUNCTION("""COMPUTED_VALUE"""),40967.645833333336)</f>
        <v>40967.64583</v>
      </c>
      <c r="B3018" s="2">
        <f>IFERROR(__xludf.DUMMYFUNCTION("""COMPUTED_VALUE"""),259.63)</f>
        <v>259.63</v>
      </c>
      <c r="C3018" s="2">
        <f>IFERROR(__xludf.DUMMYFUNCTION("""COMPUTED_VALUE"""),266.7)</f>
        <v>266.7</v>
      </c>
      <c r="D3018" s="2">
        <f>IFERROR(__xludf.DUMMYFUNCTION("""COMPUTED_VALUE"""),256.6)</f>
        <v>256.6</v>
      </c>
      <c r="E3018" s="2">
        <f>IFERROR(__xludf.DUMMYFUNCTION("""COMPUTED_VALUE"""),265.25)</f>
        <v>265.25</v>
      </c>
      <c r="F3018" s="2">
        <f>IFERROR(__xludf.DUMMYFUNCTION("""COMPUTED_VALUE"""),3700287.0)</f>
        <v>3700287</v>
      </c>
    </row>
    <row r="3019">
      <c r="A3019" s="3">
        <f>IFERROR(__xludf.DUMMYFUNCTION("""COMPUTED_VALUE"""),40968.645833333336)</f>
        <v>40968.64583</v>
      </c>
      <c r="B3019" s="2">
        <f>IFERROR(__xludf.DUMMYFUNCTION("""COMPUTED_VALUE"""),266.95)</f>
        <v>266.95</v>
      </c>
      <c r="C3019" s="2">
        <f>IFERROR(__xludf.DUMMYFUNCTION("""COMPUTED_VALUE"""),269.95)</f>
        <v>269.95</v>
      </c>
      <c r="D3019" s="2">
        <f>IFERROR(__xludf.DUMMYFUNCTION("""COMPUTED_VALUE"""),256.67)</f>
        <v>256.67</v>
      </c>
      <c r="E3019" s="2">
        <f>IFERROR(__xludf.DUMMYFUNCTION("""COMPUTED_VALUE"""),258.55)</f>
        <v>258.55</v>
      </c>
      <c r="F3019" s="2">
        <f>IFERROR(__xludf.DUMMYFUNCTION("""COMPUTED_VALUE"""),4997159.0)</f>
        <v>4997159</v>
      </c>
    </row>
    <row r="3020">
      <c r="A3020" s="3">
        <f>IFERROR(__xludf.DUMMYFUNCTION("""COMPUTED_VALUE"""),40969.645833333336)</f>
        <v>40969.64583</v>
      </c>
      <c r="B3020" s="2">
        <f>IFERROR(__xludf.DUMMYFUNCTION("""COMPUTED_VALUE"""),258.5)</f>
        <v>258.5</v>
      </c>
      <c r="C3020" s="2">
        <f>IFERROR(__xludf.DUMMYFUNCTION("""COMPUTED_VALUE"""),261.15)</f>
        <v>261.15</v>
      </c>
      <c r="D3020" s="2">
        <f>IFERROR(__xludf.DUMMYFUNCTION("""COMPUTED_VALUE"""),252.65)</f>
        <v>252.65</v>
      </c>
      <c r="E3020" s="2">
        <f>IFERROR(__xludf.DUMMYFUNCTION("""COMPUTED_VALUE"""),257.0)</f>
        <v>257</v>
      </c>
      <c r="F3020" s="2">
        <f>IFERROR(__xludf.DUMMYFUNCTION("""COMPUTED_VALUE"""),3049623.0)</f>
        <v>3049623</v>
      </c>
    </row>
    <row r="3021">
      <c r="A3021" s="3">
        <f>IFERROR(__xludf.DUMMYFUNCTION("""COMPUTED_VALUE"""),40970.645833333336)</f>
        <v>40970.64583</v>
      </c>
      <c r="B3021" s="2">
        <f>IFERROR(__xludf.DUMMYFUNCTION("""COMPUTED_VALUE"""),257.0)</f>
        <v>257</v>
      </c>
      <c r="C3021" s="2">
        <f>IFERROR(__xludf.DUMMYFUNCTION("""COMPUTED_VALUE"""),262.5)</f>
        <v>262.5</v>
      </c>
      <c r="D3021" s="2">
        <f>IFERROR(__xludf.DUMMYFUNCTION("""COMPUTED_VALUE"""),253.88)</f>
        <v>253.88</v>
      </c>
      <c r="E3021" s="2">
        <f>IFERROR(__xludf.DUMMYFUNCTION("""COMPUTED_VALUE"""),259.38)</f>
        <v>259.38</v>
      </c>
      <c r="F3021" s="2">
        <f>IFERROR(__xludf.DUMMYFUNCTION("""COMPUTED_VALUE"""),2029174.0)</f>
        <v>2029174</v>
      </c>
    </row>
    <row r="3022">
      <c r="A3022" s="3">
        <f>IFERROR(__xludf.DUMMYFUNCTION("""COMPUTED_VALUE"""),40973.645833333336)</f>
        <v>40973.64583</v>
      </c>
      <c r="B3022" s="2">
        <f>IFERROR(__xludf.DUMMYFUNCTION("""COMPUTED_VALUE"""),260.0)</f>
        <v>260</v>
      </c>
      <c r="C3022" s="2">
        <f>IFERROR(__xludf.DUMMYFUNCTION("""COMPUTED_VALUE"""),260.48)</f>
        <v>260.48</v>
      </c>
      <c r="D3022" s="2">
        <f>IFERROR(__xludf.DUMMYFUNCTION("""COMPUTED_VALUE"""),252.78)</f>
        <v>252.78</v>
      </c>
      <c r="E3022" s="2">
        <f>IFERROR(__xludf.DUMMYFUNCTION("""COMPUTED_VALUE"""),255.48)</f>
        <v>255.48</v>
      </c>
      <c r="F3022" s="2">
        <f>IFERROR(__xludf.DUMMYFUNCTION("""COMPUTED_VALUE"""),2512843.0)</f>
        <v>2512843</v>
      </c>
    </row>
    <row r="3023">
      <c r="A3023" s="3">
        <f>IFERROR(__xludf.DUMMYFUNCTION("""COMPUTED_VALUE"""),40974.645833333336)</f>
        <v>40974.64583</v>
      </c>
      <c r="B3023" s="2">
        <f>IFERROR(__xludf.DUMMYFUNCTION("""COMPUTED_VALUE"""),254.9)</f>
        <v>254.9</v>
      </c>
      <c r="C3023" s="2">
        <f>IFERROR(__xludf.DUMMYFUNCTION("""COMPUTED_VALUE"""),260.5)</f>
        <v>260.5</v>
      </c>
      <c r="D3023" s="2">
        <f>IFERROR(__xludf.DUMMYFUNCTION("""COMPUTED_VALUE"""),251.63)</f>
        <v>251.63</v>
      </c>
      <c r="E3023" s="2">
        <f>IFERROR(__xludf.DUMMYFUNCTION("""COMPUTED_VALUE"""),253.7)</f>
        <v>253.7</v>
      </c>
      <c r="F3023" s="2">
        <f>IFERROR(__xludf.DUMMYFUNCTION("""COMPUTED_VALUE"""),2899297.0)</f>
        <v>2899297</v>
      </c>
    </row>
    <row r="3024">
      <c r="A3024" s="3">
        <f>IFERROR(__xludf.DUMMYFUNCTION("""COMPUTED_VALUE"""),40975.645833333336)</f>
        <v>40975.64583</v>
      </c>
      <c r="B3024" s="2">
        <f>IFERROR(__xludf.DUMMYFUNCTION("""COMPUTED_VALUE"""),253.43)</f>
        <v>253.43</v>
      </c>
      <c r="C3024" s="2">
        <f>IFERROR(__xludf.DUMMYFUNCTION("""COMPUTED_VALUE"""),259.0)</f>
        <v>259</v>
      </c>
      <c r="D3024" s="2">
        <f>IFERROR(__xludf.DUMMYFUNCTION("""COMPUTED_VALUE"""),248.78)</f>
        <v>248.78</v>
      </c>
      <c r="E3024" s="2">
        <f>IFERROR(__xludf.DUMMYFUNCTION("""COMPUTED_VALUE"""),257.83)</f>
        <v>257.83</v>
      </c>
      <c r="F3024" s="2">
        <f>IFERROR(__xludf.DUMMYFUNCTION("""COMPUTED_VALUE"""),1894409.0)</f>
        <v>1894409</v>
      </c>
    </row>
    <row r="3025">
      <c r="A3025" s="3">
        <f>IFERROR(__xludf.DUMMYFUNCTION("""COMPUTED_VALUE"""),40977.645833333336)</f>
        <v>40977.64583</v>
      </c>
      <c r="B3025" s="2">
        <f>IFERROR(__xludf.DUMMYFUNCTION("""COMPUTED_VALUE"""),261.0)</f>
        <v>261</v>
      </c>
      <c r="C3025" s="2">
        <f>IFERROR(__xludf.DUMMYFUNCTION("""COMPUTED_VALUE"""),263.5)</f>
        <v>263.5</v>
      </c>
      <c r="D3025" s="2">
        <f>IFERROR(__xludf.DUMMYFUNCTION("""COMPUTED_VALUE"""),259.83)</f>
        <v>259.83</v>
      </c>
      <c r="E3025" s="2">
        <f>IFERROR(__xludf.DUMMYFUNCTION("""COMPUTED_VALUE"""),261.6)</f>
        <v>261.6</v>
      </c>
      <c r="F3025" s="2">
        <f>IFERROR(__xludf.DUMMYFUNCTION("""COMPUTED_VALUE"""),2328761.0)</f>
        <v>2328761</v>
      </c>
    </row>
    <row r="3026">
      <c r="A3026" s="3">
        <f>IFERROR(__xludf.DUMMYFUNCTION("""COMPUTED_VALUE"""),40980.645833333336)</f>
        <v>40980.64583</v>
      </c>
      <c r="B3026" s="2">
        <f>IFERROR(__xludf.DUMMYFUNCTION("""COMPUTED_VALUE"""),267.0)</f>
        <v>267</v>
      </c>
      <c r="C3026" s="2">
        <f>IFERROR(__xludf.DUMMYFUNCTION("""COMPUTED_VALUE"""),267.25)</f>
        <v>267.25</v>
      </c>
      <c r="D3026" s="2">
        <f>IFERROR(__xludf.DUMMYFUNCTION("""COMPUTED_VALUE"""),258.5)</f>
        <v>258.5</v>
      </c>
      <c r="E3026" s="2">
        <f>IFERROR(__xludf.DUMMYFUNCTION("""COMPUTED_VALUE"""),259.48)</f>
        <v>259.48</v>
      </c>
      <c r="F3026" s="2">
        <f>IFERROR(__xludf.DUMMYFUNCTION("""COMPUTED_VALUE"""),2804346.0)</f>
        <v>2804346</v>
      </c>
    </row>
    <row r="3027">
      <c r="A3027" s="3">
        <f>IFERROR(__xludf.DUMMYFUNCTION("""COMPUTED_VALUE"""),40981.645833333336)</f>
        <v>40981.64583</v>
      </c>
      <c r="B3027" s="2">
        <f>IFERROR(__xludf.DUMMYFUNCTION("""COMPUTED_VALUE"""),261.5)</f>
        <v>261.5</v>
      </c>
      <c r="C3027" s="2">
        <f>IFERROR(__xludf.DUMMYFUNCTION("""COMPUTED_VALUE"""),263.75)</f>
        <v>263.75</v>
      </c>
      <c r="D3027" s="2">
        <f>IFERROR(__xludf.DUMMYFUNCTION("""COMPUTED_VALUE"""),260.17)</f>
        <v>260.17</v>
      </c>
      <c r="E3027" s="2">
        <f>IFERROR(__xludf.DUMMYFUNCTION("""COMPUTED_VALUE"""),262.2)</f>
        <v>262.2</v>
      </c>
      <c r="F3027" s="2">
        <f>IFERROR(__xludf.DUMMYFUNCTION("""COMPUTED_VALUE"""),2769857.0)</f>
        <v>2769857</v>
      </c>
    </row>
    <row r="3028">
      <c r="A3028" s="3">
        <f>IFERROR(__xludf.DUMMYFUNCTION("""COMPUTED_VALUE"""),40982.645833333336)</f>
        <v>40982.64583</v>
      </c>
      <c r="B3028" s="2">
        <f>IFERROR(__xludf.DUMMYFUNCTION("""COMPUTED_VALUE"""),264.05)</f>
        <v>264.05</v>
      </c>
      <c r="C3028" s="2">
        <f>IFERROR(__xludf.DUMMYFUNCTION("""COMPUTED_VALUE"""),265.0)</f>
        <v>265</v>
      </c>
      <c r="D3028" s="2">
        <f>IFERROR(__xludf.DUMMYFUNCTION("""COMPUTED_VALUE"""),260.73)</f>
        <v>260.73</v>
      </c>
      <c r="E3028" s="2">
        <f>IFERROR(__xludf.DUMMYFUNCTION("""COMPUTED_VALUE"""),264.1)</f>
        <v>264.1</v>
      </c>
      <c r="F3028" s="2">
        <f>IFERROR(__xludf.DUMMYFUNCTION("""COMPUTED_VALUE"""),2930281.0)</f>
        <v>2930281</v>
      </c>
    </row>
    <row r="3029">
      <c r="A3029" s="3">
        <f>IFERROR(__xludf.DUMMYFUNCTION("""COMPUTED_VALUE"""),40983.645833333336)</f>
        <v>40983.64583</v>
      </c>
      <c r="B3029" s="2">
        <f>IFERROR(__xludf.DUMMYFUNCTION("""COMPUTED_VALUE"""),264.0)</f>
        <v>264</v>
      </c>
      <c r="C3029" s="2">
        <f>IFERROR(__xludf.DUMMYFUNCTION("""COMPUTED_VALUE"""),265.0)</f>
        <v>265</v>
      </c>
      <c r="D3029" s="2">
        <f>IFERROR(__xludf.DUMMYFUNCTION("""COMPUTED_VALUE"""),254.53)</f>
        <v>254.53</v>
      </c>
      <c r="E3029" s="2">
        <f>IFERROR(__xludf.DUMMYFUNCTION("""COMPUTED_VALUE"""),255.4)</f>
        <v>255.4</v>
      </c>
      <c r="F3029" s="2">
        <f>IFERROR(__xludf.DUMMYFUNCTION("""COMPUTED_VALUE"""),3734799.0)</f>
        <v>3734799</v>
      </c>
    </row>
    <row r="3030">
      <c r="A3030" s="3">
        <f>IFERROR(__xludf.DUMMYFUNCTION("""COMPUTED_VALUE"""),40984.645833333336)</f>
        <v>40984.64583</v>
      </c>
      <c r="B3030" s="2">
        <f>IFERROR(__xludf.DUMMYFUNCTION("""COMPUTED_VALUE"""),255.0)</f>
        <v>255</v>
      </c>
      <c r="C3030" s="2">
        <f>IFERROR(__xludf.DUMMYFUNCTION("""COMPUTED_VALUE"""),262.45)</f>
        <v>262.45</v>
      </c>
      <c r="D3030" s="2">
        <f>IFERROR(__xludf.DUMMYFUNCTION("""COMPUTED_VALUE"""),252.5)</f>
        <v>252.5</v>
      </c>
      <c r="E3030" s="2">
        <f>IFERROR(__xludf.DUMMYFUNCTION("""COMPUTED_VALUE"""),253.93)</f>
        <v>253.93</v>
      </c>
      <c r="F3030" s="2">
        <f>IFERROR(__xludf.DUMMYFUNCTION("""COMPUTED_VALUE"""),3202652.0)</f>
        <v>3202652</v>
      </c>
    </row>
    <row r="3031">
      <c r="A3031" s="3">
        <f>IFERROR(__xludf.DUMMYFUNCTION("""COMPUTED_VALUE"""),40987.645833333336)</f>
        <v>40987.64583</v>
      </c>
      <c r="B3031" s="2">
        <f>IFERROR(__xludf.DUMMYFUNCTION("""COMPUTED_VALUE"""),255.03)</f>
        <v>255.03</v>
      </c>
      <c r="C3031" s="2">
        <f>IFERROR(__xludf.DUMMYFUNCTION("""COMPUTED_VALUE"""),255.03)</f>
        <v>255.03</v>
      </c>
      <c r="D3031" s="2">
        <f>IFERROR(__xludf.DUMMYFUNCTION("""COMPUTED_VALUE"""),247.55)</f>
        <v>247.55</v>
      </c>
      <c r="E3031" s="2">
        <f>IFERROR(__xludf.DUMMYFUNCTION("""COMPUTED_VALUE"""),249.43)</f>
        <v>249.43</v>
      </c>
      <c r="F3031" s="2">
        <f>IFERROR(__xludf.DUMMYFUNCTION("""COMPUTED_VALUE"""),3824942.0)</f>
        <v>3824942</v>
      </c>
    </row>
    <row r="3032">
      <c r="A3032" s="3">
        <f>IFERROR(__xludf.DUMMYFUNCTION("""COMPUTED_VALUE"""),40988.645833333336)</f>
        <v>40988.64583</v>
      </c>
      <c r="B3032" s="2">
        <f>IFERROR(__xludf.DUMMYFUNCTION("""COMPUTED_VALUE"""),248.0)</f>
        <v>248</v>
      </c>
      <c r="C3032" s="2">
        <f>IFERROR(__xludf.DUMMYFUNCTION("""COMPUTED_VALUE"""),255.43)</f>
        <v>255.43</v>
      </c>
      <c r="D3032" s="2">
        <f>IFERROR(__xludf.DUMMYFUNCTION("""COMPUTED_VALUE"""),246.5)</f>
        <v>246.5</v>
      </c>
      <c r="E3032" s="2">
        <f>IFERROR(__xludf.DUMMYFUNCTION("""COMPUTED_VALUE"""),252.7)</f>
        <v>252.7</v>
      </c>
      <c r="F3032" s="2">
        <f>IFERROR(__xludf.DUMMYFUNCTION("""COMPUTED_VALUE"""),1581068.0)</f>
        <v>1581068</v>
      </c>
    </row>
    <row r="3033">
      <c r="A3033" s="3">
        <f>IFERROR(__xludf.DUMMYFUNCTION("""COMPUTED_VALUE"""),40989.645833333336)</f>
        <v>40989.64583</v>
      </c>
      <c r="B3033" s="2">
        <f>IFERROR(__xludf.DUMMYFUNCTION("""COMPUTED_VALUE"""),251.5)</f>
        <v>251.5</v>
      </c>
      <c r="C3033" s="2">
        <f>IFERROR(__xludf.DUMMYFUNCTION("""COMPUTED_VALUE"""),258.92)</f>
        <v>258.92</v>
      </c>
      <c r="D3033" s="2">
        <f>IFERROR(__xludf.DUMMYFUNCTION("""COMPUTED_VALUE"""),251.5)</f>
        <v>251.5</v>
      </c>
      <c r="E3033" s="2">
        <f>IFERROR(__xludf.DUMMYFUNCTION("""COMPUTED_VALUE"""),257.83)</f>
        <v>257.83</v>
      </c>
      <c r="F3033" s="2">
        <f>IFERROR(__xludf.DUMMYFUNCTION("""COMPUTED_VALUE"""),3005393.0)</f>
        <v>3005393</v>
      </c>
    </row>
    <row r="3034">
      <c r="A3034" s="3">
        <f>IFERROR(__xludf.DUMMYFUNCTION("""COMPUTED_VALUE"""),40990.645833333336)</f>
        <v>40990.64583</v>
      </c>
      <c r="B3034" s="2">
        <f>IFERROR(__xludf.DUMMYFUNCTION("""COMPUTED_VALUE"""),256.95)</f>
        <v>256.95</v>
      </c>
      <c r="C3034" s="2">
        <f>IFERROR(__xludf.DUMMYFUNCTION("""COMPUTED_VALUE"""),261.2)</f>
        <v>261.2</v>
      </c>
      <c r="D3034" s="2">
        <f>IFERROR(__xludf.DUMMYFUNCTION("""COMPUTED_VALUE"""),250.05)</f>
        <v>250.05</v>
      </c>
      <c r="E3034" s="2">
        <f>IFERROR(__xludf.DUMMYFUNCTION("""COMPUTED_VALUE"""),252.13)</f>
        <v>252.13</v>
      </c>
      <c r="F3034" s="2">
        <f>IFERROR(__xludf.DUMMYFUNCTION("""COMPUTED_VALUE"""),2820016.0)</f>
        <v>2820016</v>
      </c>
    </row>
    <row r="3035">
      <c r="A3035" s="3">
        <f>IFERROR(__xludf.DUMMYFUNCTION("""COMPUTED_VALUE"""),40991.645833333336)</f>
        <v>40991.64583</v>
      </c>
      <c r="B3035" s="2">
        <f>IFERROR(__xludf.DUMMYFUNCTION("""COMPUTED_VALUE"""),254.75)</f>
        <v>254.75</v>
      </c>
      <c r="C3035" s="2">
        <f>IFERROR(__xludf.DUMMYFUNCTION("""COMPUTED_VALUE"""),259.38)</f>
        <v>259.38</v>
      </c>
      <c r="D3035" s="2">
        <f>IFERROR(__xludf.DUMMYFUNCTION("""COMPUTED_VALUE"""),250.48)</f>
        <v>250.48</v>
      </c>
      <c r="E3035" s="2">
        <f>IFERROR(__xludf.DUMMYFUNCTION("""COMPUTED_VALUE"""),256.98)</f>
        <v>256.98</v>
      </c>
      <c r="F3035" s="2">
        <f>IFERROR(__xludf.DUMMYFUNCTION("""COMPUTED_VALUE"""),2011791.0)</f>
        <v>2011791</v>
      </c>
    </row>
    <row r="3036">
      <c r="A3036" s="3">
        <f>IFERROR(__xludf.DUMMYFUNCTION("""COMPUTED_VALUE"""),40994.645833333336)</f>
        <v>40994.64583</v>
      </c>
      <c r="B3036" s="2">
        <f>IFERROR(__xludf.DUMMYFUNCTION("""COMPUTED_VALUE"""),256.75)</f>
        <v>256.75</v>
      </c>
      <c r="C3036" s="2">
        <f>IFERROR(__xludf.DUMMYFUNCTION("""COMPUTED_VALUE"""),258.25)</f>
        <v>258.25</v>
      </c>
      <c r="D3036" s="2">
        <f>IFERROR(__xludf.DUMMYFUNCTION("""COMPUTED_VALUE"""),252.83)</f>
        <v>252.83</v>
      </c>
      <c r="E3036" s="2">
        <f>IFERROR(__xludf.DUMMYFUNCTION("""COMPUTED_VALUE"""),255.83)</f>
        <v>255.83</v>
      </c>
      <c r="F3036" s="2">
        <f>IFERROR(__xludf.DUMMYFUNCTION("""COMPUTED_VALUE"""),2458229.0)</f>
        <v>2458229</v>
      </c>
    </row>
    <row r="3037">
      <c r="A3037" s="3">
        <f>IFERROR(__xludf.DUMMYFUNCTION("""COMPUTED_VALUE"""),40995.645833333336)</f>
        <v>40995.64583</v>
      </c>
      <c r="B3037" s="2">
        <f>IFERROR(__xludf.DUMMYFUNCTION("""COMPUTED_VALUE"""),257.5)</f>
        <v>257.5</v>
      </c>
      <c r="C3037" s="2">
        <f>IFERROR(__xludf.DUMMYFUNCTION("""COMPUTED_VALUE"""),260.9)</f>
        <v>260.9</v>
      </c>
      <c r="D3037" s="2">
        <f>IFERROR(__xludf.DUMMYFUNCTION("""COMPUTED_VALUE"""),256.0)</f>
        <v>256</v>
      </c>
      <c r="E3037" s="2">
        <f>IFERROR(__xludf.DUMMYFUNCTION("""COMPUTED_VALUE"""),259.42)</f>
        <v>259.42</v>
      </c>
      <c r="F3037" s="2">
        <f>IFERROR(__xludf.DUMMYFUNCTION("""COMPUTED_VALUE"""),2964338.0)</f>
        <v>2964338</v>
      </c>
    </row>
    <row r="3038">
      <c r="A3038" s="3">
        <f>IFERROR(__xludf.DUMMYFUNCTION("""COMPUTED_VALUE"""),40996.645833333336)</f>
        <v>40996.64583</v>
      </c>
      <c r="B3038" s="2">
        <f>IFERROR(__xludf.DUMMYFUNCTION("""COMPUTED_VALUE"""),259.25)</f>
        <v>259.25</v>
      </c>
      <c r="C3038" s="2">
        <f>IFERROR(__xludf.DUMMYFUNCTION("""COMPUTED_VALUE"""),259.25)</f>
        <v>259.25</v>
      </c>
      <c r="D3038" s="2">
        <f>IFERROR(__xludf.DUMMYFUNCTION("""COMPUTED_VALUE"""),255.03)</f>
        <v>255.03</v>
      </c>
      <c r="E3038" s="2">
        <f>IFERROR(__xludf.DUMMYFUNCTION("""COMPUTED_VALUE"""),256.73)</f>
        <v>256.73</v>
      </c>
      <c r="F3038" s="2">
        <f>IFERROR(__xludf.DUMMYFUNCTION("""COMPUTED_VALUE"""),2174873.0)</f>
        <v>2174873</v>
      </c>
    </row>
    <row r="3039">
      <c r="A3039" s="3">
        <f>IFERROR(__xludf.DUMMYFUNCTION("""COMPUTED_VALUE"""),40997.645833333336)</f>
        <v>40997.64583</v>
      </c>
      <c r="B3039" s="2">
        <f>IFERROR(__xludf.DUMMYFUNCTION("""COMPUTED_VALUE"""),254.0)</f>
        <v>254</v>
      </c>
      <c r="C3039" s="2">
        <f>IFERROR(__xludf.DUMMYFUNCTION("""COMPUTED_VALUE"""),257.05)</f>
        <v>257.05</v>
      </c>
      <c r="D3039" s="2">
        <f>IFERROR(__xludf.DUMMYFUNCTION("""COMPUTED_VALUE"""),252.5)</f>
        <v>252.5</v>
      </c>
      <c r="E3039" s="2">
        <f>IFERROR(__xludf.DUMMYFUNCTION("""COMPUTED_VALUE"""),255.05)</f>
        <v>255.05</v>
      </c>
      <c r="F3039" s="2">
        <f>IFERROR(__xludf.DUMMYFUNCTION("""COMPUTED_VALUE"""),4056279.0)</f>
        <v>4056279</v>
      </c>
    </row>
    <row r="3040">
      <c r="A3040" s="3">
        <f>IFERROR(__xludf.DUMMYFUNCTION("""COMPUTED_VALUE"""),40998.645833333336)</f>
        <v>40998.64583</v>
      </c>
      <c r="B3040" s="2">
        <f>IFERROR(__xludf.DUMMYFUNCTION("""COMPUTED_VALUE"""),256.0)</f>
        <v>256</v>
      </c>
      <c r="C3040" s="2">
        <f>IFERROR(__xludf.DUMMYFUNCTION("""COMPUTED_VALUE"""),261.92)</f>
        <v>261.92</v>
      </c>
      <c r="D3040" s="2">
        <f>IFERROR(__xludf.DUMMYFUNCTION("""COMPUTED_VALUE"""),254.88)</f>
        <v>254.88</v>
      </c>
      <c r="E3040" s="2">
        <f>IFERROR(__xludf.DUMMYFUNCTION("""COMPUTED_VALUE"""),259.92)</f>
        <v>259.92</v>
      </c>
      <c r="F3040" s="2">
        <f>IFERROR(__xludf.DUMMYFUNCTION("""COMPUTED_VALUE"""),2796244.0)</f>
        <v>2796244</v>
      </c>
    </row>
    <row r="3041">
      <c r="A3041" s="3">
        <f>IFERROR(__xludf.DUMMYFUNCTION("""COMPUTED_VALUE"""),41001.645833333336)</f>
        <v>41001.64583</v>
      </c>
      <c r="B3041" s="2">
        <f>IFERROR(__xludf.DUMMYFUNCTION("""COMPUTED_VALUE"""),259.0)</f>
        <v>259</v>
      </c>
      <c r="C3041" s="2">
        <f>IFERROR(__xludf.DUMMYFUNCTION("""COMPUTED_VALUE"""),264.98)</f>
        <v>264.98</v>
      </c>
      <c r="D3041" s="2">
        <f>IFERROR(__xludf.DUMMYFUNCTION("""COMPUTED_VALUE"""),258.05)</f>
        <v>258.05</v>
      </c>
      <c r="E3041" s="2">
        <f>IFERROR(__xludf.DUMMYFUNCTION("""COMPUTED_VALUE"""),264.17)</f>
        <v>264.17</v>
      </c>
      <c r="F3041" s="2">
        <f>IFERROR(__xludf.DUMMYFUNCTION("""COMPUTED_VALUE"""),1382733.0)</f>
        <v>1382733</v>
      </c>
    </row>
    <row r="3042">
      <c r="A3042" s="3">
        <f>IFERROR(__xludf.DUMMYFUNCTION("""COMPUTED_VALUE"""),41002.645833333336)</f>
        <v>41002.64583</v>
      </c>
      <c r="B3042" s="2">
        <f>IFERROR(__xludf.DUMMYFUNCTION("""COMPUTED_VALUE"""),266.5)</f>
        <v>266.5</v>
      </c>
      <c r="C3042" s="2">
        <f>IFERROR(__xludf.DUMMYFUNCTION("""COMPUTED_VALUE"""),268.2)</f>
        <v>268.2</v>
      </c>
      <c r="D3042" s="2">
        <f>IFERROR(__xludf.DUMMYFUNCTION("""COMPUTED_VALUE"""),264.0)</f>
        <v>264</v>
      </c>
      <c r="E3042" s="2">
        <f>IFERROR(__xludf.DUMMYFUNCTION("""COMPUTED_VALUE"""),265.1)</f>
        <v>265.1</v>
      </c>
      <c r="F3042" s="2">
        <f>IFERROR(__xludf.DUMMYFUNCTION("""COMPUTED_VALUE"""),3230203.0)</f>
        <v>3230203</v>
      </c>
    </row>
    <row r="3043">
      <c r="A3043" s="3">
        <f>IFERROR(__xludf.DUMMYFUNCTION("""COMPUTED_VALUE"""),41003.645833333336)</f>
        <v>41003.64583</v>
      </c>
      <c r="B3043" s="2">
        <f>IFERROR(__xludf.DUMMYFUNCTION("""COMPUTED_VALUE"""),262.63)</f>
        <v>262.63</v>
      </c>
      <c r="C3043" s="2">
        <f>IFERROR(__xludf.DUMMYFUNCTION("""COMPUTED_VALUE"""),264.5)</f>
        <v>264.5</v>
      </c>
      <c r="D3043" s="2">
        <f>IFERROR(__xludf.DUMMYFUNCTION("""COMPUTED_VALUE"""),262.2)</f>
        <v>262.2</v>
      </c>
      <c r="E3043" s="2">
        <f>IFERROR(__xludf.DUMMYFUNCTION("""COMPUTED_VALUE"""),263.27)</f>
        <v>263.27</v>
      </c>
      <c r="F3043" s="2">
        <f>IFERROR(__xludf.DUMMYFUNCTION("""COMPUTED_VALUE"""),1043769.0)</f>
        <v>1043769</v>
      </c>
    </row>
    <row r="3044">
      <c r="A3044" s="3">
        <f>IFERROR(__xludf.DUMMYFUNCTION("""COMPUTED_VALUE"""),41008.645833333336)</f>
        <v>41008.64583</v>
      </c>
      <c r="B3044" s="2">
        <f>IFERROR(__xludf.DUMMYFUNCTION("""COMPUTED_VALUE"""),261.88)</f>
        <v>261.88</v>
      </c>
      <c r="C3044" s="2">
        <f>IFERROR(__xludf.DUMMYFUNCTION("""COMPUTED_VALUE"""),263.15)</f>
        <v>263.15</v>
      </c>
      <c r="D3044" s="2">
        <f>IFERROR(__xludf.DUMMYFUNCTION("""COMPUTED_VALUE"""),260.0)</f>
        <v>260</v>
      </c>
      <c r="E3044" s="2">
        <f>IFERROR(__xludf.DUMMYFUNCTION("""COMPUTED_VALUE"""),260.88)</f>
        <v>260.88</v>
      </c>
      <c r="F3044" s="2">
        <f>IFERROR(__xludf.DUMMYFUNCTION("""COMPUTED_VALUE"""),1259185.0)</f>
        <v>1259185</v>
      </c>
    </row>
    <row r="3045">
      <c r="A3045" s="3">
        <f>IFERROR(__xludf.DUMMYFUNCTION("""COMPUTED_VALUE"""),41009.645833333336)</f>
        <v>41009.64583</v>
      </c>
      <c r="B3045" s="2">
        <f>IFERROR(__xludf.DUMMYFUNCTION("""COMPUTED_VALUE"""),261.7)</f>
        <v>261.7</v>
      </c>
      <c r="C3045" s="2">
        <f>IFERROR(__xludf.DUMMYFUNCTION("""COMPUTED_VALUE"""),263.0)</f>
        <v>263</v>
      </c>
      <c r="D3045" s="2">
        <f>IFERROR(__xludf.DUMMYFUNCTION("""COMPUTED_VALUE"""),257.92)</f>
        <v>257.92</v>
      </c>
      <c r="E3045" s="2">
        <f>IFERROR(__xludf.DUMMYFUNCTION("""COMPUTED_VALUE"""),262.42)</f>
        <v>262.42</v>
      </c>
      <c r="F3045" s="2">
        <f>IFERROR(__xludf.DUMMYFUNCTION("""COMPUTED_VALUE"""),1458518.0)</f>
        <v>1458518</v>
      </c>
    </row>
    <row r="3046">
      <c r="A3046" s="3">
        <f>IFERROR(__xludf.DUMMYFUNCTION("""COMPUTED_VALUE"""),41010.645833333336)</f>
        <v>41010.64583</v>
      </c>
      <c r="B3046" s="2">
        <f>IFERROR(__xludf.DUMMYFUNCTION("""COMPUTED_VALUE"""),260.92)</f>
        <v>260.92</v>
      </c>
      <c r="C3046" s="2">
        <f>IFERROR(__xludf.DUMMYFUNCTION("""COMPUTED_VALUE"""),265.48)</f>
        <v>265.48</v>
      </c>
      <c r="D3046" s="2">
        <f>IFERROR(__xludf.DUMMYFUNCTION("""COMPUTED_VALUE"""),258.55)</f>
        <v>258.55</v>
      </c>
      <c r="E3046" s="2">
        <f>IFERROR(__xludf.DUMMYFUNCTION("""COMPUTED_VALUE"""),263.23)</f>
        <v>263.23</v>
      </c>
      <c r="F3046" s="2">
        <f>IFERROR(__xludf.DUMMYFUNCTION("""COMPUTED_VALUE"""),1865812.0)</f>
        <v>1865812</v>
      </c>
    </row>
    <row r="3047">
      <c r="A3047" s="3">
        <f>IFERROR(__xludf.DUMMYFUNCTION("""COMPUTED_VALUE"""),41011.645833333336)</f>
        <v>41011.64583</v>
      </c>
      <c r="B3047" s="2">
        <f>IFERROR(__xludf.DUMMYFUNCTION("""COMPUTED_VALUE"""),262.5)</f>
        <v>262.5</v>
      </c>
      <c r="C3047" s="2">
        <f>IFERROR(__xludf.DUMMYFUNCTION("""COMPUTED_VALUE"""),267.25)</f>
        <v>267.25</v>
      </c>
      <c r="D3047" s="2">
        <f>IFERROR(__xludf.DUMMYFUNCTION("""COMPUTED_VALUE"""),262.15)</f>
        <v>262.15</v>
      </c>
      <c r="E3047" s="2">
        <f>IFERROR(__xludf.DUMMYFUNCTION("""COMPUTED_VALUE"""),265.2)</f>
        <v>265.2</v>
      </c>
      <c r="F3047" s="2">
        <f>IFERROR(__xludf.DUMMYFUNCTION("""COMPUTED_VALUE"""),3025822.0)</f>
        <v>3025822</v>
      </c>
    </row>
    <row r="3048">
      <c r="A3048" s="3">
        <f>IFERROR(__xludf.DUMMYFUNCTION("""COMPUTED_VALUE"""),41012.645833333336)</f>
        <v>41012.64583</v>
      </c>
      <c r="B3048" s="2">
        <f>IFERROR(__xludf.DUMMYFUNCTION("""COMPUTED_VALUE"""),268.2)</f>
        <v>268.2</v>
      </c>
      <c r="C3048" s="2">
        <f>IFERROR(__xludf.DUMMYFUNCTION("""COMPUTED_VALUE"""),268.88)</f>
        <v>268.88</v>
      </c>
      <c r="D3048" s="2">
        <f>IFERROR(__xludf.DUMMYFUNCTION("""COMPUTED_VALUE"""),261.95)</f>
        <v>261.95</v>
      </c>
      <c r="E3048" s="2">
        <f>IFERROR(__xludf.DUMMYFUNCTION("""COMPUTED_VALUE"""),264.67)</f>
        <v>264.67</v>
      </c>
      <c r="F3048" s="2">
        <f>IFERROR(__xludf.DUMMYFUNCTION("""COMPUTED_VALUE"""),2458357.0)</f>
        <v>2458357</v>
      </c>
    </row>
    <row r="3049">
      <c r="A3049" s="3">
        <f>IFERROR(__xludf.DUMMYFUNCTION("""COMPUTED_VALUE"""),41015.645833333336)</f>
        <v>41015.64583</v>
      </c>
      <c r="B3049" s="2">
        <f>IFERROR(__xludf.DUMMYFUNCTION("""COMPUTED_VALUE"""),264.45)</f>
        <v>264.45</v>
      </c>
      <c r="C3049" s="2">
        <f>IFERROR(__xludf.DUMMYFUNCTION("""COMPUTED_VALUE"""),265.5)</f>
        <v>265.5</v>
      </c>
      <c r="D3049" s="2">
        <f>IFERROR(__xludf.DUMMYFUNCTION("""COMPUTED_VALUE"""),262.05)</f>
        <v>262.05</v>
      </c>
      <c r="E3049" s="2">
        <f>IFERROR(__xludf.DUMMYFUNCTION("""COMPUTED_VALUE"""),264.88)</f>
        <v>264.88</v>
      </c>
      <c r="F3049" s="2">
        <f>IFERROR(__xludf.DUMMYFUNCTION("""COMPUTED_VALUE"""),4349021.0)</f>
        <v>4349021</v>
      </c>
    </row>
    <row r="3050">
      <c r="A3050" s="3">
        <f>IFERROR(__xludf.DUMMYFUNCTION("""COMPUTED_VALUE"""),41016.645833333336)</f>
        <v>41016.64583</v>
      </c>
      <c r="B3050" s="2">
        <f>IFERROR(__xludf.DUMMYFUNCTION("""COMPUTED_VALUE"""),266.0)</f>
        <v>266</v>
      </c>
      <c r="C3050" s="2">
        <f>IFERROR(__xludf.DUMMYFUNCTION("""COMPUTED_VALUE"""),267.95)</f>
        <v>267.95</v>
      </c>
      <c r="D3050" s="2">
        <f>IFERROR(__xludf.DUMMYFUNCTION("""COMPUTED_VALUE"""),260.55)</f>
        <v>260.55</v>
      </c>
      <c r="E3050" s="2">
        <f>IFERROR(__xludf.DUMMYFUNCTION("""COMPUTED_VALUE"""),265.13)</f>
        <v>265.13</v>
      </c>
      <c r="F3050" s="2">
        <f>IFERROR(__xludf.DUMMYFUNCTION("""COMPUTED_VALUE"""),3916452.0)</f>
        <v>3916452</v>
      </c>
    </row>
    <row r="3051">
      <c r="A3051" s="3">
        <f>IFERROR(__xludf.DUMMYFUNCTION("""COMPUTED_VALUE"""),41017.645833333336)</f>
        <v>41017.64583</v>
      </c>
      <c r="B3051" s="2">
        <f>IFERROR(__xludf.DUMMYFUNCTION("""COMPUTED_VALUE"""),266.5)</f>
        <v>266.5</v>
      </c>
      <c r="C3051" s="2">
        <f>IFERROR(__xludf.DUMMYFUNCTION("""COMPUTED_VALUE"""),269.95)</f>
        <v>269.95</v>
      </c>
      <c r="D3051" s="2">
        <f>IFERROR(__xludf.DUMMYFUNCTION("""COMPUTED_VALUE"""),266.5)</f>
        <v>266.5</v>
      </c>
      <c r="E3051" s="2">
        <f>IFERROR(__xludf.DUMMYFUNCTION("""COMPUTED_VALUE"""),268.83)</f>
        <v>268.83</v>
      </c>
      <c r="F3051" s="2">
        <f>IFERROR(__xludf.DUMMYFUNCTION("""COMPUTED_VALUE"""),3000071.0)</f>
        <v>3000071</v>
      </c>
    </row>
    <row r="3052">
      <c r="A3052" s="3">
        <f>IFERROR(__xludf.DUMMYFUNCTION("""COMPUTED_VALUE"""),41018.645833333336)</f>
        <v>41018.64583</v>
      </c>
      <c r="B3052" s="2">
        <f>IFERROR(__xludf.DUMMYFUNCTION("""COMPUTED_VALUE"""),270.0)</f>
        <v>270</v>
      </c>
      <c r="C3052" s="2">
        <f>IFERROR(__xludf.DUMMYFUNCTION("""COMPUTED_VALUE"""),277.8)</f>
        <v>277.8</v>
      </c>
      <c r="D3052" s="2">
        <f>IFERROR(__xludf.DUMMYFUNCTION("""COMPUTED_VALUE"""),268.6)</f>
        <v>268.6</v>
      </c>
      <c r="E3052" s="2">
        <f>IFERROR(__xludf.DUMMYFUNCTION("""COMPUTED_VALUE"""),277.02)</f>
        <v>277.02</v>
      </c>
      <c r="F3052" s="2">
        <f>IFERROR(__xludf.DUMMYFUNCTION("""COMPUTED_VALUE"""),4091669.0)</f>
        <v>4091669</v>
      </c>
    </row>
    <row r="3053">
      <c r="A3053" s="3">
        <f>IFERROR(__xludf.DUMMYFUNCTION("""COMPUTED_VALUE"""),41019.645833333336)</f>
        <v>41019.64583</v>
      </c>
      <c r="B3053" s="2">
        <f>IFERROR(__xludf.DUMMYFUNCTION("""COMPUTED_VALUE"""),276.13)</f>
        <v>276.13</v>
      </c>
      <c r="C3053" s="2">
        <f>IFERROR(__xludf.DUMMYFUNCTION("""COMPUTED_VALUE"""),279.0)</f>
        <v>279</v>
      </c>
      <c r="D3053" s="2">
        <f>IFERROR(__xludf.DUMMYFUNCTION("""COMPUTED_VALUE"""),273.23)</f>
        <v>273.23</v>
      </c>
      <c r="E3053" s="2">
        <f>IFERROR(__xludf.DUMMYFUNCTION("""COMPUTED_VALUE"""),275.55)</f>
        <v>275.55</v>
      </c>
      <c r="F3053" s="2">
        <f>IFERROR(__xludf.DUMMYFUNCTION("""COMPUTED_VALUE"""),3931275.0)</f>
        <v>3931275</v>
      </c>
    </row>
    <row r="3054">
      <c r="A3054" s="3">
        <f>IFERROR(__xludf.DUMMYFUNCTION("""COMPUTED_VALUE"""),41022.645833333336)</f>
        <v>41022.64583</v>
      </c>
      <c r="B3054" s="2">
        <f>IFERROR(__xludf.DUMMYFUNCTION("""COMPUTED_VALUE"""),275.98)</f>
        <v>275.98</v>
      </c>
      <c r="C3054" s="2">
        <f>IFERROR(__xludf.DUMMYFUNCTION("""COMPUTED_VALUE"""),278.0)</f>
        <v>278</v>
      </c>
      <c r="D3054" s="2">
        <f>IFERROR(__xludf.DUMMYFUNCTION("""COMPUTED_VALUE"""),271.65)</f>
        <v>271.65</v>
      </c>
      <c r="E3054" s="2">
        <f>IFERROR(__xludf.DUMMYFUNCTION("""COMPUTED_VALUE"""),272.67)</f>
        <v>272.67</v>
      </c>
      <c r="F3054" s="2">
        <f>IFERROR(__xludf.DUMMYFUNCTION("""COMPUTED_VALUE"""),2109412.0)</f>
        <v>2109412</v>
      </c>
    </row>
    <row r="3055">
      <c r="A3055" s="3">
        <f>IFERROR(__xludf.DUMMYFUNCTION("""COMPUTED_VALUE"""),41023.645833333336)</f>
        <v>41023.64583</v>
      </c>
      <c r="B3055" s="2">
        <f>IFERROR(__xludf.DUMMYFUNCTION("""COMPUTED_VALUE"""),273.05)</f>
        <v>273.05</v>
      </c>
      <c r="C3055" s="2">
        <f>IFERROR(__xludf.DUMMYFUNCTION("""COMPUTED_VALUE"""),273.25)</f>
        <v>273.25</v>
      </c>
      <c r="D3055" s="2">
        <f>IFERROR(__xludf.DUMMYFUNCTION("""COMPUTED_VALUE"""),269.7)</f>
        <v>269.7</v>
      </c>
      <c r="E3055" s="2">
        <f>IFERROR(__xludf.DUMMYFUNCTION("""COMPUTED_VALUE"""),270.92)</f>
        <v>270.92</v>
      </c>
      <c r="F3055" s="2">
        <f>IFERROR(__xludf.DUMMYFUNCTION("""COMPUTED_VALUE"""),2190195.0)</f>
        <v>2190195</v>
      </c>
    </row>
    <row r="3056">
      <c r="A3056" s="3">
        <f>IFERROR(__xludf.DUMMYFUNCTION("""COMPUTED_VALUE"""),41024.645833333336)</f>
        <v>41024.64583</v>
      </c>
      <c r="B3056" s="2">
        <f>IFERROR(__xludf.DUMMYFUNCTION("""COMPUTED_VALUE"""),272.0)</f>
        <v>272</v>
      </c>
      <c r="C3056" s="2">
        <f>IFERROR(__xludf.DUMMYFUNCTION("""COMPUTED_VALUE"""),274.75)</f>
        <v>274.75</v>
      </c>
      <c r="D3056" s="2">
        <f>IFERROR(__xludf.DUMMYFUNCTION("""COMPUTED_VALUE"""),269.0)</f>
        <v>269</v>
      </c>
      <c r="E3056" s="2">
        <f>IFERROR(__xludf.DUMMYFUNCTION("""COMPUTED_VALUE"""),273.33)</f>
        <v>273.33</v>
      </c>
      <c r="F3056" s="2">
        <f>IFERROR(__xludf.DUMMYFUNCTION("""COMPUTED_VALUE"""),2694597.0)</f>
        <v>2694597</v>
      </c>
    </row>
    <row r="3057">
      <c r="A3057" s="3">
        <f>IFERROR(__xludf.DUMMYFUNCTION("""COMPUTED_VALUE"""),41025.645833333336)</f>
        <v>41025.64583</v>
      </c>
      <c r="B3057" s="2">
        <f>IFERROR(__xludf.DUMMYFUNCTION("""COMPUTED_VALUE"""),272.5)</f>
        <v>272.5</v>
      </c>
      <c r="C3057" s="2">
        <f>IFERROR(__xludf.DUMMYFUNCTION("""COMPUTED_VALUE"""),274.98)</f>
        <v>274.98</v>
      </c>
      <c r="D3057" s="2">
        <f>IFERROR(__xludf.DUMMYFUNCTION("""COMPUTED_VALUE"""),269.5)</f>
        <v>269.5</v>
      </c>
      <c r="E3057" s="2">
        <f>IFERROR(__xludf.DUMMYFUNCTION("""COMPUTED_VALUE"""),270.25)</f>
        <v>270.25</v>
      </c>
      <c r="F3057" s="2">
        <f>IFERROR(__xludf.DUMMYFUNCTION("""COMPUTED_VALUE"""),2334738.0)</f>
        <v>2334738</v>
      </c>
    </row>
    <row r="3058">
      <c r="A3058" s="3">
        <f>IFERROR(__xludf.DUMMYFUNCTION("""COMPUTED_VALUE"""),41026.645833333336)</f>
        <v>41026.64583</v>
      </c>
      <c r="B3058" s="2">
        <f>IFERROR(__xludf.DUMMYFUNCTION("""COMPUTED_VALUE"""),271.0)</f>
        <v>271</v>
      </c>
      <c r="C3058" s="2">
        <f>IFERROR(__xludf.DUMMYFUNCTION("""COMPUTED_VALUE"""),273.0)</f>
        <v>273</v>
      </c>
      <c r="D3058" s="2">
        <f>IFERROR(__xludf.DUMMYFUNCTION("""COMPUTED_VALUE"""),267.1)</f>
        <v>267.1</v>
      </c>
      <c r="E3058" s="2">
        <f>IFERROR(__xludf.DUMMYFUNCTION("""COMPUTED_VALUE"""),270.58)</f>
        <v>270.58</v>
      </c>
      <c r="F3058" s="2">
        <f>IFERROR(__xludf.DUMMYFUNCTION("""COMPUTED_VALUE"""),1137255.0)</f>
        <v>1137255</v>
      </c>
    </row>
    <row r="3059">
      <c r="A3059" s="3">
        <f>IFERROR(__xludf.DUMMYFUNCTION("""COMPUTED_VALUE"""),41029.645833333336)</f>
        <v>41029.64583</v>
      </c>
      <c r="B3059" s="2">
        <f>IFERROR(__xludf.DUMMYFUNCTION("""COMPUTED_VALUE"""),271.9)</f>
        <v>271.9</v>
      </c>
      <c r="C3059" s="2">
        <f>IFERROR(__xludf.DUMMYFUNCTION("""COMPUTED_VALUE"""),274.5)</f>
        <v>274.5</v>
      </c>
      <c r="D3059" s="2">
        <f>IFERROR(__xludf.DUMMYFUNCTION("""COMPUTED_VALUE"""),270.17)</f>
        <v>270.17</v>
      </c>
      <c r="E3059" s="2">
        <f>IFERROR(__xludf.DUMMYFUNCTION("""COMPUTED_VALUE"""),271.25)</f>
        <v>271.25</v>
      </c>
      <c r="F3059" s="2">
        <f>IFERROR(__xludf.DUMMYFUNCTION("""COMPUTED_VALUE"""),1509755.0)</f>
        <v>1509755</v>
      </c>
    </row>
    <row r="3060">
      <c r="A3060" s="3">
        <f>IFERROR(__xludf.DUMMYFUNCTION("""COMPUTED_VALUE"""),41031.645833333336)</f>
        <v>41031.64583</v>
      </c>
      <c r="B3060" s="2">
        <f>IFERROR(__xludf.DUMMYFUNCTION("""COMPUTED_VALUE"""),270.35)</f>
        <v>270.35</v>
      </c>
      <c r="C3060" s="2">
        <f>IFERROR(__xludf.DUMMYFUNCTION("""COMPUTED_VALUE"""),275.5)</f>
        <v>275.5</v>
      </c>
      <c r="D3060" s="2">
        <f>IFERROR(__xludf.DUMMYFUNCTION("""COMPUTED_VALUE"""),270.35)</f>
        <v>270.35</v>
      </c>
      <c r="E3060" s="2">
        <f>IFERROR(__xludf.DUMMYFUNCTION("""COMPUTED_VALUE"""),274.95)</f>
        <v>274.95</v>
      </c>
      <c r="F3060" s="2">
        <f>IFERROR(__xludf.DUMMYFUNCTION("""COMPUTED_VALUE"""),2244587.0)</f>
        <v>2244587</v>
      </c>
    </row>
    <row r="3061">
      <c r="A3061" s="3">
        <f>IFERROR(__xludf.DUMMYFUNCTION("""COMPUTED_VALUE"""),41032.645833333336)</f>
        <v>41032.64583</v>
      </c>
      <c r="B3061" s="2">
        <f>IFERROR(__xludf.DUMMYFUNCTION("""COMPUTED_VALUE"""),272.75)</f>
        <v>272.75</v>
      </c>
      <c r="C3061" s="2">
        <f>IFERROR(__xludf.DUMMYFUNCTION("""COMPUTED_VALUE"""),279.0)</f>
        <v>279</v>
      </c>
      <c r="D3061" s="2">
        <f>IFERROR(__xludf.DUMMYFUNCTION("""COMPUTED_VALUE"""),272.73)</f>
        <v>272.73</v>
      </c>
      <c r="E3061" s="2">
        <f>IFERROR(__xludf.DUMMYFUNCTION("""COMPUTED_VALUE"""),277.02)</f>
        <v>277.02</v>
      </c>
      <c r="F3061" s="2">
        <f>IFERROR(__xludf.DUMMYFUNCTION("""COMPUTED_VALUE"""),3428637.0)</f>
        <v>3428637</v>
      </c>
    </row>
    <row r="3062">
      <c r="A3062" s="3">
        <f>IFERROR(__xludf.DUMMYFUNCTION("""COMPUTED_VALUE"""),41033.645833333336)</f>
        <v>41033.64583</v>
      </c>
      <c r="B3062" s="2">
        <f>IFERROR(__xludf.DUMMYFUNCTION("""COMPUTED_VALUE"""),275.6)</f>
        <v>275.6</v>
      </c>
      <c r="C3062" s="2">
        <f>IFERROR(__xludf.DUMMYFUNCTION("""COMPUTED_VALUE"""),276.85)</f>
        <v>276.85</v>
      </c>
      <c r="D3062" s="2">
        <f>IFERROR(__xludf.DUMMYFUNCTION("""COMPUTED_VALUE"""),267.33)</f>
        <v>267.33</v>
      </c>
      <c r="E3062" s="2">
        <f>IFERROR(__xludf.DUMMYFUNCTION("""COMPUTED_VALUE"""),268.75)</f>
        <v>268.75</v>
      </c>
      <c r="F3062" s="2">
        <f>IFERROR(__xludf.DUMMYFUNCTION("""COMPUTED_VALUE"""),3087972.0)</f>
        <v>3087972</v>
      </c>
    </row>
    <row r="3063">
      <c r="A3063" s="3">
        <f>IFERROR(__xludf.DUMMYFUNCTION("""COMPUTED_VALUE"""),41036.645833333336)</f>
        <v>41036.64583</v>
      </c>
      <c r="B3063" s="2">
        <f>IFERROR(__xludf.DUMMYFUNCTION("""COMPUTED_VALUE"""),265.95)</f>
        <v>265.95</v>
      </c>
      <c r="C3063" s="2">
        <f>IFERROR(__xludf.DUMMYFUNCTION("""COMPUTED_VALUE"""),267.27)</f>
        <v>267.27</v>
      </c>
      <c r="D3063" s="2">
        <f>IFERROR(__xludf.DUMMYFUNCTION("""COMPUTED_VALUE"""),258.2)</f>
        <v>258.2</v>
      </c>
      <c r="E3063" s="2">
        <f>IFERROR(__xludf.DUMMYFUNCTION("""COMPUTED_VALUE"""),266.13)</f>
        <v>266.13</v>
      </c>
      <c r="F3063" s="2">
        <f>IFERROR(__xludf.DUMMYFUNCTION("""COMPUTED_VALUE"""),4178172.0)</f>
        <v>4178172</v>
      </c>
    </row>
    <row r="3064">
      <c r="A3064" s="3">
        <f>IFERROR(__xludf.DUMMYFUNCTION("""COMPUTED_VALUE"""),41037.645833333336)</f>
        <v>41037.64583</v>
      </c>
      <c r="B3064" s="2">
        <f>IFERROR(__xludf.DUMMYFUNCTION("""COMPUTED_VALUE"""),266.45)</f>
        <v>266.45</v>
      </c>
      <c r="C3064" s="2">
        <f>IFERROR(__xludf.DUMMYFUNCTION("""COMPUTED_VALUE"""),268.2)</f>
        <v>268.2</v>
      </c>
      <c r="D3064" s="2">
        <f>IFERROR(__xludf.DUMMYFUNCTION("""COMPUTED_VALUE"""),256.63)</f>
        <v>256.63</v>
      </c>
      <c r="E3064" s="2">
        <f>IFERROR(__xludf.DUMMYFUNCTION("""COMPUTED_VALUE"""),257.67)</f>
        <v>257.67</v>
      </c>
      <c r="F3064" s="2">
        <f>IFERROR(__xludf.DUMMYFUNCTION("""COMPUTED_VALUE"""),2820770.0)</f>
        <v>2820770</v>
      </c>
    </row>
    <row r="3065">
      <c r="A3065" s="3">
        <f>IFERROR(__xludf.DUMMYFUNCTION("""COMPUTED_VALUE"""),41038.645833333336)</f>
        <v>41038.64583</v>
      </c>
      <c r="B3065" s="2">
        <f>IFERROR(__xludf.DUMMYFUNCTION("""COMPUTED_VALUE"""),256.85)</f>
        <v>256.85</v>
      </c>
      <c r="C3065" s="2">
        <f>IFERROR(__xludf.DUMMYFUNCTION("""COMPUTED_VALUE"""),261.3)</f>
        <v>261.3</v>
      </c>
      <c r="D3065" s="2">
        <f>IFERROR(__xludf.DUMMYFUNCTION("""COMPUTED_VALUE"""),252.7)</f>
        <v>252.7</v>
      </c>
      <c r="E3065" s="2">
        <f>IFERROR(__xludf.DUMMYFUNCTION("""COMPUTED_VALUE"""),256.33)</f>
        <v>256.33</v>
      </c>
      <c r="F3065" s="2">
        <f>IFERROR(__xludf.DUMMYFUNCTION("""COMPUTED_VALUE"""),3755998.0)</f>
        <v>3755998</v>
      </c>
    </row>
    <row r="3066">
      <c r="A3066" s="3">
        <f>IFERROR(__xludf.DUMMYFUNCTION("""COMPUTED_VALUE"""),41039.645833333336)</f>
        <v>41039.64583</v>
      </c>
      <c r="B3066" s="2">
        <f>IFERROR(__xludf.DUMMYFUNCTION("""COMPUTED_VALUE"""),255.53)</f>
        <v>255.53</v>
      </c>
      <c r="C3066" s="2">
        <f>IFERROR(__xludf.DUMMYFUNCTION("""COMPUTED_VALUE"""),261.45)</f>
        <v>261.45</v>
      </c>
      <c r="D3066" s="2">
        <f>IFERROR(__xludf.DUMMYFUNCTION("""COMPUTED_VALUE"""),255.0)</f>
        <v>255</v>
      </c>
      <c r="E3066" s="2">
        <f>IFERROR(__xludf.DUMMYFUNCTION("""COMPUTED_VALUE"""),258.75)</f>
        <v>258.75</v>
      </c>
      <c r="F3066" s="2">
        <f>IFERROR(__xludf.DUMMYFUNCTION("""COMPUTED_VALUE"""),3021095.0)</f>
        <v>3021095</v>
      </c>
    </row>
    <row r="3067">
      <c r="A3067" s="3">
        <f>IFERROR(__xludf.DUMMYFUNCTION("""COMPUTED_VALUE"""),41040.645833333336)</f>
        <v>41040.64583</v>
      </c>
      <c r="B3067" s="2">
        <f>IFERROR(__xludf.DUMMYFUNCTION("""COMPUTED_VALUE"""),256.63)</f>
        <v>256.63</v>
      </c>
      <c r="C3067" s="2">
        <f>IFERROR(__xludf.DUMMYFUNCTION("""COMPUTED_VALUE"""),260.0)</f>
        <v>260</v>
      </c>
      <c r="D3067" s="2">
        <f>IFERROR(__xludf.DUMMYFUNCTION("""COMPUTED_VALUE"""),254.1)</f>
        <v>254.1</v>
      </c>
      <c r="E3067" s="2">
        <f>IFERROR(__xludf.DUMMYFUNCTION("""COMPUTED_VALUE"""),255.28)</f>
        <v>255.28</v>
      </c>
      <c r="F3067" s="2">
        <f>IFERROR(__xludf.DUMMYFUNCTION("""COMPUTED_VALUE"""),2012521.0)</f>
        <v>2012521</v>
      </c>
    </row>
    <row r="3068">
      <c r="A3068" s="3">
        <f>IFERROR(__xludf.DUMMYFUNCTION("""COMPUTED_VALUE"""),41043.645833333336)</f>
        <v>41043.64583</v>
      </c>
      <c r="B3068" s="2">
        <f>IFERROR(__xludf.DUMMYFUNCTION("""COMPUTED_VALUE"""),255.38)</f>
        <v>255.38</v>
      </c>
      <c r="C3068" s="2">
        <f>IFERROR(__xludf.DUMMYFUNCTION("""COMPUTED_VALUE"""),255.9)</f>
        <v>255.9</v>
      </c>
      <c r="D3068" s="2">
        <f>IFERROR(__xludf.DUMMYFUNCTION("""COMPUTED_VALUE"""),247.03)</f>
        <v>247.03</v>
      </c>
      <c r="E3068" s="2">
        <f>IFERROR(__xludf.DUMMYFUNCTION("""COMPUTED_VALUE"""),250.28)</f>
        <v>250.28</v>
      </c>
      <c r="F3068" s="2">
        <f>IFERROR(__xludf.DUMMYFUNCTION("""COMPUTED_VALUE"""),2758712.0)</f>
        <v>2758712</v>
      </c>
    </row>
    <row r="3069">
      <c r="A3069" s="3">
        <f>IFERROR(__xludf.DUMMYFUNCTION("""COMPUTED_VALUE"""),41044.645833333336)</f>
        <v>41044.64583</v>
      </c>
      <c r="B3069" s="2">
        <f>IFERROR(__xludf.DUMMYFUNCTION("""COMPUTED_VALUE"""),248.0)</f>
        <v>248</v>
      </c>
      <c r="C3069" s="2">
        <f>IFERROR(__xludf.DUMMYFUNCTION("""COMPUTED_VALUE"""),252.23)</f>
        <v>252.23</v>
      </c>
      <c r="D3069" s="2">
        <f>IFERROR(__xludf.DUMMYFUNCTION("""COMPUTED_VALUE"""),248.0)</f>
        <v>248</v>
      </c>
      <c r="E3069" s="2">
        <f>IFERROR(__xludf.DUMMYFUNCTION("""COMPUTED_VALUE"""),249.55)</f>
        <v>249.55</v>
      </c>
      <c r="F3069" s="2">
        <f>IFERROR(__xludf.DUMMYFUNCTION("""COMPUTED_VALUE"""),2004866.0)</f>
        <v>2004866</v>
      </c>
    </row>
    <row r="3070">
      <c r="A3070" s="3">
        <f>IFERROR(__xludf.DUMMYFUNCTION("""COMPUTED_VALUE"""),41045.645833333336)</f>
        <v>41045.64583</v>
      </c>
      <c r="B3070" s="2">
        <f>IFERROR(__xludf.DUMMYFUNCTION("""COMPUTED_VALUE"""),247.0)</f>
        <v>247</v>
      </c>
      <c r="C3070" s="2">
        <f>IFERROR(__xludf.DUMMYFUNCTION("""COMPUTED_VALUE"""),249.35)</f>
        <v>249.35</v>
      </c>
      <c r="D3070" s="2">
        <f>IFERROR(__xludf.DUMMYFUNCTION("""COMPUTED_VALUE"""),243.0)</f>
        <v>243</v>
      </c>
      <c r="E3070" s="2">
        <f>IFERROR(__xludf.DUMMYFUNCTION("""COMPUTED_VALUE"""),247.6)</f>
        <v>247.6</v>
      </c>
      <c r="F3070" s="2">
        <f>IFERROR(__xludf.DUMMYFUNCTION("""COMPUTED_VALUE"""),4240218.0)</f>
        <v>4240218</v>
      </c>
    </row>
    <row r="3071">
      <c r="A3071" s="3">
        <f>IFERROR(__xludf.DUMMYFUNCTION("""COMPUTED_VALUE"""),41046.645833333336)</f>
        <v>41046.64583</v>
      </c>
      <c r="B3071" s="2">
        <f>IFERROR(__xludf.DUMMYFUNCTION("""COMPUTED_VALUE"""),248.5)</f>
        <v>248.5</v>
      </c>
      <c r="C3071" s="2">
        <f>IFERROR(__xludf.DUMMYFUNCTION("""COMPUTED_VALUE"""),253.25)</f>
        <v>253.25</v>
      </c>
      <c r="D3071" s="2">
        <f>IFERROR(__xludf.DUMMYFUNCTION("""COMPUTED_VALUE"""),247.5)</f>
        <v>247.5</v>
      </c>
      <c r="E3071" s="2">
        <f>IFERROR(__xludf.DUMMYFUNCTION("""COMPUTED_VALUE"""),248.9)</f>
        <v>248.9</v>
      </c>
      <c r="F3071" s="2">
        <f>IFERROR(__xludf.DUMMYFUNCTION("""COMPUTED_VALUE"""),2904630.0)</f>
        <v>2904630</v>
      </c>
    </row>
    <row r="3072">
      <c r="A3072" s="3">
        <f>IFERROR(__xludf.DUMMYFUNCTION("""COMPUTED_VALUE"""),41047.645833333336)</f>
        <v>41047.64583</v>
      </c>
      <c r="B3072" s="2">
        <f>IFERROR(__xludf.DUMMYFUNCTION("""COMPUTED_VALUE"""),244.9)</f>
        <v>244.9</v>
      </c>
      <c r="C3072" s="2">
        <f>IFERROR(__xludf.DUMMYFUNCTION("""COMPUTED_VALUE"""),251.95)</f>
        <v>251.95</v>
      </c>
      <c r="D3072" s="2">
        <f>IFERROR(__xludf.DUMMYFUNCTION("""COMPUTED_VALUE"""),244.5)</f>
        <v>244.5</v>
      </c>
      <c r="E3072" s="2">
        <f>IFERROR(__xludf.DUMMYFUNCTION("""COMPUTED_VALUE"""),250.28)</f>
        <v>250.28</v>
      </c>
      <c r="F3072" s="2">
        <f>IFERROR(__xludf.DUMMYFUNCTION("""COMPUTED_VALUE"""),2403604.0)</f>
        <v>2403604</v>
      </c>
    </row>
    <row r="3073">
      <c r="A3073" s="3">
        <f>IFERROR(__xludf.DUMMYFUNCTION("""COMPUTED_VALUE"""),41050.645833333336)</f>
        <v>41050.64583</v>
      </c>
      <c r="B3073" s="2">
        <f>IFERROR(__xludf.DUMMYFUNCTION("""COMPUTED_VALUE"""),250.13)</f>
        <v>250.13</v>
      </c>
      <c r="C3073" s="2">
        <f>IFERROR(__xludf.DUMMYFUNCTION("""COMPUTED_VALUE"""),253.93)</f>
        <v>253.93</v>
      </c>
      <c r="D3073" s="2">
        <f>IFERROR(__xludf.DUMMYFUNCTION("""COMPUTED_VALUE"""),246.98)</f>
        <v>246.98</v>
      </c>
      <c r="E3073" s="2">
        <f>IFERROR(__xludf.DUMMYFUNCTION("""COMPUTED_VALUE"""),248.73)</f>
        <v>248.73</v>
      </c>
      <c r="F3073" s="2">
        <f>IFERROR(__xludf.DUMMYFUNCTION("""COMPUTED_VALUE"""),2135585.0)</f>
        <v>2135585</v>
      </c>
    </row>
    <row r="3074">
      <c r="A3074" s="3">
        <f>IFERROR(__xludf.DUMMYFUNCTION("""COMPUTED_VALUE"""),41051.645833333336)</f>
        <v>41051.64583</v>
      </c>
      <c r="B3074" s="2">
        <f>IFERROR(__xludf.DUMMYFUNCTION("""COMPUTED_VALUE"""),251.9)</f>
        <v>251.9</v>
      </c>
      <c r="C3074" s="2">
        <f>IFERROR(__xludf.DUMMYFUNCTION("""COMPUTED_VALUE"""),252.5)</f>
        <v>252.5</v>
      </c>
      <c r="D3074" s="2">
        <f>IFERROR(__xludf.DUMMYFUNCTION("""COMPUTED_VALUE"""),243.48)</f>
        <v>243.48</v>
      </c>
      <c r="E3074" s="2">
        <f>IFERROR(__xludf.DUMMYFUNCTION("""COMPUTED_VALUE"""),244.63)</f>
        <v>244.63</v>
      </c>
      <c r="F3074" s="2">
        <f>IFERROR(__xludf.DUMMYFUNCTION("""COMPUTED_VALUE"""),2774203.0)</f>
        <v>2774203</v>
      </c>
    </row>
    <row r="3075">
      <c r="A3075" s="3">
        <f>IFERROR(__xludf.DUMMYFUNCTION("""COMPUTED_VALUE"""),41052.645833333336)</f>
        <v>41052.64583</v>
      </c>
      <c r="B3075" s="2">
        <f>IFERROR(__xludf.DUMMYFUNCTION("""COMPUTED_VALUE"""),245.0)</f>
        <v>245</v>
      </c>
      <c r="C3075" s="2">
        <f>IFERROR(__xludf.DUMMYFUNCTION("""COMPUTED_VALUE"""),246.45)</f>
        <v>246.45</v>
      </c>
      <c r="D3075" s="2">
        <f>IFERROR(__xludf.DUMMYFUNCTION("""COMPUTED_VALUE"""),241.1)</f>
        <v>241.1</v>
      </c>
      <c r="E3075" s="2">
        <f>IFERROR(__xludf.DUMMYFUNCTION("""COMPUTED_VALUE"""),243.6)</f>
        <v>243.6</v>
      </c>
      <c r="F3075" s="2">
        <f>IFERROR(__xludf.DUMMYFUNCTION("""COMPUTED_VALUE"""),3173972.0)</f>
        <v>3173972</v>
      </c>
    </row>
    <row r="3076">
      <c r="A3076" s="3">
        <f>IFERROR(__xludf.DUMMYFUNCTION("""COMPUTED_VALUE"""),41053.645833333336)</f>
        <v>41053.64583</v>
      </c>
      <c r="B3076" s="2">
        <f>IFERROR(__xludf.DUMMYFUNCTION("""COMPUTED_VALUE"""),246.5)</f>
        <v>246.5</v>
      </c>
      <c r="C3076" s="2">
        <f>IFERROR(__xludf.DUMMYFUNCTION("""COMPUTED_VALUE"""),251.35)</f>
        <v>251.35</v>
      </c>
      <c r="D3076" s="2">
        <f>IFERROR(__xludf.DUMMYFUNCTION("""COMPUTED_VALUE"""),242.5)</f>
        <v>242.5</v>
      </c>
      <c r="E3076" s="2">
        <f>IFERROR(__xludf.DUMMYFUNCTION("""COMPUTED_VALUE"""),249.85)</f>
        <v>249.85</v>
      </c>
      <c r="F3076" s="2">
        <f>IFERROR(__xludf.DUMMYFUNCTION("""COMPUTED_VALUE"""),2884811.0)</f>
        <v>2884811</v>
      </c>
    </row>
    <row r="3077">
      <c r="A3077" s="3">
        <f>IFERROR(__xludf.DUMMYFUNCTION("""COMPUTED_VALUE"""),41054.645833333336)</f>
        <v>41054.64583</v>
      </c>
      <c r="B3077" s="2">
        <f>IFERROR(__xludf.DUMMYFUNCTION("""COMPUTED_VALUE"""),249.9)</f>
        <v>249.9</v>
      </c>
      <c r="C3077" s="2">
        <f>IFERROR(__xludf.DUMMYFUNCTION("""COMPUTED_VALUE"""),251.58)</f>
        <v>251.58</v>
      </c>
      <c r="D3077" s="2">
        <f>IFERROR(__xludf.DUMMYFUNCTION("""COMPUTED_VALUE"""),247.8)</f>
        <v>247.8</v>
      </c>
      <c r="E3077" s="2">
        <f>IFERROR(__xludf.DUMMYFUNCTION("""COMPUTED_VALUE"""),250.0)</f>
        <v>250</v>
      </c>
      <c r="F3077" s="2">
        <f>IFERROR(__xludf.DUMMYFUNCTION("""COMPUTED_VALUE"""),2798643.0)</f>
        <v>2798643</v>
      </c>
    </row>
    <row r="3078">
      <c r="A3078" s="3">
        <f>IFERROR(__xludf.DUMMYFUNCTION("""COMPUTED_VALUE"""),41057.645833333336)</f>
        <v>41057.64583</v>
      </c>
      <c r="B3078" s="2">
        <f>IFERROR(__xludf.DUMMYFUNCTION("""COMPUTED_VALUE"""),250.6)</f>
        <v>250.6</v>
      </c>
      <c r="C3078" s="2">
        <f>IFERROR(__xludf.DUMMYFUNCTION("""COMPUTED_VALUE"""),255.3)</f>
        <v>255.3</v>
      </c>
      <c r="D3078" s="2">
        <f>IFERROR(__xludf.DUMMYFUNCTION("""COMPUTED_VALUE"""),250.0)</f>
        <v>250</v>
      </c>
      <c r="E3078" s="2">
        <f>IFERROR(__xludf.DUMMYFUNCTION("""COMPUTED_VALUE"""),254.38)</f>
        <v>254.38</v>
      </c>
      <c r="F3078" s="2">
        <f>IFERROR(__xludf.DUMMYFUNCTION("""COMPUTED_VALUE"""),3051713.0)</f>
        <v>3051713</v>
      </c>
    </row>
    <row r="3079">
      <c r="A3079" s="3">
        <f>IFERROR(__xludf.DUMMYFUNCTION("""COMPUTED_VALUE"""),41058.645833333336)</f>
        <v>41058.64583</v>
      </c>
      <c r="B3079" s="2">
        <f>IFERROR(__xludf.DUMMYFUNCTION("""COMPUTED_VALUE"""),255.08)</f>
        <v>255.08</v>
      </c>
      <c r="C3079" s="2">
        <f>IFERROR(__xludf.DUMMYFUNCTION("""COMPUTED_VALUE"""),255.98)</f>
        <v>255.98</v>
      </c>
      <c r="D3079" s="2">
        <f>IFERROR(__xludf.DUMMYFUNCTION("""COMPUTED_VALUE"""),251.05)</f>
        <v>251.05</v>
      </c>
      <c r="E3079" s="2">
        <f>IFERROR(__xludf.DUMMYFUNCTION("""COMPUTED_VALUE"""),252.48)</f>
        <v>252.48</v>
      </c>
      <c r="F3079" s="2">
        <f>IFERROR(__xludf.DUMMYFUNCTION("""COMPUTED_VALUE"""),2643256.0)</f>
        <v>2643256</v>
      </c>
    </row>
    <row r="3080">
      <c r="A3080" s="3">
        <f>IFERROR(__xludf.DUMMYFUNCTION("""COMPUTED_VALUE"""),41059.645833333336)</f>
        <v>41059.64583</v>
      </c>
      <c r="B3080" s="2">
        <f>IFERROR(__xludf.DUMMYFUNCTION("""COMPUTED_VALUE"""),250.03)</f>
        <v>250.03</v>
      </c>
      <c r="C3080" s="2">
        <f>IFERROR(__xludf.DUMMYFUNCTION("""COMPUTED_VALUE"""),252.7)</f>
        <v>252.7</v>
      </c>
      <c r="D3080" s="2">
        <f>IFERROR(__xludf.DUMMYFUNCTION("""COMPUTED_VALUE"""),248.28)</f>
        <v>248.28</v>
      </c>
      <c r="E3080" s="2">
        <f>IFERROR(__xludf.DUMMYFUNCTION("""COMPUTED_VALUE"""),250.33)</f>
        <v>250.33</v>
      </c>
      <c r="F3080" s="2">
        <f>IFERROR(__xludf.DUMMYFUNCTION("""COMPUTED_VALUE"""),2541820.0)</f>
        <v>2541820</v>
      </c>
    </row>
    <row r="3081">
      <c r="A3081" s="3">
        <f>IFERROR(__xludf.DUMMYFUNCTION("""COMPUTED_VALUE"""),41060.645833333336)</f>
        <v>41060.64583</v>
      </c>
      <c r="B3081" s="2">
        <f>IFERROR(__xludf.DUMMYFUNCTION("""COMPUTED_VALUE"""),248.0)</f>
        <v>248</v>
      </c>
      <c r="C3081" s="2">
        <f>IFERROR(__xludf.DUMMYFUNCTION("""COMPUTED_VALUE"""),254.45)</f>
        <v>254.45</v>
      </c>
      <c r="D3081" s="2">
        <f>IFERROR(__xludf.DUMMYFUNCTION("""COMPUTED_VALUE"""),247.68)</f>
        <v>247.68</v>
      </c>
      <c r="E3081" s="2">
        <f>IFERROR(__xludf.DUMMYFUNCTION("""COMPUTED_VALUE"""),253.1)</f>
        <v>253.1</v>
      </c>
      <c r="F3081" s="2">
        <f>IFERROR(__xludf.DUMMYFUNCTION("""COMPUTED_VALUE"""),4759780.0)</f>
        <v>4759780</v>
      </c>
    </row>
    <row r="3082">
      <c r="A3082" s="3">
        <f>IFERROR(__xludf.DUMMYFUNCTION("""COMPUTED_VALUE"""),41061.645833333336)</f>
        <v>41061.64583</v>
      </c>
      <c r="B3082" s="2">
        <f>IFERROR(__xludf.DUMMYFUNCTION("""COMPUTED_VALUE"""),252.0)</f>
        <v>252</v>
      </c>
      <c r="C3082" s="2">
        <f>IFERROR(__xludf.DUMMYFUNCTION("""COMPUTED_VALUE"""),253.58)</f>
        <v>253.58</v>
      </c>
      <c r="D3082" s="2">
        <f>IFERROR(__xludf.DUMMYFUNCTION("""COMPUTED_VALUE"""),245.0)</f>
        <v>245</v>
      </c>
      <c r="E3082" s="2">
        <f>IFERROR(__xludf.DUMMYFUNCTION("""COMPUTED_VALUE"""),245.2)</f>
        <v>245.2</v>
      </c>
      <c r="F3082" s="2">
        <f>IFERROR(__xludf.DUMMYFUNCTION("""COMPUTED_VALUE"""),2927187.0)</f>
        <v>2927187</v>
      </c>
    </row>
    <row r="3083">
      <c r="A3083" s="3">
        <f>IFERROR(__xludf.DUMMYFUNCTION("""COMPUTED_VALUE"""),41064.645833333336)</f>
        <v>41064.64583</v>
      </c>
      <c r="B3083" s="2">
        <f>IFERROR(__xludf.DUMMYFUNCTION("""COMPUTED_VALUE"""),244.0)</f>
        <v>244</v>
      </c>
      <c r="C3083" s="2">
        <f>IFERROR(__xludf.DUMMYFUNCTION("""COMPUTED_VALUE"""),249.25)</f>
        <v>249.25</v>
      </c>
      <c r="D3083" s="2">
        <f>IFERROR(__xludf.DUMMYFUNCTION("""COMPUTED_VALUE"""),242.53)</f>
        <v>242.53</v>
      </c>
      <c r="E3083" s="2">
        <f>IFERROR(__xludf.DUMMYFUNCTION("""COMPUTED_VALUE"""),247.83)</f>
        <v>247.83</v>
      </c>
      <c r="F3083" s="2">
        <f>IFERROR(__xludf.DUMMYFUNCTION("""COMPUTED_VALUE"""),2840242.0)</f>
        <v>2840242</v>
      </c>
    </row>
    <row r="3084">
      <c r="A3084" s="3">
        <f>IFERROR(__xludf.DUMMYFUNCTION("""COMPUTED_VALUE"""),41065.645833333336)</f>
        <v>41065.64583</v>
      </c>
      <c r="B3084" s="2">
        <f>IFERROR(__xludf.DUMMYFUNCTION("""COMPUTED_VALUE"""),250.0)</f>
        <v>250</v>
      </c>
      <c r="C3084" s="2">
        <f>IFERROR(__xludf.DUMMYFUNCTION("""COMPUTED_VALUE"""),252.45)</f>
        <v>252.45</v>
      </c>
      <c r="D3084" s="2">
        <f>IFERROR(__xludf.DUMMYFUNCTION("""COMPUTED_VALUE"""),249.23)</f>
        <v>249.23</v>
      </c>
      <c r="E3084" s="2">
        <f>IFERROR(__xludf.DUMMYFUNCTION("""COMPUTED_VALUE"""),250.75)</f>
        <v>250.75</v>
      </c>
      <c r="F3084" s="2">
        <f>IFERROR(__xludf.DUMMYFUNCTION("""COMPUTED_VALUE"""),2677678.0)</f>
        <v>2677678</v>
      </c>
    </row>
    <row r="3085">
      <c r="A3085" s="3">
        <f>IFERROR(__xludf.DUMMYFUNCTION("""COMPUTED_VALUE"""),41066.645833333336)</f>
        <v>41066.64583</v>
      </c>
      <c r="B3085" s="2">
        <f>IFERROR(__xludf.DUMMYFUNCTION("""COMPUTED_VALUE"""),252.43)</f>
        <v>252.43</v>
      </c>
      <c r="C3085" s="2">
        <f>IFERROR(__xludf.DUMMYFUNCTION("""COMPUTED_VALUE"""),261.5)</f>
        <v>261.5</v>
      </c>
      <c r="D3085" s="2">
        <f>IFERROR(__xludf.DUMMYFUNCTION("""COMPUTED_VALUE"""),251.75)</f>
        <v>251.75</v>
      </c>
      <c r="E3085" s="2">
        <f>IFERROR(__xludf.DUMMYFUNCTION("""COMPUTED_VALUE"""),259.95)</f>
        <v>259.95</v>
      </c>
      <c r="F3085" s="2">
        <f>IFERROR(__xludf.DUMMYFUNCTION("""COMPUTED_VALUE"""),6272923.0)</f>
        <v>6272923</v>
      </c>
    </row>
    <row r="3086">
      <c r="A3086" s="3">
        <f>IFERROR(__xludf.DUMMYFUNCTION("""COMPUTED_VALUE"""),41067.645833333336)</f>
        <v>41067.64583</v>
      </c>
      <c r="B3086" s="2">
        <f>IFERROR(__xludf.DUMMYFUNCTION("""COMPUTED_VALUE"""),262.1)</f>
        <v>262.1</v>
      </c>
      <c r="C3086" s="2">
        <f>IFERROR(__xludf.DUMMYFUNCTION("""COMPUTED_VALUE"""),269.75)</f>
        <v>269.75</v>
      </c>
      <c r="D3086" s="2">
        <f>IFERROR(__xludf.DUMMYFUNCTION("""COMPUTED_VALUE"""),261.5)</f>
        <v>261.5</v>
      </c>
      <c r="E3086" s="2">
        <f>IFERROR(__xludf.DUMMYFUNCTION("""COMPUTED_VALUE"""),268.9)</f>
        <v>268.9</v>
      </c>
      <c r="F3086" s="2">
        <f>IFERROR(__xludf.DUMMYFUNCTION("""COMPUTED_VALUE"""),4950123.0)</f>
        <v>4950123</v>
      </c>
    </row>
    <row r="3087">
      <c r="A3087" s="3">
        <f>IFERROR(__xludf.DUMMYFUNCTION("""COMPUTED_VALUE"""),41068.645833333336)</f>
        <v>41068.64583</v>
      </c>
      <c r="B3087" s="2">
        <f>IFERROR(__xludf.DUMMYFUNCTION("""COMPUTED_VALUE"""),270.45)</f>
        <v>270.45</v>
      </c>
      <c r="C3087" s="2">
        <f>IFERROR(__xludf.DUMMYFUNCTION("""COMPUTED_VALUE"""),271.38)</f>
        <v>271.38</v>
      </c>
      <c r="D3087" s="2">
        <f>IFERROR(__xludf.DUMMYFUNCTION("""COMPUTED_VALUE"""),265.48)</f>
        <v>265.48</v>
      </c>
      <c r="E3087" s="2">
        <f>IFERROR(__xludf.DUMMYFUNCTION("""COMPUTED_VALUE"""),269.55)</f>
        <v>269.55</v>
      </c>
      <c r="F3087" s="2">
        <f>IFERROR(__xludf.DUMMYFUNCTION("""COMPUTED_VALUE"""),4830686.0)</f>
        <v>4830686</v>
      </c>
    </row>
    <row r="3088">
      <c r="A3088" s="3">
        <f>IFERROR(__xludf.DUMMYFUNCTION("""COMPUTED_VALUE"""),41071.645833333336)</f>
        <v>41071.64583</v>
      </c>
      <c r="B3088" s="2">
        <f>IFERROR(__xludf.DUMMYFUNCTION("""COMPUTED_VALUE"""),270.55)</f>
        <v>270.55</v>
      </c>
      <c r="C3088" s="2">
        <f>IFERROR(__xludf.DUMMYFUNCTION("""COMPUTED_VALUE"""),274.45)</f>
        <v>274.45</v>
      </c>
      <c r="D3088" s="2">
        <f>IFERROR(__xludf.DUMMYFUNCTION("""COMPUTED_VALUE"""),269.2)</f>
        <v>269.2</v>
      </c>
      <c r="E3088" s="2">
        <f>IFERROR(__xludf.DUMMYFUNCTION("""COMPUTED_VALUE"""),270.98)</f>
        <v>270.98</v>
      </c>
      <c r="F3088" s="2">
        <f>IFERROR(__xludf.DUMMYFUNCTION("""COMPUTED_VALUE"""),3267971.0)</f>
        <v>3267971</v>
      </c>
    </row>
    <row r="3089">
      <c r="A3089" s="3">
        <f>IFERROR(__xludf.DUMMYFUNCTION("""COMPUTED_VALUE"""),41072.645833333336)</f>
        <v>41072.64583</v>
      </c>
      <c r="B3089" s="2">
        <f>IFERROR(__xludf.DUMMYFUNCTION("""COMPUTED_VALUE"""),269.4)</f>
        <v>269.4</v>
      </c>
      <c r="C3089" s="2">
        <f>IFERROR(__xludf.DUMMYFUNCTION("""COMPUTED_VALUE"""),275.42)</f>
        <v>275.42</v>
      </c>
      <c r="D3089" s="2">
        <f>IFERROR(__xludf.DUMMYFUNCTION("""COMPUTED_VALUE"""),268.98)</f>
        <v>268.98</v>
      </c>
      <c r="E3089" s="2">
        <f>IFERROR(__xludf.DUMMYFUNCTION("""COMPUTED_VALUE"""),274.8)</f>
        <v>274.8</v>
      </c>
      <c r="F3089" s="2">
        <f>IFERROR(__xludf.DUMMYFUNCTION("""COMPUTED_VALUE"""),2813460.0)</f>
        <v>2813460</v>
      </c>
    </row>
    <row r="3090">
      <c r="A3090" s="3">
        <f>IFERROR(__xludf.DUMMYFUNCTION("""COMPUTED_VALUE"""),41073.645833333336)</f>
        <v>41073.64583</v>
      </c>
      <c r="B3090" s="2">
        <f>IFERROR(__xludf.DUMMYFUNCTION("""COMPUTED_VALUE"""),275.5)</f>
        <v>275.5</v>
      </c>
      <c r="C3090" s="2">
        <f>IFERROR(__xludf.DUMMYFUNCTION("""COMPUTED_VALUE"""),276.2)</f>
        <v>276.2</v>
      </c>
      <c r="D3090" s="2">
        <f>IFERROR(__xludf.DUMMYFUNCTION("""COMPUTED_VALUE"""),269.9)</f>
        <v>269.9</v>
      </c>
      <c r="E3090" s="2">
        <f>IFERROR(__xludf.DUMMYFUNCTION("""COMPUTED_VALUE"""),270.88)</f>
        <v>270.88</v>
      </c>
      <c r="F3090" s="2">
        <f>IFERROR(__xludf.DUMMYFUNCTION("""COMPUTED_VALUE"""),2016183.0)</f>
        <v>2016183</v>
      </c>
    </row>
    <row r="3091">
      <c r="A3091" s="3">
        <f>IFERROR(__xludf.DUMMYFUNCTION("""COMPUTED_VALUE"""),41074.645833333336)</f>
        <v>41074.64583</v>
      </c>
      <c r="B3091" s="2">
        <f>IFERROR(__xludf.DUMMYFUNCTION("""COMPUTED_VALUE"""),270.0)</f>
        <v>270</v>
      </c>
      <c r="C3091" s="2">
        <f>IFERROR(__xludf.DUMMYFUNCTION("""COMPUTED_VALUE"""),273.7)</f>
        <v>273.7</v>
      </c>
      <c r="D3091" s="2">
        <f>IFERROR(__xludf.DUMMYFUNCTION("""COMPUTED_VALUE"""),266.33)</f>
        <v>266.33</v>
      </c>
      <c r="E3091" s="2">
        <f>IFERROR(__xludf.DUMMYFUNCTION("""COMPUTED_VALUE"""),267.2)</f>
        <v>267.2</v>
      </c>
      <c r="F3091" s="2">
        <f>IFERROR(__xludf.DUMMYFUNCTION("""COMPUTED_VALUE"""),2160638.0)</f>
        <v>2160638</v>
      </c>
    </row>
    <row r="3092">
      <c r="A3092" s="3">
        <f>IFERROR(__xludf.DUMMYFUNCTION("""COMPUTED_VALUE"""),41075.645833333336)</f>
        <v>41075.64583</v>
      </c>
      <c r="B3092" s="2">
        <f>IFERROR(__xludf.DUMMYFUNCTION("""COMPUTED_VALUE"""),267.5)</f>
        <v>267.5</v>
      </c>
      <c r="C3092" s="2">
        <f>IFERROR(__xludf.DUMMYFUNCTION("""COMPUTED_VALUE"""),274.85)</f>
        <v>274.85</v>
      </c>
      <c r="D3092" s="2">
        <f>IFERROR(__xludf.DUMMYFUNCTION("""COMPUTED_VALUE"""),267.48)</f>
        <v>267.48</v>
      </c>
      <c r="E3092" s="2">
        <f>IFERROR(__xludf.DUMMYFUNCTION("""COMPUTED_VALUE"""),273.77)</f>
        <v>273.77</v>
      </c>
      <c r="F3092" s="2">
        <f>IFERROR(__xludf.DUMMYFUNCTION("""COMPUTED_VALUE"""),2483056.0)</f>
        <v>2483056</v>
      </c>
    </row>
    <row r="3093">
      <c r="A3093" s="3">
        <f>IFERROR(__xludf.DUMMYFUNCTION("""COMPUTED_VALUE"""),41078.645833333336)</f>
        <v>41078.64583</v>
      </c>
      <c r="B3093" s="2">
        <f>IFERROR(__xludf.DUMMYFUNCTION("""COMPUTED_VALUE"""),276.0)</f>
        <v>276</v>
      </c>
      <c r="C3093" s="2">
        <f>IFERROR(__xludf.DUMMYFUNCTION("""COMPUTED_VALUE"""),276.0)</f>
        <v>276</v>
      </c>
      <c r="D3093" s="2">
        <f>IFERROR(__xludf.DUMMYFUNCTION("""COMPUTED_VALUE"""),264.77)</f>
        <v>264.77</v>
      </c>
      <c r="E3093" s="2">
        <f>IFERROR(__xludf.DUMMYFUNCTION("""COMPUTED_VALUE"""),267.48)</f>
        <v>267.48</v>
      </c>
      <c r="F3093" s="2">
        <f>IFERROR(__xludf.DUMMYFUNCTION("""COMPUTED_VALUE"""),2809366.0)</f>
        <v>2809366</v>
      </c>
    </row>
    <row r="3094">
      <c r="A3094" s="3">
        <f>IFERROR(__xludf.DUMMYFUNCTION("""COMPUTED_VALUE"""),41079.645833333336)</f>
        <v>41079.64583</v>
      </c>
      <c r="B3094" s="2">
        <f>IFERROR(__xludf.DUMMYFUNCTION("""COMPUTED_VALUE"""),267.4)</f>
        <v>267.4</v>
      </c>
      <c r="C3094" s="2">
        <f>IFERROR(__xludf.DUMMYFUNCTION("""COMPUTED_VALUE"""),269.5)</f>
        <v>269.5</v>
      </c>
      <c r="D3094" s="2">
        <f>IFERROR(__xludf.DUMMYFUNCTION("""COMPUTED_VALUE"""),263.15)</f>
        <v>263.15</v>
      </c>
      <c r="E3094" s="2">
        <f>IFERROR(__xludf.DUMMYFUNCTION("""COMPUTED_VALUE"""),268.23)</f>
        <v>268.23</v>
      </c>
      <c r="F3094" s="2">
        <f>IFERROR(__xludf.DUMMYFUNCTION("""COMPUTED_VALUE"""),2965184.0)</f>
        <v>2965184</v>
      </c>
    </row>
    <row r="3095">
      <c r="A3095" s="3">
        <f>IFERROR(__xludf.DUMMYFUNCTION("""COMPUTED_VALUE"""),41080.645833333336)</f>
        <v>41080.64583</v>
      </c>
      <c r="B3095" s="2">
        <f>IFERROR(__xludf.DUMMYFUNCTION("""COMPUTED_VALUE"""),268.5)</f>
        <v>268.5</v>
      </c>
      <c r="C3095" s="2">
        <f>IFERROR(__xludf.DUMMYFUNCTION("""COMPUTED_VALUE"""),270.25)</f>
        <v>270.25</v>
      </c>
      <c r="D3095" s="2">
        <f>IFERROR(__xludf.DUMMYFUNCTION("""COMPUTED_VALUE"""),264.27)</f>
        <v>264.27</v>
      </c>
      <c r="E3095" s="2">
        <f>IFERROR(__xludf.DUMMYFUNCTION("""COMPUTED_VALUE"""),267.1)</f>
        <v>267.1</v>
      </c>
      <c r="F3095" s="2">
        <f>IFERROR(__xludf.DUMMYFUNCTION("""COMPUTED_VALUE"""),2383618.0)</f>
        <v>2383618</v>
      </c>
    </row>
    <row r="3096">
      <c r="A3096" s="3">
        <f>IFERROR(__xludf.DUMMYFUNCTION("""COMPUTED_VALUE"""),41081.645833333336)</f>
        <v>41081.64583</v>
      </c>
      <c r="B3096" s="2">
        <f>IFERROR(__xludf.DUMMYFUNCTION("""COMPUTED_VALUE"""),266.5)</f>
        <v>266.5</v>
      </c>
      <c r="C3096" s="2">
        <f>IFERROR(__xludf.DUMMYFUNCTION("""COMPUTED_VALUE"""),272.35)</f>
        <v>272.35</v>
      </c>
      <c r="D3096" s="2">
        <f>IFERROR(__xludf.DUMMYFUNCTION("""COMPUTED_VALUE"""),265.65)</f>
        <v>265.65</v>
      </c>
      <c r="E3096" s="2">
        <f>IFERROR(__xludf.DUMMYFUNCTION("""COMPUTED_VALUE"""),271.45)</f>
        <v>271.45</v>
      </c>
      <c r="F3096" s="2">
        <f>IFERROR(__xludf.DUMMYFUNCTION("""COMPUTED_VALUE"""),2663164.0)</f>
        <v>2663164</v>
      </c>
    </row>
    <row r="3097">
      <c r="A3097" s="3">
        <f>IFERROR(__xludf.DUMMYFUNCTION("""COMPUTED_VALUE"""),41082.645833333336)</f>
        <v>41082.64583</v>
      </c>
      <c r="B3097" s="2">
        <f>IFERROR(__xludf.DUMMYFUNCTION("""COMPUTED_VALUE"""),267.55)</f>
        <v>267.55</v>
      </c>
      <c r="C3097" s="2">
        <f>IFERROR(__xludf.DUMMYFUNCTION("""COMPUTED_VALUE"""),272.55)</f>
        <v>272.55</v>
      </c>
      <c r="D3097" s="2">
        <f>IFERROR(__xludf.DUMMYFUNCTION("""COMPUTED_VALUE"""),267.55)</f>
        <v>267.55</v>
      </c>
      <c r="E3097" s="2">
        <f>IFERROR(__xludf.DUMMYFUNCTION("""COMPUTED_VALUE"""),272.17)</f>
        <v>272.17</v>
      </c>
      <c r="F3097" s="2">
        <f>IFERROR(__xludf.DUMMYFUNCTION("""COMPUTED_VALUE"""),1542204.0)</f>
        <v>1542204</v>
      </c>
    </row>
    <row r="3098">
      <c r="A3098" s="3">
        <f>IFERROR(__xludf.DUMMYFUNCTION("""COMPUTED_VALUE"""),41085.645833333336)</f>
        <v>41085.64583</v>
      </c>
      <c r="B3098" s="2">
        <f>IFERROR(__xludf.DUMMYFUNCTION("""COMPUTED_VALUE"""),272.7)</f>
        <v>272.7</v>
      </c>
      <c r="C3098" s="2">
        <f>IFERROR(__xludf.DUMMYFUNCTION("""COMPUTED_VALUE"""),274.25)</f>
        <v>274.25</v>
      </c>
      <c r="D3098" s="2">
        <f>IFERROR(__xludf.DUMMYFUNCTION("""COMPUTED_VALUE"""),267.5)</f>
        <v>267.5</v>
      </c>
      <c r="E3098" s="2">
        <f>IFERROR(__xludf.DUMMYFUNCTION("""COMPUTED_VALUE"""),268.35)</f>
        <v>268.35</v>
      </c>
      <c r="F3098" s="2">
        <f>IFERROR(__xludf.DUMMYFUNCTION("""COMPUTED_VALUE"""),1593712.0)</f>
        <v>1593712</v>
      </c>
    </row>
    <row r="3099">
      <c r="A3099" s="3">
        <f>IFERROR(__xludf.DUMMYFUNCTION("""COMPUTED_VALUE"""),41086.645833333336)</f>
        <v>41086.64583</v>
      </c>
      <c r="B3099" s="2">
        <f>IFERROR(__xludf.DUMMYFUNCTION("""COMPUTED_VALUE"""),269.0)</f>
        <v>269</v>
      </c>
      <c r="C3099" s="2">
        <f>IFERROR(__xludf.DUMMYFUNCTION("""COMPUTED_VALUE"""),274.0)</f>
        <v>274</v>
      </c>
      <c r="D3099" s="2">
        <f>IFERROR(__xludf.DUMMYFUNCTION("""COMPUTED_VALUE"""),268.15)</f>
        <v>268.15</v>
      </c>
      <c r="E3099" s="2">
        <f>IFERROR(__xludf.DUMMYFUNCTION("""COMPUTED_VALUE"""),271.73)</f>
        <v>271.73</v>
      </c>
      <c r="F3099" s="2">
        <f>IFERROR(__xludf.DUMMYFUNCTION("""COMPUTED_VALUE"""),1463282.0)</f>
        <v>1463282</v>
      </c>
    </row>
    <row r="3100">
      <c r="A3100" s="3">
        <f>IFERROR(__xludf.DUMMYFUNCTION("""COMPUTED_VALUE"""),41087.645833333336)</f>
        <v>41087.64583</v>
      </c>
      <c r="B3100" s="2">
        <f>IFERROR(__xludf.DUMMYFUNCTION("""COMPUTED_VALUE"""),273.0)</f>
        <v>273</v>
      </c>
      <c r="C3100" s="2">
        <f>IFERROR(__xludf.DUMMYFUNCTION("""COMPUTED_VALUE"""),277.35)</f>
        <v>277.35</v>
      </c>
      <c r="D3100" s="2">
        <f>IFERROR(__xludf.DUMMYFUNCTION("""COMPUTED_VALUE"""),273.0)</f>
        <v>273</v>
      </c>
      <c r="E3100" s="2">
        <f>IFERROR(__xludf.DUMMYFUNCTION("""COMPUTED_VALUE"""),274.5)</f>
        <v>274.5</v>
      </c>
      <c r="F3100" s="2">
        <f>IFERROR(__xludf.DUMMYFUNCTION("""COMPUTED_VALUE"""),2984322.0)</f>
        <v>2984322</v>
      </c>
    </row>
    <row r="3101">
      <c r="A3101" s="3">
        <f>IFERROR(__xludf.DUMMYFUNCTION("""COMPUTED_VALUE"""),41088.645833333336)</f>
        <v>41088.64583</v>
      </c>
      <c r="B3101" s="2">
        <f>IFERROR(__xludf.DUMMYFUNCTION("""COMPUTED_VALUE"""),273.45)</f>
        <v>273.45</v>
      </c>
      <c r="C3101" s="2">
        <f>IFERROR(__xludf.DUMMYFUNCTION("""COMPUTED_VALUE"""),276.33)</f>
        <v>276.33</v>
      </c>
      <c r="D3101" s="2">
        <f>IFERROR(__xludf.DUMMYFUNCTION("""COMPUTED_VALUE"""),271.63)</f>
        <v>271.63</v>
      </c>
      <c r="E3101" s="2">
        <f>IFERROR(__xludf.DUMMYFUNCTION("""COMPUTED_VALUE"""),274.25)</f>
        <v>274.25</v>
      </c>
      <c r="F3101" s="2">
        <f>IFERROR(__xludf.DUMMYFUNCTION("""COMPUTED_VALUE"""),3035610.0)</f>
        <v>3035610</v>
      </c>
    </row>
    <row r="3102">
      <c r="A3102" s="3">
        <f>IFERROR(__xludf.DUMMYFUNCTION("""COMPUTED_VALUE"""),41089.645833333336)</f>
        <v>41089.64583</v>
      </c>
      <c r="B3102" s="2">
        <f>IFERROR(__xludf.DUMMYFUNCTION("""COMPUTED_VALUE"""),276.05)</f>
        <v>276.05</v>
      </c>
      <c r="C3102" s="2">
        <f>IFERROR(__xludf.DUMMYFUNCTION("""COMPUTED_VALUE"""),282.45)</f>
        <v>282.45</v>
      </c>
      <c r="D3102" s="2">
        <f>IFERROR(__xludf.DUMMYFUNCTION("""COMPUTED_VALUE"""),276.02)</f>
        <v>276.02</v>
      </c>
      <c r="E3102" s="2">
        <f>IFERROR(__xludf.DUMMYFUNCTION("""COMPUTED_VALUE"""),281.77)</f>
        <v>281.77</v>
      </c>
      <c r="F3102" s="2">
        <f>IFERROR(__xludf.DUMMYFUNCTION("""COMPUTED_VALUE"""),3164793.0)</f>
        <v>3164793</v>
      </c>
    </row>
    <row r="3103">
      <c r="A3103" s="3">
        <f>IFERROR(__xludf.DUMMYFUNCTION("""COMPUTED_VALUE"""),41092.645833333336)</f>
        <v>41092.64583</v>
      </c>
      <c r="B3103" s="2">
        <f>IFERROR(__xludf.DUMMYFUNCTION("""COMPUTED_VALUE"""),282.0)</f>
        <v>282</v>
      </c>
      <c r="C3103" s="2">
        <f>IFERROR(__xludf.DUMMYFUNCTION("""COMPUTED_VALUE"""),287.5)</f>
        <v>287.5</v>
      </c>
      <c r="D3103" s="2">
        <f>IFERROR(__xludf.DUMMYFUNCTION("""COMPUTED_VALUE"""),280.0)</f>
        <v>280</v>
      </c>
      <c r="E3103" s="2">
        <f>IFERROR(__xludf.DUMMYFUNCTION("""COMPUTED_VALUE"""),286.98)</f>
        <v>286.98</v>
      </c>
      <c r="F3103" s="2">
        <f>IFERROR(__xludf.DUMMYFUNCTION("""COMPUTED_VALUE"""),2050381.0)</f>
        <v>2050381</v>
      </c>
    </row>
    <row r="3104">
      <c r="A3104" s="3">
        <f>IFERROR(__xludf.DUMMYFUNCTION("""COMPUTED_VALUE"""),41093.645833333336)</f>
        <v>41093.64583</v>
      </c>
      <c r="B3104" s="2">
        <f>IFERROR(__xludf.DUMMYFUNCTION("""COMPUTED_VALUE"""),287.95)</f>
        <v>287.95</v>
      </c>
      <c r="C3104" s="2">
        <f>IFERROR(__xludf.DUMMYFUNCTION("""COMPUTED_VALUE"""),290.0)</f>
        <v>290</v>
      </c>
      <c r="D3104" s="2">
        <f>IFERROR(__xludf.DUMMYFUNCTION("""COMPUTED_VALUE"""),285.85)</f>
        <v>285.85</v>
      </c>
      <c r="E3104" s="2">
        <f>IFERROR(__xludf.DUMMYFUNCTION("""COMPUTED_VALUE"""),287.92)</f>
        <v>287.92</v>
      </c>
      <c r="F3104" s="2">
        <f>IFERROR(__xludf.DUMMYFUNCTION("""COMPUTED_VALUE"""),2116700.0)</f>
        <v>2116700</v>
      </c>
    </row>
    <row r="3105">
      <c r="A3105" s="3">
        <f>IFERROR(__xludf.DUMMYFUNCTION("""COMPUTED_VALUE"""),41094.645833333336)</f>
        <v>41094.64583</v>
      </c>
      <c r="B3105" s="2">
        <f>IFERROR(__xludf.DUMMYFUNCTION("""COMPUTED_VALUE"""),288.35)</f>
        <v>288.35</v>
      </c>
      <c r="C3105" s="2">
        <f>IFERROR(__xludf.DUMMYFUNCTION("""COMPUTED_VALUE"""),290.42)</f>
        <v>290.42</v>
      </c>
      <c r="D3105" s="2">
        <f>IFERROR(__xludf.DUMMYFUNCTION("""COMPUTED_VALUE"""),287.83)</f>
        <v>287.83</v>
      </c>
      <c r="E3105" s="2">
        <f>IFERROR(__xludf.DUMMYFUNCTION("""COMPUTED_VALUE"""),289.0)</f>
        <v>289</v>
      </c>
      <c r="F3105" s="2">
        <f>IFERROR(__xludf.DUMMYFUNCTION("""COMPUTED_VALUE"""),3202571.0)</f>
        <v>3202571</v>
      </c>
    </row>
    <row r="3106">
      <c r="A3106" s="3">
        <f>IFERROR(__xludf.DUMMYFUNCTION("""COMPUTED_VALUE"""),41095.645833333336)</f>
        <v>41095.64583</v>
      </c>
      <c r="B3106" s="2">
        <f>IFERROR(__xludf.DUMMYFUNCTION("""COMPUTED_VALUE"""),288.95)</f>
        <v>288.95</v>
      </c>
      <c r="C3106" s="2">
        <f>IFERROR(__xludf.DUMMYFUNCTION("""COMPUTED_VALUE"""),292.5)</f>
        <v>292.5</v>
      </c>
      <c r="D3106" s="2">
        <f>IFERROR(__xludf.DUMMYFUNCTION("""COMPUTED_VALUE"""),287.73)</f>
        <v>287.73</v>
      </c>
      <c r="E3106" s="2">
        <f>IFERROR(__xludf.DUMMYFUNCTION("""COMPUTED_VALUE"""),292.05)</f>
        <v>292.05</v>
      </c>
      <c r="F3106" s="2">
        <f>IFERROR(__xludf.DUMMYFUNCTION("""COMPUTED_VALUE"""),2095382.0)</f>
        <v>2095382</v>
      </c>
    </row>
    <row r="3107">
      <c r="A3107" s="3">
        <f>IFERROR(__xludf.DUMMYFUNCTION("""COMPUTED_VALUE"""),41096.645833333336)</f>
        <v>41096.64583</v>
      </c>
      <c r="B3107" s="2">
        <f>IFERROR(__xludf.DUMMYFUNCTION("""COMPUTED_VALUE"""),291.05)</f>
        <v>291.05</v>
      </c>
      <c r="C3107" s="2">
        <f>IFERROR(__xludf.DUMMYFUNCTION("""COMPUTED_VALUE"""),294.5)</f>
        <v>294.5</v>
      </c>
      <c r="D3107" s="2">
        <f>IFERROR(__xludf.DUMMYFUNCTION("""COMPUTED_VALUE"""),289.25)</f>
        <v>289.25</v>
      </c>
      <c r="E3107" s="2">
        <f>IFERROR(__xludf.DUMMYFUNCTION("""COMPUTED_VALUE"""),290.75)</f>
        <v>290.75</v>
      </c>
      <c r="F3107" s="2">
        <f>IFERROR(__xludf.DUMMYFUNCTION("""COMPUTED_VALUE"""),3935380.0)</f>
        <v>3935380</v>
      </c>
    </row>
    <row r="3108">
      <c r="A3108" s="3">
        <f>IFERROR(__xludf.DUMMYFUNCTION("""COMPUTED_VALUE"""),41099.645833333336)</f>
        <v>41099.64583</v>
      </c>
      <c r="B3108" s="2">
        <f>IFERROR(__xludf.DUMMYFUNCTION("""COMPUTED_VALUE"""),289.98)</f>
        <v>289.98</v>
      </c>
      <c r="C3108" s="2">
        <f>IFERROR(__xludf.DUMMYFUNCTION("""COMPUTED_VALUE"""),290.88)</f>
        <v>290.88</v>
      </c>
      <c r="D3108" s="2">
        <f>IFERROR(__xludf.DUMMYFUNCTION("""COMPUTED_VALUE"""),284.55)</f>
        <v>284.55</v>
      </c>
      <c r="E3108" s="2">
        <f>IFERROR(__xludf.DUMMYFUNCTION("""COMPUTED_VALUE"""),289.08)</f>
        <v>289.08</v>
      </c>
      <c r="F3108" s="2">
        <f>IFERROR(__xludf.DUMMYFUNCTION("""COMPUTED_VALUE"""),1915290.0)</f>
        <v>1915290</v>
      </c>
    </row>
    <row r="3109">
      <c r="A3109" s="3">
        <f>IFERROR(__xludf.DUMMYFUNCTION("""COMPUTED_VALUE"""),41100.645833333336)</f>
        <v>41100.64583</v>
      </c>
      <c r="B3109" s="2">
        <f>IFERROR(__xludf.DUMMYFUNCTION("""COMPUTED_VALUE"""),290.0)</f>
        <v>290</v>
      </c>
      <c r="C3109" s="2">
        <f>IFERROR(__xludf.DUMMYFUNCTION("""COMPUTED_VALUE"""),296.15)</f>
        <v>296.15</v>
      </c>
      <c r="D3109" s="2">
        <f>IFERROR(__xludf.DUMMYFUNCTION("""COMPUTED_VALUE"""),288.75)</f>
        <v>288.75</v>
      </c>
      <c r="E3109" s="2">
        <f>IFERROR(__xludf.DUMMYFUNCTION("""COMPUTED_VALUE"""),294.33)</f>
        <v>294.33</v>
      </c>
      <c r="F3109" s="2">
        <f>IFERROR(__xludf.DUMMYFUNCTION("""COMPUTED_VALUE"""),3385754.0)</f>
        <v>3385754</v>
      </c>
    </row>
    <row r="3110">
      <c r="A3110" s="3">
        <f>IFERROR(__xludf.DUMMYFUNCTION("""COMPUTED_VALUE"""),41101.645833333336)</f>
        <v>41101.64583</v>
      </c>
      <c r="B3110" s="2">
        <f>IFERROR(__xludf.DUMMYFUNCTION("""COMPUTED_VALUE"""),293.45)</f>
        <v>293.45</v>
      </c>
      <c r="C3110" s="2">
        <f>IFERROR(__xludf.DUMMYFUNCTION("""COMPUTED_VALUE"""),296.9)</f>
        <v>296.9</v>
      </c>
      <c r="D3110" s="2">
        <f>IFERROR(__xludf.DUMMYFUNCTION("""COMPUTED_VALUE"""),292.55)</f>
        <v>292.55</v>
      </c>
      <c r="E3110" s="2">
        <f>IFERROR(__xludf.DUMMYFUNCTION("""COMPUTED_VALUE"""),293.5)</f>
        <v>293.5</v>
      </c>
      <c r="F3110" s="2">
        <f>IFERROR(__xludf.DUMMYFUNCTION("""COMPUTED_VALUE"""),3074861.0)</f>
        <v>3074861</v>
      </c>
    </row>
    <row r="3111">
      <c r="A3111" s="3">
        <f>IFERROR(__xludf.DUMMYFUNCTION("""COMPUTED_VALUE"""),41102.645833333336)</f>
        <v>41102.64583</v>
      </c>
      <c r="B3111" s="2">
        <f>IFERROR(__xludf.DUMMYFUNCTION("""COMPUTED_VALUE"""),291.95)</f>
        <v>291.95</v>
      </c>
      <c r="C3111" s="2">
        <f>IFERROR(__xludf.DUMMYFUNCTION("""COMPUTED_VALUE"""),295.45)</f>
        <v>295.45</v>
      </c>
      <c r="D3111" s="2">
        <f>IFERROR(__xludf.DUMMYFUNCTION("""COMPUTED_VALUE"""),287.8)</f>
        <v>287.8</v>
      </c>
      <c r="E3111" s="2">
        <f>IFERROR(__xludf.DUMMYFUNCTION("""COMPUTED_VALUE"""),290.05)</f>
        <v>290.05</v>
      </c>
      <c r="F3111" s="2">
        <f>IFERROR(__xludf.DUMMYFUNCTION("""COMPUTED_VALUE"""),1895937.0)</f>
        <v>1895937</v>
      </c>
    </row>
    <row r="3112">
      <c r="A3112" s="3">
        <f>IFERROR(__xludf.DUMMYFUNCTION("""COMPUTED_VALUE"""),41103.645833333336)</f>
        <v>41103.64583</v>
      </c>
      <c r="B3112" s="2">
        <f>IFERROR(__xludf.DUMMYFUNCTION("""COMPUTED_VALUE"""),292.5)</f>
        <v>292.5</v>
      </c>
      <c r="C3112" s="2">
        <f>IFERROR(__xludf.DUMMYFUNCTION("""COMPUTED_VALUE"""),295.7)</f>
        <v>295.7</v>
      </c>
      <c r="D3112" s="2">
        <f>IFERROR(__xludf.DUMMYFUNCTION("""COMPUTED_VALUE"""),291.23)</f>
        <v>291.23</v>
      </c>
      <c r="E3112" s="2">
        <f>IFERROR(__xludf.DUMMYFUNCTION("""COMPUTED_VALUE"""),293.52)</f>
        <v>293.52</v>
      </c>
      <c r="F3112" s="2">
        <f>IFERROR(__xludf.DUMMYFUNCTION("""COMPUTED_VALUE"""),2377143.0)</f>
        <v>2377143</v>
      </c>
    </row>
    <row r="3113">
      <c r="A3113" s="3">
        <f>IFERROR(__xludf.DUMMYFUNCTION("""COMPUTED_VALUE"""),41106.645833333336)</f>
        <v>41106.64583</v>
      </c>
      <c r="B3113" s="2">
        <f>IFERROR(__xludf.DUMMYFUNCTION("""COMPUTED_VALUE"""),294.0)</f>
        <v>294</v>
      </c>
      <c r="C3113" s="2">
        <f>IFERROR(__xludf.DUMMYFUNCTION("""COMPUTED_VALUE"""),296.35)</f>
        <v>296.35</v>
      </c>
      <c r="D3113" s="2">
        <f>IFERROR(__xludf.DUMMYFUNCTION("""COMPUTED_VALUE"""),290.52)</f>
        <v>290.52</v>
      </c>
      <c r="E3113" s="2">
        <f>IFERROR(__xludf.DUMMYFUNCTION("""COMPUTED_VALUE"""),291.33)</f>
        <v>291.33</v>
      </c>
      <c r="F3113" s="2">
        <f>IFERROR(__xludf.DUMMYFUNCTION("""COMPUTED_VALUE"""),3212540.0)</f>
        <v>3212540</v>
      </c>
    </row>
    <row r="3114">
      <c r="A3114" s="3">
        <f>IFERROR(__xludf.DUMMYFUNCTION("""COMPUTED_VALUE"""),41107.645833333336)</f>
        <v>41107.64583</v>
      </c>
      <c r="B3114" s="2">
        <f>IFERROR(__xludf.DUMMYFUNCTION("""COMPUTED_VALUE"""),293.5)</f>
        <v>293.5</v>
      </c>
      <c r="C3114" s="2">
        <f>IFERROR(__xludf.DUMMYFUNCTION("""COMPUTED_VALUE"""),294.38)</f>
        <v>294.38</v>
      </c>
      <c r="D3114" s="2">
        <f>IFERROR(__xludf.DUMMYFUNCTION("""COMPUTED_VALUE"""),289.3)</f>
        <v>289.3</v>
      </c>
      <c r="E3114" s="2">
        <f>IFERROR(__xludf.DUMMYFUNCTION("""COMPUTED_VALUE"""),291.63)</f>
        <v>291.63</v>
      </c>
      <c r="F3114" s="2">
        <f>IFERROR(__xludf.DUMMYFUNCTION("""COMPUTED_VALUE"""),2134839.0)</f>
        <v>2134839</v>
      </c>
    </row>
    <row r="3115">
      <c r="A3115" s="3">
        <f>IFERROR(__xludf.DUMMYFUNCTION("""COMPUTED_VALUE"""),41108.645833333336)</f>
        <v>41108.64583</v>
      </c>
      <c r="B3115" s="2">
        <f>IFERROR(__xludf.DUMMYFUNCTION("""COMPUTED_VALUE"""),292.35)</f>
        <v>292.35</v>
      </c>
      <c r="C3115" s="2">
        <f>IFERROR(__xludf.DUMMYFUNCTION("""COMPUTED_VALUE"""),294.35)</f>
        <v>294.35</v>
      </c>
      <c r="D3115" s="2">
        <f>IFERROR(__xludf.DUMMYFUNCTION("""COMPUTED_VALUE"""),290.05)</f>
        <v>290.05</v>
      </c>
      <c r="E3115" s="2">
        <f>IFERROR(__xludf.DUMMYFUNCTION("""COMPUTED_VALUE"""),293.5)</f>
        <v>293.5</v>
      </c>
      <c r="F3115" s="2">
        <f>IFERROR(__xludf.DUMMYFUNCTION("""COMPUTED_VALUE"""),1779499.0)</f>
        <v>1779499</v>
      </c>
    </row>
    <row r="3116">
      <c r="A3116" s="3">
        <f>IFERROR(__xludf.DUMMYFUNCTION("""COMPUTED_VALUE"""),41109.645833333336)</f>
        <v>41109.64583</v>
      </c>
      <c r="B3116" s="2">
        <f>IFERROR(__xludf.DUMMYFUNCTION("""COMPUTED_VALUE"""),294.3)</f>
        <v>294.3</v>
      </c>
      <c r="C3116" s="2">
        <f>IFERROR(__xludf.DUMMYFUNCTION("""COMPUTED_VALUE"""),295.4)</f>
        <v>295.4</v>
      </c>
      <c r="D3116" s="2">
        <f>IFERROR(__xludf.DUMMYFUNCTION("""COMPUTED_VALUE"""),292.77)</f>
        <v>292.77</v>
      </c>
      <c r="E3116" s="2">
        <f>IFERROR(__xludf.DUMMYFUNCTION("""COMPUTED_VALUE"""),294.7)</f>
        <v>294.7</v>
      </c>
      <c r="F3116" s="2">
        <f>IFERROR(__xludf.DUMMYFUNCTION("""COMPUTED_VALUE"""),1200112.0)</f>
        <v>1200112</v>
      </c>
    </row>
    <row r="3117">
      <c r="A3117" s="3">
        <f>IFERROR(__xludf.DUMMYFUNCTION("""COMPUTED_VALUE"""),41110.645833333336)</f>
        <v>41110.64583</v>
      </c>
      <c r="B3117" s="2">
        <f>IFERROR(__xludf.DUMMYFUNCTION("""COMPUTED_VALUE"""),294.5)</f>
        <v>294.5</v>
      </c>
      <c r="C3117" s="2">
        <f>IFERROR(__xludf.DUMMYFUNCTION("""COMPUTED_VALUE"""),294.5)</f>
        <v>294.5</v>
      </c>
      <c r="D3117" s="2">
        <f>IFERROR(__xludf.DUMMYFUNCTION("""COMPUTED_VALUE"""),290.5)</f>
        <v>290.5</v>
      </c>
      <c r="E3117" s="2">
        <f>IFERROR(__xludf.DUMMYFUNCTION("""COMPUTED_VALUE"""),291.3)</f>
        <v>291.3</v>
      </c>
      <c r="F3117" s="2">
        <f>IFERROR(__xludf.DUMMYFUNCTION("""COMPUTED_VALUE"""),1042236.0)</f>
        <v>1042236</v>
      </c>
    </row>
    <row r="3118">
      <c r="A3118" s="3">
        <f>IFERROR(__xludf.DUMMYFUNCTION("""COMPUTED_VALUE"""),41113.645833333336)</f>
        <v>41113.64583</v>
      </c>
      <c r="B3118" s="2">
        <f>IFERROR(__xludf.DUMMYFUNCTION("""COMPUTED_VALUE"""),288.7)</f>
        <v>288.7</v>
      </c>
      <c r="C3118" s="2">
        <f>IFERROR(__xludf.DUMMYFUNCTION("""COMPUTED_VALUE"""),290.0)</f>
        <v>290</v>
      </c>
      <c r="D3118" s="2">
        <f>IFERROR(__xludf.DUMMYFUNCTION("""COMPUTED_VALUE"""),285.52)</f>
        <v>285.52</v>
      </c>
      <c r="E3118" s="2">
        <f>IFERROR(__xludf.DUMMYFUNCTION("""COMPUTED_VALUE"""),286.5)</f>
        <v>286.5</v>
      </c>
      <c r="F3118" s="2">
        <f>IFERROR(__xludf.DUMMYFUNCTION("""COMPUTED_VALUE"""),1523632.0)</f>
        <v>1523632</v>
      </c>
    </row>
    <row r="3119">
      <c r="A3119" s="3">
        <f>IFERROR(__xludf.DUMMYFUNCTION("""COMPUTED_VALUE"""),41114.645833333336)</f>
        <v>41114.64583</v>
      </c>
      <c r="B3119" s="2">
        <f>IFERROR(__xludf.DUMMYFUNCTION("""COMPUTED_VALUE"""),286.27)</f>
        <v>286.27</v>
      </c>
      <c r="C3119" s="2">
        <f>IFERROR(__xludf.DUMMYFUNCTION("""COMPUTED_VALUE"""),288.73)</f>
        <v>288.73</v>
      </c>
      <c r="D3119" s="2">
        <f>IFERROR(__xludf.DUMMYFUNCTION("""COMPUTED_VALUE"""),285.1)</f>
        <v>285.1</v>
      </c>
      <c r="E3119" s="2">
        <f>IFERROR(__xludf.DUMMYFUNCTION("""COMPUTED_VALUE"""),287.02)</f>
        <v>287.02</v>
      </c>
      <c r="F3119" s="2">
        <f>IFERROR(__xludf.DUMMYFUNCTION("""COMPUTED_VALUE"""),1326397.0)</f>
        <v>1326397</v>
      </c>
    </row>
    <row r="3120">
      <c r="A3120" s="3">
        <f>IFERROR(__xludf.DUMMYFUNCTION("""COMPUTED_VALUE"""),41115.645833333336)</f>
        <v>41115.64583</v>
      </c>
      <c r="B3120" s="2">
        <f>IFERROR(__xludf.DUMMYFUNCTION("""COMPUTED_VALUE"""),287.23)</f>
        <v>287.23</v>
      </c>
      <c r="C3120" s="2">
        <f>IFERROR(__xludf.DUMMYFUNCTION("""COMPUTED_VALUE"""),290.4)</f>
        <v>290.4</v>
      </c>
      <c r="D3120" s="2">
        <f>IFERROR(__xludf.DUMMYFUNCTION("""COMPUTED_VALUE"""),286.85)</f>
        <v>286.85</v>
      </c>
      <c r="E3120" s="2">
        <f>IFERROR(__xludf.DUMMYFUNCTION("""COMPUTED_VALUE"""),288.02)</f>
        <v>288.02</v>
      </c>
      <c r="F3120" s="2">
        <f>IFERROR(__xludf.DUMMYFUNCTION("""COMPUTED_VALUE"""),2203926.0)</f>
        <v>2203926</v>
      </c>
    </row>
    <row r="3121">
      <c r="A3121" s="3">
        <f>IFERROR(__xludf.DUMMYFUNCTION("""COMPUTED_VALUE"""),41116.645833333336)</f>
        <v>41116.64583</v>
      </c>
      <c r="B3121" s="2">
        <f>IFERROR(__xludf.DUMMYFUNCTION("""COMPUTED_VALUE"""),289.0)</f>
        <v>289</v>
      </c>
      <c r="C3121" s="2">
        <f>IFERROR(__xludf.DUMMYFUNCTION("""COMPUTED_VALUE"""),289.38)</f>
        <v>289.38</v>
      </c>
      <c r="D3121" s="2">
        <f>IFERROR(__xludf.DUMMYFUNCTION("""COMPUTED_VALUE"""),281.5)</f>
        <v>281.5</v>
      </c>
      <c r="E3121" s="2">
        <f>IFERROR(__xludf.DUMMYFUNCTION("""COMPUTED_VALUE"""),282.9)</f>
        <v>282.9</v>
      </c>
      <c r="F3121" s="2">
        <f>IFERROR(__xludf.DUMMYFUNCTION("""COMPUTED_VALUE"""),4426354.0)</f>
        <v>4426354</v>
      </c>
    </row>
    <row r="3122">
      <c r="A3122" s="3">
        <f>IFERROR(__xludf.DUMMYFUNCTION("""COMPUTED_VALUE"""),41117.645833333336)</f>
        <v>41117.64583</v>
      </c>
      <c r="B3122" s="2">
        <f>IFERROR(__xludf.DUMMYFUNCTION("""COMPUTED_VALUE"""),286.0)</f>
        <v>286</v>
      </c>
      <c r="C3122" s="2">
        <f>IFERROR(__xludf.DUMMYFUNCTION("""COMPUTED_VALUE"""),294.35)</f>
        <v>294.35</v>
      </c>
      <c r="D3122" s="2">
        <f>IFERROR(__xludf.DUMMYFUNCTION("""COMPUTED_VALUE"""),282.33)</f>
        <v>282.33</v>
      </c>
      <c r="E3122" s="2">
        <f>IFERROR(__xludf.DUMMYFUNCTION("""COMPUTED_VALUE"""),292.3)</f>
        <v>292.3</v>
      </c>
      <c r="F3122" s="2">
        <f>IFERROR(__xludf.DUMMYFUNCTION("""COMPUTED_VALUE"""),3357718.0)</f>
        <v>3357718</v>
      </c>
    </row>
    <row r="3123">
      <c r="A3123" s="3">
        <f>IFERROR(__xludf.DUMMYFUNCTION("""COMPUTED_VALUE"""),41120.645833333336)</f>
        <v>41120.64583</v>
      </c>
      <c r="B3123" s="2">
        <f>IFERROR(__xludf.DUMMYFUNCTION("""COMPUTED_VALUE"""),293.55)</f>
        <v>293.55</v>
      </c>
      <c r="C3123" s="2">
        <f>IFERROR(__xludf.DUMMYFUNCTION("""COMPUTED_VALUE"""),295.95)</f>
        <v>295.95</v>
      </c>
      <c r="D3123" s="2">
        <f>IFERROR(__xludf.DUMMYFUNCTION("""COMPUTED_VALUE"""),292.0)</f>
        <v>292</v>
      </c>
      <c r="E3123" s="2">
        <f>IFERROR(__xludf.DUMMYFUNCTION("""COMPUTED_VALUE"""),293.63)</f>
        <v>293.63</v>
      </c>
      <c r="F3123" s="2">
        <f>IFERROR(__xludf.DUMMYFUNCTION("""COMPUTED_VALUE"""),2116571.0)</f>
        <v>2116571</v>
      </c>
    </row>
    <row r="3124">
      <c r="A3124" s="3">
        <f>IFERROR(__xludf.DUMMYFUNCTION("""COMPUTED_VALUE"""),41121.645833333336)</f>
        <v>41121.64583</v>
      </c>
      <c r="B3124" s="2">
        <f>IFERROR(__xludf.DUMMYFUNCTION("""COMPUTED_VALUE"""),295.0)</f>
        <v>295</v>
      </c>
      <c r="C3124" s="2">
        <f>IFERROR(__xludf.DUMMYFUNCTION("""COMPUTED_VALUE"""),295.0)</f>
        <v>295</v>
      </c>
      <c r="D3124" s="2">
        <f>IFERROR(__xludf.DUMMYFUNCTION("""COMPUTED_VALUE"""),289.92)</f>
        <v>289.92</v>
      </c>
      <c r="E3124" s="2">
        <f>IFERROR(__xludf.DUMMYFUNCTION("""COMPUTED_VALUE"""),293.88)</f>
        <v>293.88</v>
      </c>
      <c r="F3124" s="2">
        <f>IFERROR(__xludf.DUMMYFUNCTION("""COMPUTED_VALUE"""),2097852.0)</f>
        <v>2097852</v>
      </c>
    </row>
    <row r="3125">
      <c r="A3125" s="3">
        <f>IFERROR(__xludf.DUMMYFUNCTION("""COMPUTED_VALUE"""),41122.645833333336)</f>
        <v>41122.64583</v>
      </c>
      <c r="B3125" s="2">
        <f>IFERROR(__xludf.DUMMYFUNCTION("""COMPUTED_VALUE"""),292.77)</f>
        <v>292.77</v>
      </c>
      <c r="C3125" s="2">
        <f>IFERROR(__xludf.DUMMYFUNCTION("""COMPUTED_VALUE"""),294.17)</f>
        <v>294.17</v>
      </c>
      <c r="D3125" s="2">
        <f>IFERROR(__xludf.DUMMYFUNCTION("""COMPUTED_VALUE"""),288.8)</f>
        <v>288.8</v>
      </c>
      <c r="E3125" s="2">
        <f>IFERROR(__xludf.DUMMYFUNCTION("""COMPUTED_VALUE"""),293.25)</f>
        <v>293.25</v>
      </c>
      <c r="F3125" s="2">
        <f>IFERROR(__xludf.DUMMYFUNCTION("""COMPUTED_VALUE"""),1967747.0)</f>
        <v>1967747</v>
      </c>
    </row>
    <row r="3126">
      <c r="A3126" s="3">
        <f>IFERROR(__xludf.DUMMYFUNCTION("""COMPUTED_VALUE"""),41123.645833333336)</f>
        <v>41123.64583</v>
      </c>
      <c r="B3126" s="2">
        <f>IFERROR(__xludf.DUMMYFUNCTION("""COMPUTED_VALUE"""),293.25)</f>
        <v>293.25</v>
      </c>
      <c r="C3126" s="2">
        <f>IFERROR(__xludf.DUMMYFUNCTION("""COMPUTED_VALUE"""),294.6)</f>
        <v>294.6</v>
      </c>
      <c r="D3126" s="2">
        <f>IFERROR(__xludf.DUMMYFUNCTION("""COMPUTED_VALUE"""),288.65)</f>
        <v>288.65</v>
      </c>
      <c r="E3126" s="2">
        <f>IFERROR(__xludf.DUMMYFUNCTION("""COMPUTED_VALUE"""),291.25)</f>
        <v>291.25</v>
      </c>
      <c r="F3126" s="2">
        <f>IFERROR(__xludf.DUMMYFUNCTION("""COMPUTED_VALUE"""),1721365.0)</f>
        <v>1721365</v>
      </c>
    </row>
    <row r="3127">
      <c r="A3127" s="3">
        <f>IFERROR(__xludf.DUMMYFUNCTION("""COMPUTED_VALUE"""),41124.645833333336)</f>
        <v>41124.64583</v>
      </c>
      <c r="B3127" s="2">
        <f>IFERROR(__xludf.DUMMYFUNCTION("""COMPUTED_VALUE"""),290.5)</f>
        <v>290.5</v>
      </c>
      <c r="C3127" s="2">
        <f>IFERROR(__xludf.DUMMYFUNCTION("""COMPUTED_VALUE"""),294.5)</f>
        <v>294.5</v>
      </c>
      <c r="D3127" s="2">
        <f>IFERROR(__xludf.DUMMYFUNCTION("""COMPUTED_VALUE"""),289.88)</f>
        <v>289.88</v>
      </c>
      <c r="E3127" s="2">
        <f>IFERROR(__xludf.DUMMYFUNCTION("""COMPUTED_VALUE"""),294.1)</f>
        <v>294.1</v>
      </c>
      <c r="F3127" s="2">
        <f>IFERROR(__xludf.DUMMYFUNCTION("""COMPUTED_VALUE"""),2487875.0)</f>
        <v>2487875</v>
      </c>
    </row>
    <row r="3128">
      <c r="A3128" s="3">
        <f>IFERROR(__xludf.DUMMYFUNCTION("""COMPUTED_VALUE"""),41127.645833333336)</f>
        <v>41127.64583</v>
      </c>
      <c r="B3128" s="2">
        <f>IFERROR(__xludf.DUMMYFUNCTION("""COMPUTED_VALUE"""),296.58)</f>
        <v>296.58</v>
      </c>
      <c r="C3128" s="2">
        <f>IFERROR(__xludf.DUMMYFUNCTION("""COMPUTED_VALUE"""),301.0)</f>
        <v>301</v>
      </c>
      <c r="D3128" s="2">
        <f>IFERROR(__xludf.DUMMYFUNCTION("""COMPUTED_VALUE"""),296.5)</f>
        <v>296.5</v>
      </c>
      <c r="E3128" s="2">
        <f>IFERROR(__xludf.DUMMYFUNCTION("""COMPUTED_VALUE"""),300.13)</f>
        <v>300.13</v>
      </c>
      <c r="F3128" s="2">
        <f>IFERROR(__xludf.DUMMYFUNCTION("""COMPUTED_VALUE"""),3082294.0)</f>
        <v>3082294</v>
      </c>
    </row>
    <row r="3129">
      <c r="A3129" s="3">
        <f>IFERROR(__xludf.DUMMYFUNCTION("""COMPUTED_VALUE"""),41128.645833333336)</f>
        <v>41128.64583</v>
      </c>
      <c r="B3129" s="2">
        <f>IFERROR(__xludf.DUMMYFUNCTION("""COMPUTED_VALUE"""),301.0)</f>
        <v>301</v>
      </c>
      <c r="C3129" s="2">
        <f>IFERROR(__xludf.DUMMYFUNCTION("""COMPUTED_VALUE"""),301.15)</f>
        <v>301.15</v>
      </c>
      <c r="D3129" s="2">
        <f>IFERROR(__xludf.DUMMYFUNCTION("""COMPUTED_VALUE"""),298.5)</f>
        <v>298.5</v>
      </c>
      <c r="E3129" s="2">
        <f>IFERROR(__xludf.DUMMYFUNCTION("""COMPUTED_VALUE"""),300.05)</f>
        <v>300.05</v>
      </c>
      <c r="F3129" s="2">
        <f>IFERROR(__xludf.DUMMYFUNCTION("""COMPUTED_VALUE"""),2807191.0)</f>
        <v>2807191</v>
      </c>
    </row>
    <row r="3130">
      <c r="A3130" s="3">
        <f>IFERROR(__xludf.DUMMYFUNCTION("""COMPUTED_VALUE"""),41129.645833333336)</f>
        <v>41129.64583</v>
      </c>
      <c r="B3130" s="2">
        <f>IFERROR(__xludf.DUMMYFUNCTION("""COMPUTED_VALUE"""),300.0)</f>
        <v>300</v>
      </c>
      <c r="C3130" s="2">
        <f>IFERROR(__xludf.DUMMYFUNCTION("""COMPUTED_VALUE"""),301.0)</f>
        <v>301</v>
      </c>
      <c r="D3130" s="2">
        <f>IFERROR(__xludf.DUMMYFUNCTION("""COMPUTED_VALUE"""),297.35)</f>
        <v>297.35</v>
      </c>
      <c r="E3130" s="2">
        <f>IFERROR(__xludf.DUMMYFUNCTION("""COMPUTED_VALUE"""),299.45)</f>
        <v>299.45</v>
      </c>
      <c r="F3130" s="2">
        <f>IFERROR(__xludf.DUMMYFUNCTION("""COMPUTED_VALUE"""),2013279.0)</f>
        <v>2013279</v>
      </c>
    </row>
    <row r="3131">
      <c r="A3131" s="3">
        <f>IFERROR(__xludf.DUMMYFUNCTION("""COMPUTED_VALUE"""),41130.645833333336)</f>
        <v>41130.64583</v>
      </c>
      <c r="B3131" s="2">
        <f>IFERROR(__xludf.DUMMYFUNCTION("""COMPUTED_VALUE"""),300.5)</f>
        <v>300.5</v>
      </c>
      <c r="C3131" s="2">
        <f>IFERROR(__xludf.DUMMYFUNCTION("""COMPUTED_VALUE"""),303.5)</f>
        <v>303.5</v>
      </c>
      <c r="D3131" s="2">
        <f>IFERROR(__xludf.DUMMYFUNCTION("""COMPUTED_VALUE"""),299.25)</f>
        <v>299.25</v>
      </c>
      <c r="E3131" s="2">
        <f>IFERROR(__xludf.DUMMYFUNCTION("""COMPUTED_VALUE"""),302.33)</f>
        <v>302.33</v>
      </c>
      <c r="F3131" s="2">
        <f>IFERROR(__xludf.DUMMYFUNCTION("""COMPUTED_VALUE"""),2468280.0)</f>
        <v>2468280</v>
      </c>
    </row>
    <row r="3132">
      <c r="A3132" s="3">
        <f>IFERROR(__xludf.DUMMYFUNCTION("""COMPUTED_VALUE"""),41131.645833333336)</f>
        <v>41131.64583</v>
      </c>
      <c r="B3132" s="2">
        <f>IFERROR(__xludf.DUMMYFUNCTION("""COMPUTED_VALUE"""),300.0)</f>
        <v>300</v>
      </c>
      <c r="C3132" s="2">
        <f>IFERROR(__xludf.DUMMYFUNCTION("""COMPUTED_VALUE"""),303.45)</f>
        <v>303.45</v>
      </c>
      <c r="D3132" s="2">
        <f>IFERROR(__xludf.DUMMYFUNCTION("""COMPUTED_VALUE"""),299.83)</f>
        <v>299.83</v>
      </c>
      <c r="E3132" s="2">
        <f>IFERROR(__xludf.DUMMYFUNCTION("""COMPUTED_VALUE"""),301.08)</f>
        <v>301.08</v>
      </c>
      <c r="F3132" s="2">
        <f>IFERROR(__xludf.DUMMYFUNCTION("""COMPUTED_VALUE"""),3781855.0)</f>
        <v>3781855</v>
      </c>
    </row>
    <row r="3133">
      <c r="A3133" s="3">
        <f>IFERROR(__xludf.DUMMYFUNCTION("""COMPUTED_VALUE"""),41134.645833333336)</f>
        <v>41134.64583</v>
      </c>
      <c r="B3133" s="2">
        <f>IFERROR(__xludf.DUMMYFUNCTION("""COMPUTED_VALUE"""),300.0)</f>
        <v>300</v>
      </c>
      <c r="C3133" s="2">
        <f>IFERROR(__xludf.DUMMYFUNCTION("""COMPUTED_VALUE"""),304.75)</f>
        <v>304.75</v>
      </c>
      <c r="D3133" s="2">
        <f>IFERROR(__xludf.DUMMYFUNCTION("""COMPUTED_VALUE"""),300.0)</f>
        <v>300</v>
      </c>
      <c r="E3133" s="2">
        <f>IFERROR(__xludf.DUMMYFUNCTION("""COMPUTED_VALUE"""),303.73)</f>
        <v>303.73</v>
      </c>
      <c r="F3133" s="2">
        <f>IFERROR(__xludf.DUMMYFUNCTION("""COMPUTED_VALUE"""),2105426.0)</f>
        <v>2105426</v>
      </c>
    </row>
    <row r="3134">
      <c r="A3134" s="3">
        <f>IFERROR(__xludf.DUMMYFUNCTION("""COMPUTED_VALUE"""),41135.645833333336)</f>
        <v>41135.64583</v>
      </c>
      <c r="B3134" s="2">
        <f>IFERROR(__xludf.DUMMYFUNCTION("""COMPUTED_VALUE"""),303.52)</f>
        <v>303.52</v>
      </c>
      <c r="C3134" s="2">
        <f>IFERROR(__xludf.DUMMYFUNCTION("""COMPUTED_VALUE"""),304.5)</f>
        <v>304.5</v>
      </c>
      <c r="D3134" s="2">
        <f>IFERROR(__xludf.DUMMYFUNCTION("""COMPUTED_VALUE"""),301.63)</f>
        <v>301.63</v>
      </c>
      <c r="E3134" s="2">
        <f>IFERROR(__xludf.DUMMYFUNCTION("""COMPUTED_VALUE"""),304.08)</f>
        <v>304.08</v>
      </c>
      <c r="F3134" s="2">
        <f>IFERROR(__xludf.DUMMYFUNCTION("""COMPUTED_VALUE"""),2806392.0)</f>
        <v>2806392</v>
      </c>
    </row>
    <row r="3135">
      <c r="A3135" s="3">
        <f>IFERROR(__xludf.DUMMYFUNCTION("""COMPUTED_VALUE"""),41137.645833333336)</f>
        <v>41137.64583</v>
      </c>
      <c r="B3135" s="2">
        <f>IFERROR(__xludf.DUMMYFUNCTION("""COMPUTED_VALUE"""),304.0)</f>
        <v>304</v>
      </c>
      <c r="C3135" s="2">
        <f>IFERROR(__xludf.DUMMYFUNCTION("""COMPUTED_VALUE"""),304.08)</f>
        <v>304.08</v>
      </c>
      <c r="D3135" s="2">
        <f>IFERROR(__xludf.DUMMYFUNCTION("""COMPUTED_VALUE"""),298.92)</f>
        <v>298.92</v>
      </c>
      <c r="E3135" s="2">
        <f>IFERROR(__xludf.DUMMYFUNCTION("""COMPUTED_VALUE"""),300.02)</f>
        <v>300.02</v>
      </c>
      <c r="F3135" s="2">
        <f>IFERROR(__xludf.DUMMYFUNCTION("""COMPUTED_VALUE"""),2035824.0)</f>
        <v>2035824</v>
      </c>
    </row>
    <row r="3136">
      <c r="A3136" s="3">
        <f>IFERROR(__xludf.DUMMYFUNCTION("""COMPUTED_VALUE"""),41138.645833333336)</f>
        <v>41138.64583</v>
      </c>
      <c r="B3136" s="2">
        <f>IFERROR(__xludf.DUMMYFUNCTION("""COMPUTED_VALUE"""),299.3)</f>
        <v>299.3</v>
      </c>
      <c r="C3136" s="2">
        <f>IFERROR(__xludf.DUMMYFUNCTION("""COMPUTED_VALUE"""),301.13)</f>
        <v>301.13</v>
      </c>
      <c r="D3136" s="2">
        <f>IFERROR(__xludf.DUMMYFUNCTION("""COMPUTED_VALUE"""),295.9)</f>
        <v>295.9</v>
      </c>
      <c r="E3136" s="2">
        <f>IFERROR(__xludf.DUMMYFUNCTION("""COMPUTED_VALUE"""),297.55)</f>
        <v>297.55</v>
      </c>
      <c r="F3136" s="2">
        <f>IFERROR(__xludf.DUMMYFUNCTION("""COMPUTED_VALUE"""),1921539.0)</f>
        <v>1921539</v>
      </c>
    </row>
    <row r="3137">
      <c r="A3137" s="3">
        <f>IFERROR(__xludf.DUMMYFUNCTION("""COMPUTED_VALUE"""),41142.645833333336)</f>
        <v>41142.64583</v>
      </c>
      <c r="B3137" s="2">
        <f>IFERROR(__xludf.DUMMYFUNCTION("""COMPUTED_VALUE"""),297.5)</f>
        <v>297.5</v>
      </c>
      <c r="C3137" s="2">
        <f>IFERROR(__xludf.DUMMYFUNCTION("""COMPUTED_VALUE"""),299.25)</f>
        <v>299.25</v>
      </c>
      <c r="D3137" s="2">
        <f>IFERROR(__xludf.DUMMYFUNCTION("""COMPUTED_VALUE"""),294.1)</f>
        <v>294.1</v>
      </c>
      <c r="E3137" s="2">
        <f>IFERROR(__xludf.DUMMYFUNCTION("""COMPUTED_VALUE"""),298.2)</f>
        <v>298.2</v>
      </c>
      <c r="F3137" s="2">
        <f>IFERROR(__xludf.DUMMYFUNCTION("""COMPUTED_VALUE"""),2085210.0)</f>
        <v>2085210</v>
      </c>
    </row>
    <row r="3138">
      <c r="A3138" s="3">
        <f>IFERROR(__xludf.DUMMYFUNCTION("""COMPUTED_VALUE"""),41143.645833333336)</f>
        <v>41143.64583</v>
      </c>
      <c r="B3138" s="2">
        <f>IFERROR(__xludf.DUMMYFUNCTION("""COMPUTED_VALUE"""),297.2)</f>
        <v>297.2</v>
      </c>
      <c r="C3138" s="2">
        <f>IFERROR(__xludf.DUMMYFUNCTION("""COMPUTED_VALUE"""),300.23)</f>
        <v>300.23</v>
      </c>
      <c r="D3138" s="2">
        <f>IFERROR(__xludf.DUMMYFUNCTION("""COMPUTED_VALUE"""),295.67)</f>
        <v>295.67</v>
      </c>
      <c r="E3138" s="2">
        <f>IFERROR(__xludf.DUMMYFUNCTION("""COMPUTED_VALUE"""),298.45)</f>
        <v>298.45</v>
      </c>
      <c r="F3138" s="2">
        <f>IFERROR(__xludf.DUMMYFUNCTION("""COMPUTED_VALUE"""),2395215.0)</f>
        <v>2395215</v>
      </c>
    </row>
    <row r="3139">
      <c r="A3139" s="3">
        <f>IFERROR(__xludf.DUMMYFUNCTION("""COMPUTED_VALUE"""),41144.645833333336)</f>
        <v>41144.64583</v>
      </c>
      <c r="B3139" s="2">
        <f>IFERROR(__xludf.DUMMYFUNCTION("""COMPUTED_VALUE"""),299.7)</f>
        <v>299.7</v>
      </c>
      <c r="C3139" s="2">
        <f>IFERROR(__xludf.DUMMYFUNCTION("""COMPUTED_VALUE"""),302.27)</f>
        <v>302.27</v>
      </c>
      <c r="D3139" s="2">
        <f>IFERROR(__xludf.DUMMYFUNCTION("""COMPUTED_VALUE"""),297.63)</f>
        <v>297.63</v>
      </c>
      <c r="E3139" s="2">
        <f>IFERROR(__xludf.DUMMYFUNCTION("""COMPUTED_VALUE"""),298.85)</f>
        <v>298.85</v>
      </c>
      <c r="F3139" s="2">
        <f>IFERROR(__xludf.DUMMYFUNCTION("""COMPUTED_VALUE"""),2356262.0)</f>
        <v>2356262</v>
      </c>
    </row>
    <row r="3140">
      <c r="A3140" s="3">
        <f>IFERROR(__xludf.DUMMYFUNCTION("""COMPUTED_VALUE"""),41145.645833333336)</f>
        <v>41145.64583</v>
      </c>
      <c r="B3140" s="2">
        <f>IFERROR(__xludf.DUMMYFUNCTION("""COMPUTED_VALUE"""),296.75)</f>
        <v>296.75</v>
      </c>
      <c r="C3140" s="2">
        <f>IFERROR(__xludf.DUMMYFUNCTION("""COMPUTED_VALUE"""),300.2)</f>
        <v>300.2</v>
      </c>
      <c r="D3140" s="2">
        <f>IFERROR(__xludf.DUMMYFUNCTION("""COMPUTED_VALUE"""),296.63)</f>
        <v>296.63</v>
      </c>
      <c r="E3140" s="2">
        <f>IFERROR(__xludf.DUMMYFUNCTION("""COMPUTED_VALUE"""),298.15)</f>
        <v>298.15</v>
      </c>
      <c r="F3140" s="2">
        <f>IFERROR(__xludf.DUMMYFUNCTION("""COMPUTED_VALUE"""),1677094.0)</f>
        <v>1677094</v>
      </c>
    </row>
    <row r="3141">
      <c r="A3141" s="3">
        <f>IFERROR(__xludf.DUMMYFUNCTION("""COMPUTED_VALUE"""),41148.645833333336)</f>
        <v>41148.64583</v>
      </c>
      <c r="B3141" s="2">
        <f>IFERROR(__xludf.DUMMYFUNCTION("""COMPUTED_VALUE"""),297.5)</f>
        <v>297.5</v>
      </c>
      <c r="C3141" s="2">
        <f>IFERROR(__xludf.DUMMYFUNCTION("""COMPUTED_VALUE"""),299.45)</f>
        <v>299.45</v>
      </c>
      <c r="D3141" s="2">
        <f>IFERROR(__xludf.DUMMYFUNCTION("""COMPUTED_VALUE"""),296.02)</f>
        <v>296.02</v>
      </c>
      <c r="E3141" s="2">
        <f>IFERROR(__xludf.DUMMYFUNCTION("""COMPUTED_VALUE"""),297.17)</f>
        <v>297.17</v>
      </c>
      <c r="F3141" s="2">
        <f>IFERROR(__xludf.DUMMYFUNCTION("""COMPUTED_VALUE"""),1011681.0)</f>
        <v>1011681</v>
      </c>
    </row>
    <row r="3142">
      <c r="A3142" s="3">
        <f>IFERROR(__xludf.DUMMYFUNCTION("""COMPUTED_VALUE"""),41149.645833333336)</f>
        <v>41149.64583</v>
      </c>
      <c r="B3142" s="2">
        <f>IFERROR(__xludf.DUMMYFUNCTION("""COMPUTED_VALUE"""),296.45)</f>
        <v>296.45</v>
      </c>
      <c r="C3142" s="2">
        <f>IFERROR(__xludf.DUMMYFUNCTION("""COMPUTED_VALUE"""),297.27)</f>
        <v>297.27</v>
      </c>
      <c r="D3142" s="2">
        <f>IFERROR(__xludf.DUMMYFUNCTION("""COMPUTED_VALUE"""),293.25)</f>
        <v>293.25</v>
      </c>
      <c r="E3142" s="2">
        <f>IFERROR(__xludf.DUMMYFUNCTION("""COMPUTED_VALUE"""),294.67)</f>
        <v>294.67</v>
      </c>
      <c r="F3142" s="2">
        <f>IFERROR(__xludf.DUMMYFUNCTION("""COMPUTED_VALUE"""),2223991.0)</f>
        <v>2223991</v>
      </c>
    </row>
    <row r="3143">
      <c r="A3143" s="3">
        <f>IFERROR(__xludf.DUMMYFUNCTION("""COMPUTED_VALUE"""),41150.645833333336)</f>
        <v>41150.64583</v>
      </c>
      <c r="B3143" s="2">
        <f>IFERROR(__xludf.DUMMYFUNCTION("""COMPUTED_VALUE"""),294.63)</f>
        <v>294.63</v>
      </c>
      <c r="C3143" s="2">
        <f>IFERROR(__xludf.DUMMYFUNCTION("""COMPUTED_VALUE"""),297.9)</f>
        <v>297.9</v>
      </c>
      <c r="D3143" s="2">
        <f>IFERROR(__xludf.DUMMYFUNCTION("""COMPUTED_VALUE"""),293.13)</f>
        <v>293.13</v>
      </c>
      <c r="E3143" s="2">
        <f>IFERROR(__xludf.DUMMYFUNCTION("""COMPUTED_VALUE"""),294.27)</f>
        <v>294.27</v>
      </c>
      <c r="F3143" s="2">
        <f>IFERROR(__xludf.DUMMYFUNCTION("""COMPUTED_VALUE"""),1682407.0)</f>
        <v>1682407</v>
      </c>
    </row>
    <row r="3144">
      <c r="A3144" s="3">
        <f>IFERROR(__xludf.DUMMYFUNCTION("""COMPUTED_VALUE"""),41151.645833333336)</f>
        <v>41151.64583</v>
      </c>
      <c r="B3144" s="2">
        <f>IFERROR(__xludf.DUMMYFUNCTION("""COMPUTED_VALUE"""),293.0)</f>
        <v>293</v>
      </c>
      <c r="C3144" s="2">
        <f>IFERROR(__xludf.DUMMYFUNCTION("""COMPUTED_VALUE"""),301.0)</f>
        <v>301</v>
      </c>
      <c r="D3144" s="2">
        <f>IFERROR(__xludf.DUMMYFUNCTION("""COMPUTED_VALUE"""),293.0)</f>
        <v>293</v>
      </c>
      <c r="E3144" s="2">
        <f>IFERROR(__xludf.DUMMYFUNCTION("""COMPUTED_VALUE"""),297.95)</f>
        <v>297.95</v>
      </c>
      <c r="F3144" s="2">
        <f>IFERROR(__xludf.DUMMYFUNCTION("""COMPUTED_VALUE"""),5679101.0)</f>
        <v>5679101</v>
      </c>
    </row>
    <row r="3145">
      <c r="A3145" s="3">
        <f>IFERROR(__xludf.DUMMYFUNCTION("""COMPUTED_VALUE"""),41152.645833333336)</f>
        <v>41152.64583</v>
      </c>
      <c r="B3145" s="2">
        <f>IFERROR(__xludf.DUMMYFUNCTION("""COMPUTED_VALUE"""),295.17)</f>
        <v>295.17</v>
      </c>
      <c r="C3145" s="2">
        <f>IFERROR(__xludf.DUMMYFUNCTION("""COMPUTED_VALUE"""),300.0)</f>
        <v>300</v>
      </c>
      <c r="D3145" s="2">
        <f>IFERROR(__xludf.DUMMYFUNCTION("""COMPUTED_VALUE"""),294.63)</f>
        <v>294.63</v>
      </c>
      <c r="E3145" s="2">
        <f>IFERROR(__xludf.DUMMYFUNCTION("""COMPUTED_VALUE"""),297.67)</f>
        <v>297.67</v>
      </c>
      <c r="F3145" s="2">
        <f>IFERROR(__xludf.DUMMYFUNCTION("""COMPUTED_VALUE"""),3126685.0)</f>
        <v>3126685</v>
      </c>
    </row>
    <row r="3146">
      <c r="A3146" s="3">
        <f>IFERROR(__xludf.DUMMYFUNCTION("""COMPUTED_VALUE"""),41155.645833333336)</f>
        <v>41155.64583</v>
      </c>
      <c r="B3146" s="2">
        <f>IFERROR(__xludf.DUMMYFUNCTION("""COMPUTED_VALUE"""),298.77)</f>
        <v>298.77</v>
      </c>
      <c r="C3146" s="2">
        <f>IFERROR(__xludf.DUMMYFUNCTION("""COMPUTED_VALUE"""),298.9)</f>
        <v>298.9</v>
      </c>
      <c r="D3146" s="2">
        <f>IFERROR(__xludf.DUMMYFUNCTION("""COMPUTED_VALUE"""),294.0)</f>
        <v>294</v>
      </c>
      <c r="E3146" s="2">
        <f>IFERROR(__xludf.DUMMYFUNCTION("""COMPUTED_VALUE"""),295.23)</f>
        <v>295.23</v>
      </c>
      <c r="F3146" s="2">
        <f>IFERROR(__xludf.DUMMYFUNCTION("""COMPUTED_VALUE"""),1859454.0)</f>
        <v>1859454</v>
      </c>
    </row>
    <row r="3147">
      <c r="A3147" s="3">
        <f>IFERROR(__xludf.DUMMYFUNCTION("""COMPUTED_VALUE"""),41156.645833333336)</f>
        <v>41156.64583</v>
      </c>
      <c r="B3147" s="2">
        <f>IFERROR(__xludf.DUMMYFUNCTION("""COMPUTED_VALUE"""),295.27)</f>
        <v>295.27</v>
      </c>
      <c r="C3147" s="2">
        <f>IFERROR(__xludf.DUMMYFUNCTION("""COMPUTED_VALUE"""),296.17)</f>
        <v>296.17</v>
      </c>
      <c r="D3147" s="2">
        <f>IFERROR(__xludf.DUMMYFUNCTION("""COMPUTED_VALUE"""),293.6)</f>
        <v>293.6</v>
      </c>
      <c r="E3147" s="2">
        <f>IFERROR(__xludf.DUMMYFUNCTION("""COMPUTED_VALUE"""),295.05)</f>
        <v>295.05</v>
      </c>
      <c r="F3147" s="2">
        <f>IFERROR(__xludf.DUMMYFUNCTION("""COMPUTED_VALUE"""),1443147.0)</f>
        <v>1443147</v>
      </c>
    </row>
    <row r="3148">
      <c r="A3148" s="3">
        <f>IFERROR(__xludf.DUMMYFUNCTION("""COMPUTED_VALUE"""),41157.645833333336)</f>
        <v>41157.64583</v>
      </c>
      <c r="B3148" s="2">
        <f>IFERROR(__xludf.DUMMYFUNCTION("""COMPUTED_VALUE"""),294.0)</f>
        <v>294</v>
      </c>
      <c r="C3148" s="2">
        <f>IFERROR(__xludf.DUMMYFUNCTION("""COMPUTED_VALUE"""),298.0)</f>
        <v>298</v>
      </c>
      <c r="D3148" s="2">
        <f>IFERROR(__xludf.DUMMYFUNCTION("""COMPUTED_VALUE"""),293.67)</f>
        <v>293.67</v>
      </c>
      <c r="E3148" s="2">
        <f>IFERROR(__xludf.DUMMYFUNCTION("""COMPUTED_VALUE"""),296.05)</f>
        <v>296.05</v>
      </c>
      <c r="F3148" s="2">
        <f>IFERROR(__xludf.DUMMYFUNCTION("""COMPUTED_VALUE"""),3039618.0)</f>
        <v>3039618</v>
      </c>
    </row>
    <row r="3149">
      <c r="A3149" s="3">
        <f>IFERROR(__xludf.DUMMYFUNCTION("""COMPUTED_VALUE"""),41158.645833333336)</f>
        <v>41158.64583</v>
      </c>
      <c r="B3149" s="2">
        <f>IFERROR(__xludf.DUMMYFUNCTION("""COMPUTED_VALUE"""),295.05)</f>
        <v>295.05</v>
      </c>
      <c r="C3149" s="2">
        <f>IFERROR(__xludf.DUMMYFUNCTION("""COMPUTED_VALUE"""),296.75)</f>
        <v>296.75</v>
      </c>
      <c r="D3149" s="2">
        <f>IFERROR(__xludf.DUMMYFUNCTION("""COMPUTED_VALUE"""),293.05)</f>
        <v>293.05</v>
      </c>
      <c r="E3149" s="2">
        <f>IFERROR(__xludf.DUMMYFUNCTION("""COMPUTED_VALUE"""),294.08)</f>
        <v>294.08</v>
      </c>
      <c r="F3149" s="2">
        <f>IFERROR(__xludf.DUMMYFUNCTION("""COMPUTED_VALUE"""),1274363.0)</f>
        <v>1274363</v>
      </c>
    </row>
    <row r="3150">
      <c r="A3150" s="3">
        <f>IFERROR(__xludf.DUMMYFUNCTION("""COMPUTED_VALUE"""),41159.645833333336)</f>
        <v>41159.64583</v>
      </c>
      <c r="B3150" s="2">
        <f>IFERROR(__xludf.DUMMYFUNCTION("""COMPUTED_VALUE"""),297.13)</f>
        <v>297.13</v>
      </c>
      <c r="C3150" s="2">
        <f>IFERROR(__xludf.DUMMYFUNCTION("""COMPUTED_VALUE"""),297.5)</f>
        <v>297.5</v>
      </c>
      <c r="D3150" s="2">
        <f>IFERROR(__xludf.DUMMYFUNCTION("""COMPUTED_VALUE"""),292.85)</f>
        <v>292.85</v>
      </c>
      <c r="E3150" s="2">
        <f>IFERROR(__xludf.DUMMYFUNCTION("""COMPUTED_VALUE"""),295.2)</f>
        <v>295.2</v>
      </c>
      <c r="F3150" s="2">
        <f>IFERROR(__xludf.DUMMYFUNCTION("""COMPUTED_VALUE"""),2801287.0)</f>
        <v>2801287</v>
      </c>
    </row>
    <row r="3151">
      <c r="A3151" s="3">
        <f>IFERROR(__xludf.DUMMYFUNCTION("""COMPUTED_VALUE"""),41162.645833333336)</f>
        <v>41162.64583</v>
      </c>
      <c r="B3151" s="2">
        <f>IFERROR(__xludf.DUMMYFUNCTION("""COMPUTED_VALUE"""),295.75)</f>
        <v>295.75</v>
      </c>
      <c r="C3151" s="2">
        <f>IFERROR(__xludf.DUMMYFUNCTION("""COMPUTED_VALUE"""),298.5)</f>
        <v>298.5</v>
      </c>
      <c r="D3151" s="2">
        <f>IFERROR(__xludf.DUMMYFUNCTION("""COMPUTED_VALUE"""),294.67)</f>
        <v>294.67</v>
      </c>
      <c r="E3151" s="2">
        <f>IFERROR(__xludf.DUMMYFUNCTION("""COMPUTED_VALUE"""),295.58)</f>
        <v>295.58</v>
      </c>
      <c r="F3151" s="2">
        <f>IFERROR(__xludf.DUMMYFUNCTION("""COMPUTED_VALUE"""),1508723.0)</f>
        <v>1508723</v>
      </c>
    </row>
    <row r="3152">
      <c r="A3152" s="3">
        <f>IFERROR(__xludf.DUMMYFUNCTION("""COMPUTED_VALUE"""),41163.645833333336)</f>
        <v>41163.64583</v>
      </c>
      <c r="B3152" s="2">
        <f>IFERROR(__xludf.DUMMYFUNCTION("""COMPUTED_VALUE"""),294.38)</f>
        <v>294.38</v>
      </c>
      <c r="C3152" s="2">
        <f>IFERROR(__xludf.DUMMYFUNCTION("""COMPUTED_VALUE"""),298.5)</f>
        <v>298.5</v>
      </c>
      <c r="D3152" s="2">
        <f>IFERROR(__xludf.DUMMYFUNCTION("""COMPUTED_VALUE"""),291.67)</f>
        <v>291.67</v>
      </c>
      <c r="E3152" s="2">
        <f>IFERROR(__xludf.DUMMYFUNCTION("""COMPUTED_VALUE"""),297.2)</f>
        <v>297.2</v>
      </c>
      <c r="F3152" s="2">
        <f>IFERROR(__xludf.DUMMYFUNCTION("""COMPUTED_VALUE"""),1577886.0)</f>
        <v>1577886</v>
      </c>
    </row>
    <row r="3153">
      <c r="A3153" s="3">
        <f>IFERROR(__xludf.DUMMYFUNCTION("""COMPUTED_VALUE"""),41164.645833333336)</f>
        <v>41164.64583</v>
      </c>
      <c r="B3153" s="2">
        <f>IFERROR(__xludf.DUMMYFUNCTION("""COMPUTED_VALUE"""),297.63)</f>
        <v>297.63</v>
      </c>
      <c r="C3153" s="2">
        <f>IFERROR(__xludf.DUMMYFUNCTION("""COMPUTED_VALUE"""),300.0)</f>
        <v>300</v>
      </c>
      <c r="D3153" s="2">
        <f>IFERROR(__xludf.DUMMYFUNCTION("""COMPUTED_VALUE"""),296.95)</f>
        <v>296.95</v>
      </c>
      <c r="E3153" s="2">
        <f>IFERROR(__xludf.DUMMYFUNCTION("""COMPUTED_VALUE"""),299.6)</f>
        <v>299.6</v>
      </c>
      <c r="F3153" s="2">
        <f>IFERROR(__xludf.DUMMYFUNCTION("""COMPUTED_VALUE"""),1597754.0)</f>
        <v>1597754</v>
      </c>
    </row>
    <row r="3154">
      <c r="A3154" s="3">
        <f>IFERROR(__xludf.DUMMYFUNCTION("""COMPUTED_VALUE"""),41165.645833333336)</f>
        <v>41165.64583</v>
      </c>
      <c r="B3154" s="2">
        <f>IFERROR(__xludf.DUMMYFUNCTION("""COMPUTED_VALUE"""),300.5)</f>
        <v>300.5</v>
      </c>
      <c r="C3154" s="2">
        <f>IFERROR(__xludf.DUMMYFUNCTION("""COMPUTED_VALUE"""),300.75)</f>
        <v>300.75</v>
      </c>
      <c r="D3154" s="2">
        <f>IFERROR(__xludf.DUMMYFUNCTION("""COMPUTED_VALUE"""),296.77)</f>
        <v>296.77</v>
      </c>
      <c r="E3154" s="2">
        <f>IFERROR(__xludf.DUMMYFUNCTION("""COMPUTED_VALUE"""),299.6)</f>
        <v>299.6</v>
      </c>
      <c r="F3154" s="2">
        <f>IFERROR(__xludf.DUMMYFUNCTION("""COMPUTED_VALUE"""),849940.0)</f>
        <v>849940</v>
      </c>
    </row>
    <row r="3155">
      <c r="A3155" s="3">
        <f>IFERROR(__xludf.DUMMYFUNCTION("""COMPUTED_VALUE"""),41166.645833333336)</f>
        <v>41166.64583</v>
      </c>
      <c r="B3155" s="2">
        <f>IFERROR(__xludf.DUMMYFUNCTION("""COMPUTED_VALUE"""),303.3)</f>
        <v>303.3</v>
      </c>
      <c r="C3155" s="2">
        <f>IFERROR(__xludf.DUMMYFUNCTION("""COMPUTED_VALUE"""),307.38)</f>
        <v>307.38</v>
      </c>
      <c r="D3155" s="2">
        <f>IFERROR(__xludf.DUMMYFUNCTION("""COMPUTED_VALUE"""),300.48)</f>
        <v>300.48</v>
      </c>
      <c r="E3155" s="2">
        <f>IFERROR(__xludf.DUMMYFUNCTION("""COMPUTED_VALUE"""),306.38)</f>
        <v>306.38</v>
      </c>
      <c r="F3155" s="2">
        <f>IFERROR(__xludf.DUMMYFUNCTION("""COMPUTED_VALUE"""),6442805.0)</f>
        <v>6442805</v>
      </c>
    </row>
    <row r="3156">
      <c r="A3156" s="3">
        <f>IFERROR(__xludf.DUMMYFUNCTION("""COMPUTED_VALUE"""),41169.645833333336)</f>
        <v>41169.64583</v>
      </c>
      <c r="B3156" s="2">
        <f>IFERROR(__xludf.DUMMYFUNCTION("""COMPUTED_VALUE"""),309.5)</f>
        <v>309.5</v>
      </c>
      <c r="C3156" s="2">
        <f>IFERROR(__xludf.DUMMYFUNCTION("""COMPUTED_VALUE"""),309.98)</f>
        <v>309.98</v>
      </c>
      <c r="D3156" s="2">
        <f>IFERROR(__xludf.DUMMYFUNCTION("""COMPUTED_VALUE"""),302.75)</f>
        <v>302.75</v>
      </c>
      <c r="E3156" s="2">
        <f>IFERROR(__xludf.DUMMYFUNCTION("""COMPUTED_VALUE"""),304.15)</f>
        <v>304.15</v>
      </c>
      <c r="F3156" s="2">
        <f>IFERROR(__xludf.DUMMYFUNCTION("""COMPUTED_VALUE"""),5271712.0)</f>
        <v>5271712</v>
      </c>
    </row>
    <row r="3157">
      <c r="A3157" s="3">
        <f>IFERROR(__xludf.DUMMYFUNCTION("""COMPUTED_VALUE"""),41170.645833333336)</f>
        <v>41170.64583</v>
      </c>
      <c r="B3157" s="2">
        <f>IFERROR(__xludf.DUMMYFUNCTION("""COMPUTED_VALUE"""),304.15)</f>
        <v>304.15</v>
      </c>
      <c r="C3157" s="2">
        <f>IFERROR(__xludf.DUMMYFUNCTION("""COMPUTED_VALUE"""),306.0)</f>
        <v>306</v>
      </c>
      <c r="D3157" s="2">
        <f>IFERROR(__xludf.DUMMYFUNCTION("""COMPUTED_VALUE"""),301.92)</f>
        <v>301.92</v>
      </c>
      <c r="E3157" s="2">
        <f>IFERROR(__xludf.DUMMYFUNCTION("""COMPUTED_VALUE"""),302.73)</f>
        <v>302.73</v>
      </c>
      <c r="F3157" s="2">
        <f>IFERROR(__xludf.DUMMYFUNCTION("""COMPUTED_VALUE"""),2509794.0)</f>
        <v>2509794</v>
      </c>
    </row>
    <row r="3158">
      <c r="A3158" s="3">
        <f>IFERROR(__xludf.DUMMYFUNCTION("""COMPUTED_VALUE"""),41172.645833333336)</f>
        <v>41172.64583</v>
      </c>
      <c r="B3158" s="2">
        <f>IFERROR(__xludf.DUMMYFUNCTION("""COMPUTED_VALUE"""),301.0)</f>
        <v>301</v>
      </c>
      <c r="C3158" s="2">
        <f>IFERROR(__xludf.DUMMYFUNCTION("""COMPUTED_VALUE"""),305.0)</f>
        <v>305</v>
      </c>
      <c r="D3158" s="2">
        <f>IFERROR(__xludf.DUMMYFUNCTION("""COMPUTED_VALUE"""),300.5)</f>
        <v>300.5</v>
      </c>
      <c r="E3158" s="2">
        <f>IFERROR(__xludf.DUMMYFUNCTION("""COMPUTED_VALUE"""),303.45)</f>
        <v>303.45</v>
      </c>
      <c r="F3158" s="2">
        <f>IFERROR(__xludf.DUMMYFUNCTION("""COMPUTED_VALUE"""),2622832.0)</f>
        <v>2622832</v>
      </c>
    </row>
    <row r="3159">
      <c r="A3159" s="3">
        <f>IFERROR(__xludf.DUMMYFUNCTION("""COMPUTED_VALUE"""),41173.645833333336)</f>
        <v>41173.64583</v>
      </c>
      <c r="B3159" s="2">
        <f>IFERROR(__xludf.DUMMYFUNCTION("""COMPUTED_VALUE"""),304.35)</f>
        <v>304.35</v>
      </c>
      <c r="C3159" s="2">
        <f>IFERROR(__xludf.DUMMYFUNCTION("""COMPUTED_VALUE"""),314.5)</f>
        <v>314.5</v>
      </c>
      <c r="D3159" s="2">
        <f>IFERROR(__xludf.DUMMYFUNCTION("""COMPUTED_VALUE"""),302.55)</f>
        <v>302.55</v>
      </c>
      <c r="E3159" s="2">
        <f>IFERROR(__xludf.DUMMYFUNCTION("""COMPUTED_VALUE"""),312.58)</f>
        <v>312.58</v>
      </c>
      <c r="F3159" s="2">
        <f>IFERROR(__xludf.DUMMYFUNCTION("""COMPUTED_VALUE"""),5900712.0)</f>
        <v>5900712</v>
      </c>
    </row>
    <row r="3160">
      <c r="A3160" s="3">
        <f>IFERROR(__xludf.DUMMYFUNCTION("""COMPUTED_VALUE"""),41176.645833333336)</f>
        <v>41176.64583</v>
      </c>
      <c r="B3160" s="2">
        <f>IFERROR(__xludf.DUMMYFUNCTION("""COMPUTED_VALUE"""),312.75)</f>
        <v>312.75</v>
      </c>
      <c r="C3160" s="2">
        <f>IFERROR(__xludf.DUMMYFUNCTION("""COMPUTED_VALUE"""),318.45)</f>
        <v>318.45</v>
      </c>
      <c r="D3160" s="2">
        <f>IFERROR(__xludf.DUMMYFUNCTION("""COMPUTED_VALUE"""),311.4)</f>
        <v>311.4</v>
      </c>
      <c r="E3160" s="2">
        <f>IFERROR(__xludf.DUMMYFUNCTION("""COMPUTED_VALUE"""),317.5)</f>
        <v>317.5</v>
      </c>
      <c r="F3160" s="2">
        <f>IFERROR(__xludf.DUMMYFUNCTION("""COMPUTED_VALUE"""),4393720.0)</f>
        <v>4393720</v>
      </c>
    </row>
    <row r="3161">
      <c r="A3161" s="3">
        <f>IFERROR(__xludf.DUMMYFUNCTION("""COMPUTED_VALUE"""),41177.645833333336)</f>
        <v>41177.64583</v>
      </c>
      <c r="B3161" s="2">
        <f>IFERROR(__xludf.DUMMYFUNCTION("""COMPUTED_VALUE"""),316.5)</f>
        <v>316.5</v>
      </c>
      <c r="C3161" s="2">
        <f>IFERROR(__xludf.DUMMYFUNCTION("""COMPUTED_VALUE"""),319.45)</f>
        <v>319.45</v>
      </c>
      <c r="D3161" s="2">
        <f>IFERROR(__xludf.DUMMYFUNCTION("""COMPUTED_VALUE"""),313.08)</f>
        <v>313.08</v>
      </c>
      <c r="E3161" s="2">
        <f>IFERROR(__xludf.DUMMYFUNCTION("""COMPUTED_VALUE"""),318.45)</f>
        <v>318.45</v>
      </c>
      <c r="F3161" s="2">
        <f>IFERROR(__xludf.DUMMYFUNCTION("""COMPUTED_VALUE"""),2921536.0)</f>
        <v>2921536</v>
      </c>
    </row>
    <row r="3162">
      <c r="A3162" s="3">
        <f>IFERROR(__xludf.DUMMYFUNCTION("""COMPUTED_VALUE"""),41178.645833333336)</f>
        <v>41178.64583</v>
      </c>
      <c r="B3162" s="2">
        <f>IFERROR(__xludf.DUMMYFUNCTION("""COMPUTED_VALUE"""),317.42)</f>
        <v>317.42</v>
      </c>
      <c r="C3162" s="2">
        <f>IFERROR(__xludf.DUMMYFUNCTION("""COMPUTED_VALUE"""),318.3)</f>
        <v>318.3</v>
      </c>
      <c r="D3162" s="2">
        <f>IFERROR(__xludf.DUMMYFUNCTION("""COMPUTED_VALUE"""),312.08)</f>
        <v>312.08</v>
      </c>
      <c r="E3162" s="2">
        <f>IFERROR(__xludf.DUMMYFUNCTION("""COMPUTED_VALUE"""),315.38)</f>
        <v>315.38</v>
      </c>
      <c r="F3162" s="2">
        <f>IFERROR(__xludf.DUMMYFUNCTION("""COMPUTED_VALUE"""),2682627.0)</f>
        <v>2682627</v>
      </c>
    </row>
    <row r="3163">
      <c r="A3163" s="3">
        <f>IFERROR(__xludf.DUMMYFUNCTION("""COMPUTED_VALUE"""),41179.645833333336)</f>
        <v>41179.64583</v>
      </c>
      <c r="B3163" s="2">
        <f>IFERROR(__xludf.DUMMYFUNCTION("""COMPUTED_VALUE"""),316.5)</f>
        <v>316.5</v>
      </c>
      <c r="C3163" s="2">
        <f>IFERROR(__xludf.DUMMYFUNCTION("""COMPUTED_VALUE"""),318.5)</f>
        <v>318.5</v>
      </c>
      <c r="D3163" s="2">
        <f>IFERROR(__xludf.DUMMYFUNCTION("""COMPUTED_VALUE"""),312.6)</f>
        <v>312.6</v>
      </c>
      <c r="E3163" s="2">
        <f>IFERROR(__xludf.DUMMYFUNCTION("""COMPUTED_VALUE"""),315.4)</f>
        <v>315.4</v>
      </c>
      <c r="F3163" s="2">
        <f>IFERROR(__xludf.DUMMYFUNCTION("""COMPUTED_VALUE"""),3965436.0)</f>
        <v>3965436</v>
      </c>
    </row>
    <row r="3164">
      <c r="A3164" s="3">
        <f>IFERROR(__xludf.DUMMYFUNCTION("""COMPUTED_VALUE"""),41180.645833333336)</f>
        <v>41180.64583</v>
      </c>
      <c r="B3164" s="2">
        <f>IFERROR(__xludf.DUMMYFUNCTION("""COMPUTED_VALUE"""),315.95)</f>
        <v>315.95</v>
      </c>
      <c r="C3164" s="2">
        <f>IFERROR(__xludf.DUMMYFUNCTION("""COMPUTED_VALUE"""),317.15)</f>
        <v>317.15</v>
      </c>
      <c r="D3164" s="2">
        <f>IFERROR(__xludf.DUMMYFUNCTION("""COMPUTED_VALUE"""),313.05)</f>
        <v>313.05</v>
      </c>
      <c r="E3164" s="2">
        <f>IFERROR(__xludf.DUMMYFUNCTION("""COMPUTED_VALUE"""),314.58)</f>
        <v>314.58</v>
      </c>
      <c r="F3164" s="2">
        <f>IFERROR(__xludf.DUMMYFUNCTION("""COMPUTED_VALUE"""),2751922.0)</f>
        <v>2751922</v>
      </c>
    </row>
    <row r="3165">
      <c r="A3165" s="3">
        <f>IFERROR(__xludf.DUMMYFUNCTION("""COMPUTED_VALUE"""),41183.645833333336)</f>
        <v>41183.64583</v>
      </c>
      <c r="B3165" s="2">
        <f>IFERROR(__xludf.DUMMYFUNCTION("""COMPUTED_VALUE"""),314.5)</f>
        <v>314.5</v>
      </c>
      <c r="C3165" s="2">
        <f>IFERROR(__xludf.DUMMYFUNCTION("""COMPUTED_VALUE"""),316.0)</f>
        <v>316</v>
      </c>
      <c r="D3165" s="2">
        <f>IFERROR(__xludf.DUMMYFUNCTION("""COMPUTED_VALUE"""),310.0)</f>
        <v>310</v>
      </c>
      <c r="E3165" s="2">
        <f>IFERROR(__xludf.DUMMYFUNCTION("""COMPUTED_VALUE"""),311.42)</f>
        <v>311.42</v>
      </c>
      <c r="F3165" s="2">
        <f>IFERROR(__xludf.DUMMYFUNCTION("""COMPUTED_VALUE"""),2013696.0)</f>
        <v>2013696</v>
      </c>
    </row>
    <row r="3166">
      <c r="A3166" s="3">
        <f>IFERROR(__xludf.DUMMYFUNCTION("""COMPUTED_VALUE"""),41185.645833333336)</f>
        <v>41185.64583</v>
      </c>
      <c r="B3166" s="2">
        <f>IFERROR(__xludf.DUMMYFUNCTION("""COMPUTED_VALUE"""),312.0)</f>
        <v>312</v>
      </c>
      <c r="C3166" s="2">
        <f>IFERROR(__xludf.DUMMYFUNCTION("""COMPUTED_VALUE"""),313.4)</f>
        <v>313.4</v>
      </c>
      <c r="D3166" s="2">
        <f>IFERROR(__xludf.DUMMYFUNCTION("""COMPUTED_VALUE"""),308.98)</f>
        <v>308.98</v>
      </c>
      <c r="E3166" s="2">
        <f>IFERROR(__xludf.DUMMYFUNCTION("""COMPUTED_VALUE"""),309.73)</f>
        <v>309.73</v>
      </c>
      <c r="F3166" s="2">
        <f>IFERROR(__xludf.DUMMYFUNCTION("""COMPUTED_VALUE"""),2758057.0)</f>
        <v>2758057</v>
      </c>
    </row>
    <row r="3167">
      <c r="A3167" s="3">
        <f>IFERROR(__xludf.DUMMYFUNCTION("""COMPUTED_VALUE"""),41186.645833333336)</f>
        <v>41186.64583</v>
      </c>
      <c r="B3167" s="2">
        <f>IFERROR(__xludf.DUMMYFUNCTION("""COMPUTED_VALUE"""),310.75)</f>
        <v>310.75</v>
      </c>
      <c r="C3167" s="2">
        <f>IFERROR(__xludf.DUMMYFUNCTION("""COMPUTED_VALUE"""),316.95)</f>
        <v>316.95</v>
      </c>
      <c r="D3167" s="2">
        <f>IFERROR(__xludf.DUMMYFUNCTION("""COMPUTED_VALUE"""),310.73)</f>
        <v>310.73</v>
      </c>
      <c r="E3167" s="2">
        <f>IFERROR(__xludf.DUMMYFUNCTION("""COMPUTED_VALUE"""),315.65)</f>
        <v>315.65</v>
      </c>
      <c r="F3167" s="2">
        <f>IFERROR(__xludf.DUMMYFUNCTION("""COMPUTED_VALUE"""),3163016.0)</f>
        <v>3163016</v>
      </c>
    </row>
    <row r="3168">
      <c r="A3168" s="3">
        <f>IFERROR(__xludf.DUMMYFUNCTION("""COMPUTED_VALUE"""),41187.645833333336)</f>
        <v>41187.64583</v>
      </c>
      <c r="B3168" s="2">
        <f>IFERROR(__xludf.DUMMYFUNCTION("""COMPUTED_VALUE"""),319.0)</f>
        <v>319</v>
      </c>
      <c r="C3168" s="2">
        <f>IFERROR(__xludf.DUMMYFUNCTION("""COMPUTED_VALUE"""),319.33)</f>
        <v>319.33</v>
      </c>
      <c r="D3168" s="2">
        <f>IFERROR(__xludf.DUMMYFUNCTION("""COMPUTED_VALUE"""),252.53)</f>
        <v>252.53</v>
      </c>
      <c r="E3168" s="2">
        <f>IFERROR(__xludf.DUMMYFUNCTION("""COMPUTED_VALUE"""),311.2)</f>
        <v>311.2</v>
      </c>
      <c r="F3168" s="2">
        <f>IFERROR(__xludf.DUMMYFUNCTION("""COMPUTED_VALUE"""),3736756.0)</f>
        <v>3736756</v>
      </c>
    </row>
    <row r="3169">
      <c r="A3169" s="3">
        <f>IFERROR(__xludf.DUMMYFUNCTION("""COMPUTED_VALUE"""),41190.645833333336)</f>
        <v>41190.64583</v>
      </c>
      <c r="B3169" s="2">
        <f>IFERROR(__xludf.DUMMYFUNCTION("""COMPUTED_VALUE"""),311.95)</f>
        <v>311.95</v>
      </c>
      <c r="C3169" s="2">
        <f>IFERROR(__xludf.DUMMYFUNCTION("""COMPUTED_VALUE"""),311.95)</f>
        <v>311.95</v>
      </c>
      <c r="D3169" s="2">
        <f>IFERROR(__xludf.DUMMYFUNCTION("""COMPUTED_VALUE"""),308.27)</f>
        <v>308.27</v>
      </c>
      <c r="E3169" s="2">
        <f>IFERROR(__xludf.DUMMYFUNCTION("""COMPUTED_VALUE"""),310.35)</f>
        <v>310.35</v>
      </c>
      <c r="F3169" s="2">
        <f>IFERROR(__xludf.DUMMYFUNCTION("""COMPUTED_VALUE"""),2322668.0)</f>
        <v>2322668</v>
      </c>
    </row>
    <row r="3170">
      <c r="A3170" s="3">
        <f>IFERROR(__xludf.DUMMYFUNCTION("""COMPUTED_VALUE"""),41191.645833333336)</f>
        <v>41191.64583</v>
      </c>
      <c r="B3170" s="2">
        <f>IFERROR(__xludf.DUMMYFUNCTION("""COMPUTED_VALUE"""),312.48)</f>
        <v>312.48</v>
      </c>
      <c r="C3170" s="2">
        <f>IFERROR(__xludf.DUMMYFUNCTION("""COMPUTED_VALUE"""),315.25)</f>
        <v>315.25</v>
      </c>
      <c r="D3170" s="2">
        <f>IFERROR(__xludf.DUMMYFUNCTION("""COMPUTED_VALUE"""),311.0)</f>
        <v>311</v>
      </c>
      <c r="E3170" s="2">
        <f>IFERROR(__xludf.DUMMYFUNCTION("""COMPUTED_VALUE"""),312.88)</f>
        <v>312.88</v>
      </c>
      <c r="F3170" s="2">
        <f>IFERROR(__xludf.DUMMYFUNCTION("""COMPUTED_VALUE"""),1077692.0)</f>
        <v>1077692</v>
      </c>
    </row>
    <row r="3171">
      <c r="A3171" s="3">
        <f>IFERROR(__xludf.DUMMYFUNCTION("""COMPUTED_VALUE"""),41192.645833333336)</f>
        <v>41192.64583</v>
      </c>
      <c r="B3171" s="2">
        <f>IFERROR(__xludf.DUMMYFUNCTION("""COMPUTED_VALUE"""),312.0)</f>
        <v>312</v>
      </c>
      <c r="C3171" s="2">
        <f>IFERROR(__xludf.DUMMYFUNCTION("""COMPUTED_VALUE"""),312.0)</f>
        <v>312</v>
      </c>
      <c r="D3171" s="2">
        <f>IFERROR(__xludf.DUMMYFUNCTION("""COMPUTED_VALUE"""),308.1)</f>
        <v>308.1</v>
      </c>
      <c r="E3171" s="2">
        <f>IFERROR(__xludf.DUMMYFUNCTION("""COMPUTED_VALUE"""),308.98)</f>
        <v>308.98</v>
      </c>
      <c r="F3171" s="2">
        <f>IFERROR(__xludf.DUMMYFUNCTION("""COMPUTED_VALUE"""),1073754.0)</f>
        <v>1073754</v>
      </c>
    </row>
    <row r="3172">
      <c r="A3172" s="3">
        <f>IFERROR(__xludf.DUMMYFUNCTION("""COMPUTED_VALUE"""),41193.645833333336)</f>
        <v>41193.64583</v>
      </c>
      <c r="B3172" s="2">
        <f>IFERROR(__xludf.DUMMYFUNCTION("""COMPUTED_VALUE"""),310.58)</f>
        <v>310.58</v>
      </c>
      <c r="C3172" s="2">
        <f>IFERROR(__xludf.DUMMYFUNCTION("""COMPUTED_VALUE"""),313.9)</f>
        <v>313.9</v>
      </c>
      <c r="D3172" s="2">
        <f>IFERROR(__xludf.DUMMYFUNCTION("""COMPUTED_VALUE"""),309.23)</f>
        <v>309.23</v>
      </c>
      <c r="E3172" s="2">
        <f>IFERROR(__xludf.DUMMYFUNCTION("""COMPUTED_VALUE"""),312.42)</f>
        <v>312.42</v>
      </c>
      <c r="F3172" s="2">
        <f>IFERROR(__xludf.DUMMYFUNCTION("""COMPUTED_VALUE"""),2453233.0)</f>
        <v>2453233</v>
      </c>
    </row>
    <row r="3173">
      <c r="A3173" s="3">
        <f>IFERROR(__xludf.DUMMYFUNCTION("""COMPUTED_VALUE"""),41194.645833333336)</f>
        <v>41194.64583</v>
      </c>
      <c r="B3173" s="2">
        <f>IFERROR(__xludf.DUMMYFUNCTION("""COMPUTED_VALUE"""),315.0)</f>
        <v>315</v>
      </c>
      <c r="C3173" s="2">
        <f>IFERROR(__xludf.DUMMYFUNCTION("""COMPUTED_VALUE"""),317.5)</f>
        <v>317.5</v>
      </c>
      <c r="D3173" s="2">
        <f>IFERROR(__xludf.DUMMYFUNCTION("""COMPUTED_VALUE"""),313.0)</f>
        <v>313</v>
      </c>
      <c r="E3173" s="2">
        <f>IFERROR(__xludf.DUMMYFUNCTION("""COMPUTED_VALUE"""),315.58)</f>
        <v>315.58</v>
      </c>
      <c r="F3173" s="2">
        <f>IFERROR(__xludf.DUMMYFUNCTION("""COMPUTED_VALUE"""),3876602.0)</f>
        <v>3876602</v>
      </c>
    </row>
    <row r="3174">
      <c r="A3174" s="3">
        <f>IFERROR(__xludf.DUMMYFUNCTION("""COMPUTED_VALUE"""),41197.645833333336)</f>
        <v>41197.64583</v>
      </c>
      <c r="B3174" s="2">
        <f>IFERROR(__xludf.DUMMYFUNCTION("""COMPUTED_VALUE"""),316.2)</f>
        <v>316.2</v>
      </c>
      <c r="C3174" s="2">
        <f>IFERROR(__xludf.DUMMYFUNCTION("""COMPUTED_VALUE"""),317.45)</f>
        <v>317.45</v>
      </c>
      <c r="D3174" s="2">
        <f>IFERROR(__xludf.DUMMYFUNCTION("""COMPUTED_VALUE"""),311.3)</f>
        <v>311.3</v>
      </c>
      <c r="E3174" s="2">
        <f>IFERROR(__xludf.DUMMYFUNCTION("""COMPUTED_VALUE"""),317.08)</f>
        <v>317.08</v>
      </c>
      <c r="F3174" s="2">
        <f>IFERROR(__xludf.DUMMYFUNCTION("""COMPUTED_VALUE"""),1893017.0)</f>
        <v>1893017</v>
      </c>
    </row>
    <row r="3175">
      <c r="A3175" s="3">
        <f>IFERROR(__xludf.DUMMYFUNCTION("""COMPUTED_VALUE"""),41198.645833333336)</f>
        <v>41198.64583</v>
      </c>
      <c r="B3175" s="2">
        <f>IFERROR(__xludf.DUMMYFUNCTION("""COMPUTED_VALUE"""),317.63)</f>
        <v>317.63</v>
      </c>
      <c r="C3175" s="2">
        <f>IFERROR(__xludf.DUMMYFUNCTION("""COMPUTED_VALUE"""),317.75)</f>
        <v>317.75</v>
      </c>
      <c r="D3175" s="2">
        <f>IFERROR(__xludf.DUMMYFUNCTION("""COMPUTED_VALUE"""),314.05)</f>
        <v>314.05</v>
      </c>
      <c r="E3175" s="2">
        <f>IFERROR(__xludf.DUMMYFUNCTION("""COMPUTED_VALUE"""),315.2)</f>
        <v>315.2</v>
      </c>
      <c r="F3175" s="2">
        <f>IFERROR(__xludf.DUMMYFUNCTION("""COMPUTED_VALUE"""),1818459.0)</f>
        <v>1818459</v>
      </c>
    </row>
    <row r="3176">
      <c r="A3176" s="3">
        <f>IFERROR(__xludf.DUMMYFUNCTION("""COMPUTED_VALUE"""),41199.645833333336)</f>
        <v>41199.64583</v>
      </c>
      <c r="B3176" s="2">
        <f>IFERROR(__xludf.DUMMYFUNCTION("""COMPUTED_VALUE"""),316.0)</f>
        <v>316</v>
      </c>
      <c r="C3176" s="2">
        <f>IFERROR(__xludf.DUMMYFUNCTION("""COMPUTED_VALUE"""),316.25)</f>
        <v>316.25</v>
      </c>
      <c r="D3176" s="2">
        <f>IFERROR(__xludf.DUMMYFUNCTION("""COMPUTED_VALUE"""),313.25)</f>
        <v>313.25</v>
      </c>
      <c r="E3176" s="2">
        <f>IFERROR(__xludf.DUMMYFUNCTION("""COMPUTED_VALUE"""),314.05)</f>
        <v>314.05</v>
      </c>
      <c r="F3176" s="2">
        <f>IFERROR(__xludf.DUMMYFUNCTION("""COMPUTED_VALUE"""),1608443.0)</f>
        <v>1608443</v>
      </c>
    </row>
    <row r="3177">
      <c r="A3177" s="3">
        <f>IFERROR(__xludf.DUMMYFUNCTION("""COMPUTED_VALUE"""),41200.645833333336)</f>
        <v>41200.64583</v>
      </c>
      <c r="B3177" s="2">
        <f>IFERROR(__xludf.DUMMYFUNCTION("""COMPUTED_VALUE"""),315.0)</f>
        <v>315</v>
      </c>
      <c r="C3177" s="2">
        <f>IFERROR(__xludf.DUMMYFUNCTION("""COMPUTED_VALUE"""),318.95)</f>
        <v>318.95</v>
      </c>
      <c r="D3177" s="2">
        <f>IFERROR(__xludf.DUMMYFUNCTION("""COMPUTED_VALUE"""),312.23)</f>
        <v>312.23</v>
      </c>
      <c r="E3177" s="2">
        <f>IFERROR(__xludf.DUMMYFUNCTION("""COMPUTED_VALUE"""),318.1)</f>
        <v>318.1</v>
      </c>
      <c r="F3177" s="2">
        <f>IFERROR(__xludf.DUMMYFUNCTION("""COMPUTED_VALUE"""),1404615.0)</f>
        <v>1404615</v>
      </c>
    </row>
    <row r="3178">
      <c r="A3178" s="3">
        <f>IFERROR(__xludf.DUMMYFUNCTION("""COMPUTED_VALUE"""),41201.645833333336)</f>
        <v>41201.64583</v>
      </c>
      <c r="B3178" s="2">
        <f>IFERROR(__xludf.DUMMYFUNCTION("""COMPUTED_VALUE"""),316.0)</f>
        <v>316</v>
      </c>
      <c r="C3178" s="2">
        <f>IFERROR(__xludf.DUMMYFUNCTION("""COMPUTED_VALUE"""),317.5)</f>
        <v>317.5</v>
      </c>
      <c r="D3178" s="2">
        <f>IFERROR(__xludf.DUMMYFUNCTION("""COMPUTED_VALUE"""),313.5)</f>
        <v>313.5</v>
      </c>
      <c r="E3178" s="2">
        <f>IFERROR(__xludf.DUMMYFUNCTION("""COMPUTED_VALUE"""),314.25)</f>
        <v>314.25</v>
      </c>
      <c r="F3178" s="2">
        <f>IFERROR(__xludf.DUMMYFUNCTION("""COMPUTED_VALUE"""),2263850.0)</f>
        <v>2263850</v>
      </c>
    </row>
    <row r="3179">
      <c r="A3179" s="3">
        <f>IFERROR(__xludf.DUMMYFUNCTION("""COMPUTED_VALUE"""),41204.645833333336)</f>
        <v>41204.64583</v>
      </c>
      <c r="B3179" s="2">
        <f>IFERROR(__xludf.DUMMYFUNCTION("""COMPUTED_VALUE"""),312.6)</f>
        <v>312.6</v>
      </c>
      <c r="C3179" s="2">
        <f>IFERROR(__xludf.DUMMYFUNCTION("""COMPUTED_VALUE"""),320.0)</f>
        <v>320</v>
      </c>
      <c r="D3179" s="2">
        <f>IFERROR(__xludf.DUMMYFUNCTION("""COMPUTED_VALUE"""),312.6)</f>
        <v>312.6</v>
      </c>
      <c r="E3179" s="2">
        <f>IFERROR(__xludf.DUMMYFUNCTION("""COMPUTED_VALUE"""),319.5)</f>
        <v>319.5</v>
      </c>
      <c r="F3179" s="2">
        <f>IFERROR(__xludf.DUMMYFUNCTION("""COMPUTED_VALUE"""),2060351.0)</f>
        <v>2060351</v>
      </c>
    </row>
    <row r="3180">
      <c r="A3180" s="3">
        <f>IFERROR(__xludf.DUMMYFUNCTION("""COMPUTED_VALUE"""),41205.645833333336)</f>
        <v>41205.64583</v>
      </c>
      <c r="B3180" s="2">
        <f>IFERROR(__xludf.DUMMYFUNCTION("""COMPUTED_VALUE"""),319.52)</f>
        <v>319.52</v>
      </c>
      <c r="C3180" s="2">
        <f>IFERROR(__xludf.DUMMYFUNCTION("""COMPUTED_VALUE"""),319.75)</f>
        <v>319.75</v>
      </c>
      <c r="D3180" s="2">
        <f>IFERROR(__xludf.DUMMYFUNCTION("""COMPUTED_VALUE"""),316.25)</f>
        <v>316.25</v>
      </c>
      <c r="E3180" s="2">
        <f>IFERROR(__xludf.DUMMYFUNCTION("""COMPUTED_VALUE"""),317.05)</f>
        <v>317.05</v>
      </c>
      <c r="F3180" s="2">
        <f>IFERROR(__xludf.DUMMYFUNCTION("""COMPUTED_VALUE"""),2083240.0)</f>
        <v>2083240</v>
      </c>
    </row>
    <row r="3181">
      <c r="A3181" s="3">
        <f>IFERROR(__xludf.DUMMYFUNCTION("""COMPUTED_VALUE"""),41207.645833333336)</f>
        <v>41207.64583</v>
      </c>
      <c r="B3181" s="2">
        <f>IFERROR(__xludf.DUMMYFUNCTION("""COMPUTED_VALUE"""),316.33)</f>
        <v>316.33</v>
      </c>
      <c r="C3181" s="2">
        <f>IFERROR(__xludf.DUMMYFUNCTION("""COMPUTED_VALUE"""),320.5)</f>
        <v>320.5</v>
      </c>
      <c r="D3181" s="2">
        <f>IFERROR(__xludf.DUMMYFUNCTION("""COMPUTED_VALUE"""),314.5)</f>
        <v>314.5</v>
      </c>
      <c r="E3181" s="2">
        <f>IFERROR(__xludf.DUMMYFUNCTION("""COMPUTED_VALUE"""),318.67)</f>
        <v>318.67</v>
      </c>
      <c r="F3181" s="2">
        <f>IFERROR(__xludf.DUMMYFUNCTION("""COMPUTED_VALUE"""),4252835.0)</f>
        <v>4252835</v>
      </c>
    </row>
    <row r="3182">
      <c r="A3182" s="3">
        <f>IFERROR(__xludf.DUMMYFUNCTION("""COMPUTED_VALUE"""),41208.645833333336)</f>
        <v>41208.64583</v>
      </c>
      <c r="B3182" s="2">
        <f>IFERROR(__xludf.DUMMYFUNCTION("""COMPUTED_VALUE"""),318.33)</f>
        <v>318.33</v>
      </c>
      <c r="C3182" s="2">
        <f>IFERROR(__xludf.DUMMYFUNCTION("""COMPUTED_VALUE"""),319.9)</f>
        <v>319.9</v>
      </c>
      <c r="D3182" s="2">
        <f>IFERROR(__xludf.DUMMYFUNCTION("""COMPUTED_VALUE"""),315.5)</f>
        <v>315.5</v>
      </c>
      <c r="E3182" s="2">
        <f>IFERROR(__xludf.DUMMYFUNCTION("""COMPUTED_VALUE"""),318.58)</f>
        <v>318.58</v>
      </c>
      <c r="F3182" s="2">
        <f>IFERROR(__xludf.DUMMYFUNCTION("""COMPUTED_VALUE"""),1670317.0)</f>
        <v>1670317</v>
      </c>
    </row>
    <row r="3183">
      <c r="A3183" s="3">
        <f>IFERROR(__xludf.DUMMYFUNCTION("""COMPUTED_VALUE"""),41211.645833333336)</f>
        <v>41211.64583</v>
      </c>
      <c r="B3183" s="2">
        <f>IFERROR(__xludf.DUMMYFUNCTION("""COMPUTED_VALUE"""),318.92)</f>
        <v>318.92</v>
      </c>
      <c r="C3183" s="2">
        <f>IFERROR(__xludf.DUMMYFUNCTION("""COMPUTED_VALUE"""),321.25)</f>
        <v>321.25</v>
      </c>
      <c r="D3183" s="2">
        <f>IFERROR(__xludf.DUMMYFUNCTION("""COMPUTED_VALUE"""),317.77)</f>
        <v>317.77</v>
      </c>
      <c r="E3183" s="2">
        <f>IFERROR(__xludf.DUMMYFUNCTION("""COMPUTED_VALUE"""),320.3)</f>
        <v>320.3</v>
      </c>
      <c r="F3183" s="2">
        <f>IFERROR(__xludf.DUMMYFUNCTION("""COMPUTED_VALUE"""),1378082.0)</f>
        <v>1378082</v>
      </c>
    </row>
    <row r="3184">
      <c r="A3184" s="3">
        <f>IFERROR(__xludf.DUMMYFUNCTION("""COMPUTED_VALUE"""),41212.645833333336)</f>
        <v>41212.64583</v>
      </c>
      <c r="B3184" s="2">
        <f>IFERROR(__xludf.DUMMYFUNCTION("""COMPUTED_VALUE"""),318.52)</f>
        <v>318.52</v>
      </c>
      <c r="C3184" s="2">
        <f>IFERROR(__xludf.DUMMYFUNCTION("""COMPUTED_VALUE"""),322.4)</f>
        <v>322.4</v>
      </c>
      <c r="D3184" s="2">
        <f>IFERROR(__xludf.DUMMYFUNCTION("""COMPUTED_VALUE"""),315.3)</f>
        <v>315.3</v>
      </c>
      <c r="E3184" s="2">
        <f>IFERROR(__xludf.DUMMYFUNCTION("""COMPUTED_VALUE"""),316.83)</f>
        <v>316.83</v>
      </c>
      <c r="F3184" s="2">
        <f>IFERROR(__xludf.DUMMYFUNCTION("""COMPUTED_VALUE"""),2208726.0)</f>
        <v>2208726</v>
      </c>
    </row>
    <row r="3185">
      <c r="A3185" s="3">
        <f>IFERROR(__xludf.DUMMYFUNCTION("""COMPUTED_VALUE"""),41213.645833333336)</f>
        <v>41213.64583</v>
      </c>
      <c r="B3185" s="2">
        <f>IFERROR(__xludf.DUMMYFUNCTION("""COMPUTED_VALUE"""),317.05)</f>
        <v>317.05</v>
      </c>
      <c r="C3185" s="2">
        <f>IFERROR(__xludf.DUMMYFUNCTION("""COMPUTED_VALUE"""),317.95)</f>
        <v>317.95</v>
      </c>
      <c r="D3185" s="2">
        <f>IFERROR(__xludf.DUMMYFUNCTION("""COMPUTED_VALUE"""),315.02)</f>
        <v>315.02</v>
      </c>
      <c r="E3185" s="2">
        <f>IFERROR(__xludf.DUMMYFUNCTION("""COMPUTED_VALUE"""),317.1)</f>
        <v>317.1</v>
      </c>
      <c r="F3185" s="2">
        <f>IFERROR(__xludf.DUMMYFUNCTION("""COMPUTED_VALUE"""),1873242.0)</f>
        <v>1873242</v>
      </c>
    </row>
    <row r="3186">
      <c r="A3186" s="3">
        <f>IFERROR(__xludf.DUMMYFUNCTION("""COMPUTED_VALUE"""),41214.645833333336)</f>
        <v>41214.64583</v>
      </c>
      <c r="B3186" s="2">
        <f>IFERROR(__xludf.DUMMYFUNCTION("""COMPUTED_VALUE"""),316.38)</f>
        <v>316.38</v>
      </c>
      <c r="C3186" s="2">
        <f>IFERROR(__xludf.DUMMYFUNCTION("""COMPUTED_VALUE"""),317.85)</f>
        <v>317.85</v>
      </c>
      <c r="D3186" s="2">
        <f>IFERROR(__xludf.DUMMYFUNCTION("""COMPUTED_VALUE"""),313.75)</f>
        <v>313.75</v>
      </c>
      <c r="E3186" s="2">
        <f>IFERROR(__xludf.DUMMYFUNCTION("""COMPUTED_VALUE"""),314.3)</f>
        <v>314.3</v>
      </c>
      <c r="F3186" s="2">
        <f>IFERROR(__xludf.DUMMYFUNCTION("""COMPUTED_VALUE"""),1764615.0)</f>
        <v>1764615</v>
      </c>
    </row>
    <row r="3187">
      <c r="A3187" s="3">
        <f>IFERROR(__xludf.DUMMYFUNCTION("""COMPUTED_VALUE"""),41215.645833333336)</f>
        <v>41215.64583</v>
      </c>
      <c r="B3187" s="2">
        <f>IFERROR(__xludf.DUMMYFUNCTION("""COMPUTED_VALUE"""),319.0)</f>
        <v>319</v>
      </c>
      <c r="C3187" s="2">
        <f>IFERROR(__xludf.DUMMYFUNCTION("""COMPUTED_VALUE"""),319.0)</f>
        <v>319</v>
      </c>
      <c r="D3187" s="2">
        <f>IFERROR(__xludf.DUMMYFUNCTION("""COMPUTED_VALUE"""),314.0)</f>
        <v>314</v>
      </c>
      <c r="E3187" s="2">
        <f>IFERROR(__xludf.DUMMYFUNCTION("""COMPUTED_VALUE"""),315.15)</f>
        <v>315.15</v>
      </c>
      <c r="F3187" s="2">
        <f>IFERROR(__xludf.DUMMYFUNCTION("""COMPUTED_VALUE"""),1358193.0)</f>
        <v>1358193</v>
      </c>
    </row>
    <row r="3188">
      <c r="A3188" s="3">
        <f>IFERROR(__xludf.DUMMYFUNCTION("""COMPUTED_VALUE"""),41218.645833333336)</f>
        <v>41218.64583</v>
      </c>
      <c r="B3188" s="2">
        <f>IFERROR(__xludf.DUMMYFUNCTION("""COMPUTED_VALUE"""),316.0)</f>
        <v>316</v>
      </c>
      <c r="C3188" s="2">
        <f>IFERROR(__xludf.DUMMYFUNCTION("""COMPUTED_VALUE"""),318.0)</f>
        <v>318</v>
      </c>
      <c r="D3188" s="2">
        <f>IFERROR(__xludf.DUMMYFUNCTION("""COMPUTED_VALUE"""),315.38)</f>
        <v>315.38</v>
      </c>
      <c r="E3188" s="2">
        <f>IFERROR(__xludf.DUMMYFUNCTION("""COMPUTED_VALUE"""),317.5)</f>
        <v>317.5</v>
      </c>
      <c r="F3188" s="2">
        <f>IFERROR(__xludf.DUMMYFUNCTION("""COMPUTED_VALUE"""),1005532.0)</f>
        <v>1005532</v>
      </c>
    </row>
    <row r="3189">
      <c r="A3189" s="3">
        <f>IFERROR(__xludf.DUMMYFUNCTION("""COMPUTED_VALUE"""),41219.645833333336)</f>
        <v>41219.64583</v>
      </c>
      <c r="B3189" s="2">
        <f>IFERROR(__xludf.DUMMYFUNCTION("""COMPUTED_VALUE"""),316.98)</f>
        <v>316.98</v>
      </c>
      <c r="C3189" s="2">
        <f>IFERROR(__xludf.DUMMYFUNCTION("""COMPUTED_VALUE"""),320.6)</f>
        <v>320.6</v>
      </c>
      <c r="D3189" s="2">
        <f>IFERROR(__xludf.DUMMYFUNCTION("""COMPUTED_VALUE"""),316.98)</f>
        <v>316.98</v>
      </c>
      <c r="E3189" s="2">
        <f>IFERROR(__xludf.DUMMYFUNCTION("""COMPUTED_VALUE"""),319.77)</f>
        <v>319.77</v>
      </c>
      <c r="F3189" s="2">
        <f>IFERROR(__xludf.DUMMYFUNCTION("""COMPUTED_VALUE"""),1819521.0)</f>
        <v>1819521</v>
      </c>
    </row>
    <row r="3190">
      <c r="A3190" s="3">
        <f>IFERROR(__xludf.DUMMYFUNCTION("""COMPUTED_VALUE"""),41220.645833333336)</f>
        <v>41220.64583</v>
      </c>
      <c r="B3190" s="2">
        <f>IFERROR(__xludf.DUMMYFUNCTION("""COMPUTED_VALUE"""),319.88)</f>
        <v>319.88</v>
      </c>
      <c r="C3190" s="2">
        <f>IFERROR(__xludf.DUMMYFUNCTION("""COMPUTED_VALUE"""),322.5)</f>
        <v>322.5</v>
      </c>
      <c r="D3190" s="2">
        <f>IFERROR(__xludf.DUMMYFUNCTION("""COMPUTED_VALUE"""),318.45)</f>
        <v>318.45</v>
      </c>
      <c r="E3190" s="2">
        <f>IFERROR(__xludf.DUMMYFUNCTION("""COMPUTED_VALUE"""),320.02)</f>
        <v>320.02</v>
      </c>
      <c r="F3190" s="2">
        <f>IFERROR(__xludf.DUMMYFUNCTION("""COMPUTED_VALUE"""),2050165.0)</f>
        <v>2050165</v>
      </c>
    </row>
    <row r="3191">
      <c r="A3191" s="3">
        <f>IFERROR(__xludf.DUMMYFUNCTION("""COMPUTED_VALUE"""),41221.645833333336)</f>
        <v>41221.64583</v>
      </c>
      <c r="B3191" s="2">
        <f>IFERROR(__xludf.DUMMYFUNCTION("""COMPUTED_VALUE"""),318.25)</f>
        <v>318.25</v>
      </c>
      <c r="C3191" s="2">
        <f>IFERROR(__xludf.DUMMYFUNCTION("""COMPUTED_VALUE"""),320.5)</f>
        <v>320.5</v>
      </c>
      <c r="D3191" s="2">
        <f>IFERROR(__xludf.DUMMYFUNCTION("""COMPUTED_VALUE"""),317.75)</f>
        <v>317.75</v>
      </c>
      <c r="E3191" s="2">
        <f>IFERROR(__xludf.DUMMYFUNCTION("""COMPUTED_VALUE"""),319.5)</f>
        <v>319.5</v>
      </c>
      <c r="F3191" s="2">
        <f>IFERROR(__xludf.DUMMYFUNCTION("""COMPUTED_VALUE"""),966950.0)</f>
        <v>966950</v>
      </c>
    </row>
    <row r="3192">
      <c r="A3192" s="3">
        <f>IFERROR(__xludf.DUMMYFUNCTION("""COMPUTED_VALUE"""),41222.645833333336)</f>
        <v>41222.64583</v>
      </c>
      <c r="B3192" s="2">
        <f>IFERROR(__xludf.DUMMYFUNCTION("""COMPUTED_VALUE"""),319.13)</f>
        <v>319.13</v>
      </c>
      <c r="C3192" s="2">
        <f>IFERROR(__xludf.DUMMYFUNCTION("""COMPUTED_VALUE"""),321.5)</f>
        <v>321.5</v>
      </c>
      <c r="D3192" s="2">
        <f>IFERROR(__xludf.DUMMYFUNCTION("""COMPUTED_VALUE"""),317.5)</f>
        <v>317.5</v>
      </c>
      <c r="E3192" s="2">
        <f>IFERROR(__xludf.DUMMYFUNCTION("""COMPUTED_VALUE"""),319.67)</f>
        <v>319.67</v>
      </c>
      <c r="F3192" s="2">
        <f>IFERROR(__xludf.DUMMYFUNCTION("""COMPUTED_VALUE"""),1105194.0)</f>
        <v>1105194</v>
      </c>
    </row>
    <row r="3193">
      <c r="A3193" s="3">
        <f>IFERROR(__xludf.DUMMYFUNCTION("""COMPUTED_VALUE"""),41225.645833333336)</f>
        <v>41225.64583</v>
      </c>
      <c r="B3193" s="2">
        <f>IFERROR(__xludf.DUMMYFUNCTION("""COMPUTED_VALUE"""),318.63)</f>
        <v>318.63</v>
      </c>
      <c r="C3193" s="2">
        <f>IFERROR(__xludf.DUMMYFUNCTION("""COMPUTED_VALUE"""),326.9)</f>
        <v>326.9</v>
      </c>
      <c r="D3193" s="2">
        <f>IFERROR(__xludf.DUMMYFUNCTION("""COMPUTED_VALUE"""),318.63)</f>
        <v>318.63</v>
      </c>
      <c r="E3193" s="2">
        <f>IFERROR(__xludf.DUMMYFUNCTION("""COMPUTED_VALUE"""),325.65)</f>
        <v>325.65</v>
      </c>
      <c r="F3193" s="2">
        <f>IFERROR(__xludf.DUMMYFUNCTION("""COMPUTED_VALUE"""),2414364.0)</f>
        <v>2414364</v>
      </c>
    </row>
    <row r="3194">
      <c r="A3194" s="3">
        <f>IFERROR(__xludf.DUMMYFUNCTION("""COMPUTED_VALUE"""),41226.645833333336)</f>
        <v>41226.64583</v>
      </c>
      <c r="B3194" s="2">
        <f>IFERROR(__xludf.DUMMYFUNCTION("""COMPUTED_VALUE"""),325.5)</f>
        <v>325.5</v>
      </c>
      <c r="C3194" s="2">
        <f>IFERROR(__xludf.DUMMYFUNCTION("""COMPUTED_VALUE"""),325.95)</f>
        <v>325.95</v>
      </c>
      <c r="D3194" s="2">
        <f>IFERROR(__xludf.DUMMYFUNCTION("""COMPUTED_VALUE"""),323.1)</f>
        <v>323.1</v>
      </c>
      <c r="E3194" s="2">
        <f>IFERROR(__xludf.DUMMYFUNCTION("""COMPUTED_VALUE"""),323.52)</f>
        <v>323.52</v>
      </c>
      <c r="F3194" s="2">
        <f>IFERROR(__xludf.DUMMYFUNCTION("""COMPUTED_VALUE"""),104547.0)</f>
        <v>104547</v>
      </c>
    </row>
    <row r="3195">
      <c r="A3195" s="3">
        <f>IFERROR(__xludf.DUMMYFUNCTION("""COMPUTED_VALUE"""),41228.645833333336)</f>
        <v>41228.64583</v>
      </c>
      <c r="B3195" s="2">
        <f>IFERROR(__xludf.DUMMYFUNCTION("""COMPUTED_VALUE"""),323.5)</f>
        <v>323.5</v>
      </c>
      <c r="C3195" s="2">
        <f>IFERROR(__xludf.DUMMYFUNCTION("""COMPUTED_VALUE"""),323.7)</f>
        <v>323.7</v>
      </c>
      <c r="D3195" s="2">
        <f>IFERROR(__xludf.DUMMYFUNCTION("""COMPUTED_VALUE"""),319.5)</f>
        <v>319.5</v>
      </c>
      <c r="E3195" s="2">
        <f>IFERROR(__xludf.DUMMYFUNCTION("""COMPUTED_VALUE"""),323.13)</f>
        <v>323.13</v>
      </c>
      <c r="F3195" s="2">
        <f>IFERROR(__xludf.DUMMYFUNCTION("""COMPUTED_VALUE"""),2360585.0)</f>
        <v>2360585</v>
      </c>
    </row>
    <row r="3196">
      <c r="A3196" s="3">
        <f>IFERROR(__xludf.DUMMYFUNCTION("""COMPUTED_VALUE"""),41229.645833333336)</f>
        <v>41229.64583</v>
      </c>
      <c r="B3196" s="2">
        <f>IFERROR(__xludf.DUMMYFUNCTION("""COMPUTED_VALUE"""),321.5)</f>
        <v>321.5</v>
      </c>
      <c r="C3196" s="2">
        <f>IFERROR(__xludf.DUMMYFUNCTION("""COMPUTED_VALUE"""),324.3)</f>
        <v>324.3</v>
      </c>
      <c r="D3196" s="2">
        <f>IFERROR(__xludf.DUMMYFUNCTION("""COMPUTED_VALUE"""),320.08)</f>
        <v>320.08</v>
      </c>
      <c r="E3196" s="2">
        <f>IFERROR(__xludf.DUMMYFUNCTION("""COMPUTED_VALUE"""),321.13)</f>
        <v>321.13</v>
      </c>
      <c r="F3196" s="2">
        <f>IFERROR(__xludf.DUMMYFUNCTION("""COMPUTED_VALUE"""),3025706.0)</f>
        <v>3025706</v>
      </c>
    </row>
    <row r="3197">
      <c r="A3197" s="3">
        <f>IFERROR(__xludf.DUMMYFUNCTION("""COMPUTED_VALUE"""),41232.645833333336)</f>
        <v>41232.64583</v>
      </c>
      <c r="B3197" s="2">
        <f>IFERROR(__xludf.DUMMYFUNCTION("""COMPUTED_VALUE"""),319.88)</f>
        <v>319.88</v>
      </c>
      <c r="C3197" s="2">
        <f>IFERROR(__xludf.DUMMYFUNCTION("""COMPUTED_VALUE"""),323.95)</f>
        <v>323.95</v>
      </c>
      <c r="D3197" s="2">
        <f>IFERROR(__xludf.DUMMYFUNCTION("""COMPUTED_VALUE"""),319.73)</f>
        <v>319.73</v>
      </c>
      <c r="E3197" s="2">
        <f>IFERROR(__xludf.DUMMYFUNCTION("""COMPUTED_VALUE"""),323.38)</f>
        <v>323.38</v>
      </c>
      <c r="F3197" s="2">
        <f>IFERROR(__xludf.DUMMYFUNCTION("""COMPUTED_VALUE"""),1446987.0)</f>
        <v>1446987</v>
      </c>
    </row>
    <row r="3198">
      <c r="A3198" s="3">
        <f>IFERROR(__xludf.DUMMYFUNCTION("""COMPUTED_VALUE"""),41233.645833333336)</f>
        <v>41233.64583</v>
      </c>
      <c r="B3198" s="2">
        <f>IFERROR(__xludf.DUMMYFUNCTION("""COMPUTED_VALUE"""),324.55)</f>
        <v>324.55</v>
      </c>
      <c r="C3198" s="2">
        <f>IFERROR(__xludf.DUMMYFUNCTION("""COMPUTED_VALUE"""),327.95)</f>
        <v>327.95</v>
      </c>
      <c r="D3198" s="2">
        <f>IFERROR(__xludf.DUMMYFUNCTION("""COMPUTED_VALUE"""),324.13)</f>
        <v>324.13</v>
      </c>
      <c r="E3198" s="2">
        <f>IFERROR(__xludf.DUMMYFUNCTION("""COMPUTED_VALUE"""),326.92)</f>
        <v>326.92</v>
      </c>
      <c r="F3198" s="2">
        <f>IFERROR(__xludf.DUMMYFUNCTION("""COMPUTED_VALUE"""),2338347.0)</f>
        <v>2338347</v>
      </c>
    </row>
    <row r="3199">
      <c r="A3199" s="3">
        <f>IFERROR(__xludf.DUMMYFUNCTION("""COMPUTED_VALUE"""),41234.645833333336)</f>
        <v>41234.64583</v>
      </c>
      <c r="B3199" s="2">
        <f>IFERROR(__xludf.DUMMYFUNCTION("""COMPUTED_VALUE"""),327.58)</f>
        <v>327.58</v>
      </c>
      <c r="C3199" s="2">
        <f>IFERROR(__xludf.DUMMYFUNCTION("""COMPUTED_VALUE"""),332.75)</f>
        <v>332.75</v>
      </c>
      <c r="D3199" s="2">
        <f>IFERROR(__xludf.DUMMYFUNCTION("""COMPUTED_VALUE"""),324.85)</f>
        <v>324.85</v>
      </c>
      <c r="E3199" s="2">
        <f>IFERROR(__xludf.DUMMYFUNCTION("""COMPUTED_VALUE"""),331.85)</f>
        <v>331.85</v>
      </c>
      <c r="F3199" s="2">
        <f>IFERROR(__xludf.DUMMYFUNCTION("""COMPUTED_VALUE"""),3232446.0)</f>
        <v>3232446</v>
      </c>
    </row>
    <row r="3200">
      <c r="A3200" s="3">
        <f>IFERROR(__xludf.DUMMYFUNCTION("""COMPUTED_VALUE"""),41235.645833333336)</f>
        <v>41235.64583</v>
      </c>
      <c r="B3200" s="2">
        <f>IFERROR(__xludf.DUMMYFUNCTION("""COMPUTED_VALUE"""),333.4)</f>
        <v>333.4</v>
      </c>
      <c r="C3200" s="2">
        <f>IFERROR(__xludf.DUMMYFUNCTION("""COMPUTED_VALUE"""),335.58)</f>
        <v>335.58</v>
      </c>
      <c r="D3200" s="2">
        <f>IFERROR(__xludf.DUMMYFUNCTION("""COMPUTED_VALUE"""),332.0)</f>
        <v>332</v>
      </c>
      <c r="E3200" s="2">
        <f>IFERROR(__xludf.DUMMYFUNCTION("""COMPUTED_VALUE"""),334.55)</f>
        <v>334.55</v>
      </c>
      <c r="F3200" s="2">
        <f>IFERROR(__xludf.DUMMYFUNCTION("""COMPUTED_VALUE"""),2110241.0)</f>
        <v>2110241</v>
      </c>
    </row>
    <row r="3201">
      <c r="A3201" s="3">
        <f>IFERROR(__xludf.DUMMYFUNCTION("""COMPUTED_VALUE"""),41236.645833333336)</f>
        <v>41236.64583</v>
      </c>
      <c r="B3201" s="2">
        <f>IFERROR(__xludf.DUMMYFUNCTION("""COMPUTED_VALUE"""),334.75)</f>
        <v>334.75</v>
      </c>
      <c r="C3201" s="2">
        <f>IFERROR(__xludf.DUMMYFUNCTION("""COMPUTED_VALUE"""),336.3)</f>
        <v>336.3</v>
      </c>
      <c r="D3201" s="2">
        <f>IFERROR(__xludf.DUMMYFUNCTION("""COMPUTED_VALUE"""),329.53)</f>
        <v>329.53</v>
      </c>
      <c r="E3201" s="2">
        <f>IFERROR(__xludf.DUMMYFUNCTION("""COMPUTED_VALUE"""),334.88)</f>
        <v>334.88</v>
      </c>
      <c r="F3201" s="2">
        <f>IFERROR(__xludf.DUMMYFUNCTION("""COMPUTED_VALUE"""),1312428.0)</f>
        <v>1312428</v>
      </c>
    </row>
    <row r="3202">
      <c r="A3202" s="3">
        <f>IFERROR(__xludf.DUMMYFUNCTION("""COMPUTED_VALUE"""),41239.645833333336)</f>
        <v>41239.64583</v>
      </c>
      <c r="B3202" s="2">
        <f>IFERROR(__xludf.DUMMYFUNCTION("""COMPUTED_VALUE"""),336.5)</f>
        <v>336.5</v>
      </c>
      <c r="C3202" s="2">
        <f>IFERROR(__xludf.DUMMYFUNCTION("""COMPUTED_VALUE"""),336.85)</f>
        <v>336.85</v>
      </c>
      <c r="D3202" s="2">
        <f>IFERROR(__xludf.DUMMYFUNCTION("""COMPUTED_VALUE"""),330.05)</f>
        <v>330.05</v>
      </c>
      <c r="E3202" s="2">
        <f>IFERROR(__xludf.DUMMYFUNCTION("""COMPUTED_VALUE"""),330.95)</f>
        <v>330.95</v>
      </c>
      <c r="F3202" s="2">
        <f>IFERROR(__xludf.DUMMYFUNCTION("""COMPUTED_VALUE"""),1370384.0)</f>
        <v>1370384</v>
      </c>
    </row>
    <row r="3203">
      <c r="A3203" s="3">
        <f>IFERROR(__xludf.DUMMYFUNCTION("""COMPUTED_VALUE"""),41240.645833333336)</f>
        <v>41240.64583</v>
      </c>
      <c r="B3203" s="2">
        <f>IFERROR(__xludf.DUMMYFUNCTION("""COMPUTED_VALUE"""),332.45)</f>
        <v>332.45</v>
      </c>
      <c r="C3203" s="2">
        <f>IFERROR(__xludf.DUMMYFUNCTION("""COMPUTED_VALUE"""),341.9)</f>
        <v>341.9</v>
      </c>
      <c r="D3203" s="2">
        <f>IFERROR(__xludf.DUMMYFUNCTION("""COMPUTED_VALUE"""),332.45)</f>
        <v>332.45</v>
      </c>
      <c r="E3203" s="2">
        <f>IFERROR(__xludf.DUMMYFUNCTION("""COMPUTED_VALUE"""),340.25)</f>
        <v>340.25</v>
      </c>
      <c r="F3203" s="2">
        <f>IFERROR(__xludf.DUMMYFUNCTION("""COMPUTED_VALUE"""),4125668.0)</f>
        <v>4125668</v>
      </c>
    </row>
    <row r="3204">
      <c r="A3204" s="3">
        <f>IFERROR(__xludf.DUMMYFUNCTION("""COMPUTED_VALUE"""),41242.645833333336)</f>
        <v>41242.64583</v>
      </c>
      <c r="B3204" s="2">
        <f>IFERROR(__xludf.DUMMYFUNCTION("""COMPUTED_VALUE"""),338.75)</f>
        <v>338.75</v>
      </c>
      <c r="C3204" s="2">
        <f>IFERROR(__xludf.DUMMYFUNCTION("""COMPUTED_VALUE"""),351.88)</f>
        <v>351.88</v>
      </c>
      <c r="D3204" s="2">
        <f>IFERROR(__xludf.DUMMYFUNCTION("""COMPUTED_VALUE"""),337.7)</f>
        <v>337.7</v>
      </c>
      <c r="E3204" s="2">
        <f>IFERROR(__xludf.DUMMYFUNCTION("""COMPUTED_VALUE"""),349.92)</f>
        <v>349.92</v>
      </c>
      <c r="F3204" s="2">
        <f>IFERROR(__xludf.DUMMYFUNCTION("""COMPUTED_VALUE"""),6299863.0)</f>
        <v>6299863</v>
      </c>
    </row>
    <row r="3205">
      <c r="A3205" s="3">
        <f>IFERROR(__xludf.DUMMYFUNCTION("""COMPUTED_VALUE"""),41243.645833333336)</f>
        <v>41243.64583</v>
      </c>
      <c r="B3205" s="2">
        <f>IFERROR(__xludf.DUMMYFUNCTION("""COMPUTED_VALUE"""),350.5)</f>
        <v>350.5</v>
      </c>
      <c r="C3205" s="2">
        <f>IFERROR(__xludf.DUMMYFUNCTION("""COMPUTED_VALUE"""),352.75)</f>
        <v>352.75</v>
      </c>
      <c r="D3205" s="2">
        <f>IFERROR(__xludf.DUMMYFUNCTION("""COMPUTED_VALUE"""),344.8)</f>
        <v>344.8</v>
      </c>
      <c r="E3205" s="2">
        <f>IFERROR(__xludf.DUMMYFUNCTION("""COMPUTED_VALUE"""),351.98)</f>
        <v>351.98</v>
      </c>
      <c r="F3205" s="2">
        <f>IFERROR(__xludf.DUMMYFUNCTION("""COMPUTED_VALUE"""),3909823.0)</f>
        <v>3909823</v>
      </c>
    </row>
    <row r="3206">
      <c r="A3206" s="3">
        <f>IFERROR(__xludf.DUMMYFUNCTION("""COMPUTED_VALUE"""),41246.645833333336)</f>
        <v>41246.64583</v>
      </c>
      <c r="B3206" s="2">
        <f>IFERROR(__xludf.DUMMYFUNCTION("""COMPUTED_VALUE"""),350.0)</f>
        <v>350</v>
      </c>
      <c r="C3206" s="2">
        <f>IFERROR(__xludf.DUMMYFUNCTION("""COMPUTED_VALUE"""),350.58)</f>
        <v>350.58</v>
      </c>
      <c r="D3206" s="2">
        <f>IFERROR(__xludf.DUMMYFUNCTION("""COMPUTED_VALUE"""),342.0)</f>
        <v>342</v>
      </c>
      <c r="E3206" s="2">
        <f>IFERROR(__xludf.DUMMYFUNCTION("""COMPUTED_VALUE"""),343.48)</f>
        <v>343.48</v>
      </c>
      <c r="F3206" s="2">
        <f>IFERROR(__xludf.DUMMYFUNCTION("""COMPUTED_VALUE"""),2909085.0)</f>
        <v>2909085</v>
      </c>
    </row>
    <row r="3207">
      <c r="A3207" s="3">
        <f>IFERROR(__xludf.DUMMYFUNCTION("""COMPUTED_VALUE"""),41247.645833333336)</f>
        <v>41247.64583</v>
      </c>
      <c r="B3207" s="2">
        <f>IFERROR(__xludf.DUMMYFUNCTION("""COMPUTED_VALUE"""),342.05)</f>
        <v>342.05</v>
      </c>
      <c r="C3207" s="2">
        <f>IFERROR(__xludf.DUMMYFUNCTION("""COMPUTED_VALUE"""),345.0)</f>
        <v>345</v>
      </c>
      <c r="D3207" s="2">
        <f>IFERROR(__xludf.DUMMYFUNCTION("""COMPUTED_VALUE"""),340.53)</f>
        <v>340.53</v>
      </c>
      <c r="E3207" s="2">
        <f>IFERROR(__xludf.DUMMYFUNCTION("""COMPUTED_VALUE"""),342.58)</f>
        <v>342.58</v>
      </c>
      <c r="F3207" s="2">
        <f>IFERROR(__xludf.DUMMYFUNCTION("""COMPUTED_VALUE"""),2169872.0)</f>
        <v>2169872</v>
      </c>
    </row>
    <row r="3208">
      <c r="A3208" s="3">
        <f>IFERROR(__xludf.DUMMYFUNCTION("""COMPUTED_VALUE"""),41248.645833333336)</f>
        <v>41248.64583</v>
      </c>
      <c r="B3208" s="2">
        <f>IFERROR(__xludf.DUMMYFUNCTION("""COMPUTED_VALUE"""),344.5)</f>
        <v>344.5</v>
      </c>
      <c r="C3208" s="2">
        <f>IFERROR(__xludf.DUMMYFUNCTION("""COMPUTED_VALUE"""),347.5)</f>
        <v>347.5</v>
      </c>
      <c r="D3208" s="2">
        <f>IFERROR(__xludf.DUMMYFUNCTION("""COMPUTED_VALUE"""),343.5)</f>
        <v>343.5</v>
      </c>
      <c r="E3208" s="2">
        <f>IFERROR(__xludf.DUMMYFUNCTION("""COMPUTED_VALUE"""),346.3)</f>
        <v>346.3</v>
      </c>
      <c r="F3208" s="2">
        <f>IFERROR(__xludf.DUMMYFUNCTION("""COMPUTED_VALUE"""),2304965.0)</f>
        <v>2304965</v>
      </c>
    </row>
    <row r="3209">
      <c r="A3209" s="3">
        <f>IFERROR(__xludf.DUMMYFUNCTION("""COMPUTED_VALUE"""),41249.645833333336)</f>
        <v>41249.64583</v>
      </c>
      <c r="B3209" s="2">
        <f>IFERROR(__xludf.DUMMYFUNCTION("""COMPUTED_VALUE"""),347.9)</f>
        <v>347.9</v>
      </c>
      <c r="C3209" s="2">
        <f>IFERROR(__xludf.DUMMYFUNCTION("""COMPUTED_VALUE"""),349.25)</f>
        <v>349.25</v>
      </c>
      <c r="D3209" s="2">
        <f>IFERROR(__xludf.DUMMYFUNCTION("""COMPUTED_VALUE"""),340.4)</f>
        <v>340.4</v>
      </c>
      <c r="E3209" s="2">
        <f>IFERROR(__xludf.DUMMYFUNCTION("""COMPUTED_VALUE"""),347.38)</f>
        <v>347.38</v>
      </c>
      <c r="F3209" s="2">
        <f>IFERROR(__xludf.DUMMYFUNCTION("""COMPUTED_VALUE"""),2726138.0)</f>
        <v>2726138</v>
      </c>
    </row>
    <row r="3210">
      <c r="A3210" s="3">
        <f>IFERROR(__xludf.DUMMYFUNCTION("""COMPUTED_VALUE"""),41250.645833333336)</f>
        <v>41250.64583</v>
      </c>
      <c r="B3210" s="2">
        <f>IFERROR(__xludf.DUMMYFUNCTION("""COMPUTED_VALUE"""),347.63)</f>
        <v>347.63</v>
      </c>
      <c r="C3210" s="2">
        <f>IFERROR(__xludf.DUMMYFUNCTION("""COMPUTED_VALUE"""),349.0)</f>
        <v>349</v>
      </c>
      <c r="D3210" s="2">
        <f>IFERROR(__xludf.DUMMYFUNCTION("""COMPUTED_VALUE"""),344.0)</f>
        <v>344</v>
      </c>
      <c r="E3210" s="2">
        <f>IFERROR(__xludf.DUMMYFUNCTION("""COMPUTED_VALUE"""),346.55)</f>
        <v>346.55</v>
      </c>
      <c r="F3210" s="2">
        <f>IFERROR(__xludf.DUMMYFUNCTION("""COMPUTED_VALUE"""),1984158.0)</f>
        <v>1984158</v>
      </c>
    </row>
    <row r="3211">
      <c r="A3211" s="3">
        <f>IFERROR(__xludf.DUMMYFUNCTION("""COMPUTED_VALUE"""),41253.645833333336)</f>
        <v>41253.64583</v>
      </c>
      <c r="B3211" s="2">
        <f>IFERROR(__xludf.DUMMYFUNCTION("""COMPUTED_VALUE"""),345.0)</f>
        <v>345</v>
      </c>
      <c r="C3211" s="2">
        <f>IFERROR(__xludf.DUMMYFUNCTION("""COMPUTED_VALUE"""),348.25)</f>
        <v>348.25</v>
      </c>
      <c r="D3211" s="2">
        <f>IFERROR(__xludf.DUMMYFUNCTION("""COMPUTED_VALUE"""),344.83)</f>
        <v>344.83</v>
      </c>
      <c r="E3211" s="2">
        <f>IFERROR(__xludf.DUMMYFUNCTION("""COMPUTED_VALUE"""),346.5)</f>
        <v>346.5</v>
      </c>
      <c r="F3211" s="2">
        <f>IFERROR(__xludf.DUMMYFUNCTION("""COMPUTED_VALUE"""),2081026.0)</f>
        <v>2081026</v>
      </c>
    </row>
    <row r="3212">
      <c r="A3212" s="3">
        <f>IFERROR(__xludf.DUMMYFUNCTION("""COMPUTED_VALUE"""),41254.645833333336)</f>
        <v>41254.64583</v>
      </c>
      <c r="B3212" s="2">
        <f>IFERROR(__xludf.DUMMYFUNCTION("""COMPUTED_VALUE"""),347.63)</f>
        <v>347.63</v>
      </c>
      <c r="C3212" s="2">
        <f>IFERROR(__xludf.DUMMYFUNCTION("""COMPUTED_VALUE"""),349.5)</f>
        <v>349.5</v>
      </c>
      <c r="D3212" s="2">
        <f>IFERROR(__xludf.DUMMYFUNCTION("""COMPUTED_VALUE"""),343.15)</f>
        <v>343.15</v>
      </c>
      <c r="E3212" s="2">
        <f>IFERROR(__xludf.DUMMYFUNCTION("""COMPUTED_VALUE"""),345.42)</f>
        <v>345.42</v>
      </c>
      <c r="F3212" s="2">
        <f>IFERROR(__xludf.DUMMYFUNCTION("""COMPUTED_VALUE"""),3375138.0)</f>
        <v>3375138</v>
      </c>
    </row>
    <row r="3213">
      <c r="A3213" s="3">
        <f>IFERROR(__xludf.DUMMYFUNCTION("""COMPUTED_VALUE"""),41255.645833333336)</f>
        <v>41255.64583</v>
      </c>
      <c r="B3213" s="2">
        <f>IFERROR(__xludf.DUMMYFUNCTION("""COMPUTED_VALUE"""),345.63)</f>
        <v>345.63</v>
      </c>
      <c r="C3213" s="2">
        <f>IFERROR(__xludf.DUMMYFUNCTION("""COMPUTED_VALUE"""),348.0)</f>
        <v>348</v>
      </c>
      <c r="D3213" s="2">
        <f>IFERROR(__xludf.DUMMYFUNCTION("""COMPUTED_VALUE"""),344.25)</f>
        <v>344.25</v>
      </c>
      <c r="E3213" s="2">
        <f>IFERROR(__xludf.DUMMYFUNCTION("""COMPUTED_VALUE"""),346.92)</f>
        <v>346.92</v>
      </c>
      <c r="F3213" s="2">
        <f>IFERROR(__xludf.DUMMYFUNCTION("""COMPUTED_VALUE"""),1934126.0)</f>
        <v>1934126</v>
      </c>
    </row>
    <row r="3214">
      <c r="A3214" s="3">
        <f>IFERROR(__xludf.DUMMYFUNCTION("""COMPUTED_VALUE"""),41256.645833333336)</f>
        <v>41256.64583</v>
      </c>
      <c r="B3214" s="2">
        <f>IFERROR(__xludf.DUMMYFUNCTION("""COMPUTED_VALUE"""),346.92)</f>
        <v>346.92</v>
      </c>
      <c r="C3214" s="2">
        <f>IFERROR(__xludf.DUMMYFUNCTION("""COMPUTED_VALUE"""),348.0)</f>
        <v>348</v>
      </c>
      <c r="D3214" s="2">
        <f>IFERROR(__xludf.DUMMYFUNCTION("""COMPUTED_VALUE"""),344.5)</f>
        <v>344.5</v>
      </c>
      <c r="E3214" s="2">
        <f>IFERROR(__xludf.DUMMYFUNCTION("""COMPUTED_VALUE"""),345.53)</f>
        <v>345.53</v>
      </c>
      <c r="F3214" s="2">
        <f>IFERROR(__xludf.DUMMYFUNCTION("""COMPUTED_VALUE"""),1570808.0)</f>
        <v>1570808</v>
      </c>
    </row>
    <row r="3215">
      <c r="A3215" s="3">
        <f>IFERROR(__xludf.DUMMYFUNCTION("""COMPUTED_VALUE"""),41257.645833333336)</f>
        <v>41257.64583</v>
      </c>
      <c r="B3215" s="2">
        <f>IFERROR(__xludf.DUMMYFUNCTION("""COMPUTED_VALUE"""),345.03)</f>
        <v>345.03</v>
      </c>
      <c r="C3215" s="2">
        <f>IFERROR(__xludf.DUMMYFUNCTION("""COMPUTED_VALUE"""),347.2)</f>
        <v>347.2</v>
      </c>
      <c r="D3215" s="2">
        <f>IFERROR(__xludf.DUMMYFUNCTION("""COMPUTED_VALUE"""),342.67)</f>
        <v>342.67</v>
      </c>
      <c r="E3215" s="2">
        <f>IFERROR(__xludf.DUMMYFUNCTION("""COMPUTED_VALUE"""),344.38)</f>
        <v>344.38</v>
      </c>
      <c r="F3215" s="2">
        <f>IFERROR(__xludf.DUMMYFUNCTION("""COMPUTED_VALUE"""),2093473.0)</f>
        <v>2093473</v>
      </c>
    </row>
    <row r="3216">
      <c r="A3216" s="3">
        <f>IFERROR(__xludf.DUMMYFUNCTION("""COMPUTED_VALUE"""),41260.645833333336)</f>
        <v>41260.64583</v>
      </c>
      <c r="B3216" s="2">
        <f>IFERROR(__xludf.DUMMYFUNCTION("""COMPUTED_VALUE"""),343.95)</f>
        <v>343.95</v>
      </c>
      <c r="C3216" s="2">
        <f>IFERROR(__xludf.DUMMYFUNCTION("""COMPUTED_VALUE"""),343.95)</f>
        <v>343.95</v>
      </c>
      <c r="D3216" s="2">
        <f>IFERROR(__xludf.DUMMYFUNCTION("""COMPUTED_VALUE"""),336.8)</f>
        <v>336.8</v>
      </c>
      <c r="E3216" s="2">
        <f>IFERROR(__xludf.DUMMYFUNCTION("""COMPUTED_VALUE"""),338.25)</f>
        <v>338.25</v>
      </c>
      <c r="F3216" s="2">
        <f>IFERROR(__xludf.DUMMYFUNCTION("""COMPUTED_VALUE"""),3057553.0)</f>
        <v>3057553</v>
      </c>
    </row>
    <row r="3217">
      <c r="A3217" s="3">
        <f>IFERROR(__xludf.DUMMYFUNCTION("""COMPUTED_VALUE"""),41261.645833333336)</f>
        <v>41261.64583</v>
      </c>
      <c r="B3217" s="2">
        <f>IFERROR(__xludf.DUMMYFUNCTION("""COMPUTED_VALUE"""),338.98)</f>
        <v>338.98</v>
      </c>
      <c r="C3217" s="2">
        <f>IFERROR(__xludf.DUMMYFUNCTION("""COMPUTED_VALUE"""),341.1)</f>
        <v>341.1</v>
      </c>
      <c r="D3217" s="2">
        <f>IFERROR(__xludf.DUMMYFUNCTION("""COMPUTED_VALUE"""),334.88)</f>
        <v>334.88</v>
      </c>
      <c r="E3217" s="2">
        <f>IFERROR(__xludf.DUMMYFUNCTION("""COMPUTED_VALUE"""),337.98)</f>
        <v>337.98</v>
      </c>
      <c r="F3217" s="2">
        <f>IFERROR(__xludf.DUMMYFUNCTION("""COMPUTED_VALUE"""),3343768.0)</f>
        <v>3343768</v>
      </c>
    </row>
    <row r="3218">
      <c r="A3218" s="3">
        <f>IFERROR(__xludf.DUMMYFUNCTION("""COMPUTED_VALUE"""),41262.645833333336)</f>
        <v>41262.64583</v>
      </c>
      <c r="B3218" s="2">
        <f>IFERROR(__xludf.DUMMYFUNCTION("""COMPUTED_VALUE"""),337.28)</f>
        <v>337.28</v>
      </c>
      <c r="C3218" s="2">
        <f>IFERROR(__xludf.DUMMYFUNCTION("""COMPUTED_VALUE"""),344.63)</f>
        <v>344.63</v>
      </c>
      <c r="D3218" s="2">
        <f>IFERROR(__xludf.DUMMYFUNCTION("""COMPUTED_VALUE"""),337.25)</f>
        <v>337.25</v>
      </c>
      <c r="E3218" s="2">
        <f>IFERROR(__xludf.DUMMYFUNCTION("""COMPUTED_VALUE"""),344.0)</f>
        <v>344</v>
      </c>
      <c r="F3218" s="2">
        <f>IFERROR(__xludf.DUMMYFUNCTION("""COMPUTED_VALUE"""),4122253.0)</f>
        <v>4122253</v>
      </c>
    </row>
    <row r="3219">
      <c r="A3219" s="3">
        <f>IFERROR(__xludf.DUMMYFUNCTION("""COMPUTED_VALUE"""),41263.645833333336)</f>
        <v>41263.64583</v>
      </c>
      <c r="B3219" s="2">
        <f>IFERROR(__xludf.DUMMYFUNCTION("""COMPUTED_VALUE"""),343.0)</f>
        <v>343</v>
      </c>
      <c r="C3219" s="2">
        <f>IFERROR(__xludf.DUMMYFUNCTION("""COMPUTED_VALUE"""),343.5)</f>
        <v>343.5</v>
      </c>
      <c r="D3219" s="2">
        <f>IFERROR(__xludf.DUMMYFUNCTION("""COMPUTED_VALUE"""),340.13)</f>
        <v>340.13</v>
      </c>
      <c r="E3219" s="2">
        <f>IFERROR(__xludf.DUMMYFUNCTION("""COMPUTED_VALUE"""),341.7)</f>
        <v>341.7</v>
      </c>
      <c r="F3219" s="2">
        <f>IFERROR(__xludf.DUMMYFUNCTION("""COMPUTED_VALUE"""),2565187.0)</f>
        <v>2565187</v>
      </c>
    </row>
    <row r="3220">
      <c r="A3220" s="3">
        <f>IFERROR(__xludf.DUMMYFUNCTION("""COMPUTED_VALUE"""),41264.645833333336)</f>
        <v>41264.64583</v>
      </c>
      <c r="B3220" s="2">
        <f>IFERROR(__xludf.DUMMYFUNCTION("""COMPUTED_VALUE"""),340.5)</f>
        <v>340.5</v>
      </c>
      <c r="C3220" s="2">
        <f>IFERROR(__xludf.DUMMYFUNCTION("""COMPUTED_VALUE"""),341.0)</f>
        <v>341</v>
      </c>
      <c r="D3220" s="2">
        <f>IFERROR(__xludf.DUMMYFUNCTION("""COMPUTED_VALUE"""),337.03)</f>
        <v>337.03</v>
      </c>
      <c r="E3220" s="2">
        <f>IFERROR(__xludf.DUMMYFUNCTION("""COMPUTED_VALUE"""),338.0)</f>
        <v>338</v>
      </c>
      <c r="F3220" s="2">
        <f>IFERROR(__xludf.DUMMYFUNCTION("""COMPUTED_VALUE"""),2771561.0)</f>
        <v>2771561</v>
      </c>
    </row>
    <row r="3221">
      <c r="A3221" s="3">
        <f>IFERROR(__xludf.DUMMYFUNCTION("""COMPUTED_VALUE"""),41267.645833333336)</f>
        <v>41267.64583</v>
      </c>
      <c r="B3221" s="2">
        <f>IFERROR(__xludf.DUMMYFUNCTION("""COMPUTED_VALUE"""),340.0)</f>
        <v>340</v>
      </c>
      <c r="C3221" s="2">
        <f>IFERROR(__xludf.DUMMYFUNCTION("""COMPUTED_VALUE"""),340.08)</f>
        <v>340.08</v>
      </c>
      <c r="D3221" s="2">
        <f>IFERROR(__xludf.DUMMYFUNCTION("""COMPUTED_VALUE"""),335.9)</f>
        <v>335.9</v>
      </c>
      <c r="E3221" s="2">
        <f>IFERROR(__xludf.DUMMYFUNCTION("""COMPUTED_VALUE"""),338.05)</f>
        <v>338.05</v>
      </c>
      <c r="F3221" s="2">
        <f>IFERROR(__xludf.DUMMYFUNCTION("""COMPUTED_VALUE"""),1370563.0)</f>
        <v>1370563</v>
      </c>
    </row>
    <row r="3222">
      <c r="A3222" s="3">
        <f>IFERROR(__xludf.DUMMYFUNCTION("""COMPUTED_VALUE"""),41269.645833333336)</f>
        <v>41269.64583</v>
      </c>
      <c r="B3222" s="2">
        <f>IFERROR(__xludf.DUMMYFUNCTION("""COMPUTED_VALUE"""),339.05)</f>
        <v>339.05</v>
      </c>
      <c r="C3222" s="2">
        <f>IFERROR(__xludf.DUMMYFUNCTION("""COMPUTED_VALUE"""),342.42)</f>
        <v>342.42</v>
      </c>
      <c r="D3222" s="2">
        <f>IFERROR(__xludf.DUMMYFUNCTION("""COMPUTED_VALUE"""),336.55)</f>
        <v>336.55</v>
      </c>
      <c r="E3222" s="2">
        <f>IFERROR(__xludf.DUMMYFUNCTION("""COMPUTED_VALUE"""),340.15)</f>
        <v>340.15</v>
      </c>
      <c r="F3222" s="2">
        <f>IFERROR(__xludf.DUMMYFUNCTION("""COMPUTED_VALUE"""),1430804.0)</f>
        <v>1430804</v>
      </c>
    </row>
    <row r="3223">
      <c r="A3223" s="3">
        <f>IFERROR(__xludf.DUMMYFUNCTION("""COMPUTED_VALUE"""),41270.645833333336)</f>
        <v>41270.64583</v>
      </c>
      <c r="B3223" s="2">
        <f>IFERROR(__xludf.DUMMYFUNCTION("""COMPUTED_VALUE"""),342.0)</f>
        <v>342</v>
      </c>
      <c r="C3223" s="2">
        <f>IFERROR(__xludf.DUMMYFUNCTION("""COMPUTED_VALUE"""),342.0)</f>
        <v>342</v>
      </c>
      <c r="D3223" s="2">
        <f>IFERROR(__xludf.DUMMYFUNCTION("""COMPUTED_VALUE"""),338.35)</f>
        <v>338.35</v>
      </c>
      <c r="E3223" s="2">
        <f>IFERROR(__xludf.DUMMYFUNCTION("""COMPUTED_VALUE"""),340.05)</f>
        <v>340.05</v>
      </c>
      <c r="F3223" s="2">
        <f>IFERROR(__xludf.DUMMYFUNCTION("""COMPUTED_VALUE"""),2464542.0)</f>
        <v>2464542</v>
      </c>
    </row>
    <row r="3224">
      <c r="A3224" s="3">
        <f>IFERROR(__xludf.DUMMYFUNCTION("""COMPUTED_VALUE"""),41271.645833333336)</f>
        <v>41271.64583</v>
      </c>
      <c r="B3224" s="2">
        <f>IFERROR(__xludf.DUMMYFUNCTION("""COMPUTED_VALUE"""),340.55)</f>
        <v>340.55</v>
      </c>
      <c r="C3224" s="2">
        <f>IFERROR(__xludf.DUMMYFUNCTION("""COMPUTED_VALUE"""),341.5)</f>
        <v>341.5</v>
      </c>
      <c r="D3224" s="2">
        <f>IFERROR(__xludf.DUMMYFUNCTION("""COMPUTED_VALUE"""),337.08)</f>
        <v>337.08</v>
      </c>
      <c r="E3224" s="2">
        <f>IFERROR(__xludf.DUMMYFUNCTION("""COMPUTED_VALUE"""),338.83)</f>
        <v>338.83</v>
      </c>
      <c r="F3224" s="2">
        <f>IFERROR(__xludf.DUMMYFUNCTION("""COMPUTED_VALUE"""),1756066.0)</f>
        <v>1756066</v>
      </c>
    </row>
    <row r="3225">
      <c r="A3225" s="3">
        <f>IFERROR(__xludf.DUMMYFUNCTION("""COMPUTED_VALUE"""),41274.645833333336)</f>
        <v>41274.64583</v>
      </c>
      <c r="B3225" s="2">
        <f>IFERROR(__xludf.DUMMYFUNCTION("""COMPUTED_VALUE"""),338.5)</f>
        <v>338.5</v>
      </c>
      <c r="C3225" s="2">
        <f>IFERROR(__xludf.DUMMYFUNCTION("""COMPUTED_VALUE"""),340.0)</f>
        <v>340</v>
      </c>
      <c r="D3225" s="2">
        <f>IFERROR(__xludf.DUMMYFUNCTION("""COMPUTED_VALUE"""),337.0)</f>
        <v>337</v>
      </c>
      <c r="E3225" s="2">
        <f>IFERROR(__xludf.DUMMYFUNCTION("""COMPUTED_VALUE"""),339.3)</f>
        <v>339.3</v>
      </c>
      <c r="F3225" s="2">
        <f>IFERROR(__xludf.DUMMYFUNCTION("""COMPUTED_VALUE"""),1276822.0)</f>
        <v>1276822</v>
      </c>
    </row>
    <row r="3226">
      <c r="A3226" s="3">
        <f>IFERROR(__xludf.DUMMYFUNCTION("""COMPUTED_VALUE"""),41275.645833333336)</f>
        <v>41275.64583</v>
      </c>
      <c r="B3226" s="2">
        <f>IFERROR(__xludf.DUMMYFUNCTION("""COMPUTED_VALUE"""),341.05)</f>
        <v>341.05</v>
      </c>
      <c r="C3226" s="2">
        <f>IFERROR(__xludf.DUMMYFUNCTION("""COMPUTED_VALUE"""),342.55)</f>
        <v>342.55</v>
      </c>
      <c r="D3226" s="2">
        <f>IFERROR(__xludf.DUMMYFUNCTION("""COMPUTED_VALUE"""),339.83)</f>
        <v>339.83</v>
      </c>
      <c r="E3226" s="2">
        <f>IFERROR(__xludf.DUMMYFUNCTION("""COMPUTED_VALUE"""),342.25)</f>
        <v>342.25</v>
      </c>
      <c r="F3226" s="2">
        <f>IFERROR(__xludf.DUMMYFUNCTION("""COMPUTED_VALUE"""),1007303.0)</f>
        <v>1007303</v>
      </c>
    </row>
    <row r="3227">
      <c r="A3227" s="3">
        <f>IFERROR(__xludf.DUMMYFUNCTION("""COMPUTED_VALUE"""),41276.645833333336)</f>
        <v>41276.64583</v>
      </c>
      <c r="B3227" s="2">
        <f>IFERROR(__xludf.DUMMYFUNCTION("""COMPUTED_VALUE"""),344.95)</f>
        <v>344.95</v>
      </c>
      <c r="C3227" s="2">
        <f>IFERROR(__xludf.DUMMYFUNCTION("""COMPUTED_VALUE"""),345.0)</f>
        <v>345</v>
      </c>
      <c r="D3227" s="2">
        <f>IFERROR(__xludf.DUMMYFUNCTION("""COMPUTED_VALUE"""),341.53)</f>
        <v>341.53</v>
      </c>
      <c r="E3227" s="2">
        <f>IFERROR(__xludf.DUMMYFUNCTION("""COMPUTED_VALUE"""),343.67)</f>
        <v>343.67</v>
      </c>
      <c r="F3227" s="2">
        <f>IFERROR(__xludf.DUMMYFUNCTION("""COMPUTED_VALUE"""),2427399.0)</f>
        <v>2427399</v>
      </c>
    </row>
    <row r="3228">
      <c r="A3228" s="3">
        <f>IFERROR(__xludf.DUMMYFUNCTION("""COMPUTED_VALUE"""),41277.645833333336)</f>
        <v>41277.64583</v>
      </c>
      <c r="B3228" s="2">
        <f>IFERROR(__xludf.DUMMYFUNCTION("""COMPUTED_VALUE"""),345.0)</f>
        <v>345</v>
      </c>
      <c r="C3228" s="2">
        <f>IFERROR(__xludf.DUMMYFUNCTION("""COMPUTED_VALUE"""),345.0)</f>
        <v>345</v>
      </c>
      <c r="D3228" s="2">
        <f>IFERROR(__xludf.DUMMYFUNCTION("""COMPUTED_VALUE"""),340.2)</f>
        <v>340.2</v>
      </c>
      <c r="E3228" s="2">
        <f>IFERROR(__xludf.DUMMYFUNCTION("""COMPUTED_VALUE"""),341.67)</f>
        <v>341.67</v>
      </c>
      <c r="F3228" s="2">
        <f>IFERROR(__xludf.DUMMYFUNCTION("""COMPUTED_VALUE"""),2285683.0)</f>
        <v>2285683</v>
      </c>
    </row>
    <row r="3229">
      <c r="A3229" s="3">
        <f>IFERROR(__xludf.DUMMYFUNCTION("""COMPUTED_VALUE"""),41278.645833333336)</f>
        <v>41278.64583</v>
      </c>
      <c r="B3229" s="2">
        <f>IFERROR(__xludf.DUMMYFUNCTION("""COMPUTED_VALUE"""),342.5)</f>
        <v>342.5</v>
      </c>
      <c r="C3229" s="2">
        <f>IFERROR(__xludf.DUMMYFUNCTION("""COMPUTED_VALUE"""),342.5)</f>
        <v>342.5</v>
      </c>
      <c r="D3229" s="2">
        <f>IFERROR(__xludf.DUMMYFUNCTION("""COMPUTED_VALUE"""),336.4)</f>
        <v>336.4</v>
      </c>
      <c r="E3229" s="2">
        <f>IFERROR(__xludf.DUMMYFUNCTION("""COMPUTED_VALUE"""),339.67)</f>
        <v>339.67</v>
      </c>
      <c r="F3229" s="2">
        <f>IFERROR(__xludf.DUMMYFUNCTION("""COMPUTED_VALUE"""),2721127.0)</f>
        <v>2721127</v>
      </c>
    </row>
    <row r="3230">
      <c r="A3230" s="3">
        <f>IFERROR(__xludf.DUMMYFUNCTION("""COMPUTED_VALUE"""),41281.645833333336)</f>
        <v>41281.64583</v>
      </c>
      <c r="B3230" s="2">
        <f>IFERROR(__xludf.DUMMYFUNCTION("""COMPUTED_VALUE"""),341.85)</f>
        <v>341.85</v>
      </c>
      <c r="C3230" s="2">
        <f>IFERROR(__xludf.DUMMYFUNCTION("""COMPUTED_VALUE"""),341.85)</f>
        <v>341.85</v>
      </c>
      <c r="D3230" s="2">
        <f>IFERROR(__xludf.DUMMYFUNCTION("""COMPUTED_VALUE"""),333.0)</f>
        <v>333</v>
      </c>
      <c r="E3230" s="2">
        <f>IFERROR(__xludf.DUMMYFUNCTION("""COMPUTED_VALUE"""),334.1)</f>
        <v>334.1</v>
      </c>
      <c r="F3230" s="2">
        <f>IFERROR(__xludf.DUMMYFUNCTION("""COMPUTED_VALUE"""),2751142.0)</f>
        <v>2751142</v>
      </c>
    </row>
    <row r="3231">
      <c r="A3231" s="3">
        <f>IFERROR(__xludf.DUMMYFUNCTION("""COMPUTED_VALUE"""),41282.645833333336)</f>
        <v>41282.64583</v>
      </c>
      <c r="B3231" s="2">
        <f>IFERROR(__xludf.DUMMYFUNCTION("""COMPUTED_VALUE"""),334.0)</f>
        <v>334</v>
      </c>
      <c r="C3231" s="2">
        <f>IFERROR(__xludf.DUMMYFUNCTION("""COMPUTED_VALUE"""),336.7)</f>
        <v>336.7</v>
      </c>
      <c r="D3231" s="2">
        <f>IFERROR(__xludf.DUMMYFUNCTION("""COMPUTED_VALUE"""),332.85)</f>
        <v>332.85</v>
      </c>
      <c r="E3231" s="2">
        <f>IFERROR(__xludf.DUMMYFUNCTION("""COMPUTED_VALUE"""),335.13)</f>
        <v>335.13</v>
      </c>
      <c r="F3231" s="2">
        <f>IFERROR(__xludf.DUMMYFUNCTION("""COMPUTED_VALUE"""),2471299.0)</f>
        <v>2471299</v>
      </c>
    </row>
    <row r="3232">
      <c r="A3232" s="3">
        <f>IFERROR(__xludf.DUMMYFUNCTION("""COMPUTED_VALUE"""),41283.645833333336)</f>
        <v>41283.64583</v>
      </c>
      <c r="B3232" s="2">
        <f>IFERROR(__xludf.DUMMYFUNCTION("""COMPUTED_VALUE"""),336.0)</f>
        <v>336</v>
      </c>
      <c r="C3232" s="2">
        <f>IFERROR(__xludf.DUMMYFUNCTION("""COMPUTED_VALUE"""),336.28)</f>
        <v>336.28</v>
      </c>
      <c r="D3232" s="2">
        <f>IFERROR(__xludf.DUMMYFUNCTION("""COMPUTED_VALUE"""),333.03)</f>
        <v>333.03</v>
      </c>
      <c r="E3232" s="2">
        <f>IFERROR(__xludf.DUMMYFUNCTION("""COMPUTED_VALUE"""),333.75)</f>
        <v>333.75</v>
      </c>
      <c r="F3232" s="2">
        <f>IFERROR(__xludf.DUMMYFUNCTION("""COMPUTED_VALUE"""),3217991.0)</f>
        <v>3217991</v>
      </c>
    </row>
    <row r="3233">
      <c r="A3233" s="3">
        <f>IFERROR(__xludf.DUMMYFUNCTION("""COMPUTED_VALUE"""),41284.645833333336)</f>
        <v>41284.64583</v>
      </c>
      <c r="B3233" s="2">
        <f>IFERROR(__xludf.DUMMYFUNCTION("""COMPUTED_VALUE"""),334.75)</f>
        <v>334.75</v>
      </c>
      <c r="C3233" s="2">
        <f>IFERROR(__xludf.DUMMYFUNCTION("""COMPUTED_VALUE"""),339.0)</f>
        <v>339</v>
      </c>
      <c r="D3233" s="2">
        <f>IFERROR(__xludf.DUMMYFUNCTION("""COMPUTED_VALUE"""),333.25)</f>
        <v>333.25</v>
      </c>
      <c r="E3233" s="2">
        <f>IFERROR(__xludf.DUMMYFUNCTION("""COMPUTED_VALUE"""),337.9)</f>
        <v>337.9</v>
      </c>
      <c r="F3233" s="2">
        <f>IFERROR(__xludf.DUMMYFUNCTION("""COMPUTED_VALUE"""),2282592.0)</f>
        <v>2282592</v>
      </c>
    </row>
    <row r="3234">
      <c r="A3234" s="3">
        <f>IFERROR(__xludf.DUMMYFUNCTION("""COMPUTED_VALUE"""),41285.645833333336)</f>
        <v>41285.64583</v>
      </c>
      <c r="B3234" s="2">
        <f>IFERROR(__xludf.DUMMYFUNCTION("""COMPUTED_VALUE"""),338.45)</f>
        <v>338.45</v>
      </c>
      <c r="C3234" s="2">
        <f>IFERROR(__xludf.DUMMYFUNCTION("""COMPUTED_VALUE"""),338.45)</f>
        <v>338.45</v>
      </c>
      <c r="D3234" s="2">
        <f>IFERROR(__xludf.DUMMYFUNCTION("""COMPUTED_VALUE"""),333.35)</f>
        <v>333.35</v>
      </c>
      <c r="E3234" s="2">
        <f>IFERROR(__xludf.DUMMYFUNCTION("""COMPUTED_VALUE"""),334.65)</f>
        <v>334.65</v>
      </c>
      <c r="F3234" s="2">
        <f>IFERROR(__xludf.DUMMYFUNCTION("""COMPUTED_VALUE"""),2570857.0)</f>
        <v>2570857</v>
      </c>
    </row>
    <row r="3235">
      <c r="A3235" s="3">
        <f>IFERROR(__xludf.DUMMYFUNCTION("""COMPUTED_VALUE"""),41288.645833333336)</f>
        <v>41288.64583</v>
      </c>
      <c r="B3235" s="2">
        <f>IFERROR(__xludf.DUMMYFUNCTION("""COMPUTED_VALUE"""),334.08)</f>
        <v>334.08</v>
      </c>
      <c r="C3235" s="2">
        <f>IFERROR(__xludf.DUMMYFUNCTION("""COMPUTED_VALUE"""),335.25)</f>
        <v>335.25</v>
      </c>
      <c r="D3235" s="2">
        <f>IFERROR(__xludf.DUMMYFUNCTION("""COMPUTED_VALUE"""),333.55)</f>
        <v>333.55</v>
      </c>
      <c r="E3235" s="2">
        <f>IFERROR(__xludf.DUMMYFUNCTION("""COMPUTED_VALUE"""),334.65)</f>
        <v>334.65</v>
      </c>
      <c r="F3235" s="2">
        <f>IFERROR(__xludf.DUMMYFUNCTION("""COMPUTED_VALUE"""),2847437.0)</f>
        <v>2847437</v>
      </c>
    </row>
    <row r="3236">
      <c r="A3236" s="3">
        <f>IFERROR(__xludf.DUMMYFUNCTION("""COMPUTED_VALUE"""),41289.645833333336)</f>
        <v>41289.64583</v>
      </c>
      <c r="B3236" s="2">
        <f>IFERROR(__xludf.DUMMYFUNCTION("""COMPUTED_VALUE"""),335.4)</f>
        <v>335.4</v>
      </c>
      <c r="C3236" s="2">
        <f>IFERROR(__xludf.DUMMYFUNCTION("""COMPUTED_VALUE"""),337.73)</f>
        <v>337.73</v>
      </c>
      <c r="D3236" s="2">
        <f>IFERROR(__xludf.DUMMYFUNCTION("""COMPUTED_VALUE"""),332.5)</f>
        <v>332.5</v>
      </c>
      <c r="E3236" s="2">
        <f>IFERROR(__xludf.DUMMYFUNCTION("""COMPUTED_VALUE"""),334.15)</f>
        <v>334.15</v>
      </c>
      <c r="F3236" s="2">
        <f>IFERROR(__xludf.DUMMYFUNCTION("""COMPUTED_VALUE"""),2065844.0)</f>
        <v>2065844</v>
      </c>
    </row>
    <row r="3237">
      <c r="A3237" s="3">
        <f>IFERROR(__xludf.DUMMYFUNCTION("""COMPUTED_VALUE"""),41290.645833333336)</f>
        <v>41290.64583</v>
      </c>
      <c r="B3237" s="2">
        <f>IFERROR(__xludf.DUMMYFUNCTION("""COMPUTED_VALUE"""),332.78)</f>
        <v>332.78</v>
      </c>
      <c r="C3237" s="2">
        <f>IFERROR(__xludf.DUMMYFUNCTION("""COMPUTED_VALUE"""),334.6)</f>
        <v>334.6</v>
      </c>
      <c r="D3237" s="2">
        <f>IFERROR(__xludf.DUMMYFUNCTION("""COMPUTED_VALUE"""),328.8)</f>
        <v>328.8</v>
      </c>
      <c r="E3237" s="2">
        <f>IFERROR(__xludf.DUMMYFUNCTION("""COMPUTED_VALUE"""),330.25)</f>
        <v>330.25</v>
      </c>
      <c r="F3237" s="2">
        <f>IFERROR(__xludf.DUMMYFUNCTION("""COMPUTED_VALUE"""),2287689.0)</f>
        <v>2287689</v>
      </c>
    </row>
    <row r="3238">
      <c r="A3238" s="3">
        <f>IFERROR(__xludf.DUMMYFUNCTION("""COMPUTED_VALUE"""),41291.645833333336)</f>
        <v>41291.64583</v>
      </c>
      <c r="B3238" s="2">
        <f>IFERROR(__xludf.DUMMYFUNCTION("""COMPUTED_VALUE"""),328.85)</f>
        <v>328.85</v>
      </c>
      <c r="C3238" s="2">
        <f>IFERROR(__xludf.DUMMYFUNCTION("""COMPUTED_VALUE"""),335.42)</f>
        <v>335.42</v>
      </c>
      <c r="D3238" s="2">
        <f>IFERROR(__xludf.DUMMYFUNCTION("""COMPUTED_VALUE"""),327.02)</f>
        <v>327.02</v>
      </c>
      <c r="E3238" s="2">
        <f>IFERROR(__xludf.DUMMYFUNCTION("""COMPUTED_VALUE"""),333.4)</f>
        <v>333.4</v>
      </c>
      <c r="F3238" s="2">
        <f>IFERROR(__xludf.DUMMYFUNCTION("""COMPUTED_VALUE"""),3211036.0)</f>
        <v>3211036</v>
      </c>
    </row>
    <row r="3239">
      <c r="A3239" s="3">
        <f>IFERROR(__xludf.DUMMYFUNCTION("""COMPUTED_VALUE"""),41292.645833333336)</f>
        <v>41292.64583</v>
      </c>
      <c r="B3239" s="2">
        <f>IFERROR(__xludf.DUMMYFUNCTION("""COMPUTED_VALUE"""),335.0)</f>
        <v>335</v>
      </c>
      <c r="C3239" s="2">
        <f>IFERROR(__xludf.DUMMYFUNCTION("""COMPUTED_VALUE"""),337.0)</f>
        <v>337</v>
      </c>
      <c r="D3239" s="2">
        <f>IFERROR(__xludf.DUMMYFUNCTION("""COMPUTED_VALUE"""),327.65)</f>
        <v>327.65</v>
      </c>
      <c r="E3239" s="2">
        <f>IFERROR(__xludf.DUMMYFUNCTION("""COMPUTED_VALUE"""),331.42)</f>
        <v>331.42</v>
      </c>
      <c r="F3239" s="2">
        <f>IFERROR(__xludf.DUMMYFUNCTION("""COMPUTED_VALUE"""),5056173.0)</f>
        <v>5056173</v>
      </c>
    </row>
    <row r="3240">
      <c r="A3240" s="3">
        <f>IFERROR(__xludf.DUMMYFUNCTION("""COMPUTED_VALUE"""),41295.645833333336)</f>
        <v>41295.64583</v>
      </c>
      <c r="B3240" s="2">
        <f>IFERROR(__xludf.DUMMYFUNCTION("""COMPUTED_VALUE"""),330.0)</f>
        <v>330</v>
      </c>
      <c r="C3240" s="2">
        <f>IFERROR(__xludf.DUMMYFUNCTION("""COMPUTED_VALUE"""),331.7)</f>
        <v>331.7</v>
      </c>
      <c r="D3240" s="2">
        <f>IFERROR(__xludf.DUMMYFUNCTION("""COMPUTED_VALUE"""),327.38)</f>
        <v>327.38</v>
      </c>
      <c r="E3240" s="2">
        <f>IFERROR(__xludf.DUMMYFUNCTION("""COMPUTED_VALUE"""),329.28)</f>
        <v>329.28</v>
      </c>
      <c r="F3240" s="2">
        <f>IFERROR(__xludf.DUMMYFUNCTION("""COMPUTED_VALUE"""),2713680.0)</f>
        <v>2713680</v>
      </c>
    </row>
    <row r="3241">
      <c r="A3241" s="3">
        <f>IFERROR(__xludf.DUMMYFUNCTION("""COMPUTED_VALUE"""),41296.645833333336)</f>
        <v>41296.64583</v>
      </c>
      <c r="B3241" s="2">
        <f>IFERROR(__xludf.DUMMYFUNCTION("""COMPUTED_VALUE"""),329.25)</f>
        <v>329.25</v>
      </c>
      <c r="C3241" s="2">
        <f>IFERROR(__xludf.DUMMYFUNCTION("""COMPUTED_VALUE"""),330.5)</f>
        <v>330.5</v>
      </c>
      <c r="D3241" s="2">
        <f>IFERROR(__xludf.DUMMYFUNCTION("""COMPUTED_VALUE"""),323.77)</f>
        <v>323.77</v>
      </c>
      <c r="E3241" s="2">
        <f>IFERROR(__xludf.DUMMYFUNCTION("""COMPUTED_VALUE"""),326.88)</f>
        <v>326.88</v>
      </c>
      <c r="F3241" s="2">
        <f>IFERROR(__xludf.DUMMYFUNCTION("""COMPUTED_VALUE"""),2121532.0)</f>
        <v>2121532</v>
      </c>
    </row>
    <row r="3242">
      <c r="A3242" s="3">
        <f>IFERROR(__xludf.DUMMYFUNCTION("""COMPUTED_VALUE"""),41297.645833333336)</f>
        <v>41297.64583</v>
      </c>
      <c r="B3242" s="2">
        <f>IFERROR(__xludf.DUMMYFUNCTION("""COMPUTED_VALUE"""),328.5)</f>
        <v>328.5</v>
      </c>
      <c r="C3242" s="2">
        <f>IFERROR(__xludf.DUMMYFUNCTION("""COMPUTED_VALUE"""),331.5)</f>
        <v>331.5</v>
      </c>
      <c r="D3242" s="2">
        <f>IFERROR(__xludf.DUMMYFUNCTION("""COMPUTED_VALUE"""),327.17)</f>
        <v>327.17</v>
      </c>
      <c r="E3242" s="2">
        <f>IFERROR(__xludf.DUMMYFUNCTION("""COMPUTED_VALUE"""),328.3)</f>
        <v>328.3</v>
      </c>
      <c r="F3242" s="2">
        <f>IFERROR(__xludf.DUMMYFUNCTION("""COMPUTED_VALUE"""),1769935.0)</f>
        <v>1769935</v>
      </c>
    </row>
    <row r="3243">
      <c r="A3243" s="3">
        <f>IFERROR(__xludf.DUMMYFUNCTION("""COMPUTED_VALUE"""),41298.645833333336)</f>
        <v>41298.64583</v>
      </c>
      <c r="B3243" s="2">
        <f>IFERROR(__xludf.DUMMYFUNCTION("""COMPUTED_VALUE"""),327.8)</f>
        <v>327.8</v>
      </c>
      <c r="C3243" s="2">
        <f>IFERROR(__xludf.DUMMYFUNCTION("""COMPUTED_VALUE"""),331.38)</f>
        <v>331.38</v>
      </c>
      <c r="D3243" s="2">
        <f>IFERROR(__xludf.DUMMYFUNCTION("""COMPUTED_VALUE"""),327.63)</f>
        <v>327.63</v>
      </c>
      <c r="E3243" s="2">
        <f>IFERROR(__xludf.DUMMYFUNCTION("""COMPUTED_VALUE"""),330.15)</f>
        <v>330.15</v>
      </c>
      <c r="F3243" s="2">
        <f>IFERROR(__xludf.DUMMYFUNCTION("""COMPUTED_VALUE"""),1536990.0)</f>
        <v>1536990</v>
      </c>
    </row>
    <row r="3244">
      <c r="A3244" s="3">
        <f>IFERROR(__xludf.DUMMYFUNCTION("""COMPUTED_VALUE"""),41299.645833333336)</f>
        <v>41299.64583</v>
      </c>
      <c r="B3244" s="2">
        <f>IFERROR(__xludf.DUMMYFUNCTION("""COMPUTED_VALUE"""),330.15)</f>
        <v>330.15</v>
      </c>
      <c r="C3244" s="2">
        <f>IFERROR(__xludf.DUMMYFUNCTION("""COMPUTED_VALUE"""),333.5)</f>
        <v>333.5</v>
      </c>
      <c r="D3244" s="2">
        <f>IFERROR(__xludf.DUMMYFUNCTION("""COMPUTED_VALUE"""),327.78)</f>
        <v>327.78</v>
      </c>
      <c r="E3244" s="2">
        <f>IFERROR(__xludf.DUMMYFUNCTION("""COMPUTED_VALUE"""),332.53)</f>
        <v>332.53</v>
      </c>
      <c r="F3244" s="2">
        <f>IFERROR(__xludf.DUMMYFUNCTION("""COMPUTED_VALUE"""),1397433.0)</f>
        <v>1397433</v>
      </c>
    </row>
    <row r="3245">
      <c r="A3245" s="3">
        <f>IFERROR(__xludf.DUMMYFUNCTION("""COMPUTED_VALUE"""),41302.645833333336)</f>
        <v>41302.64583</v>
      </c>
      <c r="B3245" s="2">
        <f>IFERROR(__xludf.DUMMYFUNCTION("""COMPUTED_VALUE"""),332.63)</f>
        <v>332.63</v>
      </c>
      <c r="C3245" s="2">
        <f>IFERROR(__xludf.DUMMYFUNCTION("""COMPUTED_VALUE"""),336.0)</f>
        <v>336</v>
      </c>
      <c r="D3245" s="2">
        <f>IFERROR(__xludf.DUMMYFUNCTION("""COMPUTED_VALUE"""),332.23)</f>
        <v>332.23</v>
      </c>
      <c r="E3245" s="2">
        <f>IFERROR(__xludf.DUMMYFUNCTION("""COMPUTED_VALUE"""),335.17)</f>
        <v>335.17</v>
      </c>
      <c r="F3245" s="2">
        <f>IFERROR(__xludf.DUMMYFUNCTION("""COMPUTED_VALUE"""),1842005.0)</f>
        <v>1842005</v>
      </c>
    </row>
    <row r="3246">
      <c r="A3246" s="3">
        <f>IFERROR(__xludf.DUMMYFUNCTION("""COMPUTED_VALUE"""),41303.645833333336)</f>
        <v>41303.64583</v>
      </c>
      <c r="B3246" s="2">
        <f>IFERROR(__xludf.DUMMYFUNCTION("""COMPUTED_VALUE"""),335.38)</f>
        <v>335.38</v>
      </c>
      <c r="C3246" s="2">
        <f>IFERROR(__xludf.DUMMYFUNCTION("""COMPUTED_VALUE"""),335.45)</f>
        <v>335.45</v>
      </c>
      <c r="D3246" s="2">
        <f>IFERROR(__xludf.DUMMYFUNCTION("""COMPUTED_VALUE"""),325.0)</f>
        <v>325</v>
      </c>
      <c r="E3246" s="2">
        <f>IFERROR(__xludf.DUMMYFUNCTION("""COMPUTED_VALUE"""),326.23)</f>
        <v>326.23</v>
      </c>
      <c r="F3246" s="2">
        <f>IFERROR(__xludf.DUMMYFUNCTION("""COMPUTED_VALUE"""),2990437.0)</f>
        <v>2990437</v>
      </c>
    </row>
    <row r="3247">
      <c r="A3247" s="3">
        <f>IFERROR(__xludf.DUMMYFUNCTION("""COMPUTED_VALUE"""),41304.645833333336)</f>
        <v>41304.64583</v>
      </c>
      <c r="B3247" s="2">
        <f>IFERROR(__xludf.DUMMYFUNCTION("""COMPUTED_VALUE"""),326.5)</f>
        <v>326.5</v>
      </c>
      <c r="C3247" s="2">
        <f>IFERROR(__xludf.DUMMYFUNCTION("""COMPUTED_VALUE"""),329.2)</f>
        <v>329.2</v>
      </c>
      <c r="D3247" s="2">
        <f>IFERROR(__xludf.DUMMYFUNCTION("""COMPUTED_VALUE"""),322.0)</f>
        <v>322</v>
      </c>
      <c r="E3247" s="2">
        <f>IFERROR(__xludf.DUMMYFUNCTION("""COMPUTED_VALUE"""),328.33)</f>
        <v>328.33</v>
      </c>
      <c r="F3247" s="2">
        <f>IFERROR(__xludf.DUMMYFUNCTION("""COMPUTED_VALUE"""),2509908.0)</f>
        <v>2509908</v>
      </c>
    </row>
    <row r="3248">
      <c r="A3248" s="3">
        <f>IFERROR(__xludf.DUMMYFUNCTION("""COMPUTED_VALUE"""),41305.645833333336)</f>
        <v>41305.64583</v>
      </c>
      <c r="B3248" s="2">
        <f>IFERROR(__xludf.DUMMYFUNCTION("""COMPUTED_VALUE"""),328.3)</f>
        <v>328.3</v>
      </c>
      <c r="C3248" s="2">
        <f>IFERROR(__xludf.DUMMYFUNCTION("""COMPUTED_VALUE"""),328.95)</f>
        <v>328.95</v>
      </c>
      <c r="D3248" s="2">
        <f>IFERROR(__xludf.DUMMYFUNCTION("""COMPUTED_VALUE"""),320.05)</f>
        <v>320.05</v>
      </c>
      <c r="E3248" s="2">
        <f>IFERROR(__xludf.DUMMYFUNCTION("""COMPUTED_VALUE"""),321.52)</f>
        <v>321.52</v>
      </c>
      <c r="F3248" s="2">
        <f>IFERROR(__xludf.DUMMYFUNCTION("""COMPUTED_VALUE"""),3472096.0)</f>
        <v>3472096</v>
      </c>
    </row>
    <row r="3249">
      <c r="A3249" s="3">
        <f>IFERROR(__xludf.DUMMYFUNCTION("""COMPUTED_VALUE"""),41306.645833333336)</f>
        <v>41306.64583</v>
      </c>
      <c r="B3249" s="2">
        <f>IFERROR(__xludf.DUMMYFUNCTION("""COMPUTED_VALUE"""),322.4)</f>
        <v>322.4</v>
      </c>
      <c r="C3249" s="2">
        <f>IFERROR(__xludf.DUMMYFUNCTION("""COMPUTED_VALUE"""),322.42)</f>
        <v>322.42</v>
      </c>
      <c r="D3249" s="2">
        <f>IFERROR(__xludf.DUMMYFUNCTION("""COMPUTED_VALUE"""),318.1)</f>
        <v>318.1</v>
      </c>
      <c r="E3249" s="2">
        <f>IFERROR(__xludf.DUMMYFUNCTION("""COMPUTED_VALUE"""),320.08)</f>
        <v>320.08</v>
      </c>
      <c r="F3249" s="2">
        <f>IFERROR(__xludf.DUMMYFUNCTION("""COMPUTED_VALUE"""),2621036.0)</f>
        <v>2621036</v>
      </c>
    </row>
    <row r="3250">
      <c r="A3250" s="3">
        <f>IFERROR(__xludf.DUMMYFUNCTION("""COMPUTED_VALUE"""),41309.645833333336)</f>
        <v>41309.64583</v>
      </c>
      <c r="B3250" s="2">
        <f>IFERROR(__xludf.DUMMYFUNCTION("""COMPUTED_VALUE"""),320.58)</f>
        <v>320.58</v>
      </c>
      <c r="C3250" s="2">
        <f>IFERROR(__xludf.DUMMYFUNCTION("""COMPUTED_VALUE"""),324.75)</f>
        <v>324.75</v>
      </c>
      <c r="D3250" s="2">
        <f>IFERROR(__xludf.DUMMYFUNCTION("""COMPUTED_VALUE"""),320.0)</f>
        <v>320</v>
      </c>
      <c r="E3250" s="2">
        <f>IFERROR(__xludf.DUMMYFUNCTION("""COMPUTED_VALUE"""),323.45)</f>
        <v>323.45</v>
      </c>
      <c r="F3250" s="2">
        <f>IFERROR(__xludf.DUMMYFUNCTION("""COMPUTED_VALUE"""),2618950.0)</f>
        <v>2618950</v>
      </c>
    </row>
    <row r="3251">
      <c r="A3251" s="3">
        <f>IFERROR(__xludf.DUMMYFUNCTION("""COMPUTED_VALUE"""),41310.645833333336)</f>
        <v>41310.64583</v>
      </c>
      <c r="B3251" s="2">
        <f>IFERROR(__xludf.DUMMYFUNCTION("""COMPUTED_VALUE"""),318.17)</f>
        <v>318.17</v>
      </c>
      <c r="C3251" s="2">
        <f>IFERROR(__xludf.DUMMYFUNCTION("""COMPUTED_VALUE"""),323.6)</f>
        <v>323.6</v>
      </c>
      <c r="D3251" s="2">
        <f>IFERROR(__xludf.DUMMYFUNCTION("""COMPUTED_VALUE"""),318.17)</f>
        <v>318.17</v>
      </c>
      <c r="E3251" s="2">
        <f>IFERROR(__xludf.DUMMYFUNCTION("""COMPUTED_VALUE"""),322.08)</f>
        <v>322.08</v>
      </c>
      <c r="F3251" s="2">
        <f>IFERROR(__xludf.DUMMYFUNCTION("""COMPUTED_VALUE"""),1865005.0)</f>
        <v>1865005</v>
      </c>
    </row>
    <row r="3252">
      <c r="A3252" s="3">
        <f>IFERROR(__xludf.DUMMYFUNCTION("""COMPUTED_VALUE"""),41311.645833333336)</f>
        <v>41311.64583</v>
      </c>
      <c r="B3252" s="2">
        <f>IFERROR(__xludf.DUMMYFUNCTION("""COMPUTED_VALUE"""),323.3)</f>
        <v>323.3</v>
      </c>
      <c r="C3252" s="2">
        <f>IFERROR(__xludf.DUMMYFUNCTION("""COMPUTED_VALUE"""),323.45)</f>
        <v>323.45</v>
      </c>
      <c r="D3252" s="2">
        <f>IFERROR(__xludf.DUMMYFUNCTION("""COMPUTED_VALUE"""),318.6)</f>
        <v>318.6</v>
      </c>
      <c r="E3252" s="2">
        <f>IFERROR(__xludf.DUMMYFUNCTION("""COMPUTED_VALUE"""),319.75)</f>
        <v>319.75</v>
      </c>
      <c r="F3252" s="2">
        <f>IFERROR(__xludf.DUMMYFUNCTION("""COMPUTED_VALUE"""),2468397.0)</f>
        <v>2468397</v>
      </c>
    </row>
    <row r="3253">
      <c r="A3253" s="3">
        <f>IFERROR(__xludf.DUMMYFUNCTION("""COMPUTED_VALUE"""),41312.645833333336)</f>
        <v>41312.64583</v>
      </c>
      <c r="B3253" s="2">
        <f>IFERROR(__xludf.DUMMYFUNCTION("""COMPUTED_VALUE"""),318.15)</f>
        <v>318.15</v>
      </c>
      <c r="C3253" s="2">
        <f>IFERROR(__xludf.DUMMYFUNCTION("""COMPUTED_VALUE"""),321.5)</f>
        <v>321.5</v>
      </c>
      <c r="D3253" s="2">
        <f>IFERROR(__xludf.DUMMYFUNCTION("""COMPUTED_VALUE"""),317.27)</f>
        <v>317.27</v>
      </c>
      <c r="E3253" s="2">
        <f>IFERROR(__xludf.DUMMYFUNCTION("""COMPUTED_VALUE"""),320.75)</f>
        <v>320.75</v>
      </c>
      <c r="F3253" s="2">
        <f>IFERROR(__xludf.DUMMYFUNCTION("""COMPUTED_VALUE"""),2270709.0)</f>
        <v>2270709</v>
      </c>
    </row>
    <row r="3254">
      <c r="A3254" s="3">
        <f>IFERROR(__xludf.DUMMYFUNCTION("""COMPUTED_VALUE"""),41313.645833333336)</f>
        <v>41313.64583</v>
      </c>
      <c r="B3254" s="2">
        <f>IFERROR(__xludf.DUMMYFUNCTION("""COMPUTED_VALUE"""),320.25)</f>
        <v>320.25</v>
      </c>
      <c r="C3254" s="2">
        <f>IFERROR(__xludf.DUMMYFUNCTION("""COMPUTED_VALUE"""),326.7)</f>
        <v>326.7</v>
      </c>
      <c r="D3254" s="2">
        <f>IFERROR(__xludf.DUMMYFUNCTION("""COMPUTED_VALUE"""),320.25)</f>
        <v>320.25</v>
      </c>
      <c r="E3254" s="2">
        <f>IFERROR(__xludf.DUMMYFUNCTION("""COMPUTED_VALUE"""),325.02)</f>
        <v>325.02</v>
      </c>
      <c r="F3254" s="2">
        <f>IFERROR(__xludf.DUMMYFUNCTION("""COMPUTED_VALUE"""),4706664.0)</f>
        <v>4706664</v>
      </c>
    </row>
    <row r="3255">
      <c r="A3255" s="3">
        <f>IFERROR(__xludf.DUMMYFUNCTION("""COMPUTED_VALUE"""),41316.645833333336)</f>
        <v>41316.64583</v>
      </c>
      <c r="B3255" s="2">
        <f>IFERROR(__xludf.DUMMYFUNCTION("""COMPUTED_VALUE"""),325.0)</f>
        <v>325</v>
      </c>
      <c r="C3255" s="2">
        <f>IFERROR(__xludf.DUMMYFUNCTION("""COMPUTED_VALUE"""),329.98)</f>
        <v>329.98</v>
      </c>
      <c r="D3255" s="2">
        <f>IFERROR(__xludf.DUMMYFUNCTION("""COMPUTED_VALUE"""),325.0)</f>
        <v>325</v>
      </c>
      <c r="E3255" s="2">
        <f>IFERROR(__xludf.DUMMYFUNCTION("""COMPUTED_VALUE"""),328.48)</f>
        <v>328.48</v>
      </c>
      <c r="F3255" s="2">
        <f>IFERROR(__xludf.DUMMYFUNCTION("""COMPUTED_VALUE"""),3791765.0)</f>
        <v>3791765</v>
      </c>
    </row>
    <row r="3256">
      <c r="A3256" s="3">
        <f>IFERROR(__xludf.DUMMYFUNCTION("""COMPUTED_VALUE"""),41317.645833333336)</f>
        <v>41317.64583</v>
      </c>
      <c r="B3256" s="2">
        <f>IFERROR(__xludf.DUMMYFUNCTION("""COMPUTED_VALUE"""),327.83)</f>
        <v>327.83</v>
      </c>
      <c r="C3256" s="2">
        <f>IFERROR(__xludf.DUMMYFUNCTION("""COMPUTED_VALUE"""),333.5)</f>
        <v>333.5</v>
      </c>
      <c r="D3256" s="2">
        <f>IFERROR(__xludf.DUMMYFUNCTION("""COMPUTED_VALUE"""),327.83)</f>
        <v>327.83</v>
      </c>
      <c r="E3256" s="2">
        <f>IFERROR(__xludf.DUMMYFUNCTION("""COMPUTED_VALUE"""),332.6)</f>
        <v>332.6</v>
      </c>
      <c r="F3256" s="2">
        <f>IFERROR(__xludf.DUMMYFUNCTION("""COMPUTED_VALUE"""),3958209.0)</f>
        <v>3958209</v>
      </c>
    </row>
    <row r="3257">
      <c r="A3257" s="3">
        <f>IFERROR(__xludf.DUMMYFUNCTION("""COMPUTED_VALUE"""),41318.645833333336)</f>
        <v>41318.64583</v>
      </c>
      <c r="B3257" s="2">
        <f>IFERROR(__xludf.DUMMYFUNCTION("""COMPUTED_VALUE"""),331.65)</f>
        <v>331.65</v>
      </c>
      <c r="C3257" s="2">
        <f>IFERROR(__xludf.DUMMYFUNCTION("""COMPUTED_VALUE"""),333.7)</f>
        <v>333.7</v>
      </c>
      <c r="D3257" s="2">
        <f>IFERROR(__xludf.DUMMYFUNCTION("""COMPUTED_VALUE"""),329.75)</f>
        <v>329.75</v>
      </c>
      <c r="E3257" s="2">
        <f>IFERROR(__xludf.DUMMYFUNCTION("""COMPUTED_VALUE"""),332.1)</f>
        <v>332.1</v>
      </c>
      <c r="F3257" s="2">
        <f>IFERROR(__xludf.DUMMYFUNCTION("""COMPUTED_VALUE"""),3627208.0)</f>
        <v>3627208</v>
      </c>
    </row>
    <row r="3258">
      <c r="A3258" s="3">
        <f>IFERROR(__xludf.DUMMYFUNCTION("""COMPUTED_VALUE"""),41319.645833333336)</f>
        <v>41319.64583</v>
      </c>
      <c r="B3258" s="2">
        <f>IFERROR(__xludf.DUMMYFUNCTION("""COMPUTED_VALUE"""),332.0)</f>
        <v>332</v>
      </c>
      <c r="C3258" s="2">
        <f>IFERROR(__xludf.DUMMYFUNCTION("""COMPUTED_VALUE"""),339.2)</f>
        <v>339.2</v>
      </c>
      <c r="D3258" s="2">
        <f>IFERROR(__xludf.DUMMYFUNCTION("""COMPUTED_VALUE"""),331.0)</f>
        <v>331</v>
      </c>
      <c r="E3258" s="2">
        <f>IFERROR(__xludf.DUMMYFUNCTION("""COMPUTED_VALUE"""),337.4)</f>
        <v>337.4</v>
      </c>
      <c r="F3258" s="2">
        <f>IFERROR(__xludf.DUMMYFUNCTION("""COMPUTED_VALUE"""),4421038.0)</f>
        <v>4421038</v>
      </c>
    </row>
    <row r="3259">
      <c r="A3259" s="3">
        <f>IFERROR(__xludf.DUMMYFUNCTION("""COMPUTED_VALUE"""),41320.645833333336)</f>
        <v>41320.64583</v>
      </c>
      <c r="B3259" s="2">
        <f>IFERROR(__xludf.DUMMYFUNCTION("""COMPUTED_VALUE"""),335.85)</f>
        <v>335.85</v>
      </c>
      <c r="C3259" s="2">
        <f>IFERROR(__xludf.DUMMYFUNCTION("""COMPUTED_VALUE"""),340.4)</f>
        <v>340.4</v>
      </c>
      <c r="D3259" s="2">
        <f>IFERROR(__xludf.DUMMYFUNCTION("""COMPUTED_VALUE"""),334.1)</f>
        <v>334.1</v>
      </c>
      <c r="E3259" s="2">
        <f>IFERROR(__xludf.DUMMYFUNCTION("""COMPUTED_VALUE"""),338.38)</f>
        <v>338.38</v>
      </c>
      <c r="F3259" s="2">
        <f>IFERROR(__xludf.DUMMYFUNCTION("""COMPUTED_VALUE"""),3122195.0)</f>
        <v>3122195</v>
      </c>
    </row>
    <row r="3260">
      <c r="A3260" s="3">
        <f>IFERROR(__xludf.DUMMYFUNCTION("""COMPUTED_VALUE"""),41323.645833333336)</f>
        <v>41323.64583</v>
      </c>
      <c r="B3260" s="2">
        <f>IFERROR(__xludf.DUMMYFUNCTION("""COMPUTED_VALUE"""),339.0)</f>
        <v>339</v>
      </c>
      <c r="C3260" s="2">
        <f>IFERROR(__xludf.DUMMYFUNCTION("""COMPUTED_VALUE"""),340.45)</f>
        <v>340.45</v>
      </c>
      <c r="D3260" s="2">
        <f>IFERROR(__xludf.DUMMYFUNCTION("""COMPUTED_VALUE"""),337.0)</f>
        <v>337</v>
      </c>
      <c r="E3260" s="2">
        <f>IFERROR(__xludf.DUMMYFUNCTION("""COMPUTED_VALUE"""),338.0)</f>
        <v>338</v>
      </c>
      <c r="F3260" s="2">
        <f>IFERROR(__xludf.DUMMYFUNCTION("""COMPUTED_VALUE"""),2367291.0)</f>
        <v>2367291</v>
      </c>
    </row>
    <row r="3261">
      <c r="A3261" s="3">
        <f>IFERROR(__xludf.DUMMYFUNCTION("""COMPUTED_VALUE"""),41324.645833333336)</f>
        <v>41324.64583</v>
      </c>
      <c r="B3261" s="2">
        <f>IFERROR(__xludf.DUMMYFUNCTION("""COMPUTED_VALUE"""),337.25)</f>
        <v>337.25</v>
      </c>
      <c r="C3261" s="2">
        <f>IFERROR(__xludf.DUMMYFUNCTION("""COMPUTED_VALUE"""),338.7)</f>
        <v>338.7</v>
      </c>
      <c r="D3261" s="2">
        <f>IFERROR(__xludf.DUMMYFUNCTION("""COMPUTED_VALUE"""),335.78)</f>
        <v>335.78</v>
      </c>
      <c r="E3261" s="2">
        <f>IFERROR(__xludf.DUMMYFUNCTION("""COMPUTED_VALUE"""),337.4)</f>
        <v>337.4</v>
      </c>
      <c r="F3261" s="2">
        <f>IFERROR(__xludf.DUMMYFUNCTION("""COMPUTED_VALUE"""),593703.0)</f>
        <v>593703</v>
      </c>
    </row>
    <row r="3262">
      <c r="A3262" s="3">
        <f>IFERROR(__xludf.DUMMYFUNCTION("""COMPUTED_VALUE"""),41325.645833333336)</f>
        <v>41325.64583</v>
      </c>
      <c r="B3262" s="2">
        <f>IFERROR(__xludf.DUMMYFUNCTION("""COMPUTED_VALUE"""),338.75)</f>
        <v>338.75</v>
      </c>
      <c r="C3262" s="2">
        <f>IFERROR(__xludf.DUMMYFUNCTION("""COMPUTED_VALUE"""),340.4)</f>
        <v>340.4</v>
      </c>
      <c r="D3262" s="2">
        <f>IFERROR(__xludf.DUMMYFUNCTION("""COMPUTED_VALUE"""),337.45)</f>
        <v>337.45</v>
      </c>
      <c r="E3262" s="2">
        <f>IFERROR(__xludf.DUMMYFUNCTION("""COMPUTED_VALUE"""),338.48)</f>
        <v>338.48</v>
      </c>
      <c r="F3262" s="2">
        <f>IFERROR(__xludf.DUMMYFUNCTION("""COMPUTED_VALUE"""),1715421.0)</f>
        <v>1715421</v>
      </c>
    </row>
    <row r="3263">
      <c r="A3263" s="3">
        <f>IFERROR(__xludf.DUMMYFUNCTION("""COMPUTED_VALUE"""),41326.645833333336)</f>
        <v>41326.64583</v>
      </c>
      <c r="B3263" s="2">
        <f>IFERROR(__xludf.DUMMYFUNCTION("""COMPUTED_VALUE"""),337.5)</f>
        <v>337.5</v>
      </c>
      <c r="C3263" s="2">
        <f>IFERROR(__xludf.DUMMYFUNCTION("""COMPUTED_VALUE"""),338.73)</f>
        <v>338.73</v>
      </c>
      <c r="D3263" s="2">
        <f>IFERROR(__xludf.DUMMYFUNCTION("""COMPUTED_VALUE"""),332.03)</f>
        <v>332.03</v>
      </c>
      <c r="E3263" s="2">
        <f>IFERROR(__xludf.DUMMYFUNCTION("""COMPUTED_VALUE"""),333.13)</f>
        <v>333.13</v>
      </c>
      <c r="F3263" s="2">
        <f>IFERROR(__xludf.DUMMYFUNCTION("""COMPUTED_VALUE"""),2717968.0)</f>
        <v>2717968</v>
      </c>
    </row>
    <row r="3264">
      <c r="A3264" s="3">
        <f>IFERROR(__xludf.DUMMYFUNCTION("""COMPUTED_VALUE"""),41327.645833333336)</f>
        <v>41327.64583</v>
      </c>
      <c r="B3264" s="2">
        <f>IFERROR(__xludf.DUMMYFUNCTION("""COMPUTED_VALUE"""),331.1)</f>
        <v>331.1</v>
      </c>
      <c r="C3264" s="2">
        <f>IFERROR(__xludf.DUMMYFUNCTION("""COMPUTED_VALUE"""),333.2)</f>
        <v>333.2</v>
      </c>
      <c r="D3264" s="2">
        <f>IFERROR(__xludf.DUMMYFUNCTION("""COMPUTED_VALUE"""),328.78)</f>
        <v>328.78</v>
      </c>
      <c r="E3264" s="2">
        <f>IFERROR(__xludf.DUMMYFUNCTION("""COMPUTED_VALUE"""),329.65)</f>
        <v>329.65</v>
      </c>
      <c r="F3264" s="2">
        <f>IFERROR(__xludf.DUMMYFUNCTION("""COMPUTED_VALUE"""),1927096.0)</f>
        <v>1927096</v>
      </c>
    </row>
    <row r="3265">
      <c r="A3265" s="3">
        <f>IFERROR(__xludf.DUMMYFUNCTION("""COMPUTED_VALUE"""),41330.645833333336)</f>
        <v>41330.64583</v>
      </c>
      <c r="B3265" s="2">
        <f>IFERROR(__xludf.DUMMYFUNCTION("""COMPUTED_VALUE"""),331.63)</f>
        <v>331.63</v>
      </c>
      <c r="C3265" s="2">
        <f>IFERROR(__xludf.DUMMYFUNCTION("""COMPUTED_VALUE"""),332.6)</f>
        <v>332.6</v>
      </c>
      <c r="D3265" s="2">
        <f>IFERROR(__xludf.DUMMYFUNCTION("""COMPUTED_VALUE"""),327.05)</f>
        <v>327.05</v>
      </c>
      <c r="E3265" s="2">
        <f>IFERROR(__xludf.DUMMYFUNCTION("""COMPUTED_VALUE"""),328.23)</f>
        <v>328.23</v>
      </c>
      <c r="F3265" s="2">
        <f>IFERROR(__xludf.DUMMYFUNCTION("""COMPUTED_VALUE"""),1888236.0)</f>
        <v>1888236</v>
      </c>
    </row>
    <row r="3266">
      <c r="A3266" s="3">
        <f>IFERROR(__xludf.DUMMYFUNCTION("""COMPUTED_VALUE"""),41331.645833333336)</f>
        <v>41331.64583</v>
      </c>
      <c r="B3266" s="2">
        <f>IFERROR(__xludf.DUMMYFUNCTION("""COMPUTED_VALUE"""),327.4)</f>
        <v>327.4</v>
      </c>
      <c r="C3266" s="2">
        <f>IFERROR(__xludf.DUMMYFUNCTION("""COMPUTED_VALUE"""),331.5)</f>
        <v>331.5</v>
      </c>
      <c r="D3266" s="2">
        <f>IFERROR(__xludf.DUMMYFUNCTION("""COMPUTED_VALUE"""),322.7)</f>
        <v>322.7</v>
      </c>
      <c r="E3266" s="2">
        <f>IFERROR(__xludf.DUMMYFUNCTION("""COMPUTED_VALUE"""),325.63)</f>
        <v>325.63</v>
      </c>
      <c r="F3266" s="2">
        <f>IFERROR(__xludf.DUMMYFUNCTION("""COMPUTED_VALUE"""),2935660.0)</f>
        <v>2935660</v>
      </c>
    </row>
    <row r="3267">
      <c r="A3267" s="3">
        <f>IFERROR(__xludf.DUMMYFUNCTION("""COMPUTED_VALUE"""),41332.645833333336)</f>
        <v>41332.64583</v>
      </c>
      <c r="B3267" s="2">
        <f>IFERROR(__xludf.DUMMYFUNCTION("""COMPUTED_VALUE"""),326.15)</f>
        <v>326.15</v>
      </c>
      <c r="C3267" s="2">
        <f>IFERROR(__xludf.DUMMYFUNCTION("""COMPUTED_VALUE"""),327.0)</f>
        <v>327</v>
      </c>
      <c r="D3267" s="2">
        <f>IFERROR(__xludf.DUMMYFUNCTION("""COMPUTED_VALUE"""),320.45)</f>
        <v>320.45</v>
      </c>
      <c r="E3267" s="2">
        <f>IFERROR(__xludf.DUMMYFUNCTION("""COMPUTED_VALUE"""),321.38)</f>
        <v>321.38</v>
      </c>
      <c r="F3267" s="2">
        <f>IFERROR(__xludf.DUMMYFUNCTION("""COMPUTED_VALUE"""),3217834.0)</f>
        <v>3217834</v>
      </c>
    </row>
    <row r="3268">
      <c r="A3268" s="3">
        <f>IFERROR(__xludf.DUMMYFUNCTION("""COMPUTED_VALUE"""),41333.645833333336)</f>
        <v>41333.64583</v>
      </c>
      <c r="B3268" s="2">
        <f>IFERROR(__xludf.DUMMYFUNCTION("""COMPUTED_VALUE"""),323.48)</f>
        <v>323.48</v>
      </c>
      <c r="C3268" s="2">
        <f>IFERROR(__xludf.DUMMYFUNCTION("""COMPUTED_VALUE"""),327.48)</f>
        <v>327.48</v>
      </c>
      <c r="D3268" s="2">
        <f>IFERROR(__xludf.DUMMYFUNCTION("""COMPUTED_VALUE"""),309.67)</f>
        <v>309.67</v>
      </c>
      <c r="E3268" s="2">
        <f>IFERROR(__xludf.DUMMYFUNCTION("""COMPUTED_VALUE"""),312.67)</f>
        <v>312.67</v>
      </c>
      <c r="F3268" s="2">
        <f>IFERROR(__xludf.DUMMYFUNCTION("""COMPUTED_VALUE"""),6971751.0)</f>
        <v>6971751</v>
      </c>
    </row>
    <row r="3269">
      <c r="A3269" s="3">
        <f>IFERROR(__xludf.DUMMYFUNCTION("""COMPUTED_VALUE"""),41334.645833333336)</f>
        <v>41334.64583</v>
      </c>
      <c r="B3269" s="2">
        <f>IFERROR(__xludf.DUMMYFUNCTION("""COMPUTED_VALUE"""),312.5)</f>
        <v>312.5</v>
      </c>
      <c r="C3269" s="2">
        <f>IFERROR(__xludf.DUMMYFUNCTION("""COMPUTED_VALUE"""),314.8)</f>
        <v>314.8</v>
      </c>
      <c r="D3269" s="2">
        <f>IFERROR(__xludf.DUMMYFUNCTION("""COMPUTED_VALUE"""),308.15)</f>
        <v>308.15</v>
      </c>
      <c r="E3269" s="2">
        <f>IFERROR(__xludf.DUMMYFUNCTION("""COMPUTED_VALUE"""),311.25)</f>
        <v>311.25</v>
      </c>
      <c r="F3269" s="2">
        <f>IFERROR(__xludf.DUMMYFUNCTION("""COMPUTED_VALUE"""),4305182.0)</f>
        <v>4305182</v>
      </c>
    </row>
    <row r="3270">
      <c r="A3270" s="3">
        <f>IFERROR(__xludf.DUMMYFUNCTION("""COMPUTED_VALUE"""),41337.645833333336)</f>
        <v>41337.64583</v>
      </c>
      <c r="B3270" s="2">
        <f>IFERROR(__xludf.DUMMYFUNCTION("""COMPUTED_VALUE"""),310.17)</f>
        <v>310.17</v>
      </c>
      <c r="C3270" s="2">
        <f>IFERROR(__xludf.DUMMYFUNCTION("""COMPUTED_VALUE"""),315.15)</f>
        <v>315.15</v>
      </c>
      <c r="D3270" s="2">
        <f>IFERROR(__xludf.DUMMYFUNCTION("""COMPUTED_VALUE"""),309.0)</f>
        <v>309</v>
      </c>
      <c r="E3270" s="2">
        <f>IFERROR(__xludf.DUMMYFUNCTION("""COMPUTED_VALUE"""),313.83)</f>
        <v>313.83</v>
      </c>
      <c r="F3270" s="2">
        <f>IFERROR(__xludf.DUMMYFUNCTION("""COMPUTED_VALUE"""),2992450.0)</f>
        <v>2992450</v>
      </c>
    </row>
    <row r="3271">
      <c r="A3271" s="3">
        <f>IFERROR(__xludf.DUMMYFUNCTION("""COMPUTED_VALUE"""),41338.645833333336)</f>
        <v>41338.64583</v>
      </c>
      <c r="B3271" s="2">
        <f>IFERROR(__xludf.DUMMYFUNCTION("""COMPUTED_VALUE"""),315.45)</f>
        <v>315.45</v>
      </c>
      <c r="C3271" s="2">
        <f>IFERROR(__xludf.DUMMYFUNCTION("""COMPUTED_VALUE"""),317.35)</f>
        <v>317.35</v>
      </c>
      <c r="D3271" s="2">
        <f>IFERROR(__xludf.DUMMYFUNCTION("""COMPUTED_VALUE"""),311.58)</f>
        <v>311.58</v>
      </c>
      <c r="E3271" s="2">
        <f>IFERROR(__xludf.DUMMYFUNCTION("""COMPUTED_VALUE"""),316.48)</f>
        <v>316.48</v>
      </c>
      <c r="F3271" s="2">
        <f>IFERROR(__xludf.DUMMYFUNCTION("""COMPUTED_VALUE"""),2639395.0)</f>
        <v>2639395</v>
      </c>
    </row>
    <row r="3272">
      <c r="A3272" s="3">
        <f>IFERROR(__xludf.DUMMYFUNCTION("""COMPUTED_VALUE"""),41339.645833333336)</f>
        <v>41339.64583</v>
      </c>
      <c r="B3272" s="2">
        <f>IFERROR(__xludf.DUMMYFUNCTION("""COMPUTED_VALUE"""),317.48)</f>
        <v>317.48</v>
      </c>
      <c r="C3272" s="2">
        <f>IFERROR(__xludf.DUMMYFUNCTION("""COMPUTED_VALUE"""),318.58)</f>
        <v>318.58</v>
      </c>
      <c r="D3272" s="2">
        <f>IFERROR(__xludf.DUMMYFUNCTION("""COMPUTED_VALUE"""),314.5)</f>
        <v>314.5</v>
      </c>
      <c r="E3272" s="2">
        <f>IFERROR(__xludf.DUMMYFUNCTION("""COMPUTED_VALUE"""),315.25)</f>
        <v>315.25</v>
      </c>
      <c r="F3272" s="2">
        <f>IFERROR(__xludf.DUMMYFUNCTION("""COMPUTED_VALUE"""),2733329.0)</f>
        <v>2733329</v>
      </c>
    </row>
    <row r="3273">
      <c r="A3273" s="3">
        <f>IFERROR(__xludf.DUMMYFUNCTION("""COMPUTED_VALUE"""),41340.645833333336)</f>
        <v>41340.64583</v>
      </c>
      <c r="B3273" s="2">
        <f>IFERROR(__xludf.DUMMYFUNCTION("""COMPUTED_VALUE"""),314.17)</f>
        <v>314.17</v>
      </c>
      <c r="C3273" s="2">
        <f>IFERROR(__xludf.DUMMYFUNCTION("""COMPUTED_VALUE"""),321.48)</f>
        <v>321.48</v>
      </c>
      <c r="D3273" s="2">
        <f>IFERROR(__xludf.DUMMYFUNCTION("""COMPUTED_VALUE"""),313.58)</f>
        <v>313.58</v>
      </c>
      <c r="E3273" s="2">
        <f>IFERROR(__xludf.DUMMYFUNCTION("""COMPUTED_VALUE"""),320.9)</f>
        <v>320.9</v>
      </c>
      <c r="F3273" s="2">
        <f>IFERROR(__xludf.DUMMYFUNCTION("""COMPUTED_VALUE"""),1487746.0)</f>
        <v>1487746</v>
      </c>
    </row>
    <row r="3274">
      <c r="A3274" s="3">
        <f>IFERROR(__xludf.DUMMYFUNCTION("""COMPUTED_VALUE"""),41341.645833333336)</f>
        <v>41341.64583</v>
      </c>
      <c r="B3274" s="2">
        <f>IFERROR(__xludf.DUMMYFUNCTION("""COMPUTED_VALUE"""),322.1)</f>
        <v>322.1</v>
      </c>
      <c r="C3274" s="2">
        <f>IFERROR(__xludf.DUMMYFUNCTION("""COMPUTED_VALUE"""),330.0)</f>
        <v>330</v>
      </c>
      <c r="D3274" s="2">
        <f>IFERROR(__xludf.DUMMYFUNCTION("""COMPUTED_VALUE"""),321.7)</f>
        <v>321.7</v>
      </c>
      <c r="E3274" s="2">
        <f>IFERROR(__xludf.DUMMYFUNCTION("""COMPUTED_VALUE"""),328.65)</f>
        <v>328.65</v>
      </c>
      <c r="F3274" s="2">
        <f>IFERROR(__xludf.DUMMYFUNCTION("""COMPUTED_VALUE"""),2649215.0)</f>
        <v>2649215</v>
      </c>
    </row>
    <row r="3275">
      <c r="A3275" s="3">
        <f>IFERROR(__xludf.DUMMYFUNCTION("""COMPUTED_VALUE"""),41344.645833333336)</f>
        <v>41344.64583</v>
      </c>
      <c r="B3275" s="2">
        <f>IFERROR(__xludf.DUMMYFUNCTION("""COMPUTED_VALUE"""),328.65)</f>
        <v>328.65</v>
      </c>
      <c r="C3275" s="2">
        <f>IFERROR(__xludf.DUMMYFUNCTION("""COMPUTED_VALUE"""),329.85)</f>
        <v>329.85</v>
      </c>
      <c r="D3275" s="2">
        <f>IFERROR(__xludf.DUMMYFUNCTION("""COMPUTED_VALUE"""),325.13)</f>
        <v>325.13</v>
      </c>
      <c r="E3275" s="2">
        <f>IFERROR(__xludf.DUMMYFUNCTION("""COMPUTED_VALUE"""),327.63)</f>
        <v>327.63</v>
      </c>
      <c r="F3275" s="2">
        <f>IFERROR(__xludf.DUMMYFUNCTION("""COMPUTED_VALUE"""),2126146.0)</f>
        <v>2126146</v>
      </c>
    </row>
    <row r="3276">
      <c r="A3276" s="3">
        <f>IFERROR(__xludf.DUMMYFUNCTION("""COMPUTED_VALUE"""),41345.645833333336)</f>
        <v>41345.64583</v>
      </c>
      <c r="B3276" s="2">
        <f>IFERROR(__xludf.DUMMYFUNCTION("""COMPUTED_VALUE"""),326.5)</f>
        <v>326.5</v>
      </c>
      <c r="C3276" s="2">
        <f>IFERROR(__xludf.DUMMYFUNCTION("""COMPUTED_VALUE"""),327.85)</f>
        <v>327.85</v>
      </c>
      <c r="D3276" s="2">
        <f>IFERROR(__xludf.DUMMYFUNCTION("""COMPUTED_VALUE"""),320.05)</f>
        <v>320.05</v>
      </c>
      <c r="E3276" s="2">
        <f>IFERROR(__xludf.DUMMYFUNCTION("""COMPUTED_VALUE"""),322.0)</f>
        <v>322</v>
      </c>
      <c r="F3276" s="2">
        <f>IFERROR(__xludf.DUMMYFUNCTION("""COMPUTED_VALUE"""),1723931.0)</f>
        <v>1723931</v>
      </c>
    </row>
    <row r="3277">
      <c r="A3277" s="3">
        <f>IFERROR(__xludf.DUMMYFUNCTION("""COMPUTED_VALUE"""),41346.645833333336)</f>
        <v>41346.64583</v>
      </c>
      <c r="B3277" s="2">
        <f>IFERROR(__xludf.DUMMYFUNCTION("""COMPUTED_VALUE"""),320.52)</f>
        <v>320.52</v>
      </c>
      <c r="C3277" s="2">
        <f>IFERROR(__xludf.DUMMYFUNCTION("""COMPUTED_VALUE"""),322.95)</f>
        <v>322.95</v>
      </c>
      <c r="D3277" s="2">
        <f>IFERROR(__xludf.DUMMYFUNCTION("""COMPUTED_VALUE"""),316.1)</f>
        <v>316.1</v>
      </c>
      <c r="E3277" s="2">
        <f>IFERROR(__xludf.DUMMYFUNCTION("""COMPUTED_VALUE"""),317.45)</f>
        <v>317.45</v>
      </c>
      <c r="F3277" s="2">
        <f>IFERROR(__xludf.DUMMYFUNCTION("""COMPUTED_VALUE"""),1978343.0)</f>
        <v>1978343</v>
      </c>
    </row>
    <row r="3278">
      <c r="A3278" s="3">
        <f>IFERROR(__xludf.DUMMYFUNCTION("""COMPUTED_VALUE"""),41347.645833333336)</f>
        <v>41347.64583</v>
      </c>
      <c r="B3278" s="2">
        <f>IFERROR(__xludf.DUMMYFUNCTION("""COMPUTED_VALUE"""),317.45)</f>
        <v>317.45</v>
      </c>
      <c r="C3278" s="2">
        <f>IFERROR(__xludf.DUMMYFUNCTION("""COMPUTED_VALUE"""),326.75)</f>
        <v>326.75</v>
      </c>
      <c r="D3278" s="2">
        <f>IFERROR(__xludf.DUMMYFUNCTION("""COMPUTED_VALUE"""),307.67)</f>
        <v>307.67</v>
      </c>
      <c r="E3278" s="2">
        <f>IFERROR(__xludf.DUMMYFUNCTION("""COMPUTED_VALUE"""),324.63)</f>
        <v>324.63</v>
      </c>
      <c r="F3278" s="2">
        <f>IFERROR(__xludf.DUMMYFUNCTION("""COMPUTED_VALUE"""),7978609.0)</f>
        <v>7978609</v>
      </c>
    </row>
    <row r="3279">
      <c r="A3279" s="3">
        <f>IFERROR(__xludf.DUMMYFUNCTION("""COMPUTED_VALUE"""),41348.645833333336)</f>
        <v>41348.64583</v>
      </c>
      <c r="B3279" s="2">
        <f>IFERROR(__xludf.DUMMYFUNCTION("""COMPUTED_VALUE"""),322.5)</f>
        <v>322.5</v>
      </c>
      <c r="C3279" s="2">
        <f>IFERROR(__xludf.DUMMYFUNCTION("""COMPUTED_VALUE"""),324.95)</f>
        <v>324.95</v>
      </c>
      <c r="D3279" s="2">
        <f>IFERROR(__xludf.DUMMYFUNCTION("""COMPUTED_VALUE"""),316.9)</f>
        <v>316.9</v>
      </c>
      <c r="E3279" s="2">
        <f>IFERROR(__xludf.DUMMYFUNCTION("""COMPUTED_VALUE"""),319.7)</f>
        <v>319.7</v>
      </c>
      <c r="F3279" s="2">
        <f>IFERROR(__xludf.DUMMYFUNCTION("""COMPUTED_VALUE"""),3859902.0)</f>
        <v>3859902</v>
      </c>
    </row>
    <row r="3280">
      <c r="A3280" s="3">
        <f>IFERROR(__xludf.DUMMYFUNCTION("""COMPUTED_VALUE"""),41351.645833333336)</f>
        <v>41351.64583</v>
      </c>
      <c r="B3280" s="2">
        <f>IFERROR(__xludf.DUMMYFUNCTION("""COMPUTED_VALUE"""),316.5)</f>
        <v>316.5</v>
      </c>
      <c r="C3280" s="2">
        <f>IFERROR(__xludf.DUMMYFUNCTION("""COMPUTED_VALUE"""),327.0)</f>
        <v>327</v>
      </c>
      <c r="D3280" s="2">
        <f>IFERROR(__xludf.DUMMYFUNCTION("""COMPUTED_VALUE"""),315.0)</f>
        <v>315</v>
      </c>
      <c r="E3280" s="2">
        <f>IFERROR(__xludf.DUMMYFUNCTION("""COMPUTED_VALUE"""),321.65)</f>
        <v>321.65</v>
      </c>
      <c r="F3280" s="2">
        <f>IFERROR(__xludf.DUMMYFUNCTION("""COMPUTED_VALUE"""),4390481.0)</f>
        <v>4390481</v>
      </c>
    </row>
    <row r="3281">
      <c r="A3281" s="3">
        <f>IFERROR(__xludf.DUMMYFUNCTION("""COMPUTED_VALUE"""),41352.645833333336)</f>
        <v>41352.64583</v>
      </c>
      <c r="B3281" s="2">
        <f>IFERROR(__xludf.DUMMYFUNCTION("""COMPUTED_VALUE"""),321.5)</f>
        <v>321.5</v>
      </c>
      <c r="C3281" s="2">
        <f>IFERROR(__xludf.DUMMYFUNCTION("""COMPUTED_VALUE"""),321.9)</f>
        <v>321.9</v>
      </c>
      <c r="D3281" s="2">
        <f>IFERROR(__xludf.DUMMYFUNCTION("""COMPUTED_VALUE"""),312.0)</f>
        <v>312</v>
      </c>
      <c r="E3281" s="2">
        <f>IFERROR(__xludf.DUMMYFUNCTION("""COMPUTED_VALUE"""),315.77)</f>
        <v>315.77</v>
      </c>
      <c r="F3281" s="2">
        <f>IFERROR(__xludf.DUMMYFUNCTION("""COMPUTED_VALUE"""),5007115.0)</f>
        <v>5007115</v>
      </c>
    </row>
    <row r="3282">
      <c r="A3282" s="3">
        <f>IFERROR(__xludf.DUMMYFUNCTION("""COMPUTED_VALUE"""),41353.645833333336)</f>
        <v>41353.64583</v>
      </c>
      <c r="B3282" s="2">
        <f>IFERROR(__xludf.DUMMYFUNCTION("""COMPUTED_VALUE"""),316.0)</f>
        <v>316</v>
      </c>
      <c r="C3282" s="2">
        <f>IFERROR(__xludf.DUMMYFUNCTION("""COMPUTED_VALUE"""),316.73)</f>
        <v>316.73</v>
      </c>
      <c r="D3282" s="2">
        <f>IFERROR(__xludf.DUMMYFUNCTION("""COMPUTED_VALUE"""),310.5)</f>
        <v>310.5</v>
      </c>
      <c r="E3282" s="2">
        <f>IFERROR(__xludf.DUMMYFUNCTION("""COMPUTED_VALUE"""),312.75)</f>
        <v>312.75</v>
      </c>
      <c r="F3282" s="2">
        <f>IFERROR(__xludf.DUMMYFUNCTION("""COMPUTED_VALUE"""),2834109.0)</f>
        <v>2834109</v>
      </c>
    </row>
    <row r="3283">
      <c r="A3283" s="3">
        <f>IFERROR(__xludf.DUMMYFUNCTION("""COMPUTED_VALUE"""),41354.645833333336)</f>
        <v>41354.64583</v>
      </c>
      <c r="B3283" s="2">
        <f>IFERROR(__xludf.DUMMYFUNCTION("""COMPUTED_VALUE"""),311.33)</f>
        <v>311.33</v>
      </c>
      <c r="C3283" s="2">
        <f>IFERROR(__xludf.DUMMYFUNCTION("""COMPUTED_VALUE"""),314.4)</f>
        <v>314.4</v>
      </c>
      <c r="D3283" s="2">
        <f>IFERROR(__xludf.DUMMYFUNCTION("""COMPUTED_VALUE"""),301.88)</f>
        <v>301.88</v>
      </c>
      <c r="E3283" s="2">
        <f>IFERROR(__xludf.DUMMYFUNCTION("""COMPUTED_VALUE"""),303.5)</f>
        <v>303.5</v>
      </c>
      <c r="F3283" s="2">
        <f>IFERROR(__xludf.DUMMYFUNCTION("""COMPUTED_VALUE"""),3613147.0)</f>
        <v>3613147</v>
      </c>
    </row>
    <row r="3284">
      <c r="A3284" s="3">
        <f>IFERROR(__xludf.DUMMYFUNCTION("""COMPUTED_VALUE"""),41355.645833333336)</f>
        <v>41355.64583</v>
      </c>
      <c r="B3284" s="2">
        <f>IFERROR(__xludf.DUMMYFUNCTION("""COMPUTED_VALUE"""),304.5)</f>
        <v>304.5</v>
      </c>
      <c r="C3284" s="2">
        <f>IFERROR(__xludf.DUMMYFUNCTION("""COMPUTED_VALUE"""),307.3)</f>
        <v>307.3</v>
      </c>
      <c r="D3284" s="2">
        <f>IFERROR(__xludf.DUMMYFUNCTION("""COMPUTED_VALUE"""),301.3)</f>
        <v>301.3</v>
      </c>
      <c r="E3284" s="2">
        <f>IFERROR(__xludf.DUMMYFUNCTION("""COMPUTED_VALUE"""),302.63)</f>
        <v>302.63</v>
      </c>
      <c r="F3284" s="2">
        <f>IFERROR(__xludf.DUMMYFUNCTION("""COMPUTED_VALUE"""),7381475.0)</f>
        <v>7381475</v>
      </c>
    </row>
    <row r="3285">
      <c r="A3285" s="3">
        <f>IFERROR(__xludf.DUMMYFUNCTION("""COMPUTED_VALUE"""),41358.645833333336)</f>
        <v>41358.64583</v>
      </c>
      <c r="B3285" s="2">
        <f>IFERROR(__xludf.DUMMYFUNCTION("""COMPUTED_VALUE"""),305.5)</f>
        <v>305.5</v>
      </c>
      <c r="C3285" s="2">
        <f>IFERROR(__xludf.DUMMYFUNCTION("""COMPUTED_VALUE"""),306.67)</f>
        <v>306.67</v>
      </c>
      <c r="D3285" s="2">
        <f>IFERROR(__xludf.DUMMYFUNCTION("""COMPUTED_VALUE"""),303.77)</f>
        <v>303.77</v>
      </c>
      <c r="E3285" s="2">
        <f>IFERROR(__xludf.DUMMYFUNCTION("""COMPUTED_VALUE"""),304.7)</f>
        <v>304.7</v>
      </c>
      <c r="F3285" s="2">
        <f>IFERROR(__xludf.DUMMYFUNCTION("""COMPUTED_VALUE"""),6799744.0)</f>
        <v>6799744</v>
      </c>
    </row>
    <row r="3286">
      <c r="A3286" s="3">
        <f>IFERROR(__xludf.DUMMYFUNCTION("""COMPUTED_VALUE"""),41359.645833333336)</f>
        <v>41359.64583</v>
      </c>
      <c r="B3286" s="2">
        <f>IFERROR(__xludf.DUMMYFUNCTION("""COMPUTED_VALUE"""),303.0)</f>
        <v>303</v>
      </c>
      <c r="C3286" s="2">
        <f>IFERROR(__xludf.DUMMYFUNCTION("""COMPUTED_VALUE"""),308.75)</f>
        <v>308.75</v>
      </c>
      <c r="D3286" s="2">
        <f>IFERROR(__xludf.DUMMYFUNCTION("""COMPUTED_VALUE"""),301.27)</f>
        <v>301.27</v>
      </c>
      <c r="E3286" s="2">
        <f>IFERROR(__xludf.DUMMYFUNCTION("""COMPUTED_VALUE"""),307.25)</f>
        <v>307.25</v>
      </c>
      <c r="F3286" s="2">
        <f>IFERROR(__xludf.DUMMYFUNCTION("""COMPUTED_VALUE"""),3318601.0)</f>
        <v>3318601</v>
      </c>
    </row>
    <row r="3287">
      <c r="A3287" s="3">
        <f>IFERROR(__xludf.DUMMYFUNCTION("""COMPUTED_VALUE"""),41361.645833333336)</f>
        <v>41361.64583</v>
      </c>
      <c r="B3287" s="2">
        <f>IFERROR(__xludf.DUMMYFUNCTION("""COMPUTED_VALUE"""),308.25)</f>
        <v>308.25</v>
      </c>
      <c r="C3287" s="2">
        <f>IFERROR(__xludf.DUMMYFUNCTION("""COMPUTED_VALUE"""),315.58)</f>
        <v>315.58</v>
      </c>
      <c r="D3287" s="2">
        <f>IFERROR(__xludf.DUMMYFUNCTION("""COMPUTED_VALUE"""),303.48)</f>
        <v>303.48</v>
      </c>
      <c r="E3287" s="2">
        <f>IFERROR(__xludf.DUMMYFUNCTION("""COMPUTED_VALUE"""),312.67)</f>
        <v>312.67</v>
      </c>
      <c r="F3287" s="2">
        <f>IFERROR(__xludf.DUMMYFUNCTION("""COMPUTED_VALUE"""),4874023.0)</f>
        <v>4874023</v>
      </c>
    </row>
    <row r="3288">
      <c r="A3288" s="3">
        <f>IFERROR(__xludf.DUMMYFUNCTION("""COMPUTED_VALUE"""),41365.645833333336)</f>
        <v>41365.64583</v>
      </c>
      <c r="B3288" s="2">
        <f>IFERROR(__xludf.DUMMYFUNCTION("""COMPUTED_VALUE"""),312.33)</f>
        <v>312.33</v>
      </c>
      <c r="C3288" s="2">
        <f>IFERROR(__xludf.DUMMYFUNCTION("""COMPUTED_VALUE"""),314.5)</f>
        <v>314.5</v>
      </c>
      <c r="D3288" s="2">
        <f>IFERROR(__xludf.DUMMYFUNCTION("""COMPUTED_VALUE"""),310.5)</f>
        <v>310.5</v>
      </c>
      <c r="E3288" s="2">
        <f>IFERROR(__xludf.DUMMYFUNCTION("""COMPUTED_VALUE"""),311.92)</f>
        <v>311.92</v>
      </c>
      <c r="F3288" s="2">
        <f>IFERROR(__xludf.DUMMYFUNCTION("""COMPUTED_VALUE"""),1677193.0)</f>
        <v>1677193</v>
      </c>
    </row>
    <row r="3289">
      <c r="A3289" s="3">
        <f>IFERROR(__xludf.DUMMYFUNCTION("""COMPUTED_VALUE"""),41366.645833333336)</f>
        <v>41366.64583</v>
      </c>
      <c r="B3289" s="2">
        <f>IFERROR(__xludf.DUMMYFUNCTION("""COMPUTED_VALUE"""),312.5)</f>
        <v>312.5</v>
      </c>
      <c r="C3289" s="2">
        <f>IFERROR(__xludf.DUMMYFUNCTION("""COMPUTED_VALUE"""),317.15)</f>
        <v>317.15</v>
      </c>
      <c r="D3289" s="2">
        <f>IFERROR(__xludf.DUMMYFUNCTION("""COMPUTED_VALUE"""),308.95)</f>
        <v>308.95</v>
      </c>
      <c r="E3289" s="2">
        <f>IFERROR(__xludf.DUMMYFUNCTION("""COMPUTED_VALUE"""),314.95)</f>
        <v>314.95</v>
      </c>
      <c r="F3289" s="2">
        <f>IFERROR(__xludf.DUMMYFUNCTION("""COMPUTED_VALUE"""),1714355.0)</f>
        <v>1714355</v>
      </c>
    </row>
    <row r="3290">
      <c r="A3290" s="3">
        <f>IFERROR(__xludf.DUMMYFUNCTION("""COMPUTED_VALUE"""),41367.645833333336)</f>
        <v>41367.64583</v>
      </c>
      <c r="B3290" s="2">
        <f>IFERROR(__xludf.DUMMYFUNCTION("""COMPUTED_VALUE"""),314.0)</f>
        <v>314</v>
      </c>
      <c r="C3290" s="2">
        <f>IFERROR(__xludf.DUMMYFUNCTION("""COMPUTED_VALUE"""),315.83)</f>
        <v>315.83</v>
      </c>
      <c r="D3290" s="2">
        <f>IFERROR(__xludf.DUMMYFUNCTION("""COMPUTED_VALUE"""),309.75)</f>
        <v>309.75</v>
      </c>
      <c r="E3290" s="2">
        <f>IFERROR(__xludf.DUMMYFUNCTION("""COMPUTED_VALUE"""),311.83)</f>
        <v>311.83</v>
      </c>
      <c r="F3290" s="2">
        <f>IFERROR(__xludf.DUMMYFUNCTION("""COMPUTED_VALUE"""),1675904.0)</f>
        <v>1675904</v>
      </c>
    </row>
    <row r="3291">
      <c r="A3291" s="3">
        <f>IFERROR(__xludf.DUMMYFUNCTION("""COMPUTED_VALUE"""),41368.645833333336)</f>
        <v>41368.64583</v>
      </c>
      <c r="B3291" s="2">
        <f>IFERROR(__xludf.DUMMYFUNCTION("""COMPUTED_VALUE"""),309.4)</f>
        <v>309.4</v>
      </c>
      <c r="C3291" s="2">
        <f>IFERROR(__xludf.DUMMYFUNCTION("""COMPUTED_VALUE"""),311.7)</f>
        <v>311.7</v>
      </c>
      <c r="D3291" s="2">
        <f>IFERROR(__xludf.DUMMYFUNCTION("""COMPUTED_VALUE"""),306.73)</f>
        <v>306.73</v>
      </c>
      <c r="E3291" s="2">
        <f>IFERROR(__xludf.DUMMYFUNCTION("""COMPUTED_VALUE"""),308.08)</f>
        <v>308.08</v>
      </c>
      <c r="F3291" s="2">
        <f>IFERROR(__xludf.DUMMYFUNCTION("""COMPUTED_VALUE"""),2045496.0)</f>
        <v>2045496</v>
      </c>
    </row>
    <row r="3292">
      <c r="A3292" s="3">
        <f>IFERROR(__xludf.DUMMYFUNCTION("""COMPUTED_VALUE"""),41369.645833333336)</f>
        <v>41369.64583</v>
      </c>
      <c r="B3292" s="2">
        <f>IFERROR(__xludf.DUMMYFUNCTION("""COMPUTED_VALUE"""),307.48)</f>
        <v>307.48</v>
      </c>
      <c r="C3292" s="2">
        <f>IFERROR(__xludf.DUMMYFUNCTION("""COMPUTED_VALUE"""),313.2)</f>
        <v>313.2</v>
      </c>
      <c r="D3292" s="2">
        <f>IFERROR(__xludf.DUMMYFUNCTION("""COMPUTED_VALUE"""),306.7)</f>
        <v>306.7</v>
      </c>
      <c r="E3292" s="2">
        <f>IFERROR(__xludf.DUMMYFUNCTION("""COMPUTED_VALUE"""),310.48)</f>
        <v>310.48</v>
      </c>
      <c r="F3292" s="2">
        <f>IFERROR(__xludf.DUMMYFUNCTION("""COMPUTED_VALUE"""),3239980.0)</f>
        <v>3239980</v>
      </c>
    </row>
    <row r="3293">
      <c r="A3293" s="3">
        <f>IFERROR(__xludf.DUMMYFUNCTION("""COMPUTED_VALUE"""),41372.645833333336)</f>
        <v>41372.64583</v>
      </c>
      <c r="B3293" s="2">
        <f>IFERROR(__xludf.DUMMYFUNCTION("""COMPUTED_VALUE"""),309.48)</f>
        <v>309.48</v>
      </c>
      <c r="C3293" s="2">
        <f>IFERROR(__xludf.DUMMYFUNCTION("""COMPUTED_VALUE"""),314.48)</f>
        <v>314.48</v>
      </c>
      <c r="D3293" s="2">
        <f>IFERROR(__xludf.DUMMYFUNCTION("""COMPUTED_VALUE"""),308.88)</f>
        <v>308.88</v>
      </c>
      <c r="E3293" s="2">
        <f>IFERROR(__xludf.DUMMYFUNCTION("""COMPUTED_VALUE"""),312.23)</f>
        <v>312.23</v>
      </c>
      <c r="F3293" s="2">
        <f>IFERROR(__xludf.DUMMYFUNCTION("""COMPUTED_VALUE"""),2163032.0)</f>
        <v>2163032</v>
      </c>
    </row>
    <row r="3294">
      <c r="A3294" s="3">
        <f>IFERROR(__xludf.DUMMYFUNCTION("""COMPUTED_VALUE"""),41373.645833333336)</f>
        <v>41373.64583</v>
      </c>
      <c r="B3294" s="2">
        <f>IFERROR(__xludf.DUMMYFUNCTION("""COMPUTED_VALUE"""),314.05)</f>
        <v>314.05</v>
      </c>
      <c r="C3294" s="2">
        <f>IFERROR(__xludf.DUMMYFUNCTION("""COMPUTED_VALUE"""),314.05)</f>
        <v>314.05</v>
      </c>
      <c r="D3294" s="2">
        <f>IFERROR(__xludf.DUMMYFUNCTION("""COMPUTED_VALUE"""),308.7)</f>
        <v>308.7</v>
      </c>
      <c r="E3294" s="2">
        <f>IFERROR(__xludf.DUMMYFUNCTION("""COMPUTED_VALUE"""),310.3)</f>
        <v>310.3</v>
      </c>
      <c r="F3294" s="2">
        <f>IFERROR(__xludf.DUMMYFUNCTION("""COMPUTED_VALUE"""),3690102.0)</f>
        <v>3690102</v>
      </c>
    </row>
    <row r="3295">
      <c r="A3295" s="3">
        <f>IFERROR(__xludf.DUMMYFUNCTION("""COMPUTED_VALUE"""),41374.645833333336)</f>
        <v>41374.64583</v>
      </c>
      <c r="B3295" s="2">
        <f>IFERROR(__xludf.DUMMYFUNCTION("""COMPUTED_VALUE"""),313.4)</f>
        <v>313.4</v>
      </c>
      <c r="C3295" s="2">
        <f>IFERROR(__xludf.DUMMYFUNCTION("""COMPUTED_VALUE"""),316.83)</f>
        <v>316.83</v>
      </c>
      <c r="D3295" s="2">
        <f>IFERROR(__xludf.DUMMYFUNCTION("""COMPUTED_VALUE"""),309.48)</f>
        <v>309.48</v>
      </c>
      <c r="E3295" s="2">
        <f>IFERROR(__xludf.DUMMYFUNCTION("""COMPUTED_VALUE"""),316.0)</f>
        <v>316</v>
      </c>
      <c r="F3295" s="2">
        <f>IFERROR(__xludf.DUMMYFUNCTION("""COMPUTED_VALUE"""),3786126.0)</f>
        <v>3786126</v>
      </c>
    </row>
    <row r="3296">
      <c r="A3296" s="3">
        <f>IFERROR(__xludf.DUMMYFUNCTION("""COMPUTED_VALUE"""),41375.645833333336)</f>
        <v>41375.64583</v>
      </c>
      <c r="B3296" s="2">
        <f>IFERROR(__xludf.DUMMYFUNCTION("""COMPUTED_VALUE"""),316.25)</f>
        <v>316.25</v>
      </c>
      <c r="C3296" s="2">
        <f>IFERROR(__xludf.DUMMYFUNCTION("""COMPUTED_VALUE"""),321.0)</f>
        <v>321</v>
      </c>
      <c r="D3296" s="2">
        <f>IFERROR(__xludf.DUMMYFUNCTION("""COMPUTED_VALUE"""),315.95)</f>
        <v>315.95</v>
      </c>
      <c r="E3296" s="2">
        <f>IFERROR(__xludf.DUMMYFUNCTION("""COMPUTED_VALUE"""),319.63)</f>
        <v>319.63</v>
      </c>
      <c r="F3296" s="2">
        <f>IFERROR(__xludf.DUMMYFUNCTION("""COMPUTED_VALUE"""),6266517.0)</f>
        <v>6266517</v>
      </c>
    </row>
    <row r="3297">
      <c r="A3297" s="3">
        <f>IFERROR(__xludf.DUMMYFUNCTION("""COMPUTED_VALUE"""),41376.645833333336)</f>
        <v>41376.64583</v>
      </c>
      <c r="B3297" s="2">
        <f>IFERROR(__xludf.DUMMYFUNCTION("""COMPUTED_VALUE"""),318.05)</f>
        <v>318.05</v>
      </c>
      <c r="C3297" s="2">
        <f>IFERROR(__xludf.DUMMYFUNCTION("""COMPUTED_VALUE"""),322.92)</f>
        <v>322.92</v>
      </c>
      <c r="D3297" s="2">
        <f>IFERROR(__xludf.DUMMYFUNCTION("""COMPUTED_VALUE"""),318.05)</f>
        <v>318.05</v>
      </c>
      <c r="E3297" s="2">
        <f>IFERROR(__xludf.DUMMYFUNCTION("""COMPUTED_VALUE"""),321.85)</f>
        <v>321.85</v>
      </c>
      <c r="F3297" s="2">
        <f>IFERROR(__xludf.DUMMYFUNCTION("""COMPUTED_VALUE"""),3801520.0)</f>
        <v>3801520</v>
      </c>
    </row>
    <row r="3298">
      <c r="A3298" s="3">
        <f>IFERROR(__xludf.DUMMYFUNCTION("""COMPUTED_VALUE"""),41379.645833333336)</f>
        <v>41379.64583</v>
      </c>
      <c r="B3298" s="2">
        <f>IFERROR(__xludf.DUMMYFUNCTION("""COMPUTED_VALUE"""),321.05)</f>
        <v>321.05</v>
      </c>
      <c r="C3298" s="2">
        <f>IFERROR(__xludf.DUMMYFUNCTION("""COMPUTED_VALUE"""),321.73)</f>
        <v>321.73</v>
      </c>
      <c r="D3298" s="2">
        <f>IFERROR(__xludf.DUMMYFUNCTION("""COMPUTED_VALUE"""),317.5)</f>
        <v>317.5</v>
      </c>
      <c r="E3298" s="2">
        <f>IFERROR(__xludf.DUMMYFUNCTION("""COMPUTED_VALUE"""),320.77)</f>
        <v>320.77</v>
      </c>
      <c r="F3298" s="2">
        <f>IFERROR(__xludf.DUMMYFUNCTION("""COMPUTED_VALUE"""),3980942.0)</f>
        <v>3980942</v>
      </c>
    </row>
    <row r="3299">
      <c r="A3299" s="3">
        <f>IFERROR(__xludf.DUMMYFUNCTION("""COMPUTED_VALUE"""),41380.645833333336)</f>
        <v>41380.64583</v>
      </c>
      <c r="B3299" s="2">
        <f>IFERROR(__xludf.DUMMYFUNCTION("""COMPUTED_VALUE"""),321.5)</f>
        <v>321.5</v>
      </c>
      <c r="C3299" s="2">
        <f>IFERROR(__xludf.DUMMYFUNCTION("""COMPUTED_VALUE"""),332.92)</f>
        <v>332.92</v>
      </c>
      <c r="D3299" s="2">
        <f>IFERROR(__xludf.DUMMYFUNCTION("""COMPUTED_VALUE"""),321.17)</f>
        <v>321.17</v>
      </c>
      <c r="E3299" s="2">
        <f>IFERROR(__xludf.DUMMYFUNCTION("""COMPUTED_VALUE"""),331.67)</f>
        <v>331.67</v>
      </c>
      <c r="F3299" s="2">
        <f>IFERROR(__xludf.DUMMYFUNCTION("""COMPUTED_VALUE"""),3435078.0)</f>
        <v>3435078</v>
      </c>
    </row>
    <row r="3300">
      <c r="A3300" s="3">
        <f>IFERROR(__xludf.DUMMYFUNCTION("""COMPUTED_VALUE"""),41381.645833333336)</f>
        <v>41381.64583</v>
      </c>
      <c r="B3300" s="2">
        <f>IFERROR(__xludf.DUMMYFUNCTION("""COMPUTED_VALUE"""),332.5)</f>
        <v>332.5</v>
      </c>
      <c r="C3300" s="2">
        <f>IFERROR(__xludf.DUMMYFUNCTION("""COMPUTED_VALUE"""),335.92)</f>
        <v>335.92</v>
      </c>
      <c r="D3300" s="2">
        <f>IFERROR(__xludf.DUMMYFUNCTION("""COMPUTED_VALUE"""),328.4)</f>
        <v>328.4</v>
      </c>
      <c r="E3300" s="2">
        <f>IFERROR(__xludf.DUMMYFUNCTION("""COMPUTED_VALUE"""),330.05)</f>
        <v>330.05</v>
      </c>
      <c r="F3300" s="2">
        <f>IFERROR(__xludf.DUMMYFUNCTION("""COMPUTED_VALUE"""),3739237.0)</f>
        <v>3739237</v>
      </c>
    </row>
    <row r="3301">
      <c r="A3301" s="3">
        <f>IFERROR(__xludf.DUMMYFUNCTION("""COMPUTED_VALUE"""),41382.645833333336)</f>
        <v>41382.64583</v>
      </c>
      <c r="B3301" s="2">
        <f>IFERROR(__xludf.DUMMYFUNCTION("""COMPUTED_VALUE"""),327.0)</f>
        <v>327</v>
      </c>
      <c r="C3301" s="2">
        <f>IFERROR(__xludf.DUMMYFUNCTION("""COMPUTED_VALUE"""),337.7)</f>
        <v>337.7</v>
      </c>
      <c r="D3301" s="2">
        <f>IFERROR(__xludf.DUMMYFUNCTION("""COMPUTED_VALUE"""),327.0)</f>
        <v>327</v>
      </c>
      <c r="E3301" s="2">
        <f>IFERROR(__xludf.DUMMYFUNCTION("""COMPUTED_VALUE"""),336.8)</f>
        <v>336.8</v>
      </c>
      <c r="F3301" s="2">
        <f>IFERROR(__xludf.DUMMYFUNCTION("""COMPUTED_VALUE"""),2305946.0)</f>
        <v>2305946</v>
      </c>
    </row>
    <row r="3302">
      <c r="A3302" s="3">
        <f>IFERROR(__xludf.DUMMYFUNCTION("""COMPUTED_VALUE"""),41386.645833333336)</f>
        <v>41386.64583</v>
      </c>
      <c r="B3302" s="2">
        <f>IFERROR(__xludf.DUMMYFUNCTION("""COMPUTED_VALUE"""),337.35)</f>
        <v>337.35</v>
      </c>
      <c r="C3302" s="2">
        <f>IFERROR(__xludf.DUMMYFUNCTION("""COMPUTED_VALUE"""),351.0)</f>
        <v>351</v>
      </c>
      <c r="D3302" s="2">
        <f>IFERROR(__xludf.DUMMYFUNCTION("""COMPUTED_VALUE"""),337.35)</f>
        <v>337.35</v>
      </c>
      <c r="E3302" s="2">
        <f>IFERROR(__xludf.DUMMYFUNCTION("""COMPUTED_VALUE"""),349.15)</f>
        <v>349.15</v>
      </c>
      <c r="F3302" s="2">
        <f>IFERROR(__xludf.DUMMYFUNCTION("""COMPUTED_VALUE"""),4965038.0)</f>
        <v>4965038</v>
      </c>
    </row>
    <row r="3303">
      <c r="A3303" s="3">
        <f>IFERROR(__xludf.DUMMYFUNCTION("""COMPUTED_VALUE"""),41387.645833333336)</f>
        <v>41387.64583</v>
      </c>
      <c r="B3303" s="2">
        <f>IFERROR(__xludf.DUMMYFUNCTION("""COMPUTED_VALUE"""),349.4)</f>
        <v>349.4</v>
      </c>
      <c r="C3303" s="2">
        <f>IFERROR(__xludf.DUMMYFUNCTION("""COMPUTED_VALUE"""),350.0)</f>
        <v>350</v>
      </c>
      <c r="D3303" s="2">
        <f>IFERROR(__xludf.DUMMYFUNCTION("""COMPUTED_VALUE"""),339.4)</f>
        <v>339.4</v>
      </c>
      <c r="E3303" s="2">
        <f>IFERROR(__xludf.DUMMYFUNCTION("""COMPUTED_VALUE"""),344.5)</f>
        <v>344.5</v>
      </c>
      <c r="F3303" s="2">
        <f>IFERROR(__xludf.DUMMYFUNCTION("""COMPUTED_VALUE"""),5965890.0)</f>
        <v>5965890</v>
      </c>
    </row>
    <row r="3304">
      <c r="A3304" s="3">
        <f>IFERROR(__xludf.DUMMYFUNCTION("""COMPUTED_VALUE"""),41389.645833333336)</f>
        <v>41389.64583</v>
      </c>
      <c r="B3304" s="2">
        <f>IFERROR(__xludf.DUMMYFUNCTION("""COMPUTED_VALUE"""),346.17)</f>
        <v>346.17</v>
      </c>
      <c r="C3304" s="2">
        <f>IFERROR(__xludf.DUMMYFUNCTION("""COMPUTED_VALUE"""),347.5)</f>
        <v>347.5</v>
      </c>
      <c r="D3304" s="2">
        <f>IFERROR(__xludf.DUMMYFUNCTION("""COMPUTED_VALUE"""),340.03)</f>
        <v>340.03</v>
      </c>
      <c r="E3304" s="2">
        <f>IFERROR(__xludf.DUMMYFUNCTION("""COMPUTED_VALUE"""),344.78)</f>
        <v>344.78</v>
      </c>
      <c r="F3304" s="2">
        <f>IFERROR(__xludf.DUMMYFUNCTION("""COMPUTED_VALUE"""),6473781.0)</f>
        <v>6473781</v>
      </c>
    </row>
    <row r="3305">
      <c r="A3305" s="3">
        <f>IFERROR(__xludf.DUMMYFUNCTION("""COMPUTED_VALUE"""),41390.645833333336)</f>
        <v>41390.64583</v>
      </c>
      <c r="B3305" s="2">
        <f>IFERROR(__xludf.DUMMYFUNCTION("""COMPUTED_VALUE"""),343.83)</f>
        <v>343.83</v>
      </c>
      <c r="C3305" s="2">
        <f>IFERROR(__xludf.DUMMYFUNCTION("""COMPUTED_VALUE"""),346.13)</f>
        <v>346.13</v>
      </c>
      <c r="D3305" s="2">
        <f>IFERROR(__xludf.DUMMYFUNCTION("""COMPUTED_VALUE"""),341.5)</f>
        <v>341.5</v>
      </c>
      <c r="E3305" s="2">
        <f>IFERROR(__xludf.DUMMYFUNCTION("""COMPUTED_VALUE"""),344.55)</f>
        <v>344.55</v>
      </c>
      <c r="F3305" s="2">
        <f>IFERROR(__xludf.DUMMYFUNCTION("""COMPUTED_VALUE"""),2142186.0)</f>
        <v>2142186</v>
      </c>
    </row>
    <row r="3306">
      <c r="A3306" s="3">
        <f>IFERROR(__xludf.DUMMYFUNCTION("""COMPUTED_VALUE"""),41393.645833333336)</f>
        <v>41393.64583</v>
      </c>
      <c r="B3306" s="2">
        <f>IFERROR(__xludf.DUMMYFUNCTION("""COMPUTED_VALUE"""),344.13)</f>
        <v>344.13</v>
      </c>
      <c r="C3306" s="2">
        <f>IFERROR(__xludf.DUMMYFUNCTION("""COMPUTED_VALUE"""),348.42)</f>
        <v>348.42</v>
      </c>
      <c r="D3306" s="2">
        <f>IFERROR(__xludf.DUMMYFUNCTION("""COMPUTED_VALUE"""),343.25)</f>
        <v>343.25</v>
      </c>
      <c r="E3306" s="2">
        <f>IFERROR(__xludf.DUMMYFUNCTION("""COMPUTED_VALUE"""),347.58)</f>
        <v>347.58</v>
      </c>
      <c r="F3306" s="2">
        <f>IFERROR(__xludf.DUMMYFUNCTION("""COMPUTED_VALUE"""),2918858.0)</f>
        <v>2918858</v>
      </c>
    </row>
    <row r="3307">
      <c r="A3307" s="3">
        <f>IFERROR(__xludf.DUMMYFUNCTION("""COMPUTED_VALUE"""),41394.645833333336)</f>
        <v>41394.64583</v>
      </c>
      <c r="B3307" s="2">
        <f>IFERROR(__xludf.DUMMYFUNCTION("""COMPUTED_VALUE"""),347.0)</f>
        <v>347</v>
      </c>
      <c r="C3307" s="2">
        <f>IFERROR(__xludf.DUMMYFUNCTION("""COMPUTED_VALUE"""),347.98)</f>
        <v>347.98</v>
      </c>
      <c r="D3307" s="2">
        <f>IFERROR(__xludf.DUMMYFUNCTION("""COMPUTED_VALUE"""),338.4)</f>
        <v>338.4</v>
      </c>
      <c r="E3307" s="2">
        <f>IFERROR(__xludf.DUMMYFUNCTION("""COMPUTED_VALUE"""),341.15)</f>
        <v>341.15</v>
      </c>
      <c r="F3307" s="2">
        <f>IFERROR(__xludf.DUMMYFUNCTION("""COMPUTED_VALUE"""),3138068.0)</f>
        <v>3138068</v>
      </c>
    </row>
    <row r="3308">
      <c r="A3308" s="3">
        <f>IFERROR(__xludf.DUMMYFUNCTION("""COMPUTED_VALUE"""),41396.645833333336)</f>
        <v>41396.64583</v>
      </c>
      <c r="B3308" s="2">
        <f>IFERROR(__xludf.DUMMYFUNCTION("""COMPUTED_VALUE"""),342.2)</f>
        <v>342.2</v>
      </c>
      <c r="C3308" s="2">
        <f>IFERROR(__xludf.DUMMYFUNCTION("""COMPUTED_VALUE"""),347.0)</f>
        <v>347</v>
      </c>
      <c r="D3308" s="2">
        <f>IFERROR(__xludf.DUMMYFUNCTION("""COMPUTED_VALUE"""),341.15)</f>
        <v>341.15</v>
      </c>
      <c r="E3308" s="2">
        <f>IFERROR(__xludf.DUMMYFUNCTION("""COMPUTED_VALUE"""),346.25)</f>
        <v>346.25</v>
      </c>
      <c r="F3308" s="2">
        <f>IFERROR(__xludf.DUMMYFUNCTION("""COMPUTED_VALUE"""),3075817.0)</f>
        <v>3075817</v>
      </c>
    </row>
    <row r="3309">
      <c r="A3309" s="3">
        <f>IFERROR(__xludf.DUMMYFUNCTION("""COMPUTED_VALUE"""),41397.645833333336)</f>
        <v>41397.64583</v>
      </c>
      <c r="B3309" s="2">
        <f>IFERROR(__xludf.DUMMYFUNCTION("""COMPUTED_VALUE"""),346.3)</f>
        <v>346.3</v>
      </c>
      <c r="C3309" s="2">
        <f>IFERROR(__xludf.DUMMYFUNCTION("""COMPUTED_VALUE"""),347.0)</f>
        <v>347</v>
      </c>
      <c r="D3309" s="2">
        <f>IFERROR(__xludf.DUMMYFUNCTION("""COMPUTED_VALUE"""),339.33)</f>
        <v>339.33</v>
      </c>
      <c r="E3309" s="2">
        <f>IFERROR(__xludf.DUMMYFUNCTION("""COMPUTED_VALUE"""),340.48)</f>
        <v>340.48</v>
      </c>
      <c r="F3309" s="2">
        <f>IFERROR(__xludf.DUMMYFUNCTION("""COMPUTED_VALUE"""),3071646.0)</f>
        <v>3071646</v>
      </c>
    </row>
    <row r="3310">
      <c r="A3310" s="3">
        <f>IFERROR(__xludf.DUMMYFUNCTION("""COMPUTED_VALUE"""),41400.645833333336)</f>
        <v>41400.64583</v>
      </c>
      <c r="B3310" s="2">
        <f>IFERROR(__xludf.DUMMYFUNCTION("""COMPUTED_VALUE"""),339.5)</f>
        <v>339.5</v>
      </c>
      <c r="C3310" s="2">
        <f>IFERROR(__xludf.DUMMYFUNCTION("""COMPUTED_VALUE"""),339.65)</f>
        <v>339.65</v>
      </c>
      <c r="D3310" s="2">
        <f>IFERROR(__xludf.DUMMYFUNCTION("""COMPUTED_VALUE"""),334.98)</f>
        <v>334.98</v>
      </c>
      <c r="E3310" s="2">
        <f>IFERROR(__xludf.DUMMYFUNCTION("""COMPUTED_VALUE"""),337.75)</f>
        <v>337.75</v>
      </c>
      <c r="F3310" s="2">
        <f>IFERROR(__xludf.DUMMYFUNCTION("""COMPUTED_VALUE"""),1918365.0)</f>
        <v>1918365</v>
      </c>
    </row>
    <row r="3311">
      <c r="A3311" s="3">
        <f>IFERROR(__xludf.DUMMYFUNCTION("""COMPUTED_VALUE"""),41401.645833333336)</f>
        <v>41401.64583</v>
      </c>
      <c r="B3311" s="2">
        <f>IFERROR(__xludf.DUMMYFUNCTION("""COMPUTED_VALUE"""),338.15)</f>
        <v>338.15</v>
      </c>
      <c r="C3311" s="2">
        <f>IFERROR(__xludf.DUMMYFUNCTION("""COMPUTED_VALUE"""),344.95)</f>
        <v>344.95</v>
      </c>
      <c r="D3311" s="2">
        <f>IFERROR(__xludf.DUMMYFUNCTION("""COMPUTED_VALUE"""),336.25)</f>
        <v>336.25</v>
      </c>
      <c r="E3311" s="2">
        <f>IFERROR(__xludf.DUMMYFUNCTION("""COMPUTED_VALUE"""),344.03)</f>
        <v>344.03</v>
      </c>
      <c r="F3311" s="2">
        <f>IFERROR(__xludf.DUMMYFUNCTION("""COMPUTED_VALUE"""),2774616.0)</f>
        <v>2774616</v>
      </c>
    </row>
    <row r="3312">
      <c r="A3312" s="3">
        <f>IFERROR(__xludf.DUMMYFUNCTION("""COMPUTED_VALUE"""),41402.645833333336)</f>
        <v>41402.64583</v>
      </c>
      <c r="B3312" s="2">
        <f>IFERROR(__xludf.DUMMYFUNCTION("""COMPUTED_VALUE"""),344.5)</f>
        <v>344.5</v>
      </c>
      <c r="C3312" s="2">
        <f>IFERROR(__xludf.DUMMYFUNCTION("""COMPUTED_VALUE"""),349.75)</f>
        <v>349.75</v>
      </c>
      <c r="D3312" s="2">
        <f>IFERROR(__xludf.DUMMYFUNCTION("""COMPUTED_VALUE"""),343.25)</f>
        <v>343.25</v>
      </c>
      <c r="E3312" s="2">
        <f>IFERROR(__xludf.DUMMYFUNCTION("""COMPUTED_VALUE"""),348.58)</f>
        <v>348.58</v>
      </c>
      <c r="F3312" s="2">
        <f>IFERROR(__xludf.DUMMYFUNCTION("""COMPUTED_VALUE"""),2163489.0)</f>
        <v>2163489</v>
      </c>
    </row>
    <row r="3313">
      <c r="A3313" s="3">
        <f>IFERROR(__xludf.DUMMYFUNCTION("""COMPUTED_VALUE"""),41403.645833333336)</f>
        <v>41403.64583</v>
      </c>
      <c r="B3313" s="2">
        <f>IFERROR(__xludf.DUMMYFUNCTION("""COMPUTED_VALUE"""),349.53)</f>
        <v>349.53</v>
      </c>
      <c r="C3313" s="2">
        <f>IFERROR(__xludf.DUMMYFUNCTION("""COMPUTED_VALUE"""),349.75)</f>
        <v>349.75</v>
      </c>
      <c r="D3313" s="2">
        <f>IFERROR(__xludf.DUMMYFUNCTION("""COMPUTED_VALUE"""),344.1)</f>
        <v>344.1</v>
      </c>
      <c r="E3313" s="2">
        <f>IFERROR(__xludf.DUMMYFUNCTION("""COMPUTED_VALUE"""),345.03)</f>
        <v>345.03</v>
      </c>
      <c r="F3313" s="2">
        <f>IFERROR(__xludf.DUMMYFUNCTION("""COMPUTED_VALUE"""),1130840.0)</f>
        <v>1130840</v>
      </c>
    </row>
    <row r="3314">
      <c r="A3314" s="3">
        <f>IFERROR(__xludf.DUMMYFUNCTION("""COMPUTED_VALUE"""),41404.645833333336)</f>
        <v>41404.64583</v>
      </c>
      <c r="B3314" s="2">
        <f>IFERROR(__xludf.DUMMYFUNCTION("""COMPUTED_VALUE"""),344.35)</f>
        <v>344.35</v>
      </c>
      <c r="C3314" s="2">
        <f>IFERROR(__xludf.DUMMYFUNCTION("""COMPUTED_VALUE"""),352.45)</f>
        <v>352.45</v>
      </c>
      <c r="D3314" s="2">
        <f>IFERROR(__xludf.DUMMYFUNCTION("""COMPUTED_VALUE"""),344.33)</f>
        <v>344.33</v>
      </c>
      <c r="E3314" s="2">
        <f>IFERROR(__xludf.DUMMYFUNCTION("""COMPUTED_VALUE"""),351.67)</f>
        <v>351.67</v>
      </c>
      <c r="F3314" s="2">
        <f>IFERROR(__xludf.DUMMYFUNCTION("""COMPUTED_VALUE"""),3478314.0)</f>
        <v>3478314</v>
      </c>
    </row>
    <row r="3315">
      <c r="A3315" s="3">
        <f>IFERROR(__xludf.DUMMYFUNCTION("""COMPUTED_VALUE"""),41407.645833333336)</f>
        <v>41407.64583</v>
      </c>
      <c r="B3315" s="2">
        <f>IFERROR(__xludf.DUMMYFUNCTION("""COMPUTED_VALUE"""),352.5)</f>
        <v>352.5</v>
      </c>
      <c r="C3315" s="2">
        <f>IFERROR(__xludf.DUMMYFUNCTION("""COMPUTED_VALUE"""),355.73)</f>
        <v>355.73</v>
      </c>
      <c r="D3315" s="2">
        <f>IFERROR(__xludf.DUMMYFUNCTION("""COMPUTED_VALUE"""),345.4)</f>
        <v>345.4</v>
      </c>
      <c r="E3315" s="2">
        <f>IFERROR(__xludf.DUMMYFUNCTION("""COMPUTED_VALUE"""),346.38)</f>
        <v>346.38</v>
      </c>
      <c r="F3315" s="2">
        <f>IFERROR(__xludf.DUMMYFUNCTION("""COMPUTED_VALUE"""),2398493.0)</f>
        <v>2398493</v>
      </c>
    </row>
    <row r="3316">
      <c r="A3316" s="3">
        <f>IFERROR(__xludf.DUMMYFUNCTION("""COMPUTED_VALUE"""),41408.645833333336)</f>
        <v>41408.64583</v>
      </c>
      <c r="B3316" s="2">
        <f>IFERROR(__xludf.DUMMYFUNCTION("""COMPUTED_VALUE"""),345.03)</f>
        <v>345.03</v>
      </c>
      <c r="C3316" s="2">
        <f>IFERROR(__xludf.DUMMYFUNCTION("""COMPUTED_VALUE"""),347.45)</f>
        <v>347.45</v>
      </c>
      <c r="D3316" s="2">
        <f>IFERROR(__xludf.DUMMYFUNCTION("""COMPUTED_VALUE"""),342.55)</f>
        <v>342.55</v>
      </c>
      <c r="E3316" s="2">
        <f>IFERROR(__xludf.DUMMYFUNCTION("""COMPUTED_VALUE"""),344.53)</f>
        <v>344.53</v>
      </c>
      <c r="F3316" s="2">
        <f>IFERROR(__xludf.DUMMYFUNCTION("""COMPUTED_VALUE"""),1663419.0)</f>
        <v>1663419</v>
      </c>
    </row>
    <row r="3317">
      <c r="A3317" s="3">
        <f>IFERROR(__xludf.DUMMYFUNCTION("""COMPUTED_VALUE"""),41409.645833333336)</f>
        <v>41409.64583</v>
      </c>
      <c r="B3317" s="2">
        <f>IFERROR(__xludf.DUMMYFUNCTION("""COMPUTED_VALUE"""),346.75)</f>
        <v>346.75</v>
      </c>
      <c r="C3317" s="2">
        <f>IFERROR(__xludf.DUMMYFUNCTION("""COMPUTED_VALUE"""),358.0)</f>
        <v>358</v>
      </c>
      <c r="D3317" s="2">
        <f>IFERROR(__xludf.DUMMYFUNCTION("""COMPUTED_VALUE"""),345.67)</f>
        <v>345.67</v>
      </c>
      <c r="E3317" s="2">
        <f>IFERROR(__xludf.DUMMYFUNCTION("""COMPUTED_VALUE"""),357.42)</f>
        <v>357.42</v>
      </c>
      <c r="F3317" s="2">
        <f>IFERROR(__xludf.DUMMYFUNCTION("""COMPUTED_VALUE"""),3543370.0)</f>
        <v>3543370</v>
      </c>
    </row>
    <row r="3318">
      <c r="A3318" s="3">
        <f>IFERROR(__xludf.DUMMYFUNCTION("""COMPUTED_VALUE"""),41410.645833333336)</f>
        <v>41410.64583</v>
      </c>
      <c r="B3318" s="2">
        <f>IFERROR(__xludf.DUMMYFUNCTION("""COMPUTED_VALUE"""),356.0)</f>
        <v>356</v>
      </c>
      <c r="C3318" s="2">
        <f>IFERROR(__xludf.DUMMYFUNCTION("""COMPUTED_VALUE"""),362.0)</f>
        <v>362</v>
      </c>
      <c r="D3318" s="2">
        <f>IFERROR(__xludf.DUMMYFUNCTION("""COMPUTED_VALUE"""),355.5)</f>
        <v>355.5</v>
      </c>
      <c r="E3318" s="2">
        <f>IFERROR(__xludf.DUMMYFUNCTION("""COMPUTED_VALUE"""),361.4)</f>
        <v>361.4</v>
      </c>
      <c r="F3318" s="2">
        <f>IFERROR(__xludf.DUMMYFUNCTION("""COMPUTED_VALUE"""),2915154.0)</f>
        <v>2915154</v>
      </c>
    </row>
    <row r="3319">
      <c r="A3319" s="3">
        <f>IFERROR(__xludf.DUMMYFUNCTION("""COMPUTED_VALUE"""),41411.645833333336)</f>
        <v>41411.64583</v>
      </c>
      <c r="B3319" s="2">
        <f>IFERROR(__xludf.DUMMYFUNCTION("""COMPUTED_VALUE"""),361.25)</f>
        <v>361.25</v>
      </c>
      <c r="C3319" s="2">
        <f>IFERROR(__xludf.DUMMYFUNCTION("""COMPUTED_VALUE"""),361.25)</f>
        <v>361.25</v>
      </c>
      <c r="D3319" s="2">
        <f>IFERROR(__xludf.DUMMYFUNCTION("""COMPUTED_VALUE"""),354.6)</f>
        <v>354.6</v>
      </c>
      <c r="E3319" s="2">
        <f>IFERROR(__xludf.DUMMYFUNCTION("""COMPUTED_VALUE"""),359.45)</f>
        <v>359.45</v>
      </c>
      <c r="F3319" s="2">
        <f>IFERROR(__xludf.DUMMYFUNCTION("""COMPUTED_VALUE"""),3204963.0)</f>
        <v>3204963</v>
      </c>
    </row>
    <row r="3320">
      <c r="A3320" s="3">
        <f>IFERROR(__xludf.DUMMYFUNCTION("""COMPUTED_VALUE"""),41414.645833333336)</f>
        <v>41414.64583</v>
      </c>
      <c r="B3320" s="2">
        <f>IFERROR(__xludf.DUMMYFUNCTION("""COMPUTED_VALUE"""),359.75)</f>
        <v>359.75</v>
      </c>
      <c r="C3320" s="2">
        <f>IFERROR(__xludf.DUMMYFUNCTION("""COMPUTED_VALUE"""),362.0)</f>
        <v>362</v>
      </c>
      <c r="D3320" s="2">
        <f>IFERROR(__xludf.DUMMYFUNCTION("""COMPUTED_VALUE"""),356.08)</f>
        <v>356.08</v>
      </c>
      <c r="E3320" s="2">
        <f>IFERROR(__xludf.DUMMYFUNCTION("""COMPUTED_VALUE"""),357.25)</f>
        <v>357.25</v>
      </c>
      <c r="F3320" s="2">
        <f>IFERROR(__xludf.DUMMYFUNCTION("""COMPUTED_VALUE"""),1460402.0)</f>
        <v>1460402</v>
      </c>
    </row>
    <row r="3321">
      <c r="A3321" s="3">
        <f>IFERROR(__xludf.DUMMYFUNCTION("""COMPUTED_VALUE"""),41415.645833333336)</f>
        <v>41415.64583</v>
      </c>
      <c r="B3321" s="2">
        <f>IFERROR(__xludf.DUMMYFUNCTION("""COMPUTED_VALUE"""),357.0)</f>
        <v>357</v>
      </c>
      <c r="C3321" s="2">
        <f>IFERROR(__xludf.DUMMYFUNCTION("""COMPUTED_VALUE"""),359.0)</f>
        <v>359</v>
      </c>
      <c r="D3321" s="2">
        <f>IFERROR(__xludf.DUMMYFUNCTION("""COMPUTED_VALUE"""),352.53)</f>
        <v>352.53</v>
      </c>
      <c r="E3321" s="2">
        <f>IFERROR(__xludf.DUMMYFUNCTION("""COMPUTED_VALUE"""),353.9)</f>
        <v>353.9</v>
      </c>
      <c r="F3321" s="2">
        <f>IFERROR(__xludf.DUMMYFUNCTION("""COMPUTED_VALUE"""),2301625.0)</f>
        <v>2301625</v>
      </c>
    </row>
    <row r="3322">
      <c r="A3322" s="3">
        <f>IFERROR(__xludf.DUMMYFUNCTION("""COMPUTED_VALUE"""),41416.645833333336)</f>
        <v>41416.64583</v>
      </c>
      <c r="B3322" s="2">
        <f>IFERROR(__xludf.DUMMYFUNCTION("""COMPUTED_VALUE"""),353.75)</f>
        <v>353.75</v>
      </c>
      <c r="C3322" s="2">
        <f>IFERROR(__xludf.DUMMYFUNCTION("""COMPUTED_VALUE"""),356.0)</f>
        <v>356</v>
      </c>
      <c r="D3322" s="2">
        <f>IFERROR(__xludf.DUMMYFUNCTION("""COMPUTED_VALUE"""),349.0)</f>
        <v>349</v>
      </c>
      <c r="E3322" s="2">
        <f>IFERROR(__xludf.DUMMYFUNCTION("""COMPUTED_VALUE"""),351.73)</f>
        <v>351.73</v>
      </c>
      <c r="F3322" s="2">
        <f>IFERROR(__xludf.DUMMYFUNCTION("""COMPUTED_VALUE"""),1353028.0)</f>
        <v>1353028</v>
      </c>
    </row>
    <row r="3323">
      <c r="A3323" s="3">
        <f>IFERROR(__xludf.DUMMYFUNCTION("""COMPUTED_VALUE"""),41417.645833333336)</f>
        <v>41417.64583</v>
      </c>
      <c r="B3323" s="2">
        <f>IFERROR(__xludf.DUMMYFUNCTION("""COMPUTED_VALUE"""),349.5)</f>
        <v>349.5</v>
      </c>
      <c r="C3323" s="2">
        <f>IFERROR(__xludf.DUMMYFUNCTION("""COMPUTED_VALUE"""),353.23)</f>
        <v>353.23</v>
      </c>
      <c r="D3323" s="2">
        <f>IFERROR(__xludf.DUMMYFUNCTION("""COMPUTED_VALUE"""),347.15)</f>
        <v>347.15</v>
      </c>
      <c r="E3323" s="2">
        <f>IFERROR(__xludf.DUMMYFUNCTION("""COMPUTED_VALUE"""),349.3)</f>
        <v>349.3</v>
      </c>
      <c r="F3323" s="2">
        <f>IFERROR(__xludf.DUMMYFUNCTION("""COMPUTED_VALUE"""),1976312.0)</f>
        <v>1976312</v>
      </c>
    </row>
    <row r="3324">
      <c r="A3324" s="3">
        <f>IFERROR(__xludf.DUMMYFUNCTION("""COMPUTED_VALUE"""),41418.645833333336)</f>
        <v>41418.64583</v>
      </c>
      <c r="B3324" s="2">
        <f>IFERROR(__xludf.DUMMYFUNCTION("""COMPUTED_VALUE"""),352.88)</f>
        <v>352.88</v>
      </c>
      <c r="C3324" s="2">
        <f>IFERROR(__xludf.DUMMYFUNCTION("""COMPUTED_VALUE"""),352.88)</f>
        <v>352.88</v>
      </c>
      <c r="D3324" s="2">
        <f>IFERROR(__xludf.DUMMYFUNCTION("""COMPUTED_VALUE"""),347.15)</f>
        <v>347.15</v>
      </c>
      <c r="E3324" s="2">
        <f>IFERROR(__xludf.DUMMYFUNCTION("""COMPUTED_VALUE"""),350.67)</f>
        <v>350.67</v>
      </c>
      <c r="F3324" s="2">
        <f>IFERROR(__xludf.DUMMYFUNCTION("""COMPUTED_VALUE"""),2066060.0)</f>
        <v>2066060</v>
      </c>
    </row>
    <row r="3325">
      <c r="A3325" s="3">
        <f>IFERROR(__xludf.DUMMYFUNCTION("""COMPUTED_VALUE"""),41421.645833333336)</f>
        <v>41421.64583</v>
      </c>
      <c r="B3325" s="2">
        <f>IFERROR(__xludf.DUMMYFUNCTION("""COMPUTED_VALUE"""),349.3)</f>
        <v>349.3</v>
      </c>
      <c r="C3325" s="2">
        <f>IFERROR(__xludf.DUMMYFUNCTION("""COMPUTED_VALUE"""),358.5)</f>
        <v>358.5</v>
      </c>
      <c r="D3325" s="2">
        <f>IFERROR(__xludf.DUMMYFUNCTION("""COMPUTED_VALUE"""),349.3)</f>
        <v>349.3</v>
      </c>
      <c r="E3325" s="2">
        <f>IFERROR(__xludf.DUMMYFUNCTION("""COMPUTED_VALUE"""),357.53)</f>
        <v>357.53</v>
      </c>
      <c r="F3325" s="2">
        <f>IFERROR(__xludf.DUMMYFUNCTION("""COMPUTED_VALUE"""),2248802.0)</f>
        <v>2248802</v>
      </c>
    </row>
    <row r="3326">
      <c r="A3326" s="3">
        <f>IFERROR(__xludf.DUMMYFUNCTION("""COMPUTED_VALUE"""),41422.645833333336)</f>
        <v>41422.64583</v>
      </c>
      <c r="B3326" s="2">
        <f>IFERROR(__xludf.DUMMYFUNCTION("""COMPUTED_VALUE"""),357.13)</f>
        <v>357.13</v>
      </c>
      <c r="C3326" s="2">
        <f>IFERROR(__xludf.DUMMYFUNCTION("""COMPUTED_VALUE"""),360.4)</f>
        <v>360.4</v>
      </c>
      <c r="D3326" s="2">
        <f>IFERROR(__xludf.DUMMYFUNCTION("""COMPUTED_VALUE"""),353.4)</f>
        <v>353.4</v>
      </c>
      <c r="E3326" s="2">
        <f>IFERROR(__xludf.DUMMYFUNCTION("""COMPUTED_VALUE"""),356.65)</f>
        <v>356.65</v>
      </c>
      <c r="F3326" s="2">
        <f>IFERROR(__xludf.DUMMYFUNCTION("""COMPUTED_VALUE"""),1676979.0)</f>
        <v>1676979</v>
      </c>
    </row>
    <row r="3327">
      <c r="A3327" s="3">
        <f>IFERROR(__xludf.DUMMYFUNCTION("""COMPUTED_VALUE"""),41423.645833333336)</f>
        <v>41423.64583</v>
      </c>
      <c r="B3327" s="2">
        <f>IFERROR(__xludf.DUMMYFUNCTION("""COMPUTED_VALUE"""),355.03)</f>
        <v>355.03</v>
      </c>
      <c r="C3327" s="2">
        <f>IFERROR(__xludf.DUMMYFUNCTION("""COMPUTED_VALUE"""),359.23)</f>
        <v>359.23</v>
      </c>
      <c r="D3327" s="2">
        <f>IFERROR(__xludf.DUMMYFUNCTION("""COMPUTED_VALUE"""),351.92)</f>
        <v>351.92</v>
      </c>
      <c r="E3327" s="2">
        <f>IFERROR(__xludf.DUMMYFUNCTION("""COMPUTED_VALUE"""),357.98)</f>
        <v>357.98</v>
      </c>
      <c r="F3327" s="2">
        <f>IFERROR(__xludf.DUMMYFUNCTION("""COMPUTED_VALUE"""),1233373.0)</f>
        <v>1233373</v>
      </c>
    </row>
    <row r="3328">
      <c r="A3328" s="3">
        <f>IFERROR(__xludf.DUMMYFUNCTION("""COMPUTED_VALUE"""),41424.645833333336)</f>
        <v>41424.64583</v>
      </c>
      <c r="B3328" s="2">
        <f>IFERROR(__xludf.DUMMYFUNCTION("""COMPUTED_VALUE"""),355.05)</f>
        <v>355.05</v>
      </c>
      <c r="C3328" s="2">
        <f>IFERROR(__xludf.DUMMYFUNCTION("""COMPUTED_VALUE"""),363.65)</f>
        <v>363.65</v>
      </c>
      <c r="D3328" s="2">
        <f>IFERROR(__xludf.DUMMYFUNCTION("""COMPUTED_VALUE"""),355.05)</f>
        <v>355.05</v>
      </c>
      <c r="E3328" s="2">
        <f>IFERROR(__xludf.DUMMYFUNCTION("""COMPUTED_VALUE"""),362.58)</f>
        <v>362.58</v>
      </c>
      <c r="F3328" s="2">
        <f>IFERROR(__xludf.DUMMYFUNCTION("""COMPUTED_VALUE"""),3839364.0)</f>
        <v>3839364</v>
      </c>
    </row>
    <row r="3329">
      <c r="A3329" s="3">
        <f>IFERROR(__xludf.DUMMYFUNCTION("""COMPUTED_VALUE"""),41425.645833333336)</f>
        <v>41425.64583</v>
      </c>
      <c r="B3329" s="2">
        <f>IFERROR(__xludf.DUMMYFUNCTION("""COMPUTED_VALUE"""),358.63)</f>
        <v>358.63</v>
      </c>
      <c r="C3329" s="2">
        <f>IFERROR(__xludf.DUMMYFUNCTION("""COMPUTED_VALUE"""),360.35)</f>
        <v>360.35</v>
      </c>
      <c r="D3329" s="2">
        <f>IFERROR(__xludf.DUMMYFUNCTION("""COMPUTED_VALUE"""),348.85)</f>
        <v>348.85</v>
      </c>
      <c r="E3329" s="2">
        <f>IFERROR(__xludf.DUMMYFUNCTION("""COMPUTED_VALUE"""),350.25)</f>
        <v>350.25</v>
      </c>
      <c r="F3329" s="2">
        <f>IFERROR(__xludf.DUMMYFUNCTION("""COMPUTED_VALUE"""),3083224.0)</f>
        <v>3083224</v>
      </c>
    </row>
    <row r="3330">
      <c r="A3330" s="3">
        <f>IFERROR(__xludf.DUMMYFUNCTION("""COMPUTED_VALUE"""),41428.645833333336)</f>
        <v>41428.64583</v>
      </c>
      <c r="B3330" s="2">
        <f>IFERROR(__xludf.DUMMYFUNCTION("""COMPUTED_VALUE"""),349.0)</f>
        <v>349</v>
      </c>
      <c r="C3330" s="2">
        <f>IFERROR(__xludf.DUMMYFUNCTION("""COMPUTED_VALUE"""),350.7)</f>
        <v>350.7</v>
      </c>
      <c r="D3330" s="2">
        <f>IFERROR(__xludf.DUMMYFUNCTION("""COMPUTED_VALUE"""),343.28)</f>
        <v>343.28</v>
      </c>
      <c r="E3330" s="2">
        <f>IFERROR(__xludf.DUMMYFUNCTION("""COMPUTED_VALUE"""),344.58)</f>
        <v>344.58</v>
      </c>
      <c r="F3330" s="2">
        <f>IFERROR(__xludf.DUMMYFUNCTION("""COMPUTED_VALUE"""),1972531.0)</f>
        <v>1972531</v>
      </c>
    </row>
    <row r="3331">
      <c r="A3331" s="3">
        <f>IFERROR(__xludf.DUMMYFUNCTION("""COMPUTED_VALUE"""),41429.645833333336)</f>
        <v>41429.64583</v>
      </c>
      <c r="B3331" s="2">
        <f>IFERROR(__xludf.DUMMYFUNCTION("""COMPUTED_VALUE"""),343.65)</f>
        <v>343.65</v>
      </c>
      <c r="C3331" s="2">
        <f>IFERROR(__xludf.DUMMYFUNCTION("""COMPUTED_VALUE"""),346.9)</f>
        <v>346.9</v>
      </c>
      <c r="D3331" s="2">
        <f>IFERROR(__xludf.DUMMYFUNCTION("""COMPUTED_VALUE"""),340.5)</f>
        <v>340.5</v>
      </c>
      <c r="E3331" s="2">
        <f>IFERROR(__xludf.DUMMYFUNCTION("""COMPUTED_VALUE"""),341.53)</f>
        <v>341.53</v>
      </c>
      <c r="F3331" s="2">
        <f>IFERROR(__xludf.DUMMYFUNCTION("""COMPUTED_VALUE"""),1404081.0)</f>
        <v>1404081</v>
      </c>
    </row>
    <row r="3332">
      <c r="A3332" s="3">
        <f>IFERROR(__xludf.DUMMYFUNCTION("""COMPUTED_VALUE"""),41430.645833333336)</f>
        <v>41430.64583</v>
      </c>
      <c r="B3332" s="2">
        <f>IFERROR(__xludf.DUMMYFUNCTION("""COMPUTED_VALUE"""),341.0)</f>
        <v>341</v>
      </c>
      <c r="C3332" s="2">
        <f>IFERROR(__xludf.DUMMYFUNCTION("""COMPUTED_VALUE"""),347.2)</f>
        <v>347.2</v>
      </c>
      <c r="D3332" s="2">
        <f>IFERROR(__xludf.DUMMYFUNCTION("""COMPUTED_VALUE"""),339.25)</f>
        <v>339.25</v>
      </c>
      <c r="E3332" s="2">
        <f>IFERROR(__xludf.DUMMYFUNCTION("""COMPUTED_VALUE"""),343.98)</f>
        <v>343.98</v>
      </c>
      <c r="F3332" s="2">
        <f>IFERROR(__xludf.DUMMYFUNCTION("""COMPUTED_VALUE"""),1890919.0)</f>
        <v>1890919</v>
      </c>
    </row>
    <row r="3333">
      <c r="A3333" s="3">
        <f>IFERROR(__xludf.DUMMYFUNCTION("""COMPUTED_VALUE"""),41431.645833333336)</f>
        <v>41431.64583</v>
      </c>
      <c r="B3333" s="2">
        <f>IFERROR(__xludf.DUMMYFUNCTION("""COMPUTED_VALUE"""),341.75)</f>
        <v>341.75</v>
      </c>
      <c r="C3333" s="2">
        <f>IFERROR(__xludf.DUMMYFUNCTION("""COMPUTED_VALUE"""),344.7)</f>
        <v>344.7</v>
      </c>
      <c r="D3333" s="2">
        <f>IFERROR(__xludf.DUMMYFUNCTION("""COMPUTED_VALUE"""),339.0)</f>
        <v>339</v>
      </c>
      <c r="E3333" s="2">
        <f>IFERROR(__xludf.DUMMYFUNCTION("""COMPUTED_VALUE"""),341.1)</f>
        <v>341.1</v>
      </c>
      <c r="F3333" s="2">
        <f>IFERROR(__xludf.DUMMYFUNCTION("""COMPUTED_VALUE"""),1779103.0)</f>
        <v>1779103</v>
      </c>
    </row>
    <row r="3334">
      <c r="A3334" s="3">
        <f>IFERROR(__xludf.DUMMYFUNCTION("""COMPUTED_VALUE"""),41432.645833333336)</f>
        <v>41432.64583</v>
      </c>
      <c r="B3334" s="2">
        <f>IFERROR(__xludf.DUMMYFUNCTION("""COMPUTED_VALUE"""),340.88)</f>
        <v>340.88</v>
      </c>
      <c r="C3334" s="2">
        <f>IFERROR(__xludf.DUMMYFUNCTION("""COMPUTED_VALUE"""),346.7)</f>
        <v>346.7</v>
      </c>
      <c r="D3334" s="2">
        <f>IFERROR(__xludf.DUMMYFUNCTION("""COMPUTED_VALUE"""),336.6)</f>
        <v>336.6</v>
      </c>
      <c r="E3334" s="2">
        <f>IFERROR(__xludf.DUMMYFUNCTION("""COMPUTED_VALUE"""),338.08)</f>
        <v>338.08</v>
      </c>
      <c r="F3334" s="2">
        <f>IFERROR(__xludf.DUMMYFUNCTION("""COMPUTED_VALUE"""),2389056.0)</f>
        <v>2389056</v>
      </c>
    </row>
    <row r="3335">
      <c r="A3335" s="3">
        <f>IFERROR(__xludf.DUMMYFUNCTION("""COMPUTED_VALUE"""),41435.645833333336)</f>
        <v>41435.64583</v>
      </c>
      <c r="B3335" s="2">
        <f>IFERROR(__xludf.DUMMYFUNCTION("""COMPUTED_VALUE"""),340.53)</f>
        <v>340.53</v>
      </c>
      <c r="C3335" s="2">
        <f>IFERROR(__xludf.DUMMYFUNCTION("""COMPUTED_VALUE"""),343.5)</f>
        <v>343.5</v>
      </c>
      <c r="D3335" s="2">
        <f>IFERROR(__xludf.DUMMYFUNCTION("""COMPUTED_VALUE"""),335.75)</f>
        <v>335.75</v>
      </c>
      <c r="E3335" s="2">
        <f>IFERROR(__xludf.DUMMYFUNCTION("""COMPUTED_VALUE"""),338.17)</f>
        <v>338.17</v>
      </c>
      <c r="F3335" s="2">
        <f>IFERROR(__xludf.DUMMYFUNCTION("""COMPUTED_VALUE"""),1592003.0)</f>
        <v>1592003</v>
      </c>
    </row>
    <row r="3336">
      <c r="A3336" s="3">
        <f>IFERROR(__xludf.DUMMYFUNCTION("""COMPUTED_VALUE"""),41436.645833333336)</f>
        <v>41436.64583</v>
      </c>
      <c r="B3336" s="2">
        <f>IFERROR(__xludf.DUMMYFUNCTION("""COMPUTED_VALUE"""),336.73)</f>
        <v>336.73</v>
      </c>
      <c r="C3336" s="2">
        <f>IFERROR(__xludf.DUMMYFUNCTION("""COMPUTED_VALUE"""),340.45)</f>
        <v>340.45</v>
      </c>
      <c r="D3336" s="2">
        <f>IFERROR(__xludf.DUMMYFUNCTION("""COMPUTED_VALUE"""),331.1)</f>
        <v>331.1</v>
      </c>
      <c r="E3336" s="2">
        <f>IFERROR(__xludf.DUMMYFUNCTION("""COMPUTED_VALUE"""),332.45)</f>
        <v>332.45</v>
      </c>
      <c r="F3336" s="2">
        <f>IFERROR(__xludf.DUMMYFUNCTION("""COMPUTED_VALUE"""),2955215.0)</f>
        <v>2955215</v>
      </c>
    </row>
    <row r="3337">
      <c r="A3337" s="3">
        <f>IFERROR(__xludf.DUMMYFUNCTION("""COMPUTED_VALUE"""),41437.645833333336)</f>
        <v>41437.64583</v>
      </c>
      <c r="B3337" s="2">
        <f>IFERROR(__xludf.DUMMYFUNCTION("""COMPUTED_VALUE"""),331.0)</f>
        <v>331</v>
      </c>
      <c r="C3337" s="2">
        <f>IFERROR(__xludf.DUMMYFUNCTION("""COMPUTED_VALUE"""),336.7)</f>
        <v>336.7</v>
      </c>
      <c r="D3337" s="2">
        <f>IFERROR(__xludf.DUMMYFUNCTION("""COMPUTED_VALUE"""),329.23)</f>
        <v>329.23</v>
      </c>
      <c r="E3337" s="2">
        <f>IFERROR(__xludf.DUMMYFUNCTION("""COMPUTED_VALUE"""),331.98)</f>
        <v>331.98</v>
      </c>
      <c r="F3337" s="2">
        <f>IFERROR(__xludf.DUMMYFUNCTION("""COMPUTED_VALUE"""),2453913.0)</f>
        <v>2453913</v>
      </c>
    </row>
    <row r="3338">
      <c r="A3338" s="3">
        <f>IFERROR(__xludf.DUMMYFUNCTION("""COMPUTED_VALUE"""),41438.645833333336)</f>
        <v>41438.64583</v>
      </c>
      <c r="B3338" s="2">
        <f>IFERROR(__xludf.DUMMYFUNCTION("""COMPUTED_VALUE"""),328.8)</f>
        <v>328.8</v>
      </c>
      <c r="C3338" s="2">
        <f>IFERROR(__xludf.DUMMYFUNCTION("""COMPUTED_VALUE"""),330.5)</f>
        <v>330.5</v>
      </c>
      <c r="D3338" s="2">
        <f>IFERROR(__xludf.DUMMYFUNCTION("""COMPUTED_VALUE"""),326.67)</f>
        <v>326.67</v>
      </c>
      <c r="E3338" s="2">
        <f>IFERROR(__xludf.DUMMYFUNCTION("""COMPUTED_VALUE"""),327.55)</f>
        <v>327.55</v>
      </c>
      <c r="F3338" s="2">
        <f>IFERROR(__xludf.DUMMYFUNCTION("""COMPUTED_VALUE"""),1787434.0)</f>
        <v>1787434</v>
      </c>
    </row>
    <row r="3339">
      <c r="A3339" s="3">
        <f>IFERROR(__xludf.DUMMYFUNCTION("""COMPUTED_VALUE"""),41439.645833333336)</f>
        <v>41439.64583</v>
      </c>
      <c r="B3339" s="2">
        <f>IFERROR(__xludf.DUMMYFUNCTION("""COMPUTED_VALUE"""),331.0)</f>
        <v>331</v>
      </c>
      <c r="C3339" s="2">
        <f>IFERROR(__xludf.DUMMYFUNCTION("""COMPUTED_VALUE"""),334.23)</f>
        <v>334.23</v>
      </c>
      <c r="D3339" s="2">
        <f>IFERROR(__xludf.DUMMYFUNCTION("""COMPUTED_VALUE"""),329.65)</f>
        <v>329.65</v>
      </c>
      <c r="E3339" s="2">
        <f>IFERROR(__xludf.DUMMYFUNCTION("""COMPUTED_VALUE"""),332.53)</f>
        <v>332.53</v>
      </c>
      <c r="F3339" s="2">
        <f>IFERROR(__xludf.DUMMYFUNCTION("""COMPUTED_VALUE"""),3741303.0)</f>
        <v>3741303</v>
      </c>
    </row>
    <row r="3340">
      <c r="A3340" s="3">
        <f>IFERROR(__xludf.DUMMYFUNCTION("""COMPUTED_VALUE"""),41442.645833333336)</f>
        <v>41442.64583</v>
      </c>
      <c r="B3340" s="2">
        <f>IFERROR(__xludf.DUMMYFUNCTION("""COMPUTED_VALUE"""),332.8)</f>
        <v>332.8</v>
      </c>
      <c r="C3340" s="2">
        <f>IFERROR(__xludf.DUMMYFUNCTION("""COMPUTED_VALUE"""),334.6)</f>
        <v>334.6</v>
      </c>
      <c r="D3340" s="2">
        <f>IFERROR(__xludf.DUMMYFUNCTION("""COMPUTED_VALUE"""),328.67)</f>
        <v>328.67</v>
      </c>
      <c r="E3340" s="2">
        <f>IFERROR(__xludf.DUMMYFUNCTION("""COMPUTED_VALUE"""),333.67)</f>
        <v>333.67</v>
      </c>
      <c r="F3340" s="2">
        <f>IFERROR(__xludf.DUMMYFUNCTION("""COMPUTED_VALUE"""),3267727.0)</f>
        <v>3267727</v>
      </c>
    </row>
    <row r="3341">
      <c r="A3341" s="3">
        <f>IFERROR(__xludf.DUMMYFUNCTION("""COMPUTED_VALUE"""),41443.645833333336)</f>
        <v>41443.64583</v>
      </c>
      <c r="B3341" s="2">
        <f>IFERROR(__xludf.DUMMYFUNCTION("""COMPUTED_VALUE"""),334.0)</f>
        <v>334</v>
      </c>
      <c r="C3341" s="2">
        <f>IFERROR(__xludf.DUMMYFUNCTION("""COMPUTED_VALUE"""),334.0)</f>
        <v>334</v>
      </c>
      <c r="D3341" s="2">
        <f>IFERROR(__xludf.DUMMYFUNCTION("""COMPUTED_VALUE"""),327.5)</f>
        <v>327.5</v>
      </c>
      <c r="E3341" s="2">
        <f>IFERROR(__xludf.DUMMYFUNCTION("""COMPUTED_VALUE"""),328.73)</f>
        <v>328.73</v>
      </c>
      <c r="F3341" s="2">
        <f>IFERROR(__xludf.DUMMYFUNCTION("""COMPUTED_VALUE"""),3111642.0)</f>
        <v>3111642</v>
      </c>
    </row>
    <row r="3342">
      <c r="A3342" s="3">
        <f>IFERROR(__xludf.DUMMYFUNCTION("""COMPUTED_VALUE"""),41444.645833333336)</f>
        <v>41444.64583</v>
      </c>
      <c r="B3342" s="2">
        <f>IFERROR(__xludf.DUMMYFUNCTION("""COMPUTED_VALUE"""),328.05)</f>
        <v>328.05</v>
      </c>
      <c r="C3342" s="2">
        <f>IFERROR(__xludf.DUMMYFUNCTION("""COMPUTED_VALUE"""),333.3)</f>
        <v>333.3</v>
      </c>
      <c r="D3342" s="2">
        <f>IFERROR(__xludf.DUMMYFUNCTION("""COMPUTED_VALUE"""),326.42)</f>
        <v>326.42</v>
      </c>
      <c r="E3342" s="2">
        <f>IFERROR(__xludf.DUMMYFUNCTION("""COMPUTED_VALUE"""),332.6)</f>
        <v>332.6</v>
      </c>
      <c r="F3342" s="2">
        <f>IFERROR(__xludf.DUMMYFUNCTION("""COMPUTED_VALUE"""),2411739.0)</f>
        <v>2411739</v>
      </c>
    </row>
    <row r="3343">
      <c r="A3343" s="3">
        <f>IFERROR(__xludf.DUMMYFUNCTION("""COMPUTED_VALUE"""),41445.645833333336)</f>
        <v>41445.64583</v>
      </c>
      <c r="B3343" s="2">
        <f>IFERROR(__xludf.DUMMYFUNCTION("""COMPUTED_VALUE"""),329.42)</f>
        <v>329.42</v>
      </c>
      <c r="C3343" s="2">
        <f>IFERROR(__xludf.DUMMYFUNCTION("""COMPUTED_VALUE"""),329.42)</f>
        <v>329.42</v>
      </c>
      <c r="D3343" s="2">
        <f>IFERROR(__xludf.DUMMYFUNCTION("""COMPUTED_VALUE"""),317.3)</f>
        <v>317.3</v>
      </c>
      <c r="E3343" s="2">
        <f>IFERROR(__xludf.DUMMYFUNCTION("""COMPUTED_VALUE"""),318.3)</f>
        <v>318.3</v>
      </c>
      <c r="F3343" s="2">
        <f>IFERROR(__xludf.DUMMYFUNCTION("""COMPUTED_VALUE"""),3784511.0)</f>
        <v>3784511</v>
      </c>
    </row>
    <row r="3344">
      <c r="A3344" s="3">
        <f>IFERROR(__xludf.DUMMYFUNCTION("""COMPUTED_VALUE"""),41446.645833333336)</f>
        <v>41446.64583</v>
      </c>
      <c r="B3344" s="2">
        <f>IFERROR(__xludf.DUMMYFUNCTION("""COMPUTED_VALUE"""),318.4)</f>
        <v>318.4</v>
      </c>
      <c r="C3344" s="2">
        <f>IFERROR(__xludf.DUMMYFUNCTION("""COMPUTED_VALUE"""),321.27)</f>
        <v>321.27</v>
      </c>
      <c r="D3344" s="2">
        <f>IFERROR(__xludf.DUMMYFUNCTION("""COMPUTED_VALUE"""),315.05)</f>
        <v>315.05</v>
      </c>
      <c r="E3344" s="2">
        <f>IFERROR(__xludf.DUMMYFUNCTION("""COMPUTED_VALUE"""),317.63)</f>
        <v>317.63</v>
      </c>
      <c r="F3344" s="2">
        <f>IFERROR(__xludf.DUMMYFUNCTION("""COMPUTED_VALUE"""),4474961.0)</f>
        <v>4474961</v>
      </c>
    </row>
    <row r="3345">
      <c r="A3345" s="3">
        <f>IFERROR(__xludf.DUMMYFUNCTION("""COMPUTED_VALUE"""),41449.645833333336)</f>
        <v>41449.64583</v>
      </c>
      <c r="B3345" s="2">
        <f>IFERROR(__xludf.DUMMYFUNCTION("""COMPUTED_VALUE"""),315.9)</f>
        <v>315.9</v>
      </c>
      <c r="C3345" s="2">
        <f>IFERROR(__xludf.DUMMYFUNCTION("""COMPUTED_VALUE"""),316.92)</f>
        <v>316.92</v>
      </c>
      <c r="D3345" s="2">
        <f>IFERROR(__xludf.DUMMYFUNCTION("""COMPUTED_VALUE"""),311.88)</f>
        <v>311.88</v>
      </c>
      <c r="E3345" s="2">
        <f>IFERROR(__xludf.DUMMYFUNCTION("""COMPUTED_VALUE"""),312.67)</f>
        <v>312.67</v>
      </c>
      <c r="F3345" s="2">
        <f>IFERROR(__xludf.DUMMYFUNCTION("""COMPUTED_VALUE"""),2692013.0)</f>
        <v>2692013</v>
      </c>
    </row>
    <row r="3346">
      <c r="A3346" s="3">
        <f>IFERROR(__xludf.DUMMYFUNCTION("""COMPUTED_VALUE"""),41450.645833333336)</f>
        <v>41450.64583</v>
      </c>
      <c r="B3346" s="2">
        <f>IFERROR(__xludf.DUMMYFUNCTION("""COMPUTED_VALUE"""),313.0)</f>
        <v>313</v>
      </c>
      <c r="C3346" s="2">
        <f>IFERROR(__xludf.DUMMYFUNCTION("""COMPUTED_VALUE"""),323.2)</f>
        <v>323.2</v>
      </c>
      <c r="D3346" s="2">
        <f>IFERROR(__xludf.DUMMYFUNCTION("""COMPUTED_VALUE"""),311.2)</f>
        <v>311.2</v>
      </c>
      <c r="E3346" s="2">
        <f>IFERROR(__xludf.DUMMYFUNCTION("""COMPUTED_VALUE"""),317.0)</f>
        <v>317</v>
      </c>
      <c r="F3346" s="2">
        <f>IFERROR(__xludf.DUMMYFUNCTION("""COMPUTED_VALUE"""),4671608.0)</f>
        <v>4671608</v>
      </c>
    </row>
    <row r="3347">
      <c r="A3347" s="3">
        <f>IFERROR(__xludf.DUMMYFUNCTION("""COMPUTED_VALUE"""),41451.645833333336)</f>
        <v>41451.64583</v>
      </c>
      <c r="B3347" s="2">
        <f>IFERROR(__xludf.DUMMYFUNCTION("""COMPUTED_VALUE"""),315.75)</f>
        <v>315.75</v>
      </c>
      <c r="C3347" s="2">
        <f>IFERROR(__xludf.DUMMYFUNCTION("""COMPUTED_VALUE"""),318.83)</f>
        <v>318.83</v>
      </c>
      <c r="D3347" s="2">
        <f>IFERROR(__xludf.DUMMYFUNCTION("""COMPUTED_VALUE"""),310.0)</f>
        <v>310</v>
      </c>
      <c r="E3347" s="2">
        <f>IFERROR(__xludf.DUMMYFUNCTION("""COMPUTED_VALUE"""),311.42)</f>
        <v>311.42</v>
      </c>
      <c r="F3347" s="2">
        <f>IFERROR(__xludf.DUMMYFUNCTION("""COMPUTED_VALUE"""),2619005.0)</f>
        <v>2619005</v>
      </c>
    </row>
    <row r="3348">
      <c r="A3348" s="3">
        <f>IFERROR(__xludf.DUMMYFUNCTION("""COMPUTED_VALUE"""),41452.645833333336)</f>
        <v>41452.64583</v>
      </c>
      <c r="B3348" s="2">
        <f>IFERROR(__xludf.DUMMYFUNCTION("""COMPUTED_VALUE"""),317.0)</f>
        <v>317</v>
      </c>
      <c r="C3348" s="2">
        <f>IFERROR(__xludf.DUMMYFUNCTION("""COMPUTED_VALUE"""),326.35)</f>
        <v>326.35</v>
      </c>
      <c r="D3348" s="2">
        <f>IFERROR(__xludf.DUMMYFUNCTION("""COMPUTED_VALUE"""),311.17)</f>
        <v>311.17</v>
      </c>
      <c r="E3348" s="2">
        <f>IFERROR(__xludf.DUMMYFUNCTION("""COMPUTED_VALUE"""),323.25)</f>
        <v>323.25</v>
      </c>
      <c r="F3348" s="2">
        <f>IFERROR(__xludf.DUMMYFUNCTION("""COMPUTED_VALUE"""),6750890.0)</f>
        <v>6750890</v>
      </c>
    </row>
    <row r="3349">
      <c r="A3349" s="3">
        <f>IFERROR(__xludf.DUMMYFUNCTION("""COMPUTED_VALUE"""),41453.645833333336)</f>
        <v>41453.64583</v>
      </c>
      <c r="B3349" s="2">
        <f>IFERROR(__xludf.DUMMYFUNCTION("""COMPUTED_VALUE"""),324.75)</f>
        <v>324.75</v>
      </c>
      <c r="C3349" s="2">
        <f>IFERROR(__xludf.DUMMYFUNCTION("""COMPUTED_VALUE"""),336.6)</f>
        <v>336.6</v>
      </c>
      <c r="D3349" s="2">
        <f>IFERROR(__xludf.DUMMYFUNCTION("""COMPUTED_VALUE"""),324.55)</f>
        <v>324.55</v>
      </c>
      <c r="E3349" s="2">
        <f>IFERROR(__xludf.DUMMYFUNCTION("""COMPUTED_VALUE"""),334.75)</f>
        <v>334.75</v>
      </c>
      <c r="F3349" s="2">
        <f>IFERROR(__xludf.DUMMYFUNCTION("""COMPUTED_VALUE"""),5270670.0)</f>
        <v>5270670</v>
      </c>
    </row>
    <row r="3350">
      <c r="A3350" s="3">
        <f>IFERROR(__xludf.DUMMYFUNCTION("""COMPUTED_VALUE"""),41456.645833333336)</f>
        <v>41456.64583</v>
      </c>
      <c r="B3350" s="2">
        <f>IFERROR(__xludf.DUMMYFUNCTION("""COMPUTED_VALUE"""),334.5)</f>
        <v>334.5</v>
      </c>
      <c r="C3350" s="2">
        <f>IFERROR(__xludf.DUMMYFUNCTION("""COMPUTED_VALUE"""),337.0)</f>
        <v>337</v>
      </c>
      <c r="D3350" s="2">
        <f>IFERROR(__xludf.DUMMYFUNCTION("""COMPUTED_VALUE"""),332.33)</f>
        <v>332.33</v>
      </c>
      <c r="E3350" s="2">
        <f>IFERROR(__xludf.DUMMYFUNCTION("""COMPUTED_VALUE"""),334.38)</f>
        <v>334.38</v>
      </c>
      <c r="F3350" s="2">
        <f>IFERROR(__xludf.DUMMYFUNCTION("""COMPUTED_VALUE"""),2459671.0)</f>
        <v>2459671</v>
      </c>
    </row>
    <row r="3351">
      <c r="A3351" s="3">
        <f>IFERROR(__xludf.DUMMYFUNCTION("""COMPUTED_VALUE"""),41457.645833333336)</f>
        <v>41457.64583</v>
      </c>
      <c r="B3351" s="2">
        <f>IFERROR(__xludf.DUMMYFUNCTION("""COMPUTED_VALUE"""),334.35)</f>
        <v>334.35</v>
      </c>
      <c r="C3351" s="2">
        <f>IFERROR(__xludf.DUMMYFUNCTION("""COMPUTED_VALUE"""),334.38)</f>
        <v>334.38</v>
      </c>
      <c r="D3351" s="2">
        <f>IFERROR(__xludf.DUMMYFUNCTION("""COMPUTED_VALUE"""),327.15)</f>
        <v>327.15</v>
      </c>
      <c r="E3351" s="2">
        <f>IFERROR(__xludf.DUMMYFUNCTION("""COMPUTED_VALUE"""),328.28)</f>
        <v>328.28</v>
      </c>
      <c r="F3351" s="2">
        <f>IFERROR(__xludf.DUMMYFUNCTION("""COMPUTED_VALUE"""),2295788.0)</f>
        <v>2295788</v>
      </c>
    </row>
    <row r="3352">
      <c r="A3352" s="3">
        <f>IFERROR(__xludf.DUMMYFUNCTION("""COMPUTED_VALUE"""),41458.645833333336)</f>
        <v>41458.64583</v>
      </c>
      <c r="B3352" s="2">
        <f>IFERROR(__xludf.DUMMYFUNCTION("""COMPUTED_VALUE"""),327.0)</f>
        <v>327</v>
      </c>
      <c r="C3352" s="2">
        <f>IFERROR(__xludf.DUMMYFUNCTION("""COMPUTED_VALUE"""),327.35)</f>
        <v>327.35</v>
      </c>
      <c r="D3352" s="2">
        <f>IFERROR(__xludf.DUMMYFUNCTION("""COMPUTED_VALUE"""),321.8)</f>
        <v>321.8</v>
      </c>
      <c r="E3352" s="2">
        <f>IFERROR(__xludf.DUMMYFUNCTION("""COMPUTED_VALUE"""),325.33)</f>
        <v>325.33</v>
      </c>
      <c r="F3352" s="2">
        <f>IFERROR(__xludf.DUMMYFUNCTION("""COMPUTED_VALUE"""),3346565.0)</f>
        <v>3346565</v>
      </c>
    </row>
    <row r="3353">
      <c r="A3353" s="3">
        <f>IFERROR(__xludf.DUMMYFUNCTION("""COMPUTED_VALUE"""),41459.645833333336)</f>
        <v>41459.64583</v>
      </c>
      <c r="B3353" s="2">
        <f>IFERROR(__xludf.DUMMYFUNCTION("""COMPUTED_VALUE"""),326.9)</f>
        <v>326.9</v>
      </c>
      <c r="C3353" s="2">
        <f>IFERROR(__xludf.DUMMYFUNCTION("""COMPUTED_VALUE"""),328.73)</f>
        <v>328.73</v>
      </c>
      <c r="D3353" s="2">
        <f>IFERROR(__xludf.DUMMYFUNCTION("""COMPUTED_VALUE"""),322.85)</f>
        <v>322.85</v>
      </c>
      <c r="E3353" s="2">
        <f>IFERROR(__xludf.DUMMYFUNCTION("""COMPUTED_VALUE"""),327.58)</f>
        <v>327.58</v>
      </c>
      <c r="F3353" s="2">
        <f>IFERROR(__xludf.DUMMYFUNCTION("""COMPUTED_VALUE"""),2397765.0)</f>
        <v>2397765</v>
      </c>
    </row>
    <row r="3354">
      <c r="A3354" s="3">
        <f>IFERROR(__xludf.DUMMYFUNCTION("""COMPUTED_VALUE"""),41460.645833333336)</f>
        <v>41460.64583</v>
      </c>
      <c r="B3354" s="2">
        <f>IFERROR(__xludf.DUMMYFUNCTION("""COMPUTED_VALUE"""),330.05)</f>
        <v>330.05</v>
      </c>
      <c r="C3354" s="2">
        <f>IFERROR(__xludf.DUMMYFUNCTION("""COMPUTED_VALUE"""),336.38)</f>
        <v>336.38</v>
      </c>
      <c r="D3354" s="2">
        <f>IFERROR(__xludf.DUMMYFUNCTION("""COMPUTED_VALUE"""),329.25)</f>
        <v>329.25</v>
      </c>
      <c r="E3354" s="2">
        <f>IFERROR(__xludf.DUMMYFUNCTION("""COMPUTED_VALUE"""),333.88)</f>
        <v>333.88</v>
      </c>
      <c r="F3354" s="2">
        <f>IFERROR(__xludf.DUMMYFUNCTION("""COMPUTED_VALUE"""),2385874.0)</f>
        <v>2385874</v>
      </c>
    </row>
    <row r="3355">
      <c r="A3355" s="3">
        <f>IFERROR(__xludf.DUMMYFUNCTION("""COMPUTED_VALUE"""),41463.645833333336)</f>
        <v>41463.64583</v>
      </c>
      <c r="B3355" s="2">
        <f>IFERROR(__xludf.DUMMYFUNCTION("""COMPUTED_VALUE"""),332.0)</f>
        <v>332</v>
      </c>
      <c r="C3355" s="2">
        <f>IFERROR(__xludf.DUMMYFUNCTION("""COMPUTED_VALUE"""),333.73)</f>
        <v>333.73</v>
      </c>
      <c r="D3355" s="2">
        <f>IFERROR(__xludf.DUMMYFUNCTION("""COMPUTED_VALUE"""),326.38)</f>
        <v>326.38</v>
      </c>
      <c r="E3355" s="2">
        <f>IFERROR(__xludf.DUMMYFUNCTION("""COMPUTED_VALUE"""),330.23)</f>
        <v>330.23</v>
      </c>
      <c r="F3355" s="2">
        <f>IFERROR(__xludf.DUMMYFUNCTION("""COMPUTED_VALUE"""),1792324.0)</f>
        <v>1792324</v>
      </c>
    </row>
    <row r="3356">
      <c r="A3356" s="3">
        <f>IFERROR(__xludf.DUMMYFUNCTION("""COMPUTED_VALUE"""),41464.645833333336)</f>
        <v>41464.64583</v>
      </c>
      <c r="B3356" s="2">
        <f>IFERROR(__xludf.DUMMYFUNCTION("""COMPUTED_VALUE"""),331.1)</f>
        <v>331.1</v>
      </c>
      <c r="C3356" s="2">
        <f>IFERROR(__xludf.DUMMYFUNCTION("""COMPUTED_VALUE"""),336.88)</f>
        <v>336.88</v>
      </c>
      <c r="D3356" s="2">
        <f>IFERROR(__xludf.DUMMYFUNCTION("""COMPUTED_VALUE"""),331.1)</f>
        <v>331.1</v>
      </c>
      <c r="E3356" s="2">
        <f>IFERROR(__xludf.DUMMYFUNCTION("""COMPUTED_VALUE"""),335.15)</f>
        <v>335.15</v>
      </c>
      <c r="F3356" s="2">
        <f>IFERROR(__xludf.DUMMYFUNCTION("""COMPUTED_VALUE"""),1760048.0)</f>
        <v>1760048</v>
      </c>
    </row>
    <row r="3357">
      <c r="A3357" s="3">
        <f>IFERROR(__xludf.DUMMYFUNCTION("""COMPUTED_VALUE"""),41465.645833333336)</f>
        <v>41465.64583</v>
      </c>
      <c r="B3357" s="2">
        <f>IFERROR(__xludf.DUMMYFUNCTION("""COMPUTED_VALUE"""),335.13)</f>
        <v>335.13</v>
      </c>
      <c r="C3357" s="2">
        <f>IFERROR(__xludf.DUMMYFUNCTION("""COMPUTED_VALUE"""),335.95)</f>
        <v>335.95</v>
      </c>
      <c r="D3357" s="2">
        <f>IFERROR(__xludf.DUMMYFUNCTION("""COMPUTED_VALUE"""),328.08)</f>
        <v>328.08</v>
      </c>
      <c r="E3357" s="2">
        <f>IFERROR(__xludf.DUMMYFUNCTION("""COMPUTED_VALUE"""),329.65)</f>
        <v>329.65</v>
      </c>
      <c r="F3357" s="2">
        <f>IFERROR(__xludf.DUMMYFUNCTION("""COMPUTED_VALUE"""),1784645.0)</f>
        <v>1784645</v>
      </c>
    </row>
    <row r="3358">
      <c r="A3358" s="3">
        <f>IFERROR(__xludf.DUMMYFUNCTION("""COMPUTED_VALUE"""),41466.645833333336)</f>
        <v>41466.64583</v>
      </c>
      <c r="B3358" s="2">
        <f>IFERROR(__xludf.DUMMYFUNCTION("""COMPUTED_VALUE"""),333.5)</f>
        <v>333.5</v>
      </c>
      <c r="C3358" s="2">
        <f>IFERROR(__xludf.DUMMYFUNCTION("""COMPUTED_VALUE"""),343.35)</f>
        <v>343.35</v>
      </c>
      <c r="D3358" s="2">
        <f>IFERROR(__xludf.DUMMYFUNCTION("""COMPUTED_VALUE"""),333.03)</f>
        <v>333.03</v>
      </c>
      <c r="E3358" s="2">
        <f>IFERROR(__xludf.DUMMYFUNCTION("""COMPUTED_VALUE"""),341.63)</f>
        <v>341.63</v>
      </c>
      <c r="F3358" s="2">
        <f>IFERROR(__xludf.DUMMYFUNCTION("""COMPUTED_VALUE"""),2649892.0)</f>
        <v>2649892</v>
      </c>
    </row>
    <row r="3359">
      <c r="A3359" s="3">
        <f>IFERROR(__xludf.DUMMYFUNCTION("""COMPUTED_VALUE"""),41467.645833333336)</f>
        <v>41467.64583</v>
      </c>
      <c r="B3359" s="2">
        <f>IFERROR(__xludf.DUMMYFUNCTION("""COMPUTED_VALUE"""),343.5)</f>
        <v>343.5</v>
      </c>
      <c r="C3359" s="2">
        <f>IFERROR(__xludf.DUMMYFUNCTION("""COMPUTED_VALUE"""),348.85)</f>
        <v>348.85</v>
      </c>
      <c r="D3359" s="2">
        <f>IFERROR(__xludf.DUMMYFUNCTION("""COMPUTED_VALUE"""),340.9)</f>
        <v>340.9</v>
      </c>
      <c r="E3359" s="2">
        <f>IFERROR(__xludf.DUMMYFUNCTION("""COMPUTED_VALUE"""),347.88)</f>
        <v>347.88</v>
      </c>
      <c r="F3359" s="2">
        <f>IFERROR(__xludf.DUMMYFUNCTION("""COMPUTED_VALUE"""),3908713.0)</f>
        <v>3908713</v>
      </c>
    </row>
    <row r="3360">
      <c r="A3360" s="3">
        <f>IFERROR(__xludf.DUMMYFUNCTION("""COMPUTED_VALUE"""),41470.645833333336)</f>
        <v>41470.64583</v>
      </c>
      <c r="B3360" s="2">
        <f>IFERROR(__xludf.DUMMYFUNCTION("""COMPUTED_VALUE"""),345.5)</f>
        <v>345.5</v>
      </c>
      <c r="C3360" s="2">
        <f>IFERROR(__xludf.DUMMYFUNCTION("""COMPUTED_VALUE"""),349.03)</f>
        <v>349.03</v>
      </c>
      <c r="D3360" s="2">
        <f>IFERROR(__xludf.DUMMYFUNCTION("""COMPUTED_VALUE"""),342.0)</f>
        <v>342</v>
      </c>
      <c r="E3360" s="2">
        <f>IFERROR(__xludf.DUMMYFUNCTION("""COMPUTED_VALUE"""),347.73)</f>
        <v>347.73</v>
      </c>
      <c r="F3360" s="2">
        <f>IFERROR(__xludf.DUMMYFUNCTION("""COMPUTED_VALUE"""),2127972.0)</f>
        <v>2127972</v>
      </c>
    </row>
    <row r="3361">
      <c r="A3361" s="3">
        <f>IFERROR(__xludf.DUMMYFUNCTION("""COMPUTED_VALUE"""),41471.645833333336)</f>
        <v>41471.64583</v>
      </c>
      <c r="B3361" s="2">
        <f>IFERROR(__xludf.DUMMYFUNCTION("""COMPUTED_VALUE"""),339.5)</f>
        <v>339.5</v>
      </c>
      <c r="C3361" s="2">
        <f>IFERROR(__xludf.DUMMYFUNCTION("""COMPUTED_VALUE"""),342.25)</f>
        <v>342.25</v>
      </c>
      <c r="D3361" s="2">
        <f>IFERROR(__xludf.DUMMYFUNCTION("""COMPUTED_VALUE"""),334.98)</f>
        <v>334.98</v>
      </c>
      <c r="E3361" s="2">
        <f>IFERROR(__xludf.DUMMYFUNCTION("""COMPUTED_VALUE"""),339.35)</f>
        <v>339.35</v>
      </c>
      <c r="F3361" s="2">
        <f>IFERROR(__xludf.DUMMYFUNCTION("""COMPUTED_VALUE"""),2911846.0)</f>
        <v>2911846</v>
      </c>
    </row>
    <row r="3362">
      <c r="A3362" s="3">
        <f>IFERROR(__xludf.DUMMYFUNCTION("""COMPUTED_VALUE"""),41472.645833333336)</f>
        <v>41472.64583</v>
      </c>
      <c r="B3362" s="2">
        <f>IFERROR(__xludf.DUMMYFUNCTION("""COMPUTED_VALUE"""),338.9)</f>
        <v>338.9</v>
      </c>
      <c r="C3362" s="2">
        <f>IFERROR(__xludf.DUMMYFUNCTION("""COMPUTED_VALUE"""),340.4)</f>
        <v>340.4</v>
      </c>
      <c r="D3362" s="2">
        <f>IFERROR(__xludf.DUMMYFUNCTION("""COMPUTED_VALUE"""),323.95)</f>
        <v>323.95</v>
      </c>
      <c r="E3362" s="2">
        <f>IFERROR(__xludf.DUMMYFUNCTION("""COMPUTED_VALUE"""),331.45)</f>
        <v>331.45</v>
      </c>
      <c r="F3362" s="2">
        <f>IFERROR(__xludf.DUMMYFUNCTION("""COMPUTED_VALUE"""),5658497.0)</f>
        <v>5658497</v>
      </c>
    </row>
    <row r="3363">
      <c r="A3363" s="3">
        <f>IFERROR(__xludf.DUMMYFUNCTION("""COMPUTED_VALUE"""),41473.645833333336)</f>
        <v>41473.64583</v>
      </c>
      <c r="B3363" s="2">
        <f>IFERROR(__xludf.DUMMYFUNCTION("""COMPUTED_VALUE"""),334.95)</f>
        <v>334.95</v>
      </c>
      <c r="C3363" s="2">
        <f>IFERROR(__xludf.DUMMYFUNCTION("""COMPUTED_VALUE"""),344.25)</f>
        <v>344.25</v>
      </c>
      <c r="D3363" s="2">
        <f>IFERROR(__xludf.DUMMYFUNCTION("""COMPUTED_VALUE"""),328.48)</f>
        <v>328.48</v>
      </c>
      <c r="E3363" s="2">
        <f>IFERROR(__xludf.DUMMYFUNCTION("""COMPUTED_VALUE"""),342.05)</f>
        <v>342.05</v>
      </c>
      <c r="F3363" s="2">
        <f>IFERROR(__xludf.DUMMYFUNCTION("""COMPUTED_VALUE"""),3415970.0)</f>
        <v>3415970</v>
      </c>
    </row>
    <row r="3364">
      <c r="A3364" s="3">
        <f>IFERROR(__xludf.DUMMYFUNCTION("""COMPUTED_VALUE"""),41474.645833333336)</f>
        <v>41474.64583</v>
      </c>
      <c r="B3364" s="2">
        <f>IFERROR(__xludf.DUMMYFUNCTION("""COMPUTED_VALUE"""),344.03)</f>
        <v>344.03</v>
      </c>
      <c r="C3364" s="2">
        <f>IFERROR(__xludf.DUMMYFUNCTION("""COMPUTED_VALUE"""),345.98)</f>
        <v>345.98</v>
      </c>
      <c r="D3364" s="2">
        <f>IFERROR(__xludf.DUMMYFUNCTION("""COMPUTED_VALUE"""),336.58)</f>
        <v>336.58</v>
      </c>
      <c r="E3364" s="2">
        <f>IFERROR(__xludf.DUMMYFUNCTION("""COMPUTED_VALUE"""),340.0)</f>
        <v>340</v>
      </c>
      <c r="F3364" s="2">
        <f>IFERROR(__xludf.DUMMYFUNCTION("""COMPUTED_VALUE"""),3114605.0)</f>
        <v>3114605</v>
      </c>
    </row>
    <row r="3365">
      <c r="A3365" s="3">
        <f>IFERROR(__xludf.DUMMYFUNCTION("""COMPUTED_VALUE"""),41477.645833333336)</f>
        <v>41477.64583</v>
      </c>
      <c r="B3365" s="2">
        <f>IFERROR(__xludf.DUMMYFUNCTION("""COMPUTED_VALUE"""),338.0)</f>
        <v>338</v>
      </c>
      <c r="C3365" s="2">
        <f>IFERROR(__xludf.DUMMYFUNCTION("""COMPUTED_VALUE"""),343.5)</f>
        <v>343.5</v>
      </c>
      <c r="D3365" s="2">
        <f>IFERROR(__xludf.DUMMYFUNCTION("""COMPUTED_VALUE"""),338.0)</f>
        <v>338</v>
      </c>
      <c r="E3365" s="2">
        <f>IFERROR(__xludf.DUMMYFUNCTION("""COMPUTED_VALUE"""),341.03)</f>
        <v>341.03</v>
      </c>
      <c r="F3365" s="2">
        <f>IFERROR(__xludf.DUMMYFUNCTION("""COMPUTED_VALUE"""),1615108.0)</f>
        <v>1615108</v>
      </c>
    </row>
    <row r="3366">
      <c r="A3366" s="3">
        <f>IFERROR(__xludf.DUMMYFUNCTION("""COMPUTED_VALUE"""),41478.645833333336)</f>
        <v>41478.64583</v>
      </c>
      <c r="B3366" s="2">
        <f>IFERROR(__xludf.DUMMYFUNCTION("""COMPUTED_VALUE"""),343.95)</f>
        <v>343.95</v>
      </c>
      <c r="C3366" s="2">
        <f>IFERROR(__xludf.DUMMYFUNCTION("""COMPUTED_VALUE"""),345.0)</f>
        <v>345</v>
      </c>
      <c r="D3366" s="2">
        <f>IFERROR(__xludf.DUMMYFUNCTION("""COMPUTED_VALUE"""),340.53)</f>
        <v>340.53</v>
      </c>
      <c r="E3366" s="2">
        <f>IFERROR(__xludf.DUMMYFUNCTION("""COMPUTED_VALUE"""),341.8)</f>
        <v>341.8</v>
      </c>
      <c r="F3366" s="2">
        <f>IFERROR(__xludf.DUMMYFUNCTION("""COMPUTED_VALUE"""),1853696.0)</f>
        <v>1853696</v>
      </c>
    </row>
    <row r="3367">
      <c r="A3367" s="3">
        <f>IFERROR(__xludf.DUMMYFUNCTION("""COMPUTED_VALUE"""),41479.645833333336)</f>
        <v>41479.64583</v>
      </c>
      <c r="B3367" s="2">
        <f>IFERROR(__xludf.DUMMYFUNCTION("""COMPUTED_VALUE"""),337.0)</f>
        <v>337</v>
      </c>
      <c r="C3367" s="2">
        <f>IFERROR(__xludf.DUMMYFUNCTION("""COMPUTED_VALUE"""),338.0)</f>
        <v>338</v>
      </c>
      <c r="D3367" s="2">
        <f>IFERROR(__xludf.DUMMYFUNCTION("""COMPUTED_VALUE"""),326.75)</f>
        <v>326.75</v>
      </c>
      <c r="E3367" s="2">
        <f>IFERROR(__xludf.DUMMYFUNCTION("""COMPUTED_VALUE"""),329.98)</f>
        <v>329.98</v>
      </c>
      <c r="F3367" s="2">
        <f>IFERROR(__xludf.DUMMYFUNCTION("""COMPUTED_VALUE"""),3657187.0)</f>
        <v>3657187</v>
      </c>
    </row>
    <row r="3368">
      <c r="A3368" s="3">
        <f>IFERROR(__xludf.DUMMYFUNCTION("""COMPUTED_VALUE"""),41480.645833333336)</f>
        <v>41480.64583</v>
      </c>
      <c r="B3368" s="2">
        <f>IFERROR(__xludf.DUMMYFUNCTION("""COMPUTED_VALUE"""),330.33)</f>
        <v>330.33</v>
      </c>
      <c r="C3368" s="2">
        <f>IFERROR(__xludf.DUMMYFUNCTION("""COMPUTED_VALUE"""),333.0)</f>
        <v>333</v>
      </c>
      <c r="D3368" s="2">
        <f>IFERROR(__xludf.DUMMYFUNCTION("""COMPUTED_VALUE"""),325.08)</f>
        <v>325.08</v>
      </c>
      <c r="E3368" s="2">
        <f>IFERROR(__xludf.DUMMYFUNCTION("""COMPUTED_VALUE"""),326.92)</f>
        <v>326.92</v>
      </c>
      <c r="F3368" s="2">
        <f>IFERROR(__xludf.DUMMYFUNCTION("""COMPUTED_VALUE"""),4066814.0)</f>
        <v>4066814</v>
      </c>
    </row>
    <row r="3369">
      <c r="A3369" s="3">
        <f>IFERROR(__xludf.DUMMYFUNCTION("""COMPUTED_VALUE"""),41481.645833333336)</f>
        <v>41481.64583</v>
      </c>
      <c r="B3369" s="2">
        <f>IFERROR(__xludf.DUMMYFUNCTION("""COMPUTED_VALUE"""),328.0)</f>
        <v>328</v>
      </c>
      <c r="C3369" s="2">
        <f>IFERROR(__xludf.DUMMYFUNCTION("""COMPUTED_VALUE"""),328.13)</f>
        <v>328.13</v>
      </c>
      <c r="D3369" s="2">
        <f>IFERROR(__xludf.DUMMYFUNCTION("""COMPUTED_VALUE"""),319.0)</f>
        <v>319</v>
      </c>
      <c r="E3369" s="2">
        <f>IFERROR(__xludf.DUMMYFUNCTION("""COMPUTED_VALUE"""),322.05)</f>
        <v>322.05</v>
      </c>
      <c r="F3369" s="2">
        <f>IFERROR(__xludf.DUMMYFUNCTION("""COMPUTED_VALUE"""),2339123.0)</f>
        <v>2339123</v>
      </c>
    </row>
    <row r="3370">
      <c r="A3370" s="3">
        <f>IFERROR(__xludf.DUMMYFUNCTION("""COMPUTED_VALUE"""),41484.645833333336)</f>
        <v>41484.64583</v>
      </c>
      <c r="B3370" s="2">
        <f>IFERROR(__xludf.DUMMYFUNCTION("""COMPUTED_VALUE"""),321.5)</f>
        <v>321.5</v>
      </c>
      <c r="C3370" s="2">
        <f>IFERROR(__xludf.DUMMYFUNCTION("""COMPUTED_VALUE"""),321.5)</f>
        <v>321.5</v>
      </c>
      <c r="D3370" s="2">
        <f>IFERROR(__xludf.DUMMYFUNCTION("""COMPUTED_VALUE"""),314.83)</f>
        <v>314.83</v>
      </c>
      <c r="E3370" s="2">
        <f>IFERROR(__xludf.DUMMYFUNCTION("""COMPUTED_VALUE"""),316.25)</f>
        <v>316.25</v>
      </c>
      <c r="F3370" s="2">
        <f>IFERROR(__xludf.DUMMYFUNCTION("""COMPUTED_VALUE"""),3730556.0)</f>
        <v>3730556</v>
      </c>
    </row>
    <row r="3371">
      <c r="A3371" s="3">
        <f>IFERROR(__xludf.DUMMYFUNCTION("""COMPUTED_VALUE"""),41485.645833333336)</f>
        <v>41485.64583</v>
      </c>
      <c r="B3371" s="2">
        <f>IFERROR(__xludf.DUMMYFUNCTION("""COMPUTED_VALUE"""),315.38)</f>
        <v>315.38</v>
      </c>
      <c r="C3371" s="2">
        <f>IFERROR(__xludf.DUMMYFUNCTION("""COMPUTED_VALUE"""),317.5)</f>
        <v>317.5</v>
      </c>
      <c r="D3371" s="2">
        <f>IFERROR(__xludf.DUMMYFUNCTION("""COMPUTED_VALUE"""),310.05)</f>
        <v>310.05</v>
      </c>
      <c r="E3371" s="2">
        <f>IFERROR(__xludf.DUMMYFUNCTION("""COMPUTED_VALUE"""),312.67)</f>
        <v>312.67</v>
      </c>
      <c r="F3371" s="2">
        <f>IFERROR(__xludf.DUMMYFUNCTION("""COMPUTED_VALUE"""),3672771.0)</f>
        <v>3672771</v>
      </c>
    </row>
    <row r="3372">
      <c r="A3372" s="3">
        <f>IFERROR(__xludf.DUMMYFUNCTION("""COMPUTED_VALUE"""),41486.645833333336)</f>
        <v>41486.64583</v>
      </c>
      <c r="B3372" s="2">
        <f>IFERROR(__xludf.DUMMYFUNCTION("""COMPUTED_VALUE"""),310.5)</f>
        <v>310.5</v>
      </c>
      <c r="C3372" s="2">
        <f>IFERROR(__xludf.DUMMYFUNCTION("""COMPUTED_VALUE"""),310.9)</f>
        <v>310.9</v>
      </c>
      <c r="D3372" s="2">
        <f>IFERROR(__xludf.DUMMYFUNCTION("""COMPUTED_VALUE"""),303.45)</f>
        <v>303.45</v>
      </c>
      <c r="E3372" s="2">
        <f>IFERROR(__xludf.DUMMYFUNCTION("""COMPUTED_VALUE"""),304.88)</f>
        <v>304.88</v>
      </c>
      <c r="F3372" s="2">
        <f>IFERROR(__xludf.DUMMYFUNCTION("""COMPUTED_VALUE"""),6706130.0)</f>
        <v>6706130</v>
      </c>
    </row>
    <row r="3373">
      <c r="A3373" s="3">
        <f>IFERROR(__xludf.DUMMYFUNCTION("""COMPUTED_VALUE"""),41487.645833333336)</f>
        <v>41487.64583</v>
      </c>
      <c r="B3373" s="2">
        <f>IFERROR(__xludf.DUMMYFUNCTION("""COMPUTED_VALUE"""),306.95)</f>
        <v>306.95</v>
      </c>
      <c r="C3373" s="2">
        <f>IFERROR(__xludf.DUMMYFUNCTION("""COMPUTED_VALUE"""),318.9)</f>
        <v>318.9</v>
      </c>
      <c r="D3373" s="2">
        <f>IFERROR(__xludf.DUMMYFUNCTION("""COMPUTED_VALUE"""),306.2)</f>
        <v>306.2</v>
      </c>
      <c r="E3373" s="2">
        <f>IFERROR(__xludf.DUMMYFUNCTION("""COMPUTED_VALUE"""),316.1)</f>
        <v>316.1</v>
      </c>
      <c r="F3373" s="2">
        <f>IFERROR(__xludf.DUMMYFUNCTION("""COMPUTED_VALUE"""),5861652.0)</f>
        <v>5861652</v>
      </c>
    </row>
    <row r="3374">
      <c r="A3374" s="3">
        <f>IFERROR(__xludf.DUMMYFUNCTION("""COMPUTED_VALUE"""),41488.645833333336)</f>
        <v>41488.64583</v>
      </c>
      <c r="B3374" s="2">
        <f>IFERROR(__xludf.DUMMYFUNCTION("""COMPUTED_VALUE"""),315.0)</f>
        <v>315</v>
      </c>
      <c r="C3374" s="2">
        <f>IFERROR(__xludf.DUMMYFUNCTION("""COMPUTED_VALUE"""),317.4)</f>
        <v>317.4</v>
      </c>
      <c r="D3374" s="2">
        <f>IFERROR(__xludf.DUMMYFUNCTION("""COMPUTED_VALUE"""),313.42)</f>
        <v>313.42</v>
      </c>
      <c r="E3374" s="2">
        <f>IFERROR(__xludf.DUMMYFUNCTION("""COMPUTED_VALUE"""),315.63)</f>
        <v>315.63</v>
      </c>
      <c r="F3374" s="2">
        <f>IFERROR(__xludf.DUMMYFUNCTION("""COMPUTED_VALUE"""),5003962.0)</f>
        <v>5003962</v>
      </c>
    </row>
    <row r="3375">
      <c r="A3375" s="3">
        <f>IFERROR(__xludf.DUMMYFUNCTION("""COMPUTED_VALUE"""),41491.645833333336)</f>
        <v>41491.64583</v>
      </c>
      <c r="B3375" s="2">
        <f>IFERROR(__xludf.DUMMYFUNCTION("""COMPUTED_VALUE"""),315.77)</f>
        <v>315.77</v>
      </c>
      <c r="C3375" s="2">
        <f>IFERROR(__xludf.DUMMYFUNCTION("""COMPUTED_VALUE"""),317.73)</f>
        <v>317.73</v>
      </c>
      <c r="D3375" s="2">
        <f>IFERROR(__xludf.DUMMYFUNCTION("""COMPUTED_VALUE"""),307.5)</f>
        <v>307.5</v>
      </c>
      <c r="E3375" s="2">
        <f>IFERROR(__xludf.DUMMYFUNCTION("""COMPUTED_VALUE"""),316.35)</f>
        <v>316.35</v>
      </c>
      <c r="F3375" s="2">
        <f>IFERROR(__xludf.DUMMYFUNCTION("""COMPUTED_VALUE"""),3399593.0)</f>
        <v>3399593</v>
      </c>
    </row>
    <row r="3376">
      <c r="A3376" s="3">
        <f>IFERROR(__xludf.DUMMYFUNCTION("""COMPUTED_VALUE"""),41492.645833333336)</f>
        <v>41492.64583</v>
      </c>
      <c r="B3376" s="2">
        <f>IFERROR(__xludf.DUMMYFUNCTION("""COMPUTED_VALUE"""),315.5)</f>
        <v>315.5</v>
      </c>
      <c r="C3376" s="2">
        <f>IFERROR(__xludf.DUMMYFUNCTION("""COMPUTED_VALUE"""),315.67)</f>
        <v>315.67</v>
      </c>
      <c r="D3376" s="2">
        <f>IFERROR(__xludf.DUMMYFUNCTION("""COMPUTED_VALUE"""),303.25)</f>
        <v>303.25</v>
      </c>
      <c r="E3376" s="2">
        <f>IFERROR(__xludf.DUMMYFUNCTION("""COMPUTED_VALUE"""),304.33)</f>
        <v>304.33</v>
      </c>
      <c r="F3376" s="2">
        <f>IFERROR(__xludf.DUMMYFUNCTION("""COMPUTED_VALUE"""),4911295.0)</f>
        <v>4911295</v>
      </c>
    </row>
    <row r="3377">
      <c r="A3377" s="3">
        <f>IFERROR(__xludf.DUMMYFUNCTION("""COMPUTED_VALUE"""),41493.645833333336)</f>
        <v>41493.64583</v>
      </c>
      <c r="B3377" s="2">
        <f>IFERROR(__xludf.DUMMYFUNCTION("""COMPUTED_VALUE"""),304.98)</f>
        <v>304.98</v>
      </c>
      <c r="C3377" s="2">
        <f>IFERROR(__xludf.DUMMYFUNCTION("""COMPUTED_VALUE"""),307.17)</f>
        <v>307.17</v>
      </c>
      <c r="D3377" s="2">
        <f>IFERROR(__xludf.DUMMYFUNCTION("""COMPUTED_VALUE"""),300.0)</f>
        <v>300</v>
      </c>
      <c r="E3377" s="2">
        <f>IFERROR(__xludf.DUMMYFUNCTION("""COMPUTED_VALUE"""),300.6)</f>
        <v>300.6</v>
      </c>
      <c r="F3377" s="2">
        <f>IFERROR(__xludf.DUMMYFUNCTION("""COMPUTED_VALUE"""),5689114.0)</f>
        <v>5689114</v>
      </c>
    </row>
    <row r="3378">
      <c r="A3378" s="3">
        <f>IFERROR(__xludf.DUMMYFUNCTION("""COMPUTED_VALUE"""),41494.645833333336)</f>
        <v>41494.64583</v>
      </c>
      <c r="B3378" s="2">
        <f>IFERROR(__xludf.DUMMYFUNCTION("""COMPUTED_VALUE"""),302.0)</f>
        <v>302</v>
      </c>
      <c r="C3378" s="2">
        <f>IFERROR(__xludf.DUMMYFUNCTION("""COMPUTED_VALUE"""),308.75)</f>
        <v>308.75</v>
      </c>
      <c r="D3378" s="2">
        <f>IFERROR(__xludf.DUMMYFUNCTION("""COMPUTED_VALUE"""),300.0)</f>
        <v>300</v>
      </c>
      <c r="E3378" s="2">
        <f>IFERROR(__xludf.DUMMYFUNCTION("""COMPUTED_VALUE"""),305.25)</f>
        <v>305.25</v>
      </c>
      <c r="F3378" s="2">
        <f>IFERROR(__xludf.DUMMYFUNCTION("""COMPUTED_VALUE"""),5115362.0)</f>
        <v>5115362</v>
      </c>
    </row>
    <row r="3379">
      <c r="A3379" s="3">
        <f>IFERROR(__xludf.DUMMYFUNCTION("""COMPUTED_VALUE"""),41498.645833333336)</f>
        <v>41498.64583</v>
      </c>
      <c r="B3379" s="2">
        <f>IFERROR(__xludf.DUMMYFUNCTION("""COMPUTED_VALUE"""),305.02)</f>
        <v>305.02</v>
      </c>
      <c r="C3379" s="2">
        <f>IFERROR(__xludf.DUMMYFUNCTION("""COMPUTED_VALUE"""),305.4)</f>
        <v>305.4</v>
      </c>
      <c r="D3379" s="2">
        <f>IFERROR(__xludf.DUMMYFUNCTION("""COMPUTED_VALUE"""),299.33)</f>
        <v>299.33</v>
      </c>
      <c r="E3379" s="2">
        <f>IFERROR(__xludf.DUMMYFUNCTION("""COMPUTED_VALUE"""),301.1)</f>
        <v>301.1</v>
      </c>
      <c r="F3379" s="2">
        <f>IFERROR(__xludf.DUMMYFUNCTION("""COMPUTED_VALUE"""),3925217.0)</f>
        <v>3925217</v>
      </c>
    </row>
    <row r="3380">
      <c r="A3380" s="3">
        <f>IFERROR(__xludf.DUMMYFUNCTION("""COMPUTED_VALUE"""),41499.645833333336)</f>
        <v>41499.64583</v>
      </c>
      <c r="B3380" s="2">
        <f>IFERROR(__xludf.DUMMYFUNCTION("""COMPUTED_VALUE"""),301.92)</f>
        <v>301.92</v>
      </c>
      <c r="C3380" s="2">
        <f>IFERROR(__xludf.DUMMYFUNCTION("""COMPUTED_VALUE"""),312.4)</f>
        <v>312.4</v>
      </c>
      <c r="D3380" s="2">
        <f>IFERROR(__xludf.DUMMYFUNCTION("""COMPUTED_VALUE"""),299.08)</f>
        <v>299.08</v>
      </c>
      <c r="E3380" s="2">
        <f>IFERROR(__xludf.DUMMYFUNCTION("""COMPUTED_VALUE"""),310.25)</f>
        <v>310.25</v>
      </c>
      <c r="F3380" s="2">
        <f>IFERROR(__xludf.DUMMYFUNCTION("""COMPUTED_VALUE"""),3675598.0)</f>
        <v>3675598</v>
      </c>
    </row>
    <row r="3381">
      <c r="A3381" s="3">
        <f>IFERROR(__xludf.DUMMYFUNCTION("""COMPUTED_VALUE"""),41500.645833333336)</f>
        <v>41500.64583</v>
      </c>
      <c r="B3381" s="2">
        <f>IFERROR(__xludf.DUMMYFUNCTION("""COMPUTED_VALUE"""),311.0)</f>
        <v>311</v>
      </c>
      <c r="C3381" s="2">
        <f>IFERROR(__xludf.DUMMYFUNCTION("""COMPUTED_VALUE"""),311.83)</f>
        <v>311.83</v>
      </c>
      <c r="D3381" s="2">
        <f>IFERROR(__xludf.DUMMYFUNCTION("""COMPUTED_VALUE"""),304.33)</f>
        <v>304.33</v>
      </c>
      <c r="E3381" s="2">
        <f>IFERROR(__xludf.DUMMYFUNCTION("""COMPUTED_VALUE"""),310.67)</f>
        <v>310.67</v>
      </c>
      <c r="F3381" s="2">
        <f>IFERROR(__xludf.DUMMYFUNCTION("""COMPUTED_VALUE"""),3575927.0)</f>
        <v>3575927</v>
      </c>
    </row>
    <row r="3382">
      <c r="A3382" s="3">
        <f>IFERROR(__xludf.DUMMYFUNCTION("""COMPUTED_VALUE"""),41502.645833333336)</f>
        <v>41502.64583</v>
      </c>
      <c r="B3382" s="2">
        <f>IFERROR(__xludf.DUMMYFUNCTION("""COMPUTED_VALUE"""),307.0)</f>
        <v>307</v>
      </c>
      <c r="C3382" s="2">
        <f>IFERROR(__xludf.DUMMYFUNCTION("""COMPUTED_VALUE"""),311.0)</f>
        <v>311</v>
      </c>
      <c r="D3382" s="2">
        <f>IFERROR(__xludf.DUMMYFUNCTION("""COMPUTED_VALUE"""),292.45)</f>
        <v>292.45</v>
      </c>
      <c r="E3382" s="2">
        <f>IFERROR(__xludf.DUMMYFUNCTION("""COMPUTED_VALUE"""),293.95)</f>
        <v>293.95</v>
      </c>
      <c r="F3382" s="2">
        <f>IFERROR(__xludf.DUMMYFUNCTION("""COMPUTED_VALUE"""),7014892.0)</f>
        <v>7014892</v>
      </c>
    </row>
    <row r="3383">
      <c r="A3383" s="3">
        <f>IFERROR(__xludf.DUMMYFUNCTION("""COMPUTED_VALUE"""),41505.645833333336)</f>
        <v>41505.64583</v>
      </c>
      <c r="B3383" s="2">
        <f>IFERROR(__xludf.DUMMYFUNCTION("""COMPUTED_VALUE"""),293.5)</f>
        <v>293.5</v>
      </c>
      <c r="C3383" s="2">
        <f>IFERROR(__xludf.DUMMYFUNCTION("""COMPUTED_VALUE"""),294.3)</f>
        <v>294.3</v>
      </c>
      <c r="D3383" s="2">
        <f>IFERROR(__xludf.DUMMYFUNCTION("""COMPUTED_VALUE"""),285.15)</f>
        <v>285.15</v>
      </c>
      <c r="E3383" s="2">
        <f>IFERROR(__xludf.DUMMYFUNCTION("""COMPUTED_VALUE"""),292.35)</f>
        <v>292.35</v>
      </c>
      <c r="F3383" s="2">
        <f>IFERROR(__xludf.DUMMYFUNCTION("""COMPUTED_VALUE"""),5004610.0)</f>
        <v>5004610</v>
      </c>
    </row>
    <row r="3384">
      <c r="A3384" s="3">
        <f>IFERROR(__xludf.DUMMYFUNCTION("""COMPUTED_VALUE"""),41506.645833333336)</f>
        <v>41506.64583</v>
      </c>
      <c r="B3384" s="2">
        <f>IFERROR(__xludf.DUMMYFUNCTION("""COMPUTED_VALUE"""),287.48)</f>
        <v>287.48</v>
      </c>
      <c r="C3384" s="2">
        <f>IFERROR(__xludf.DUMMYFUNCTION("""COMPUTED_VALUE"""),294.95)</f>
        <v>294.95</v>
      </c>
      <c r="D3384" s="2">
        <f>IFERROR(__xludf.DUMMYFUNCTION("""COMPUTED_VALUE"""),283.25)</f>
        <v>283.25</v>
      </c>
      <c r="E3384" s="2">
        <f>IFERROR(__xludf.DUMMYFUNCTION("""COMPUTED_VALUE"""),292.38)</f>
        <v>292.38</v>
      </c>
      <c r="F3384" s="2">
        <f>IFERROR(__xludf.DUMMYFUNCTION("""COMPUTED_VALUE"""),6431746.0)</f>
        <v>6431746</v>
      </c>
    </row>
    <row r="3385">
      <c r="A3385" s="3">
        <f>IFERROR(__xludf.DUMMYFUNCTION("""COMPUTED_VALUE"""),41507.645833333336)</f>
        <v>41507.64583</v>
      </c>
      <c r="B3385" s="2">
        <f>IFERROR(__xludf.DUMMYFUNCTION("""COMPUTED_VALUE"""),303.0)</f>
        <v>303</v>
      </c>
      <c r="C3385" s="2">
        <f>IFERROR(__xludf.DUMMYFUNCTION("""COMPUTED_VALUE"""),309.67)</f>
        <v>309.67</v>
      </c>
      <c r="D3385" s="2">
        <f>IFERROR(__xludf.DUMMYFUNCTION("""COMPUTED_VALUE"""),295.0)</f>
        <v>295</v>
      </c>
      <c r="E3385" s="2">
        <f>IFERROR(__xludf.DUMMYFUNCTION("""COMPUTED_VALUE"""),296.67)</f>
        <v>296.67</v>
      </c>
      <c r="F3385" s="2">
        <f>IFERROR(__xludf.DUMMYFUNCTION("""COMPUTED_VALUE"""),7227149.0)</f>
        <v>7227149</v>
      </c>
    </row>
    <row r="3386">
      <c r="A3386" s="3">
        <f>IFERROR(__xludf.DUMMYFUNCTION("""COMPUTED_VALUE"""),41508.645833333336)</f>
        <v>41508.64583</v>
      </c>
      <c r="B3386" s="2">
        <f>IFERROR(__xludf.DUMMYFUNCTION("""COMPUTED_VALUE"""),294.5)</f>
        <v>294.5</v>
      </c>
      <c r="C3386" s="2">
        <f>IFERROR(__xludf.DUMMYFUNCTION("""COMPUTED_VALUE"""),301.85)</f>
        <v>301.85</v>
      </c>
      <c r="D3386" s="2">
        <f>IFERROR(__xludf.DUMMYFUNCTION("""COMPUTED_VALUE"""),285.0)</f>
        <v>285</v>
      </c>
      <c r="E3386" s="2">
        <f>IFERROR(__xludf.DUMMYFUNCTION("""COMPUTED_VALUE"""),294.35)</f>
        <v>294.35</v>
      </c>
      <c r="F3386" s="2">
        <f>IFERROR(__xludf.DUMMYFUNCTION("""COMPUTED_VALUE"""),7562673.0)</f>
        <v>7562673</v>
      </c>
    </row>
    <row r="3387">
      <c r="A3387" s="3">
        <f>IFERROR(__xludf.DUMMYFUNCTION("""COMPUTED_VALUE"""),41509.645833333336)</f>
        <v>41509.64583</v>
      </c>
      <c r="B3387" s="2">
        <f>IFERROR(__xludf.DUMMYFUNCTION("""COMPUTED_VALUE"""),296.0)</f>
        <v>296</v>
      </c>
      <c r="C3387" s="2">
        <f>IFERROR(__xludf.DUMMYFUNCTION("""COMPUTED_VALUE"""),304.58)</f>
        <v>304.58</v>
      </c>
      <c r="D3387" s="2">
        <f>IFERROR(__xludf.DUMMYFUNCTION("""COMPUTED_VALUE"""),294.15)</f>
        <v>294.15</v>
      </c>
      <c r="E3387" s="2">
        <f>IFERROR(__xludf.DUMMYFUNCTION("""COMPUTED_VALUE"""),303.77)</f>
        <v>303.77</v>
      </c>
      <c r="F3387" s="2">
        <f>IFERROR(__xludf.DUMMYFUNCTION("""COMPUTED_VALUE"""),5174611.0)</f>
        <v>5174611</v>
      </c>
    </row>
    <row r="3388">
      <c r="A3388" s="3">
        <f>IFERROR(__xludf.DUMMYFUNCTION("""COMPUTED_VALUE"""),41512.645833333336)</f>
        <v>41512.64583</v>
      </c>
      <c r="B3388" s="2">
        <f>IFERROR(__xludf.DUMMYFUNCTION("""COMPUTED_VALUE"""),306.17)</f>
        <v>306.17</v>
      </c>
      <c r="C3388" s="2">
        <f>IFERROR(__xludf.DUMMYFUNCTION("""COMPUTED_VALUE"""),311.4)</f>
        <v>311.4</v>
      </c>
      <c r="D3388" s="2">
        <f>IFERROR(__xludf.DUMMYFUNCTION("""COMPUTED_VALUE"""),301.27)</f>
        <v>301.27</v>
      </c>
      <c r="E3388" s="2">
        <f>IFERROR(__xludf.DUMMYFUNCTION("""COMPUTED_VALUE"""),305.65)</f>
        <v>305.65</v>
      </c>
      <c r="F3388" s="2">
        <f>IFERROR(__xludf.DUMMYFUNCTION("""COMPUTED_VALUE"""),3651902.0)</f>
        <v>3651902</v>
      </c>
    </row>
    <row r="3389">
      <c r="A3389" s="3">
        <f>IFERROR(__xludf.DUMMYFUNCTION("""COMPUTED_VALUE"""),41513.645833333336)</f>
        <v>41513.64583</v>
      </c>
      <c r="B3389" s="2">
        <f>IFERROR(__xludf.DUMMYFUNCTION("""COMPUTED_VALUE"""),298.65)</f>
        <v>298.65</v>
      </c>
      <c r="C3389" s="2">
        <f>IFERROR(__xludf.DUMMYFUNCTION("""COMPUTED_VALUE"""),300.0)</f>
        <v>300</v>
      </c>
      <c r="D3389" s="2">
        <f>IFERROR(__xludf.DUMMYFUNCTION("""COMPUTED_VALUE"""),277.73)</f>
        <v>277.73</v>
      </c>
      <c r="E3389" s="2">
        <f>IFERROR(__xludf.DUMMYFUNCTION("""COMPUTED_VALUE"""),280.95)</f>
        <v>280.95</v>
      </c>
      <c r="F3389" s="2">
        <f>IFERROR(__xludf.DUMMYFUNCTION("""COMPUTED_VALUE"""),1.3677093E7)</f>
        <v>13677093</v>
      </c>
    </row>
    <row r="3390">
      <c r="A3390" s="3">
        <f>IFERROR(__xludf.DUMMYFUNCTION("""COMPUTED_VALUE"""),41514.645833333336)</f>
        <v>41514.64583</v>
      </c>
      <c r="B3390" s="2">
        <f>IFERROR(__xludf.DUMMYFUNCTION("""COMPUTED_VALUE"""),277.85)</f>
        <v>277.85</v>
      </c>
      <c r="C3390" s="2">
        <f>IFERROR(__xludf.DUMMYFUNCTION("""COMPUTED_VALUE"""),286.0)</f>
        <v>286</v>
      </c>
      <c r="D3390" s="2">
        <f>IFERROR(__xludf.DUMMYFUNCTION("""COMPUTED_VALUE"""),264.0)</f>
        <v>264</v>
      </c>
      <c r="E3390" s="2">
        <f>IFERROR(__xludf.DUMMYFUNCTION("""COMPUTED_VALUE"""),280.98)</f>
        <v>280.98</v>
      </c>
      <c r="F3390" s="2">
        <f>IFERROR(__xludf.DUMMYFUNCTION("""COMPUTED_VALUE"""),9266888.0)</f>
        <v>9266888</v>
      </c>
    </row>
    <row r="3391">
      <c r="A3391" s="3">
        <f>IFERROR(__xludf.DUMMYFUNCTION("""COMPUTED_VALUE"""),41515.645833333336)</f>
        <v>41515.64583</v>
      </c>
      <c r="B3391" s="2">
        <f>IFERROR(__xludf.DUMMYFUNCTION("""COMPUTED_VALUE"""),284.0)</f>
        <v>284</v>
      </c>
      <c r="C3391" s="2">
        <f>IFERROR(__xludf.DUMMYFUNCTION("""COMPUTED_VALUE"""),291.25)</f>
        <v>291.25</v>
      </c>
      <c r="D3391" s="2">
        <f>IFERROR(__xludf.DUMMYFUNCTION("""COMPUTED_VALUE"""),284.0)</f>
        <v>284</v>
      </c>
      <c r="E3391" s="2">
        <f>IFERROR(__xludf.DUMMYFUNCTION("""COMPUTED_VALUE"""),286.02)</f>
        <v>286.02</v>
      </c>
      <c r="F3391" s="2">
        <f>IFERROR(__xludf.DUMMYFUNCTION("""COMPUTED_VALUE"""),1.0192751E7)</f>
        <v>10192751</v>
      </c>
    </row>
    <row r="3392">
      <c r="A3392" s="3">
        <f>IFERROR(__xludf.DUMMYFUNCTION("""COMPUTED_VALUE"""),41516.645833333336)</f>
        <v>41516.64583</v>
      </c>
      <c r="B3392" s="2">
        <f>IFERROR(__xludf.DUMMYFUNCTION("""COMPUTED_VALUE"""),285.5)</f>
        <v>285.5</v>
      </c>
      <c r="C3392" s="2">
        <f>IFERROR(__xludf.DUMMYFUNCTION("""COMPUTED_VALUE"""),300.0)</f>
        <v>300</v>
      </c>
      <c r="D3392" s="2">
        <f>IFERROR(__xludf.DUMMYFUNCTION("""COMPUTED_VALUE"""),285.33)</f>
        <v>285.33</v>
      </c>
      <c r="E3392" s="2">
        <f>IFERROR(__xludf.DUMMYFUNCTION("""COMPUTED_VALUE"""),297.0)</f>
        <v>297</v>
      </c>
      <c r="F3392" s="2">
        <f>IFERROR(__xludf.DUMMYFUNCTION("""COMPUTED_VALUE"""),9154229.0)</f>
        <v>9154229</v>
      </c>
    </row>
    <row r="3393">
      <c r="A3393" s="3">
        <f>IFERROR(__xludf.DUMMYFUNCTION("""COMPUTED_VALUE"""),41519.645833333336)</f>
        <v>41519.64583</v>
      </c>
      <c r="B3393" s="2">
        <f>IFERROR(__xludf.DUMMYFUNCTION("""COMPUTED_VALUE"""),299.0)</f>
        <v>299</v>
      </c>
      <c r="C3393" s="2">
        <f>IFERROR(__xludf.DUMMYFUNCTION("""COMPUTED_VALUE"""),302.17)</f>
        <v>302.17</v>
      </c>
      <c r="D3393" s="2">
        <f>IFERROR(__xludf.DUMMYFUNCTION("""COMPUTED_VALUE"""),291.25)</f>
        <v>291.25</v>
      </c>
      <c r="E3393" s="2">
        <f>IFERROR(__xludf.DUMMYFUNCTION("""COMPUTED_VALUE"""),294.75)</f>
        <v>294.75</v>
      </c>
      <c r="F3393" s="2">
        <f>IFERROR(__xludf.DUMMYFUNCTION("""COMPUTED_VALUE"""),4878929.0)</f>
        <v>4878929</v>
      </c>
    </row>
    <row r="3394">
      <c r="A3394" s="3">
        <f>IFERROR(__xludf.DUMMYFUNCTION("""COMPUTED_VALUE"""),41520.645833333336)</f>
        <v>41520.64583</v>
      </c>
      <c r="B3394" s="2">
        <f>IFERROR(__xludf.DUMMYFUNCTION("""COMPUTED_VALUE"""),298.45)</f>
        <v>298.45</v>
      </c>
      <c r="C3394" s="2">
        <f>IFERROR(__xludf.DUMMYFUNCTION("""COMPUTED_VALUE"""),298.45)</f>
        <v>298.45</v>
      </c>
      <c r="D3394" s="2">
        <f>IFERROR(__xludf.DUMMYFUNCTION("""COMPUTED_VALUE"""),278.52)</f>
        <v>278.52</v>
      </c>
      <c r="E3394" s="2">
        <f>IFERROR(__xludf.DUMMYFUNCTION("""COMPUTED_VALUE"""),281.27)</f>
        <v>281.27</v>
      </c>
      <c r="F3394" s="2">
        <f>IFERROR(__xludf.DUMMYFUNCTION("""COMPUTED_VALUE"""),4535002.0)</f>
        <v>4535002</v>
      </c>
    </row>
    <row r="3395">
      <c r="A3395" s="3">
        <f>IFERROR(__xludf.DUMMYFUNCTION("""COMPUTED_VALUE"""),41521.645833333336)</f>
        <v>41521.64583</v>
      </c>
      <c r="B3395" s="2">
        <f>IFERROR(__xludf.DUMMYFUNCTION("""COMPUTED_VALUE"""),283.73)</f>
        <v>283.73</v>
      </c>
      <c r="C3395" s="2">
        <f>IFERROR(__xludf.DUMMYFUNCTION("""COMPUTED_VALUE"""),288.42)</f>
        <v>288.42</v>
      </c>
      <c r="D3395" s="2">
        <f>IFERROR(__xludf.DUMMYFUNCTION("""COMPUTED_VALUE"""),279.58)</f>
        <v>279.58</v>
      </c>
      <c r="E3395" s="2">
        <f>IFERROR(__xludf.DUMMYFUNCTION("""COMPUTED_VALUE"""),282.02)</f>
        <v>282.02</v>
      </c>
      <c r="F3395" s="2">
        <f>IFERROR(__xludf.DUMMYFUNCTION("""COMPUTED_VALUE"""),5235450.0)</f>
        <v>5235450</v>
      </c>
    </row>
    <row r="3396">
      <c r="A3396" s="3">
        <f>IFERROR(__xludf.DUMMYFUNCTION("""COMPUTED_VALUE"""),41522.645833333336)</f>
        <v>41522.64583</v>
      </c>
      <c r="B3396" s="2">
        <f>IFERROR(__xludf.DUMMYFUNCTION("""COMPUTED_VALUE"""),292.0)</f>
        <v>292</v>
      </c>
      <c r="C3396" s="2">
        <f>IFERROR(__xludf.DUMMYFUNCTION("""COMPUTED_VALUE"""),311.45)</f>
        <v>311.45</v>
      </c>
      <c r="D3396" s="2">
        <f>IFERROR(__xludf.DUMMYFUNCTION("""COMPUTED_VALUE"""),292.0)</f>
        <v>292</v>
      </c>
      <c r="E3396" s="2">
        <f>IFERROR(__xludf.DUMMYFUNCTION("""COMPUTED_VALUE"""),304.75)</f>
        <v>304.75</v>
      </c>
      <c r="F3396" s="2">
        <f>IFERROR(__xludf.DUMMYFUNCTION("""COMPUTED_VALUE"""),8311562.0)</f>
        <v>8311562</v>
      </c>
    </row>
    <row r="3397">
      <c r="A3397" s="3">
        <f>IFERROR(__xludf.DUMMYFUNCTION("""COMPUTED_VALUE"""),41523.645833333336)</f>
        <v>41523.64583</v>
      </c>
      <c r="B3397" s="2">
        <f>IFERROR(__xludf.DUMMYFUNCTION("""COMPUTED_VALUE"""),305.5)</f>
        <v>305.5</v>
      </c>
      <c r="C3397" s="2">
        <f>IFERROR(__xludf.DUMMYFUNCTION("""COMPUTED_VALUE"""),310.0)</f>
        <v>310</v>
      </c>
      <c r="D3397" s="2">
        <f>IFERROR(__xludf.DUMMYFUNCTION("""COMPUTED_VALUE"""),293.38)</f>
        <v>293.38</v>
      </c>
      <c r="E3397" s="2">
        <f>IFERROR(__xludf.DUMMYFUNCTION("""COMPUTED_VALUE"""),308.1)</f>
        <v>308.1</v>
      </c>
      <c r="F3397" s="2">
        <f>IFERROR(__xludf.DUMMYFUNCTION("""COMPUTED_VALUE"""),4749304.0)</f>
        <v>4749304</v>
      </c>
    </row>
    <row r="3398">
      <c r="A3398" s="3">
        <f>IFERROR(__xludf.DUMMYFUNCTION("""COMPUTED_VALUE"""),41527.645833333336)</f>
        <v>41527.64583</v>
      </c>
      <c r="B3398" s="2">
        <f>IFERROR(__xludf.DUMMYFUNCTION("""COMPUTED_VALUE"""),310.27)</f>
        <v>310.27</v>
      </c>
      <c r="C3398" s="2">
        <f>IFERROR(__xludf.DUMMYFUNCTION("""COMPUTED_VALUE"""),320.5)</f>
        <v>320.5</v>
      </c>
      <c r="D3398" s="2">
        <f>IFERROR(__xludf.DUMMYFUNCTION("""COMPUTED_VALUE"""),309.2)</f>
        <v>309.2</v>
      </c>
      <c r="E3398" s="2">
        <f>IFERROR(__xludf.DUMMYFUNCTION("""COMPUTED_VALUE"""),319.0)</f>
        <v>319</v>
      </c>
      <c r="F3398" s="2">
        <f>IFERROR(__xludf.DUMMYFUNCTION("""COMPUTED_VALUE"""),5074709.0)</f>
        <v>5074709</v>
      </c>
    </row>
    <row r="3399">
      <c r="A3399" s="3">
        <f>IFERROR(__xludf.DUMMYFUNCTION("""COMPUTED_VALUE"""),41528.645833333336)</f>
        <v>41528.64583</v>
      </c>
      <c r="B3399" s="2">
        <f>IFERROR(__xludf.DUMMYFUNCTION("""COMPUTED_VALUE"""),316.5)</f>
        <v>316.5</v>
      </c>
      <c r="C3399" s="2">
        <f>IFERROR(__xludf.DUMMYFUNCTION("""COMPUTED_VALUE"""),325.0)</f>
        <v>325</v>
      </c>
      <c r="D3399" s="2">
        <f>IFERROR(__xludf.DUMMYFUNCTION("""COMPUTED_VALUE"""),312.77)</f>
        <v>312.77</v>
      </c>
      <c r="E3399" s="2">
        <f>IFERROR(__xludf.DUMMYFUNCTION("""COMPUTED_VALUE"""),323.63)</f>
        <v>323.63</v>
      </c>
      <c r="F3399" s="2">
        <f>IFERROR(__xludf.DUMMYFUNCTION("""COMPUTED_VALUE"""),3172598.0)</f>
        <v>3172598</v>
      </c>
    </row>
    <row r="3400">
      <c r="A3400" s="3">
        <f>IFERROR(__xludf.DUMMYFUNCTION("""COMPUTED_VALUE"""),41529.645833333336)</f>
        <v>41529.64583</v>
      </c>
      <c r="B3400" s="2">
        <f>IFERROR(__xludf.DUMMYFUNCTION("""COMPUTED_VALUE"""),321.25)</f>
        <v>321.25</v>
      </c>
      <c r="C3400" s="2">
        <f>IFERROR(__xludf.DUMMYFUNCTION("""COMPUTED_VALUE"""),323.0)</f>
        <v>323</v>
      </c>
      <c r="D3400" s="2">
        <f>IFERROR(__xludf.DUMMYFUNCTION("""COMPUTED_VALUE"""),313.8)</f>
        <v>313.8</v>
      </c>
      <c r="E3400" s="2">
        <f>IFERROR(__xludf.DUMMYFUNCTION("""COMPUTED_VALUE"""),316.98)</f>
        <v>316.98</v>
      </c>
      <c r="F3400" s="2">
        <f>IFERROR(__xludf.DUMMYFUNCTION("""COMPUTED_VALUE"""),4419134.0)</f>
        <v>4419134</v>
      </c>
    </row>
    <row r="3401">
      <c r="A3401" s="3">
        <f>IFERROR(__xludf.DUMMYFUNCTION("""COMPUTED_VALUE"""),41530.645833333336)</f>
        <v>41530.64583</v>
      </c>
      <c r="B3401" s="2">
        <f>IFERROR(__xludf.DUMMYFUNCTION("""COMPUTED_VALUE"""),316.23)</f>
        <v>316.23</v>
      </c>
      <c r="C3401" s="2">
        <f>IFERROR(__xludf.DUMMYFUNCTION("""COMPUTED_VALUE"""),317.25)</f>
        <v>317.25</v>
      </c>
      <c r="D3401" s="2">
        <f>IFERROR(__xludf.DUMMYFUNCTION("""COMPUTED_VALUE"""),310.5)</f>
        <v>310.5</v>
      </c>
      <c r="E3401" s="2">
        <f>IFERROR(__xludf.DUMMYFUNCTION("""COMPUTED_VALUE"""),314.6)</f>
        <v>314.6</v>
      </c>
      <c r="F3401" s="2">
        <f>IFERROR(__xludf.DUMMYFUNCTION("""COMPUTED_VALUE"""),3875780.0)</f>
        <v>3875780</v>
      </c>
    </row>
    <row r="3402">
      <c r="A3402" s="3">
        <f>IFERROR(__xludf.DUMMYFUNCTION("""COMPUTED_VALUE"""),41533.645833333336)</f>
        <v>41533.64583</v>
      </c>
      <c r="B3402" s="2">
        <f>IFERROR(__xludf.DUMMYFUNCTION("""COMPUTED_VALUE"""),318.75)</f>
        <v>318.75</v>
      </c>
      <c r="C3402" s="2">
        <f>IFERROR(__xludf.DUMMYFUNCTION("""COMPUTED_VALUE"""),324.45)</f>
        <v>324.45</v>
      </c>
      <c r="D3402" s="2">
        <f>IFERROR(__xludf.DUMMYFUNCTION("""COMPUTED_VALUE"""),314.5)</f>
        <v>314.5</v>
      </c>
      <c r="E3402" s="2">
        <f>IFERROR(__xludf.DUMMYFUNCTION("""COMPUTED_VALUE"""),321.4)</f>
        <v>321.4</v>
      </c>
      <c r="F3402" s="2">
        <f>IFERROR(__xludf.DUMMYFUNCTION("""COMPUTED_VALUE"""),3034804.0)</f>
        <v>3034804</v>
      </c>
    </row>
    <row r="3403">
      <c r="A3403" s="3">
        <f>IFERROR(__xludf.DUMMYFUNCTION("""COMPUTED_VALUE"""),41534.645833333336)</f>
        <v>41534.64583</v>
      </c>
      <c r="B3403" s="2">
        <f>IFERROR(__xludf.DUMMYFUNCTION("""COMPUTED_VALUE"""),319.0)</f>
        <v>319</v>
      </c>
      <c r="C3403" s="2">
        <f>IFERROR(__xludf.DUMMYFUNCTION("""COMPUTED_VALUE"""),322.5)</f>
        <v>322.5</v>
      </c>
      <c r="D3403" s="2">
        <f>IFERROR(__xludf.DUMMYFUNCTION("""COMPUTED_VALUE"""),316.8)</f>
        <v>316.8</v>
      </c>
      <c r="E3403" s="2">
        <f>IFERROR(__xludf.DUMMYFUNCTION("""COMPUTED_VALUE"""),321.13)</f>
        <v>321.13</v>
      </c>
      <c r="F3403" s="2">
        <f>IFERROR(__xludf.DUMMYFUNCTION("""COMPUTED_VALUE"""),2108022.0)</f>
        <v>2108022</v>
      </c>
    </row>
    <row r="3404">
      <c r="A3404" s="3">
        <f>IFERROR(__xludf.DUMMYFUNCTION("""COMPUTED_VALUE"""),41535.645833333336)</f>
        <v>41535.64583</v>
      </c>
      <c r="B3404" s="2">
        <f>IFERROR(__xludf.DUMMYFUNCTION("""COMPUTED_VALUE"""),321.8)</f>
        <v>321.8</v>
      </c>
      <c r="C3404" s="2">
        <f>IFERROR(__xludf.DUMMYFUNCTION("""COMPUTED_VALUE"""),327.45)</f>
        <v>327.45</v>
      </c>
      <c r="D3404" s="2">
        <f>IFERROR(__xludf.DUMMYFUNCTION("""COMPUTED_VALUE"""),315.58)</f>
        <v>315.58</v>
      </c>
      <c r="E3404" s="2">
        <f>IFERROR(__xludf.DUMMYFUNCTION("""COMPUTED_VALUE"""),325.25)</f>
        <v>325.25</v>
      </c>
      <c r="F3404" s="2">
        <f>IFERROR(__xludf.DUMMYFUNCTION("""COMPUTED_VALUE"""),2747404.0)</f>
        <v>2747404</v>
      </c>
    </row>
    <row r="3405">
      <c r="A3405" s="3">
        <f>IFERROR(__xludf.DUMMYFUNCTION("""COMPUTED_VALUE"""),41536.645833333336)</f>
        <v>41536.64583</v>
      </c>
      <c r="B3405" s="2">
        <f>IFERROR(__xludf.DUMMYFUNCTION("""COMPUTED_VALUE"""),340.0)</f>
        <v>340</v>
      </c>
      <c r="C3405" s="2">
        <f>IFERROR(__xludf.DUMMYFUNCTION("""COMPUTED_VALUE"""),344.95)</f>
        <v>344.95</v>
      </c>
      <c r="D3405" s="2">
        <f>IFERROR(__xludf.DUMMYFUNCTION("""COMPUTED_VALUE"""),338.15)</f>
        <v>338.15</v>
      </c>
      <c r="E3405" s="2">
        <f>IFERROR(__xludf.DUMMYFUNCTION("""COMPUTED_VALUE"""),341.6)</f>
        <v>341.6</v>
      </c>
      <c r="F3405" s="2">
        <f>IFERROR(__xludf.DUMMYFUNCTION("""COMPUTED_VALUE"""),7320226.0)</f>
        <v>7320226</v>
      </c>
    </row>
    <row r="3406">
      <c r="A3406" s="3">
        <f>IFERROR(__xludf.DUMMYFUNCTION("""COMPUTED_VALUE"""),41537.645833333336)</f>
        <v>41537.64583</v>
      </c>
      <c r="B3406" s="2">
        <f>IFERROR(__xludf.DUMMYFUNCTION("""COMPUTED_VALUE"""),341.25)</f>
        <v>341.25</v>
      </c>
      <c r="C3406" s="2">
        <f>IFERROR(__xludf.DUMMYFUNCTION("""COMPUTED_VALUE"""),343.23)</f>
        <v>343.23</v>
      </c>
      <c r="D3406" s="2">
        <f>IFERROR(__xludf.DUMMYFUNCTION("""COMPUTED_VALUE"""),317.63)</f>
        <v>317.63</v>
      </c>
      <c r="E3406" s="2">
        <f>IFERROR(__xludf.DUMMYFUNCTION("""COMPUTED_VALUE"""),329.53)</f>
        <v>329.53</v>
      </c>
      <c r="F3406" s="2">
        <f>IFERROR(__xludf.DUMMYFUNCTION("""COMPUTED_VALUE"""),6181538.0)</f>
        <v>6181538</v>
      </c>
    </row>
    <row r="3407">
      <c r="A3407" s="3">
        <f>IFERROR(__xludf.DUMMYFUNCTION("""COMPUTED_VALUE"""),41540.645833333336)</f>
        <v>41540.64583</v>
      </c>
      <c r="B3407" s="2">
        <f>IFERROR(__xludf.DUMMYFUNCTION("""COMPUTED_VALUE"""),325.5)</f>
        <v>325.5</v>
      </c>
      <c r="C3407" s="2">
        <f>IFERROR(__xludf.DUMMYFUNCTION("""COMPUTED_VALUE"""),326.17)</f>
        <v>326.17</v>
      </c>
      <c r="D3407" s="2">
        <f>IFERROR(__xludf.DUMMYFUNCTION("""COMPUTED_VALUE"""),316.55)</f>
        <v>316.55</v>
      </c>
      <c r="E3407" s="2">
        <f>IFERROR(__xludf.DUMMYFUNCTION("""COMPUTED_VALUE"""),320.98)</f>
        <v>320.98</v>
      </c>
      <c r="F3407" s="2">
        <f>IFERROR(__xludf.DUMMYFUNCTION("""COMPUTED_VALUE"""),3496310.0)</f>
        <v>3496310</v>
      </c>
    </row>
    <row r="3408">
      <c r="A3408" s="3">
        <f>IFERROR(__xludf.DUMMYFUNCTION("""COMPUTED_VALUE"""),41541.645833333336)</f>
        <v>41541.64583</v>
      </c>
      <c r="B3408" s="2">
        <f>IFERROR(__xludf.DUMMYFUNCTION("""COMPUTED_VALUE"""),316.52)</f>
        <v>316.52</v>
      </c>
      <c r="C3408" s="2">
        <f>IFERROR(__xludf.DUMMYFUNCTION("""COMPUTED_VALUE"""),322.17)</f>
        <v>322.17</v>
      </c>
      <c r="D3408" s="2">
        <f>IFERROR(__xludf.DUMMYFUNCTION("""COMPUTED_VALUE"""),314.98)</f>
        <v>314.98</v>
      </c>
      <c r="E3408" s="2">
        <f>IFERROR(__xludf.DUMMYFUNCTION("""COMPUTED_VALUE"""),319.23)</f>
        <v>319.23</v>
      </c>
      <c r="F3408" s="2">
        <f>IFERROR(__xludf.DUMMYFUNCTION("""COMPUTED_VALUE"""),4543797.0)</f>
        <v>4543797</v>
      </c>
    </row>
    <row r="3409">
      <c r="A3409" s="3">
        <f>IFERROR(__xludf.DUMMYFUNCTION("""COMPUTED_VALUE"""),41542.645833333336)</f>
        <v>41542.64583</v>
      </c>
      <c r="B3409" s="2">
        <f>IFERROR(__xludf.DUMMYFUNCTION("""COMPUTED_VALUE"""),319.0)</f>
        <v>319</v>
      </c>
      <c r="C3409" s="2">
        <f>IFERROR(__xludf.DUMMYFUNCTION("""COMPUTED_VALUE"""),320.85)</f>
        <v>320.85</v>
      </c>
      <c r="D3409" s="2">
        <f>IFERROR(__xludf.DUMMYFUNCTION("""COMPUTED_VALUE"""),306.6)</f>
        <v>306.6</v>
      </c>
      <c r="E3409" s="2">
        <f>IFERROR(__xludf.DUMMYFUNCTION("""COMPUTED_VALUE"""),310.3)</f>
        <v>310.3</v>
      </c>
      <c r="F3409" s="2">
        <f>IFERROR(__xludf.DUMMYFUNCTION("""COMPUTED_VALUE"""),5245230.0)</f>
        <v>5245230</v>
      </c>
    </row>
    <row r="3410">
      <c r="A3410" s="3">
        <f>IFERROR(__xludf.DUMMYFUNCTION("""COMPUTED_VALUE"""),41543.645833333336)</f>
        <v>41543.64583</v>
      </c>
      <c r="B3410" s="2">
        <f>IFERROR(__xludf.DUMMYFUNCTION("""COMPUTED_VALUE"""),310.67)</f>
        <v>310.67</v>
      </c>
      <c r="C3410" s="2">
        <f>IFERROR(__xludf.DUMMYFUNCTION("""COMPUTED_VALUE"""),313.0)</f>
        <v>313</v>
      </c>
      <c r="D3410" s="2">
        <f>IFERROR(__xludf.DUMMYFUNCTION("""COMPUTED_VALUE"""),309.0)</f>
        <v>309</v>
      </c>
      <c r="E3410" s="2">
        <f>IFERROR(__xludf.DUMMYFUNCTION("""COMPUTED_VALUE"""),310.58)</f>
        <v>310.58</v>
      </c>
      <c r="F3410" s="2">
        <f>IFERROR(__xludf.DUMMYFUNCTION("""COMPUTED_VALUE"""),5645610.0)</f>
        <v>5645610</v>
      </c>
    </row>
    <row r="3411">
      <c r="A3411" s="3">
        <f>IFERROR(__xludf.DUMMYFUNCTION("""COMPUTED_VALUE"""),41544.645833333336)</f>
        <v>41544.64583</v>
      </c>
      <c r="B3411" s="2">
        <f>IFERROR(__xludf.DUMMYFUNCTION("""COMPUTED_VALUE"""),311.0)</f>
        <v>311</v>
      </c>
      <c r="C3411" s="2">
        <f>IFERROR(__xludf.DUMMYFUNCTION("""COMPUTED_VALUE"""),312.0)</f>
        <v>312</v>
      </c>
      <c r="D3411" s="2">
        <f>IFERROR(__xludf.DUMMYFUNCTION("""COMPUTED_VALUE"""),302.5)</f>
        <v>302.5</v>
      </c>
      <c r="E3411" s="2">
        <f>IFERROR(__xludf.DUMMYFUNCTION("""COMPUTED_VALUE"""),304.45)</f>
        <v>304.45</v>
      </c>
      <c r="F3411" s="2">
        <f>IFERROR(__xludf.DUMMYFUNCTION("""COMPUTED_VALUE"""),4102173.0)</f>
        <v>4102173</v>
      </c>
    </row>
    <row r="3412">
      <c r="A3412" s="3">
        <f>IFERROR(__xludf.DUMMYFUNCTION("""COMPUTED_VALUE"""),41547.645833333336)</f>
        <v>41547.64583</v>
      </c>
      <c r="B3412" s="2">
        <f>IFERROR(__xludf.DUMMYFUNCTION("""COMPUTED_VALUE"""),303.0)</f>
        <v>303</v>
      </c>
      <c r="C3412" s="2">
        <f>IFERROR(__xludf.DUMMYFUNCTION("""COMPUTED_VALUE"""),306.42)</f>
        <v>306.42</v>
      </c>
      <c r="D3412" s="2">
        <f>IFERROR(__xludf.DUMMYFUNCTION("""COMPUTED_VALUE"""),293.85)</f>
        <v>293.85</v>
      </c>
      <c r="E3412" s="2">
        <f>IFERROR(__xludf.DUMMYFUNCTION("""COMPUTED_VALUE"""),296.52)</f>
        <v>296.52</v>
      </c>
      <c r="F3412" s="2">
        <f>IFERROR(__xludf.DUMMYFUNCTION("""COMPUTED_VALUE"""),4265607.0)</f>
        <v>4265607</v>
      </c>
    </row>
    <row r="3413">
      <c r="A3413" s="3">
        <f>IFERROR(__xludf.DUMMYFUNCTION("""COMPUTED_VALUE"""),41548.645833333336)</f>
        <v>41548.64583</v>
      </c>
      <c r="B3413" s="2">
        <f>IFERROR(__xludf.DUMMYFUNCTION("""COMPUTED_VALUE"""),299.4)</f>
        <v>299.4</v>
      </c>
      <c r="C3413" s="2">
        <f>IFERROR(__xludf.DUMMYFUNCTION("""COMPUTED_VALUE"""),307.2)</f>
        <v>307.2</v>
      </c>
      <c r="D3413" s="2">
        <f>IFERROR(__xludf.DUMMYFUNCTION("""COMPUTED_VALUE"""),294.67)</f>
        <v>294.67</v>
      </c>
      <c r="E3413" s="2">
        <f>IFERROR(__xludf.DUMMYFUNCTION("""COMPUTED_VALUE"""),305.83)</f>
        <v>305.83</v>
      </c>
      <c r="F3413" s="2">
        <f>IFERROR(__xludf.DUMMYFUNCTION("""COMPUTED_VALUE"""),3249277.0)</f>
        <v>3249277</v>
      </c>
    </row>
    <row r="3414">
      <c r="A3414" s="3">
        <f>IFERROR(__xludf.DUMMYFUNCTION("""COMPUTED_VALUE"""),41550.645833333336)</f>
        <v>41550.64583</v>
      </c>
      <c r="B3414" s="2">
        <f>IFERROR(__xludf.DUMMYFUNCTION("""COMPUTED_VALUE"""),307.65)</f>
        <v>307.65</v>
      </c>
      <c r="C3414" s="2">
        <f>IFERROR(__xludf.DUMMYFUNCTION("""COMPUTED_VALUE"""),319.5)</f>
        <v>319.5</v>
      </c>
      <c r="D3414" s="2">
        <f>IFERROR(__xludf.DUMMYFUNCTION("""COMPUTED_VALUE"""),305.0)</f>
        <v>305</v>
      </c>
      <c r="E3414" s="2">
        <f>IFERROR(__xludf.DUMMYFUNCTION("""COMPUTED_VALUE"""),318.1)</f>
        <v>318.1</v>
      </c>
      <c r="F3414" s="2">
        <f>IFERROR(__xludf.DUMMYFUNCTION("""COMPUTED_VALUE"""),2443228.0)</f>
        <v>2443228</v>
      </c>
    </row>
    <row r="3415">
      <c r="A3415" s="3">
        <f>IFERROR(__xludf.DUMMYFUNCTION("""COMPUTED_VALUE"""),41551.645833333336)</f>
        <v>41551.64583</v>
      </c>
      <c r="B3415" s="2">
        <f>IFERROR(__xludf.DUMMYFUNCTION("""COMPUTED_VALUE"""),317.75)</f>
        <v>317.75</v>
      </c>
      <c r="C3415" s="2">
        <f>IFERROR(__xludf.DUMMYFUNCTION("""COMPUTED_VALUE"""),323.7)</f>
        <v>323.7</v>
      </c>
      <c r="D3415" s="2">
        <f>IFERROR(__xludf.DUMMYFUNCTION("""COMPUTED_VALUE"""),317.5)</f>
        <v>317.5</v>
      </c>
      <c r="E3415" s="2">
        <f>IFERROR(__xludf.DUMMYFUNCTION("""COMPUTED_VALUE"""),320.23)</f>
        <v>320.23</v>
      </c>
      <c r="F3415" s="2">
        <f>IFERROR(__xludf.DUMMYFUNCTION("""COMPUTED_VALUE"""),3407094.0)</f>
        <v>3407094</v>
      </c>
    </row>
    <row r="3416">
      <c r="A3416" s="3">
        <f>IFERROR(__xludf.DUMMYFUNCTION("""COMPUTED_VALUE"""),41554.645833333336)</f>
        <v>41554.64583</v>
      </c>
      <c r="B3416" s="2">
        <f>IFERROR(__xludf.DUMMYFUNCTION("""COMPUTED_VALUE"""),318.25)</f>
        <v>318.25</v>
      </c>
      <c r="C3416" s="2">
        <f>IFERROR(__xludf.DUMMYFUNCTION("""COMPUTED_VALUE"""),319.08)</f>
        <v>319.08</v>
      </c>
      <c r="D3416" s="2">
        <f>IFERROR(__xludf.DUMMYFUNCTION("""COMPUTED_VALUE"""),309.13)</f>
        <v>309.13</v>
      </c>
      <c r="E3416" s="2">
        <f>IFERROR(__xludf.DUMMYFUNCTION("""COMPUTED_VALUE"""),317.15)</f>
        <v>317.15</v>
      </c>
      <c r="F3416" s="2">
        <f>IFERROR(__xludf.DUMMYFUNCTION("""COMPUTED_VALUE"""),2480500.0)</f>
        <v>2480500</v>
      </c>
    </row>
    <row r="3417">
      <c r="A3417" s="3">
        <f>IFERROR(__xludf.DUMMYFUNCTION("""COMPUTED_VALUE"""),41555.645833333336)</f>
        <v>41555.64583</v>
      </c>
      <c r="B3417" s="2">
        <f>IFERROR(__xludf.DUMMYFUNCTION("""COMPUTED_VALUE"""),325.25)</f>
        <v>325.25</v>
      </c>
      <c r="C3417" s="2">
        <f>IFERROR(__xludf.DUMMYFUNCTION("""COMPUTED_VALUE"""),327.27)</f>
        <v>327.27</v>
      </c>
      <c r="D3417" s="2">
        <f>IFERROR(__xludf.DUMMYFUNCTION("""COMPUTED_VALUE"""),312.9)</f>
        <v>312.9</v>
      </c>
      <c r="E3417" s="2">
        <f>IFERROR(__xludf.DUMMYFUNCTION("""COMPUTED_VALUE"""),316.33)</f>
        <v>316.33</v>
      </c>
      <c r="F3417" s="2">
        <f>IFERROR(__xludf.DUMMYFUNCTION("""COMPUTED_VALUE"""),2942037.0)</f>
        <v>2942037</v>
      </c>
    </row>
    <row r="3418">
      <c r="A3418" s="3">
        <f>IFERROR(__xludf.DUMMYFUNCTION("""COMPUTED_VALUE"""),41556.645833333336)</f>
        <v>41556.64583</v>
      </c>
      <c r="B3418" s="2">
        <f>IFERROR(__xludf.DUMMYFUNCTION("""COMPUTED_VALUE"""),312.6)</f>
        <v>312.6</v>
      </c>
      <c r="C3418" s="2">
        <f>IFERROR(__xludf.DUMMYFUNCTION("""COMPUTED_VALUE"""),325.45)</f>
        <v>325.45</v>
      </c>
      <c r="D3418" s="2">
        <f>IFERROR(__xludf.DUMMYFUNCTION("""COMPUTED_VALUE"""),311.5)</f>
        <v>311.5</v>
      </c>
      <c r="E3418" s="2">
        <f>IFERROR(__xludf.DUMMYFUNCTION("""COMPUTED_VALUE"""),324.58)</f>
        <v>324.58</v>
      </c>
      <c r="F3418" s="2">
        <f>IFERROR(__xludf.DUMMYFUNCTION("""COMPUTED_VALUE"""),2167190.0)</f>
        <v>2167190</v>
      </c>
    </row>
    <row r="3419">
      <c r="A3419" s="3">
        <f>IFERROR(__xludf.DUMMYFUNCTION("""COMPUTED_VALUE"""),41557.645833333336)</f>
        <v>41557.64583</v>
      </c>
      <c r="B3419" s="2">
        <f>IFERROR(__xludf.DUMMYFUNCTION("""COMPUTED_VALUE"""),324.5)</f>
        <v>324.5</v>
      </c>
      <c r="C3419" s="2">
        <f>IFERROR(__xludf.DUMMYFUNCTION("""COMPUTED_VALUE"""),324.5)</f>
        <v>324.5</v>
      </c>
      <c r="D3419" s="2">
        <f>IFERROR(__xludf.DUMMYFUNCTION("""COMPUTED_VALUE"""),316.67)</f>
        <v>316.67</v>
      </c>
      <c r="E3419" s="2">
        <f>IFERROR(__xludf.DUMMYFUNCTION("""COMPUTED_VALUE"""),320.52)</f>
        <v>320.52</v>
      </c>
      <c r="F3419" s="2">
        <f>IFERROR(__xludf.DUMMYFUNCTION("""COMPUTED_VALUE"""),2086321.0)</f>
        <v>2086321</v>
      </c>
    </row>
    <row r="3420">
      <c r="A3420" s="3">
        <f>IFERROR(__xludf.DUMMYFUNCTION("""COMPUTED_VALUE"""),41558.645833333336)</f>
        <v>41558.64583</v>
      </c>
      <c r="B3420" s="2">
        <f>IFERROR(__xludf.DUMMYFUNCTION("""COMPUTED_VALUE"""),323.65)</f>
        <v>323.65</v>
      </c>
      <c r="C3420" s="2">
        <f>IFERROR(__xludf.DUMMYFUNCTION("""COMPUTED_VALUE"""),331.88)</f>
        <v>331.88</v>
      </c>
      <c r="D3420" s="2">
        <f>IFERROR(__xludf.DUMMYFUNCTION("""COMPUTED_VALUE"""),319.67)</f>
        <v>319.67</v>
      </c>
      <c r="E3420" s="2">
        <f>IFERROR(__xludf.DUMMYFUNCTION("""COMPUTED_VALUE"""),330.65)</f>
        <v>330.65</v>
      </c>
      <c r="F3420" s="2">
        <f>IFERROR(__xludf.DUMMYFUNCTION("""COMPUTED_VALUE"""),3347566.0)</f>
        <v>3347566</v>
      </c>
    </row>
    <row r="3421">
      <c r="A3421" s="3">
        <f>IFERROR(__xludf.DUMMYFUNCTION("""COMPUTED_VALUE"""),41561.645833333336)</f>
        <v>41561.64583</v>
      </c>
      <c r="B3421" s="2">
        <f>IFERROR(__xludf.DUMMYFUNCTION("""COMPUTED_VALUE"""),328.78)</f>
        <v>328.78</v>
      </c>
      <c r="C3421" s="2">
        <f>IFERROR(__xludf.DUMMYFUNCTION("""COMPUTED_VALUE"""),334.65)</f>
        <v>334.65</v>
      </c>
      <c r="D3421" s="2">
        <f>IFERROR(__xludf.DUMMYFUNCTION("""COMPUTED_VALUE"""),324.33)</f>
        <v>324.33</v>
      </c>
      <c r="E3421" s="2">
        <f>IFERROR(__xludf.DUMMYFUNCTION("""COMPUTED_VALUE"""),333.75)</f>
        <v>333.75</v>
      </c>
      <c r="F3421" s="2">
        <f>IFERROR(__xludf.DUMMYFUNCTION("""COMPUTED_VALUE"""),3093930.0)</f>
        <v>3093930</v>
      </c>
    </row>
    <row r="3422">
      <c r="A3422" s="3">
        <f>IFERROR(__xludf.DUMMYFUNCTION("""COMPUTED_VALUE"""),41562.645833333336)</f>
        <v>41562.64583</v>
      </c>
      <c r="B3422" s="2">
        <f>IFERROR(__xludf.DUMMYFUNCTION("""COMPUTED_VALUE"""),336.5)</f>
        <v>336.5</v>
      </c>
      <c r="C3422" s="2">
        <f>IFERROR(__xludf.DUMMYFUNCTION("""COMPUTED_VALUE"""),337.5)</f>
        <v>337.5</v>
      </c>
      <c r="D3422" s="2">
        <f>IFERROR(__xludf.DUMMYFUNCTION("""COMPUTED_VALUE"""),323.3)</f>
        <v>323.3</v>
      </c>
      <c r="E3422" s="2">
        <f>IFERROR(__xludf.DUMMYFUNCTION("""COMPUTED_VALUE"""),326.23)</f>
        <v>326.23</v>
      </c>
      <c r="F3422" s="2">
        <f>IFERROR(__xludf.DUMMYFUNCTION("""COMPUTED_VALUE"""),4035831.0)</f>
        <v>4035831</v>
      </c>
    </row>
    <row r="3423">
      <c r="A3423" s="3">
        <f>IFERROR(__xludf.DUMMYFUNCTION("""COMPUTED_VALUE"""),41564.645833333336)</f>
        <v>41564.64583</v>
      </c>
      <c r="B3423" s="2">
        <f>IFERROR(__xludf.DUMMYFUNCTION("""COMPUTED_VALUE"""),326.5)</f>
        <v>326.5</v>
      </c>
      <c r="C3423" s="2">
        <f>IFERROR(__xludf.DUMMYFUNCTION("""COMPUTED_VALUE"""),329.98)</f>
        <v>329.98</v>
      </c>
      <c r="D3423" s="2">
        <f>IFERROR(__xludf.DUMMYFUNCTION("""COMPUTED_VALUE"""),321.27)</f>
        <v>321.27</v>
      </c>
      <c r="E3423" s="2">
        <f>IFERROR(__xludf.DUMMYFUNCTION("""COMPUTED_VALUE"""),327.1)</f>
        <v>327.1</v>
      </c>
      <c r="F3423" s="2">
        <f>IFERROR(__xludf.DUMMYFUNCTION("""COMPUTED_VALUE"""),3637897.0)</f>
        <v>3637897</v>
      </c>
    </row>
    <row r="3424">
      <c r="A3424" s="3">
        <f>IFERROR(__xludf.DUMMYFUNCTION("""COMPUTED_VALUE"""),41565.645833333336)</f>
        <v>41565.64583</v>
      </c>
      <c r="B3424" s="2">
        <f>IFERROR(__xludf.DUMMYFUNCTION("""COMPUTED_VALUE"""),327.63)</f>
        <v>327.63</v>
      </c>
      <c r="C3424" s="2">
        <f>IFERROR(__xludf.DUMMYFUNCTION("""COMPUTED_VALUE"""),339.78)</f>
        <v>339.78</v>
      </c>
      <c r="D3424" s="2">
        <f>IFERROR(__xludf.DUMMYFUNCTION("""COMPUTED_VALUE"""),327.63)</f>
        <v>327.63</v>
      </c>
      <c r="E3424" s="2">
        <f>IFERROR(__xludf.DUMMYFUNCTION("""COMPUTED_VALUE"""),338.3)</f>
        <v>338.3</v>
      </c>
      <c r="F3424" s="2">
        <f>IFERROR(__xludf.DUMMYFUNCTION("""COMPUTED_VALUE"""),5320296.0)</f>
        <v>5320296</v>
      </c>
    </row>
    <row r="3425">
      <c r="A3425" s="3">
        <f>IFERROR(__xludf.DUMMYFUNCTION("""COMPUTED_VALUE"""),41568.645833333336)</f>
        <v>41568.64583</v>
      </c>
      <c r="B3425" s="2">
        <f>IFERROR(__xludf.DUMMYFUNCTION("""COMPUTED_VALUE"""),337.0)</f>
        <v>337</v>
      </c>
      <c r="C3425" s="2">
        <f>IFERROR(__xludf.DUMMYFUNCTION("""COMPUTED_VALUE"""),339.4)</f>
        <v>339.4</v>
      </c>
      <c r="D3425" s="2">
        <f>IFERROR(__xludf.DUMMYFUNCTION("""COMPUTED_VALUE"""),331.28)</f>
        <v>331.28</v>
      </c>
      <c r="E3425" s="2">
        <f>IFERROR(__xludf.DUMMYFUNCTION("""COMPUTED_VALUE"""),335.63)</f>
        <v>335.63</v>
      </c>
      <c r="F3425" s="2">
        <f>IFERROR(__xludf.DUMMYFUNCTION("""COMPUTED_VALUE"""),2806356.0)</f>
        <v>2806356</v>
      </c>
    </row>
    <row r="3426">
      <c r="A3426" s="3">
        <f>IFERROR(__xludf.DUMMYFUNCTION("""COMPUTED_VALUE"""),41569.645833333336)</f>
        <v>41569.64583</v>
      </c>
      <c r="B3426" s="2">
        <f>IFERROR(__xludf.DUMMYFUNCTION("""COMPUTED_VALUE"""),335.5)</f>
        <v>335.5</v>
      </c>
      <c r="C3426" s="2">
        <f>IFERROR(__xludf.DUMMYFUNCTION("""COMPUTED_VALUE"""),336.98)</f>
        <v>336.98</v>
      </c>
      <c r="D3426" s="2">
        <f>IFERROR(__xludf.DUMMYFUNCTION("""COMPUTED_VALUE"""),332.6)</f>
        <v>332.6</v>
      </c>
      <c r="E3426" s="2">
        <f>IFERROR(__xludf.DUMMYFUNCTION("""COMPUTED_VALUE"""),334.5)</f>
        <v>334.5</v>
      </c>
      <c r="F3426" s="2">
        <f>IFERROR(__xludf.DUMMYFUNCTION("""COMPUTED_VALUE"""),2189524.0)</f>
        <v>2189524</v>
      </c>
    </row>
    <row r="3427">
      <c r="A3427" s="3">
        <f>IFERROR(__xludf.DUMMYFUNCTION("""COMPUTED_VALUE"""),41570.645833333336)</f>
        <v>41570.64583</v>
      </c>
      <c r="B3427" s="2">
        <f>IFERROR(__xludf.DUMMYFUNCTION("""COMPUTED_VALUE"""),334.5)</f>
        <v>334.5</v>
      </c>
      <c r="C3427" s="2">
        <f>IFERROR(__xludf.DUMMYFUNCTION("""COMPUTED_VALUE"""),334.5)</f>
        <v>334.5</v>
      </c>
      <c r="D3427" s="2">
        <f>IFERROR(__xludf.DUMMYFUNCTION("""COMPUTED_VALUE"""),326.9)</f>
        <v>326.9</v>
      </c>
      <c r="E3427" s="2">
        <f>IFERROR(__xludf.DUMMYFUNCTION("""COMPUTED_VALUE"""),330.1)</f>
        <v>330.1</v>
      </c>
      <c r="F3427" s="2">
        <f>IFERROR(__xludf.DUMMYFUNCTION("""COMPUTED_VALUE"""),3386239.0)</f>
        <v>3386239</v>
      </c>
    </row>
    <row r="3428">
      <c r="A3428" s="3">
        <f>IFERROR(__xludf.DUMMYFUNCTION("""COMPUTED_VALUE"""),41571.645833333336)</f>
        <v>41571.64583</v>
      </c>
      <c r="B3428" s="2">
        <f>IFERROR(__xludf.DUMMYFUNCTION("""COMPUTED_VALUE"""),328.1)</f>
        <v>328.1</v>
      </c>
      <c r="C3428" s="2">
        <f>IFERROR(__xludf.DUMMYFUNCTION("""COMPUTED_VALUE"""),337.88)</f>
        <v>337.88</v>
      </c>
      <c r="D3428" s="2">
        <f>IFERROR(__xludf.DUMMYFUNCTION("""COMPUTED_VALUE"""),328.1)</f>
        <v>328.1</v>
      </c>
      <c r="E3428" s="2">
        <f>IFERROR(__xludf.DUMMYFUNCTION("""COMPUTED_VALUE"""),334.65)</f>
        <v>334.65</v>
      </c>
      <c r="F3428" s="2">
        <f>IFERROR(__xludf.DUMMYFUNCTION("""COMPUTED_VALUE"""),3080482.0)</f>
        <v>3080482</v>
      </c>
    </row>
    <row r="3429">
      <c r="A3429" s="3">
        <f>IFERROR(__xludf.DUMMYFUNCTION("""COMPUTED_VALUE"""),41572.645833333336)</f>
        <v>41572.64583</v>
      </c>
      <c r="B3429" s="2">
        <f>IFERROR(__xludf.DUMMYFUNCTION("""COMPUTED_VALUE"""),332.63)</f>
        <v>332.63</v>
      </c>
      <c r="C3429" s="2">
        <f>IFERROR(__xludf.DUMMYFUNCTION("""COMPUTED_VALUE"""),337.48)</f>
        <v>337.48</v>
      </c>
      <c r="D3429" s="2">
        <f>IFERROR(__xludf.DUMMYFUNCTION("""COMPUTED_VALUE"""),331.58)</f>
        <v>331.58</v>
      </c>
      <c r="E3429" s="2">
        <f>IFERROR(__xludf.DUMMYFUNCTION("""COMPUTED_VALUE"""),336.28)</f>
        <v>336.28</v>
      </c>
      <c r="F3429" s="2">
        <f>IFERROR(__xludf.DUMMYFUNCTION("""COMPUTED_VALUE"""),2236718.0)</f>
        <v>2236718</v>
      </c>
    </row>
    <row r="3430">
      <c r="A3430" s="3">
        <f>IFERROR(__xludf.DUMMYFUNCTION("""COMPUTED_VALUE"""),41575.645833333336)</f>
        <v>41575.64583</v>
      </c>
      <c r="B3430" s="2">
        <f>IFERROR(__xludf.DUMMYFUNCTION("""COMPUTED_VALUE"""),336.5)</f>
        <v>336.5</v>
      </c>
      <c r="C3430" s="2">
        <f>IFERROR(__xludf.DUMMYFUNCTION("""COMPUTED_VALUE"""),337.5)</f>
        <v>337.5</v>
      </c>
      <c r="D3430" s="2">
        <f>IFERROR(__xludf.DUMMYFUNCTION("""COMPUTED_VALUE"""),332.7)</f>
        <v>332.7</v>
      </c>
      <c r="E3430" s="2">
        <f>IFERROR(__xludf.DUMMYFUNCTION("""COMPUTED_VALUE"""),333.95)</f>
        <v>333.95</v>
      </c>
      <c r="F3430" s="2">
        <f>IFERROR(__xludf.DUMMYFUNCTION("""COMPUTED_VALUE"""),2095522.0)</f>
        <v>2095522</v>
      </c>
    </row>
    <row r="3431">
      <c r="A3431" s="3">
        <f>IFERROR(__xludf.DUMMYFUNCTION("""COMPUTED_VALUE"""),41576.645833333336)</f>
        <v>41576.64583</v>
      </c>
      <c r="B3431" s="2">
        <f>IFERROR(__xludf.DUMMYFUNCTION("""COMPUTED_VALUE"""),334.0)</f>
        <v>334</v>
      </c>
      <c r="C3431" s="2">
        <f>IFERROR(__xludf.DUMMYFUNCTION("""COMPUTED_VALUE"""),344.5)</f>
        <v>344.5</v>
      </c>
      <c r="D3431" s="2">
        <f>IFERROR(__xludf.DUMMYFUNCTION("""COMPUTED_VALUE"""),327.78)</f>
        <v>327.78</v>
      </c>
      <c r="E3431" s="2">
        <f>IFERROR(__xludf.DUMMYFUNCTION("""COMPUTED_VALUE"""),343.25)</f>
        <v>343.25</v>
      </c>
      <c r="F3431" s="2">
        <f>IFERROR(__xludf.DUMMYFUNCTION("""COMPUTED_VALUE"""),3805729.0)</f>
        <v>3805729</v>
      </c>
    </row>
    <row r="3432">
      <c r="A3432" s="3">
        <f>IFERROR(__xludf.DUMMYFUNCTION("""COMPUTED_VALUE"""),41577.645833333336)</f>
        <v>41577.64583</v>
      </c>
      <c r="B3432" s="2">
        <f>IFERROR(__xludf.DUMMYFUNCTION("""COMPUTED_VALUE"""),343.0)</f>
        <v>343</v>
      </c>
      <c r="C3432" s="2">
        <f>IFERROR(__xludf.DUMMYFUNCTION("""COMPUTED_VALUE"""),343.75)</f>
        <v>343.75</v>
      </c>
      <c r="D3432" s="2">
        <f>IFERROR(__xludf.DUMMYFUNCTION("""COMPUTED_VALUE"""),337.88)</f>
        <v>337.88</v>
      </c>
      <c r="E3432" s="2">
        <f>IFERROR(__xludf.DUMMYFUNCTION("""COMPUTED_VALUE"""),339.67)</f>
        <v>339.67</v>
      </c>
      <c r="F3432" s="2">
        <f>IFERROR(__xludf.DUMMYFUNCTION("""COMPUTED_VALUE"""),2547168.0)</f>
        <v>2547168</v>
      </c>
    </row>
    <row r="3433">
      <c r="A3433" s="3">
        <f>IFERROR(__xludf.DUMMYFUNCTION("""COMPUTED_VALUE"""),41578.645833333336)</f>
        <v>41578.64583</v>
      </c>
      <c r="B3433" s="2">
        <f>IFERROR(__xludf.DUMMYFUNCTION("""COMPUTED_VALUE"""),338.1)</f>
        <v>338.1</v>
      </c>
      <c r="C3433" s="2">
        <f>IFERROR(__xludf.DUMMYFUNCTION("""COMPUTED_VALUE"""),342.53)</f>
        <v>342.53</v>
      </c>
      <c r="D3433" s="2">
        <f>IFERROR(__xludf.DUMMYFUNCTION("""COMPUTED_VALUE"""),336.7)</f>
        <v>336.7</v>
      </c>
      <c r="E3433" s="2">
        <f>IFERROR(__xludf.DUMMYFUNCTION("""COMPUTED_VALUE"""),340.4)</f>
        <v>340.4</v>
      </c>
      <c r="F3433" s="2">
        <f>IFERROR(__xludf.DUMMYFUNCTION("""COMPUTED_VALUE"""),4548889.0)</f>
        <v>4548889</v>
      </c>
    </row>
    <row r="3434">
      <c r="A3434" s="3">
        <f>IFERROR(__xludf.DUMMYFUNCTION("""COMPUTED_VALUE"""),41579.645833333336)</f>
        <v>41579.64583</v>
      </c>
      <c r="B3434" s="2">
        <f>IFERROR(__xludf.DUMMYFUNCTION("""COMPUTED_VALUE"""),340.8)</f>
        <v>340.8</v>
      </c>
      <c r="C3434" s="2">
        <f>IFERROR(__xludf.DUMMYFUNCTION("""COMPUTED_VALUE"""),344.0)</f>
        <v>344</v>
      </c>
      <c r="D3434" s="2">
        <f>IFERROR(__xludf.DUMMYFUNCTION("""COMPUTED_VALUE"""),339.1)</f>
        <v>339.1</v>
      </c>
      <c r="E3434" s="2">
        <f>IFERROR(__xludf.DUMMYFUNCTION("""COMPUTED_VALUE"""),341.9)</f>
        <v>341.9</v>
      </c>
      <c r="F3434" s="2">
        <f>IFERROR(__xludf.DUMMYFUNCTION("""COMPUTED_VALUE"""),3910611.0)</f>
        <v>3910611</v>
      </c>
    </row>
    <row r="3435">
      <c r="A3435" s="3">
        <f>IFERROR(__xludf.DUMMYFUNCTION("""COMPUTED_VALUE"""),41583.645833333336)</f>
        <v>41583.64583</v>
      </c>
      <c r="B3435" s="2">
        <f>IFERROR(__xludf.DUMMYFUNCTION("""COMPUTED_VALUE"""),340.23)</f>
        <v>340.23</v>
      </c>
      <c r="C3435" s="2">
        <f>IFERROR(__xludf.DUMMYFUNCTION("""COMPUTED_VALUE"""),342.5)</f>
        <v>342.5</v>
      </c>
      <c r="D3435" s="2">
        <f>IFERROR(__xludf.DUMMYFUNCTION("""COMPUTED_VALUE"""),336.5)</f>
        <v>336.5</v>
      </c>
      <c r="E3435" s="2">
        <f>IFERROR(__xludf.DUMMYFUNCTION("""COMPUTED_VALUE"""),338.13)</f>
        <v>338.13</v>
      </c>
      <c r="F3435" s="2">
        <f>IFERROR(__xludf.DUMMYFUNCTION("""COMPUTED_VALUE"""),3564618.0)</f>
        <v>3564618</v>
      </c>
    </row>
    <row r="3436">
      <c r="A3436" s="3">
        <f>IFERROR(__xludf.DUMMYFUNCTION("""COMPUTED_VALUE"""),41584.645833333336)</f>
        <v>41584.64583</v>
      </c>
      <c r="B3436" s="2">
        <f>IFERROR(__xludf.DUMMYFUNCTION("""COMPUTED_VALUE"""),339.45)</f>
        <v>339.45</v>
      </c>
      <c r="C3436" s="2">
        <f>IFERROR(__xludf.DUMMYFUNCTION("""COMPUTED_VALUE"""),339.6)</f>
        <v>339.6</v>
      </c>
      <c r="D3436" s="2">
        <f>IFERROR(__xludf.DUMMYFUNCTION("""COMPUTED_VALUE"""),332.63)</f>
        <v>332.63</v>
      </c>
      <c r="E3436" s="2">
        <f>IFERROR(__xludf.DUMMYFUNCTION("""COMPUTED_VALUE"""),334.45)</f>
        <v>334.45</v>
      </c>
      <c r="F3436" s="2">
        <f>IFERROR(__xludf.DUMMYFUNCTION("""COMPUTED_VALUE"""),1152663.0)</f>
        <v>1152663</v>
      </c>
    </row>
    <row r="3437">
      <c r="A3437" s="3">
        <f>IFERROR(__xludf.DUMMYFUNCTION("""COMPUTED_VALUE"""),41585.645833333336)</f>
        <v>41585.64583</v>
      </c>
      <c r="B3437" s="2">
        <f>IFERROR(__xludf.DUMMYFUNCTION("""COMPUTED_VALUE"""),335.0)</f>
        <v>335</v>
      </c>
      <c r="C3437" s="2">
        <f>IFERROR(__xludf.DUMMYFUNCTION("""COMPUTED_VALUE"""),338.75)</f>
        <v>338.75</v>
      </c>
      <c r="D3437" s="2">
        <f>IFERROR(__xludf.DUMMYFUNCTION("""COMPUTED_VALUE"""),328.45)</f>
        <v>328.45</v>
      </c>
      <c r="E3437" s="2">
        <f>IFERROR(__xludf.DUMMYFUNCTION("""COMPUTED_VALUE"""),332.7)</f>
        <v>332.7</v>
      </c>
      <c r="F3437" s="2">
        <f>IFERROR(__xludf.DUMMYFUNCTION("""COMPUTED_VALUE"""),1947285.0)</f>
        <v>1947285</v>
      </c>
    </row>
    <row r="3438">
      <c r="A3438" s="3">
        <f>IFERROR(__xludf.DUMMYFUNCTION("""COMPUTED_VALUE"""),41586.645833333336)</f>
        <v>41586.64583</v>
      </c>
      <c r="B3438" s="2">
        <f>IFERROR(__xludf.DUMMYFUNCTION("""COMPUTED_VALUE"""),331.7)</f>
        <v>331.7</v>
      </c>
      <c r="C3438" s="2">
        <f>IFERROR(__xludf.DUMMYFUNCTION("""COMPUTED_VALUE"""),333.83)</f>
        <v>333.83</v>
      </c>
      <c r="D3438" s="2">
        <f>IFERROR(__xludf.DUMMYFUNCTION("""COMPUTED_VALUE"""),322.33)</f>
        <v>322.33</v>
      </c>
      <c r="E3438" s="2">
        <f>IFERROR(__xludf.DUMMYFUNCTION("""COMPUTED_VALUE"""),326.25)</f>
        <v>326.25</v>
      </c>
      <c r="F3438" s="2">
        <f>IFERROR(__xludf.DUMMYFUNCTION("""COMPUTED_VALUE"""),3370190.0)</f>
        <v>3370190</v>
      </c>
    </row>
    <row r="3439">
      <c r="A3439" s="3">
        <f>IFERROR(__xludf.DUMMYFUNCTION("""COMPUTED_VALUE"""),41589.645833333336)</f>
        <v>41589.64583</v>
      </c>
      <c r="B3439" s="2">
        <f>IFERROR(__xludf.DUMMYFUNCTION("""COMPUTED_VALUE"""),322.0)</f>
        <v>322</v>
      </c>
      <c r="C3439" s="2">
        <f>IFERROR(__xludf.DUMMYFUNCTION("""COMPUTED_VALUE"""),330.35)</f>
        <v>330.35</v>
      </c>
      <c r="D3439" s="2">
        <f>IFERROR(__xludf.DUMMYFUNCTION("""COMPUTED_VALUE"""),308.35)</f>
        <v>308.35</v>
      </c>
      <c r="E3439" s="2">
        <f>IFERROR(__xludf.DUMMYFUNCTION("""COMPUTED_VALUE"""),327.13)</f>
        <v>327.13</v>
      </c>
      <c r="F3439" s="2">
        <f>IFERROR(__xludf.DUMMYFUNCTION("""COMPUTED_VALUE"""),2804076.0)</f>
        <v>2804076</v>
      </c>
    </row>
    <row r="3440">
      <c r="A3440" s="3">
        <f>IFERROR(__xludf.DUMMYFUNCTION("""COMPUTED_VALUE"""),41590.645833333336)</f>
        <v>41590.64583</v>
      </c>
      <c r="B3440" s="2">
        <f>IFERROR(__xludf.DUMMYFUNCTION("""COMPUTED_VALUE"""),326.27)</f>
        <v>326.27</v>
      </c>
      <c r="C3440" s="2">
        <f>IFERROR(__xludf.DUMMYFUNCTION("""COMPUTED_VALUE"""),331.53)</f>
        <v>331.53</v>
      </c>
      <c r="D3440" s="2">
        <f>IFERROR(__xludf.DUMMYFUNCTION("""COMPUTED_VALUE"""),321.67)</f>
        <v>321.67</v>
      </c>
      <c r="E3440" s="2">
        <f>IFERROR(__xludf.DUMMYFUNCTION("""COMPUTED_VALUE"""),322.98)</f>
        <v>322.98</v>
      </c>
      <c r="F3440" s="2">
        <f>IFERROR(__xludf.DUMMYFUNCTION("""COMPUTED_VALUE"""),2245080.0)</f>
        <v>2245080</v>
      </c>
    </row>
    <row r="3441">
      <c r="A3441" s="3">
        <f>IFERROR(__xludf.DUMMYFUNCTION("""COMPUTED_VALUE"""),41591.645833333336)</f>
        <v>41591.64583</v>
      </c>
      <c r="B3441" s="2">
        <f>IFERROR(__xludf.DUMMYFUNCTION("""COMPUTED_VALUE"""),319.5)</f>
        <v>319.5</v>
      </c>
      <c r="C3441" s="2">
        <f>IFERROR(__xludf.DUMMYFUNCTION("""COMPUTED_VALUE"""),323.73)</f>
        <v>323.73</v>
      </c>
      <c r="D3441" s="2">
        <f>IFERROR(__xludf.DUMMYFUNCTION("""COMPUTED_VALUE"""),314.17)</f>
        <v>314.17</v>
      </c>
      <c r="E3441" s="2">
        <f>IFERROR(__xludf.DUMMYFUNCTION("""COMPUTED_VALUE"""),316.85)</f>
        <v>316.85</v>
      </c>
      <c r="F3441" s="2">
        <f>IFERROR(__xludf.DUMMYFUNCTION("""COMPUTED_VALUE"""),2640271.0)</f>
        <v>2640271</v>
      </c>
    </row>
    <row r="3442">
      <c r="A3442" s="3">
        <f>IFERROR(__xludf.DUMMYFUNCTION("""COMPUTED_VALUE"""),41592.645833333336)</f>
        <v>41592.64583</v>
      </c>
      <c r="B3442" s="2">
        <f>IFERROR(__xludf.DUMMYFUNCTION("""COMPUTED_VALUE"""),319.0)</f>
        <v>319</v>
      </c>
      <c r="C3442" s="2">
        <f>IFERROR(__xludf.DUMMYFUNCTION("""COMPUTED_VALUE"""),324.95)</f>
        <v>324.95</v>
      </c>
      <c r="D3442" s="2">
        <f>IFERROR(__xludf.DUMMYFUNCTION("""COMPUTED_VALUE"""),319.0)</f>
        <v>319</v>
      </c>
      <c r="E3442" s="2">
        <f>IFERROR(__xludf.DUMMYFUNCTION("""COMPUTED_VALUE"""),321.1)</f>
        <v>321.1</v>
      </c>
      <c r="F3442" s="2">
        <f>IFERROR(__xludf.DUMMYFUNCTION("""COMPUTED_VALUE"""),3156715.0)</f>
        <v>3156715</v>
      </c>
    </row>
    <row r="3443">
      <c r="A3443" s="3">
        <f>IFERROR(__xludf.DUMMYFUNCTION("""COMPUTED_VALUE"""),41596.645833333336)</f>
        <v>41596.64583</v>
      </c>
      <c r="B3443" s="2">
        <f>IFERROR(__xludf.DUMMYFUNCTION("""COMPUTED_VALUE"""),325.7)</f>
        <v>325.7</v>
      </c>
      <c r="C3443" s="2">
        <f>IFERROR(__xludf.DUMMYFUNCTION("""COMPUTED_VALUE"""),335.0)</f>
        <v>335</v>
      </c>
      <c r="D3443" s="2">
        <f>IFERROR(__xludf.DUMMYFUNCTION("""COMPUTED_VALUE"""),324.52)</f>
        <v>324.52</v>
      </c>
      <c r="E3443" s="2">
        <f>IFERROR(__xludf.DUMMYFUNCTION("""COMPUTED_VALUE"""),334.4)</f>
        <v>334.4</v>
      </c>
      <c r="F3443" s="2">
        <f>IFERROR(__xludf.DUMMYFUNCTION("""COMPUTED_VALUE"""),3718480.0)</f>
        <v>3718480</v>
      </c>
    </row>
    <row r="3444">
      <c r="A3444" s="3">
        <f>IFERROR(__xludf.DUMMYFUNCTION("""COMPUTED_VALUE"""),41597.645833333336)</f>
        <v>41597.64583</v>
      </c>
      <c r="B3444" s="2">
        <f>IFERROR(__xludf.DUMMYFUNCTION("""COMPUTED_VALUE"""),334.2)</f>
        <v>334.2</v>
      </c>
      <c r="C3444" s="2">
        <f>IFERROR(__xludf.DUMMYFUNCTION("""COMPUTED_VALUE"""),334.2)</f>
        <v>334.2</v>
      </c>
      <c r="D3444" s="2">
        <f>IFERROR(__xludf.DUMMYFUNCTION("""COMPUTED_VALUE"""),328.73)</f>
        <v>328.73</v>
      </c>
      <c r="E3444" s="2">
        <f>IFERROR(__xludf.DUMMYFUNCTION("""COMPUTED_VALUE"""),330.03)</f>
        <v>330.03</v>
      </c>
      <c r="F3444" s="2">
        <f>IFERROR(__xludf.DUMMYFUNCTION("""COMPUTED_VALUE"""),1697259.0)</f>
        <v>1697259</v>
      </c>
    </row>
    <row r="3445">
      <c r="A3445" s="3">
        <f>IFERROR(__xludf.DUMMYFUNCTION("""COMPUTED_VALUE"""),41598.645833333336)</f>
        <v>41598.64583</v>
      </c>
      <c r="B3445" s="2">
        <f>IFERROR(__xludf.DUMMYFUNCTION("""COMPUTED_VALUE"""),328.35)</f>
        <v>328.35</v>
      </c>
      <c r="C3445" s="2">
        <f>IFERROR(__xludf.DUMMYFUNCTION("""COMPUTED_VALUE"""),329.5)</f>
        <v>329.5</v>
      </c>
      <c r="D3445" s="2">
        <f>IFERROR(__xludf.DUMMYFUNCTION("""COMPUTED_VALUE"""),323.2)</f>
        <v>323.2</v>
      </c>
      <c r="E3445" s="2">
        <f>IFERROR(__xludf.DUMMYFUNCTION("""COMPUTED_VALUE"""),324.77)</f>
        <v>324.77</v>
      </c>
      <c r="F3445" s="2">
        <f>IFERROR(__xludf.DUMMYFUNCTION("""COMPUTED_VALUE"""),2092524.0)</f>
        <v>2092524</v>
      </c>
    </row>
    <row r="3446">
      <c r="A3446" s="3">
        <f>IFERROR(__xludf.DUMMYFUNCTION("""COMPUTED_VALUE"""),41599.645833333336)</f>
        <v>41599.64583</v>
      </c>
      <c r="B3446" s="2">
        <f>IFERROR(__xludf.DUMMYFUNCTION("""COMPUTED_VALUE"""),322.27)</f>
        <v>322.27</v>
      </c>
      <c r="C3446" s="2">
        <f>IFERROR(__xludf.DUMMYFUNCTION("""COMPUTED_VALUE"""),322.8)</f>
        <v>322.8</v>
      </c>
      <c r="D3446" s="2">
        <f>IFERROR(__xludf.DUMMYFUNCTION("""COMPUTED_VALUE"""),317.58)</f>
        <v>317.58</v>
      </c>
      <c r="E3446" s="2">
        <f>IFERROR(__xludf.DUMMYFUNCTION("""COMPUTED_VALUE"""),318.83)</f>
        <v>318.83</v>
      </c>
      <c r="F3446" s="2">
        <f>IFERROR(__xludf.DUMMYFUNCTION("""COMPUTED_VALUE"""),3196914.0)</f>
        <v>3196914</v>
      </c>
    </row>
    <row r="3447">
      <c r="A3447" s="3">
        <f>IFERROR(__xludf.DUMMYFUNCTION("""COMPUTED_VALUE"""),41600.645833333336)</f>
        <v>41600.64583</v>
      </c>
      <c r="B3447" s="2">
        <f>IFERROR(__xludf.DUMMYFUNCTION("""COMPUTED_VALUE"""),321.25)</f>
        <v>321.25</v>
      </c>
      <c r="C3447" s="2">
        <f>IFERROR(__xludf.DUMMYFUNCTION("""COMPUTED_VALUE"""),323.45)</f>
        <v>323.45</v>
      </c>
      <c r="D3447" s="2">
        <f>IFERROR(__xludf.DUMMYFUNCTION("""COMPUTED_VALUE"""),317.55)</f>
        <v>317.55</v>
      </c>
      <c r="E3447" s="2">
        <f>IFERROR(__xludf.DUMMYFUNCTION("""COMPUTED_VALUE"""),321.08)</f>
        <v>321.08</v>
      </c>
      <c r="F3447" s="2">
        <f>IFERROR(__xludf.DUMMYFUNCTION("""COMPUTED_VALUE"""),1873096.0)</f>
        <v>1873096</v>
      </c>
    </row>
    <row r="3448">
      <c r="A3448" s="3">
        <f>IFERROR(__xludf.DUMMYFUNCTION("""COMPUTED_VALUE"""),41603.645833333336)</f>
        <v>41603.64583</v>
      </c>
      <c r="B3448" s="2">
        <f>IFERROR(__xludf.DUMMYFUNCTION("""COMPUTED_VALUE"""),324.02)</f>
        <v>324.02</v>
      </c>
      <c r="C3448" s="2">
        <f>IFERROR(__xludf.DUMMYFUNCTION("""COMPUTED_VALUE"""),330.88)</f>
        <v>330.88</v>
      </c>
      <c r="D3448" s="2">
        <f>IFERROR(__xludf.DUMMYFUNCTION("""COMPUTED_VALUE"""),324.02)</f>
        <v>324.02</v>
      </c>
      <c r="E3448" s="2">
        <f>IFERROR(__xludf.DUMMYFUNCTION("""COMPUTED_VALUE"""),329.88)</f>
        <v>329.88</v>
      </c>
      <c r="F3448" s="2">
        <f>IFERROR(__xludf.DUMMYFUNCTION("""COMPUTED_VALUE"""),4037635.0)</f>
        <v>4037635</v>
      </c>
    </row>
    <row r="3449">
      <c r="A3449" s="3">
        <f>IFERROR(__xludf.DUMMYFUNCTION("""COMPUTED_VALUE"""),41604.645833333336)</f>
        <v>41604.64583</v>
      </c>
      <c r="B3449" s="2">
        <f>IFERROR(__xludf.DUMMYFUNCTION("""COMPUTED_VALUE"""),328.85)</f>
        <v>328.85</v>
      </c>
      <c r="C3449" s="2">
        <f>IFERROR(__xludf.DUMMYFUNCTION("""COMPUTED_VALUE"""),329.95)</f>
        <v>329.95</v>
      </c>
      <c r="D3449" s="2">
        <f>IFERROR(__xludf.DUMMYFUNCTION("""COMPUTED_VALUE"""),324.2)</f>
        <v>324.2</v>
      </c>
      <c r="E3449" s="2">
        <f>IFERROR(__xludf.DUMMYFUNCTION("""COMPUTED_VALUE"""),326.48)</f>
        <v>326.48</v>
      </c>
      <c r="F3449" s="2">
        <f>IFERROR(__xludf.DUMMYFUNCTION("""COMPUTED_VALUE"""),3619629.0)</f>
        <v>3619629</v>
      </c>
    </row>
    <row r="3450">
      <c r="A3450" s="3">
        <f>IFERROR(__xludf.DUMMYFUNCTION("""COMPUTED_VALUE"""),41605.645833333336)</f>
        <v>41605.64583</v>
      </c>
      <c r="B3450" s="2">
        <f>IFERROR(__xludf.DUMMYFUNCTION("""COMPUTED_VALUE"""),325.55)</f>
        <v>325.55</v>
      </c>
      <c r="C3450" s="2">
        <f>IFERROR(__xludf.DUMMYFUNCTION("""COMPUTED_VALUE"""),329.38)</f>
        <v>329.38</v>
      </c>
      <c r="D3450" s="2">
        <f>IFERROR(__xludf.DUMMYFUNCTION("""COMPUTED_VALUE"""),322.05)</f>
        <v>322.05</v>
      </c>
      <c r="E3450" s="2">
        <f>IFERROR(__xludf.DUMMYFUNCTION("""COMPUTED_VALUE"""),326.77)</f>
        <v>326.77</v>
      </c>
      <c r="F3450" s="2">
        <f>IFERROR(__xludf.DUMMYFUNCTION("""COMPUTED_VALUE"""),2148253.0)</f>
        <v>2148253</v>
      </c>
    </row>
    <row r="3451">
      <c r="A3451" s="3">
        <f>IFERROR(__xludf.DUMMYFUNCTION("""COMPUTED_VALUE"""),41606.645833333336)</f>
        <v>41606.64583</v>
      </c>
      <c r="B3451" s="2">
        <f>IFERROR(__xludf.DUMMYFUNCTION("""COMPUTED_VALUE"""),327.8)</f>
        <v>327.8</v>
      </c>
      <c r="C3451" s="2">
        <f>IFERROR(__xludf.DUMMYFUNCTION("""COMPUTED_VALUE"""),331.5)</f>
        <v>331.5</v>
      </c>
      <c r="D3451" s="2">
        <f>IFERROR(__xludf.DUMMYFUNCTION("""COMPUTED_VALUE"""),324.02)</f>
        <v>324.02</v>
      </c>
      <c r="E3451" s="2">
        <f>IFERROR(__xludf.DUMMYFUNCTION("""COMPUTED_VALUE"""),326.7)</f>
        <v>326.7</v>
      </c>
      <c r="F3451" s="2">
        <f>IFERROR(__xludf.DUMMYFUNCTION("""COMPUTED_VALUE"""),3693433.0)</f>
        <v>3693433</v>
      </c>
    </row>
    <row r="3452">
      <c r="A3452" s="3">
        <f>IFERROR(__xludf.DUMMYFUNCTION("""COMPUTED_VALUE"""),41607.645833333336)</f>
        <v>41607.64583</v>
      </c>
      <c r="B3452" s="2">
        <f>IFERROR(__xludf.DUMMYFUNCTION("""COMPUTED_VALUE"""),327.5)</f>
        <v>327.5</v>
      </c>
      <c r="C3452" s="2">
        <f>IFERROR(__xludf.DUMMYFUNCTION("""COMPUTED_VALUE"""),334.45)</f>
        <v>334.45</v>
      </c>
      <c r="D3452" s="2">
        <f>IFERROR(__xludf.DUMMYFUNCTION("""COMPUTED_VALUE"""),327.5)</f>
        <v>327.5</v>
      </c>
      <c r="E3452" s="2">
        <f>IFERROR(__xludf.DUMMYFUNCTION("""COMPUTED_VALUE"""),330.65)</f>
        <v>330.65</v>
      </c>
      <c r="F3452" s="2">
        <f>IFERROR(__xludf.DUMMYFUNCTION("""COMPUTED_VALUE"""),2392770.0)</f>
        <v>2392770</v>
      </c>
    </row>
    <row r="3453">
      <c r="A3453" s="3">
        <f>IFERROR(__xludf.DUMMYFUNCTION("""COMPUTED_VALUE"""),41610.645833333336)</f>
        <v>41610.64583</v>
      </c>
      <c r="B3453" s="2">
        <f>IFERROR(__xludf.DUMMYFUNCTION("""COMPUTED_VALUE"""),331.0)</f>
        <v>331</v>
      </c>
      <c r="C3453" s="2">
        <f>IFERROR(__xludf.DUMMYFUNCTION("""COMPUTED_VALUE"""),332.5)</f>
        <v>332.5</v>
      </c>
      <c r="D3453" s="2">
        <f>IFERROR(__xludf.DUMMYFUNCTION("""COMPUTED_VALUE"""),329.03)</f>
        <v>329.03</v>
      </c>
      <c r="E3453" s="2">
        <f>IFERROR(__xludf.DUMMYFUNCTION("""COMPUTED_VALUE"""),330.65)</f>
        <v>330.65</v>
      </c>
      <c r="F3453" s="2">
        <f>IFERROR(__xludf.DUMMYFUNCTION("""COMPUTED_VALUE"""),1714653.0)</f>
        <v>1714653</v>
      </c>
    </row>
    <row r="3454">
      <c r="A3454" s="3">
        <f>IFERROR(__xludf.DUMMYFUNCTION("""COMPUTED_VALUE"""),41611.645833333336)</f>
        <v>41611.64583</v>
      </c>
      <c r="B3454" s="2">
        <f>IFERROR(__xludf.DUMMYFUNCTION("""COMPUTED_VALUE"""),330.0)</f>
        <v>330</v>
      </c>
      <c r="C3454" s="2">
        <f>IFERROR(__xludf.DUMMYFUNCTION("""COMPUTED_VALUE"""),331.1)</f>
        <v>331.1</v>
      </c>
      <c r="D3454" s="2">
        <f>IFERROR(__xludf.DUMMYFUNCTION("""COMPUTED_VALUE"""),326.33)</f>
        <v>326.33</v>
      </c>
      <c r="E3454" s="2">
        <f>IFERROR(__xludf.DUMMYFUNCTION("""COMPUTED_VALUE"""),327.88)</f>
        <v>327.88</v>
      </c>
      <c r="F3454" s="2">
        <f>IFERROR(__xludf.DUMMYFUNCTION("""COMPUTED_VALUE"""),2572070.0)</f>
        <v>2572070</v>
      </c>
    </row>
    <row r="3455">
      <c r="A3455" s="3">
        <f>IFERROR(__xludf.DUMMYFUNCTION("""COMPUTED_VALUE"""),41612.645833333336)</f>
        <v>41612.64583</v>
      </c>
      <c r="B3455" s="2">
        <f>IFERROR(__xludf.DUMMYFUNCTION("""COMPUTED_VALUE"""),327.45)</f>
        <v>327.45</v>
      </c>
      <c r="C3455" s="2">
        <f>IFERROR(__xludf.DUMMYFUNCTION("""COMPUTED_VALUE"""),329.78)</f>
        <v>329.78</v>
      </c>
      <c r="D3455" s="2">
        <f>IFERROR(__xludf.DUMMYFUNCTION("""COMPUTED_VALUE"""),326.73)</f>
        <v>326.73</v>
      </c>
      <c r="E3455" s="2">
        <f>IFERROR(__xludf.DUMMYFUNCTION("""COMPUTED_VALUE"""),328.8)</f>
        <v>328.8</v>
      </c>
      <c r="F3455" s="2">
        <f>IFERROR(__xludf.DUMMYFUNCTION("""COMPUTED_VALUE"""),2619152.0)</f>
        <v>2619152</v>
      </c>
    </row>
    <row r="3456">
      <c r="A3456" s="3">
        <f>IFERROR(__xludf.DUMMYFUNCTION("""COMPUTED_VALUE"""),41613.645833333336)</f>
        <v>41613.64583</v>
      </c>
      <c r="B3456" s="2">
        <f>IFERROR(__xludf.DUMMYFUNCTION("""COMPUTED_VALUE"""),335.78)</f>
        <v>335.78</v>
      </c>
      <c r="C3456" s="2">
        <f>IFERROR(__xludf.DUMMYFUNCTION("""COMPUTED_VALUE"""),344.95)</f>
        <v>344.95</v>
      </c>
      <c r="D3456" s="2">
        <f>IFERROR(__xludf.DUMMYFUNCTION("""COMPUTED_VALUE"""),335.78)</f>
        <v>335.78</v>
      </c>
      <c r="E3456" s="2">
        <f>IFERROR(__xludf.DUMMYFUNCTION("""COMPUTED_VALUE"""),344.05)</f>
        <v>344.05</v>
      </c>
      <c r="F3456" s="2">
        <f>IFERROR(__xludf.DUMMYFUNCTION("""COMPUTED_VALUE"""),8004998.0)</f>
        <v>8004998</v>
      </c>
    </row>
    <row r="3457">
      <c r="A3457" s="3">
        <f>IFERROR(__xludf.DUMMYFUNCTION("""COMPUTED_VALUE"""),41614.645833333336)</f>
        <v>41614.64583</v>
      </c>
      <c r="B3457" s="2">
        <f>IFERROR(__xludf.DUMMYFUNCTION("""COMPUTED_VALUE"""),342.45)</f>
        <v>342.45</v>
      </c>
      <c r="C3457" s="2">
        <f>IFERROR(__xludf.DUMMYFUNCTION("""COMPUTED_VALUE"""),344.8)</f>
        <v>344.8</v>
      </c>
      <c r="D3457" s="2">
        <f>IFERROR(__xludf.DUMMYFUNCTION("""COMPUTED_VALUE"""),339.13)</f>
        <v>339.13</v>
      </c>
      <c r="E3457" s="2">
        <f>IFERROR(__xludf.DUMMYFUNCTION("""COMPUTED_VALUE"""),341.35)</f>
        <v>341.35</v>
      </c>
      <c r="F3457" s="2">
        <f>IFERROR(__xludf.DUMMYFUNCTION("""COMPUTED_VALUE"""),4017308.0)</f>
        <v>4017308</v>
      </c>
    </row>
    <row r="3458">
      <c r="A3458" s="3">
        <f>IFERROR(__xludf.DUMMYFUNCTION("""COMPUTED_VALUE"""),41617.645833333336)</f>
        <v>41617.64583</v>
      </c>
      <c r="B3458" s="2">
        <f>IFERROR(__xludf.DUMMYFUNCTION("""COMPUTED_VALUE"""),355.0)</f>
        <v>355</v>
      </c>
      <c r="C3458" s="2">
        <f>IFERROR(__xludf.DUMMYFUNCTION("""COMPUTED_VALUE"""),358.7)</f>
        <v>358.7</v>
      </c>
      <c r="D3458" s="2">
        <f>IFERROR(__xludf.DUMMYFUNCTION("""COMPUTED_VALUE"""),346.28)</f>
        <v>346.28</v>
      </c>
      <c r="E3458" s="2">
        <f>IFERROR(__xludf.DUMMYFUNCTION("""COMPUTED_VALUE"""),348.33)</f>
        <v>348.33</v>
      </c>
      <c r="F3458" s="2">
        <f>IFERROR(__xludf.DUMMYFUNCTION("""COMPUTED_VALUE"""),6316407.0)</f>
        <v>6316407</v>
      </c>
    </row>
    <row r="3459">
      <c r="A3459" s="3">
        <f>IFERROR(__xludf.DUMMYFUNCTION("""COMPUTED_VALUE"""),41618.645833333336)</f>
        <v>41618.64583</v>
      </c>
      <c r="B3459" s="2">
        <f>IFERROR(__xludf.DUMMYFUNCTION("""COMPUTED_VALUE"""),346.17)</f>
        <v>346.17</v>
      </c>
      <c r="C3459" s="2">
        <f>IFERROR(__xludf.DUMMYFUNCTION("""COMPUTED_VALUE"""),350.92)</f>
        <v>350.92</v>
      </c>
      <c r="D3459" s="2">
        <f>IFERROR(__xludf.DUMMYFUNCTION("""COMPUTED_VALUE"""),345.0)</f>
        <v>345</v>
      </c>
      <c r="E3459" s="2">
        <f>IFERROR(__xludf.DUMMYFUNCTION("""COMPUTED_VALUE"""),348.35)</f>
        <v>348.35</v>
      </c>
      <c r="F3459" s="2">
        <f>IFERROR(__xludf.DUMMYFUNCTION("""COMPUTED_VALUE"""),6266220.0)</f>
        <v>6266220</v>
      </c>
    </row>
    <row r="3460">
      <c r="A3460" s="3">
        <f>IFERROR(__xludf.DUMMYFUNCTION("""COMPUTED_VALUE"""),41619.645833333336)</f>
        <v>41619.64583</v>
      </c>
      <c r="B3460" s="2">
        <f>IFERROR(__xludf.DUMMYFUNCTION("""COMPUTED_VALUE"""),345.05)</f>
        <v>345.05</v>
      </c>
      <c r="C3460" s="2">
        <f>IFERROR(__xludf.DUMMYFUNCTION("""COMPUTED_VALUE"""),350.9)</f>
        <v>350.9</v>
      </c>
      <c r="D3460" s="2">
        <f>IFERROR(__xludf.DUMMYFUNCTION("""COMPUTED_VALUE"""),343.45)</f>
        <v>343.45</v>
      </c>
      <c r="E3460" s="2">
        <f>IFERROR(__xludf.DUMMYFUNCTION("""COMPUTED_VALUE"""),347.78)</f>
        <v>347.78</v>
      </c>
      <c r="F3460" s="2">
        <f>IFERROR(__xludf.DUMMYFUNCTION("""COMPUTED_VALUE"""),3072444.0)</f>
        <v>3072444</v>
      </c>
    </row>
    <row r="3461">
      <c r="A3461" s="3">
        <f>IFERROR(__xludf.DUMMYFUNCTION("""COMPUTED_VALUE"""),41620.645833333336)</f>
        <v>41620.64583</v>
      </c>
      <c r="B3461" s="2">
        <f>IFERROR(__xludf.DUMMYFUNCTION("""COMPUTED_VALUE"""),346.6)</f>
        <v>346.6</v>
      </c>
      <c r="C3461" s="2">
        <f>IFERROR(__xludf.DUMMYFUNCTION("""COMPUTED_VALUE"""),350.28)</f>
        <v>350.28</v>
      </c>
      <c r="D3461" s="2">
        <f>IFERROR(__xludf.DUMMYFUNCTION("""COMPUTED_VALUE"""),345.25)</f>
        <v>345.25</v>
      </c>
      <c r="E3461" s="2">
        <f>IFERROR(__xludf.DUMMYFUNCTION("""COMPUTED_VALUE"""),347.6)</f>
        <v>347.6</v>
      </c>
      <c r="F3461" s="2">
        <f>IFERROR(__xludf.DUMMYFUNCTION("""COMPUTED_VALUE"""),3216924.0)</f>
        <v>3216924</v>
      </c>
    </row>
    <row r="3462">
      <c r="A3462" s="3">
        <f>IFERROR(__xludf.DUMMYFUNCTION("""COMPUTED_VALUE"""),41621.645833333336)</f>
        <v>41621.64583</v>
      </c>
      <c r="B3462" s="2">
        <f>IFERROR(__xludf.DUMMYFUNCTION("""COMPUTED_VALUE"""),343.9)</f>
        <v>343.9</v>
      </c>
      <c r="C3462" s="2">
        <f>IFERROR(__xludf.DUMMYFUNCTION("""COMPUTED_VALUE"""),351.0)</f>
        <v>351</v>
      </c>
      <c r="D3462" s="2">
        <f>IFERROR(__xludf.DUMMYFUNCTION("""COMPUTED_VALUE"""),342.5)</f>
        <v>342.5</v>
      </c>
      <c r="E3462" s="2">
        <f>IFERROR(__xludf.DUMMYFUNCTION("""COMPUTED_VALUE"""),344.98)</f>
        <v>344.98</v>
      </c>
      <c r="F3462" s="2">
        <f>IFERROR(__xludf.DUMMYFUNCTION("""COMPUTED_VALUE"""),6329020.0)</f>
        <v>6329020</v>
      </c>
    </row>
    <row r="3463">
      <c r="A3463" s="3">
        <f>IFERROR(__xludf.DUMMYFUNCTION("""COMPUTED_VALUE"""),41624.645833333336)</f>
        <v>41624.64583</v>
      </c>
      <c r="B3463" s="2">
        <f>IFERROR(__xludf.DUMMYFUNCTION("""COMPUTED_VALUE"""),344.0)</f>
        <v>344</v>
      </c>
      <c r="C3463" s="2">
        <f>IFERROR(__xludf.DUMMYFUNCTION("""COMPUTED_VALUE"""),345.45)</f>
        <v>345.45</v>
      </c>
      <c r="D3463" s="2">
        <f>IFERROR(__xludf.DUMMYFUNCTION("""COMPUTED_VALUE"""),340.6)</f>
        <v>340.6</v>
      </c>
      <c r="E3463" s="2">
        <f>IFERROR(__xludf.DUMMYFUNCTION("""COMPUTED_VALUE"""),342.17)</f>
        <v>342.17</v>
      </c>
      <c r="F3463" s="2">
        <f>IFERROR(__xludf.DUMMYFUNCTION("""COMPUTED_VALUE"""),5358061.0)</f>
        <v>5358061</v>
      </c>
    </row>
    <row r="3464">
      <c r="A3464" s="3">
        <f>IFERROR(__xludf.DUMMYFUNCTION("""COMPUTED_VALUE"""),41625.645833333336)</f>
        <v>41625.64583</v>
      </c>
      <c r="B3464" s="2">
        <f>IFERROR(__xludf.DUMMYFUNCTION("""COMPUTED_VALUE"""),337.83)</f>
        <v>337.83</v>
      </c>
      <c r="C3464" s="2">
        <f>IFERROR(__xludf.DUMMYFUNCTION("""COMPUTED_VALUE"""),337.83)</f>
        <v>337.83</v>
      </c>
      <c r="D3464" s="2">
        <f>IFERROR(__xludf.DUMMYFUNCTION("""COMPUTED_VALUE"""),327.02)</f>
        <v>327.02</v>
      </c>
      <c r="E3464" s="2">
        <f>IFERROR(__xludf.DUMMYFUNCTION("""COMPUTED_VALUE"""),328.8)</f>
        <v>328.8</v>
      </c>
      <c r="F3464" s="2">
        <f>IFERROR(__xludf.DUMMYFUNCTION("""COMPUTED_VALUE"""),4485661.0)</f>
        <v>4485661</v>
      </c>
    </row>
    <row r="3465">
      <c r="A3465" s="3">
        <f>IFERROR(__xludf.DUMMYFUNCTION("""COMPUTED_VALUE"""),41626.645833333336)</f>
        <v>41626.64583</v>
      </c>
      <c r="B3465" s="2">
        <f>IFERROR(__xludf.DUMMYFUNCTION("""COMPUTED_VALUE"""),325.25)</f>
        <v>325.25</v>
      </c>
      <c r="C3465" s="2">
        <f>IFERROR(__xludf.DUMMYFUNCTION("""COMPUTED_VALUE"""),340.33)</f>
        <v>340.33</v>
      </c>
      <c r="D3465" s="2">
        <f>IFERROR(__xludf.DUMMYFUNCTION("""COMPUTED_VALUE"""),324.77)</f>
        <v>324.77</v>
      </c>
      <c r="E3465" s="2">
        <f>IFERROR(__xludf.DUMMYFUNCTION("""COMPUTED_VALUE"""),333.13)</f>
        <v>333.13</v>
      </c>
      <c r="F3465" s="2">
        <f>IFERROR(__xludf.DUMMYFUNCTION("""COMPUTED_VALUE"""),3521829.0)</f>
        <v>3521829</v>
      </c>
    </row>
    <row r="3466">
      <c r="A3466" s="3">
        <f>IFERROR(__xludf.DUMMYFUNCTION("""COMPUTED_VALUE"""),41627.645833333336)</f>
        <v>41627.64583</v>
      </c>
      <c r="B3466" s="2">
        <f>IFERROR(__xludf.DUMMYFUNCTION("""COMPUTED_VALUE"""),339.5)</f>
        <v>339.5</v>
      </c>
      <c r="C3466" s="2">
        <f>IFERROR(__xludf.DUMMYFUNCTION("""COMPUTED_VALUE"""),341.98)</f>
        <v>341.98</v>
      </c>
      <c r="D3466" s="2">
        <f>IFERROR(__xludf.DUMMYFUNCTION("""COMPUTED_VALUE"""),325.2)</f>
        <v>325.2</v>
      </c>
      <c r="E3466" s="2">
        <f>IFERROR(__xludf.DUMMYFUNCTION("""COMPUTED_VALUE"""),326.27)</f>
        <v>326.27</v>
      </c>
      <c r="F3466" s="2">
        <f>IFERROR(__xludf.DUMMYFUNCTION("""COMPUTED_VALUE"""),2504879.0)</f>
        <v>2504879</v>
      </c>
    </row>
    <row r="3467">
      <c r="A3467" s="3">
        <f>IFERROR(__xludf.DUMMYFUNCTION("""COMPUTED_VALUE"""),41628.645833333336)</f>
        <v>41628.64583</v>
      </c>
      <c r="B3467" s="2">
        <f>IFERROR(__xludf.DUMMYFUNCTION("""COMPUTED_VALUE"""),328.9)</f>
        <v>328.9</v>
      </c>
      <c r="C3467" s="2">
        <f>IFERROR(__xludf.DUMMYFUNCTION("""COMPUTED_VALUE"""),334.3)</f>
        <v>334.3</v>
      </c>
      <c r="D3467" s="2">
        <f>IFERROR(__xludf.DUMMYFUNCTION("""COMPUTED_VALUE"""),325.05)</f>
        <v>325.05</v>
      </c>
      <c r="E3467" s="2">
        <f>IFERROR(__xludf.DUMMYFUNCTION("""COMPUTED_VALUE"""),332.3)</f>
        <v>332.3</v>
      </c>
      <c r="F3467" s="2">
        <f>IFERROR(__xludf.DUMMYFUNCTION("""COMPUTED_VALUE"""),1430617.0)</f>
        <v>1430617</v>
      </c>
    </row>
    <row r="3468">
      <c r="A3468" s="3">
        <f>IFERROR(__xludf.DUMMYFUNCTION("""COMPUTED_VALUE"""),41631.645833333336)</f>
        <v>41631.64583</v>
      </c>
      <c r="B3468" s="2">
        <f>IFERROR(__xludf.DUMMYFUNCTION("""COMPUTED_VALUE"""),329.0)</f>
        <v>329</v>
      </c>
      <c r="C3468" s="2">
        <f>IFERROR(__xludf.DUMMYFUNCTION("""COMPUTED_VALUE"""),335.75)</f>
        <v>335.75</v>
      </c>
      <c r="D3468" s="2">
        <f>IFERROR(__xludf.DUMMYFUNCTION("""COMPUTED_VALUE"""),328.5)</f>
        <v>328.5</v>
      </c>
      <c r="E3468" s="2">
        <f>IFERROR(__xludf.DUMMYFUNCTION("""COMPUTED_VALUE"""),332.23)</f>
        <v>332.23</v>
      </c>
      <c r="F3468" s="2">
        <f>IFERROR(__xludf.DUMMYFUNCTION("""COMPUTED_VALUE"""),1382808.0)</f>
        <v>1382808</v>
      </c>
    </row>
    <row r="3469">
      <c r="A3469" s="3">
        <f>IFERROR(__xludf.DUMMYFUNCTION("""COMPUTED_VALUE"""),41632.645833333336)</f>
        <v>41632.64583</v>
      </c>
      <c r="B3469" s="2">
        <f>IFERROR(__xludf.DUMMYFUNCTION("""COMPUTED_VALUE"""),332.78)</f>
        <v>332.78</v>
      </c>
      <c r="C3469" s="2">
        <f>IFERROR(__xludf.DUMMYFUNCTION("""COMPUTED_VALUE"""),333.25)</f>
        <v>333.25</v>
      </c>
      <c r="D3469" s="2">
        <f>IFERROR(__xludf.DUMMYFUNCTION("""COMPUTED_VALUE"""),327.52)</f>
        <v>327.52</v>
      </c>
      <c r="E3469" s="2">
        <f>IFERROR(__xludf.DUMMYFUNCTION("""COMPUTED_VALUE"""),328.65)</f>
        <v>328.65</v>
      </c>
      <c r="F3469" s="2">
        <f>IFERROR(__xludf.DUMMYFUNCTION("""COMPUTED_VALUE"""),888674.0)</f>
        <v>888674</v>
      </c>
    </row>
    <row r="3470">
      <c r="A3470" s="3">
        <f>IFERROR(__xludf.DUMMYFUNCTION("""COMPUTED_VALUE"""),41634.645833333336)</f>
        <v>41634.64583</v>
      </c>
      <c r="B3470" s="2">
        <f>IFERROR(__xludf.DUMMYFUNCTION("""COMPUTED_VALUE"""),329.92)</f>
        <v>329.92</v>
      </c>
      <c r="C3470" s="2">
        <f>IFERROR(__xludf.DUMMYFUNCTION("""COMPUTED_VALUE"""),336.1)</f>
        <v>336.1</v>
      </c>
      <c r="D3470" s="2">
        <f>IFERROR(__xludf.DUMMYFUNCTION("""COMPUTED_VALUE"""),328.45)</f>
        <v>328.45</v>
      </c>
      <c r="E3470" s="2">
        <f>IFERROR(__xludf.DUMMYFUNCTION("""COMPUTED_VALUE"""),334.53)</f>
        <v>334.53</v>
      </c>
      <c r="F3470" s="2">
        <f>IFERROR(__xludf.DUMMYFUNCTION("""COMPUTED_VALUE"""),2011690.0)</f>
        <v>2011690</v>
      </c>
    </row>
    <row r="3471">
      <c r="A3471" s="3">
        <f>IFERROR(__xludf.DUMMYFUNCTION("""COMPUTED_VALUE"""),41635.645833333336)</f>
        <v>41635.64583</v>
      </c>
      <c r="B3471" s="2">
        <f>IFERROR(__xludf.DUMMYFUNCTION("""COMPUTED_VALUE"""),332.05)</f>
        <v>332.05</v>
      </c>
      <c r="C3471" s="2">
        <f>IFERROR(__xludf.DUMMYFUNCTION("""COMPUTED_VALUE"""),337.73)</f>
        <v>337.73</v>
      </c>
      <c r="D3471" s="2">
        <f>IFERROR(__xludf.DUMMYFUNCTION("""COMPUTED_VALUE"""),332.05)</f>
        <v>332.05</v>
      </c>
      <c r="E3471" s="2">
        <f>IFERROR(__xludf.DUMMYFUNCTION("""COMPUTED_VALUE"""),334.83)</f>
        <v>334.83</v>
      </c>
      <c r="F3471" s="2">
        <f>IFERROR(__xludf.DUMMYFUNCTION("""COMPUTED_VALUE"""),1366003.0)</f>
        <v>1366003</v>
      </c>
    </row>
    <row r="3472">
      <c r="A3472" s="3">
        <f>IFERROR(__xludf.DUMMYFUNCTION("""COMPUTED_VALUE"""),41638.645833333336)</f>
        <v>41638.64583</v>
      </c>
      <c r="B3472" s="2">
        <f>IFERROR(__xludf.DUMMYFUNCTION("""COMPUTED_VALUE"""),338.4)</f>
        <v>338.4</v>
      </c>
      <c r="C3472" s="2">
        <f>IFERROR(__xludf.DUMMYFUNCTION("""COMPUTED_VALUE"""),338.5)</f>
        <v>338.5</v>
      </c>
      <c r="D3472" s="2">
        <f>IFERROR(__xludf.DUMMYFUNCTION("""COMPUTED_VALUE"""),332.58)</f>
        <v>332.58</v>
      </c>
      <c r="E3472" s="2">
        <f>IFERROR(__xludf.DUMMYFUNCTION("""COMPUTED_VALUE"""),334.75)</f>
        <v>334.75</v>
      </c>
      <c r="F3472" s="2">
        <f>IFERROR(__xludf.DUMMYFUNCTION("""COMPUTED_VALUE"""),1056901.0)</f>
        <v>1056901</v>
      </c>
    </row>
    <row r="3473">
      <c r="A3473" s="3">
        <f>IFERROR(__xludf.DUMMYFUNCTION("""COMPUTED_VALUE"""),41639.645833333336)</f>
        <v>41639.64583</v>
      </c>
      <c r="B3473" s="2">
        <f>IFERROR(__xludf.DUMMYFUNCTION("""COMPUTED_VALUE"""),336.05)</f>
        <v>336.05</v>
      </c>
      <c r="C3473" s="2">
        <f>IFERROR(__xludf.DUMMYFUNCTION("""COMPUTED_VALUE"""),336.15)</f>
        <v>336.15</v>
      </c>
      <c r="D3473" s="2">
        <f>IFERROR(__xludf.DUMMYFUNCTION("""COMPUTED_VALUE"""),330.05)</f>
        <v>330.05</v>
      </c>
      <c r="E3473" s="2">
        <f>IFERROR(__xludf.DUMMYFUNCTION("""COMPUTED_VALUE"""),332.92)</f>
        <v>332.92</v>
      </c>
      <c r="F3473" s="2">
        <f>IFERROR(__xludf.DUMMYFUNCTION("""COMPUTED_VALUE"""),1315328.0)</f>
        <v>1315328</v>
      </c>
    </row>
    <row r="3474">
      <c r="A3474" s="3">
        <f>IFERROR(__xludf.DUMMYFUNCTION("""COMPUTED_VALUE"""),41640.645833333336)</f>
        <v>41640.64583</v>
      </c>
      <c r="B3474" s="2">
        <f>IFERROR(__xludf.DUMMYFUNCTION("""COMPUTED_VALUE"""),334.0)</f>
        <v>334</v>
      </c>
      <c r="C3474" s="2">
        <f>IFERROR(__xludf.DUMMYFUNCTION("""COMPUTED_VALUE"""),334.9)</f>
        <v>334.9</v>
      </c>
      <c r="D3474" s="2">
        <f>IFERROR(__xludf.DUMMYFUNCTION("""COMPUTED_VALUE"""),331.5)</f>
        <v>331.5</v>
      </c>
      <c r="E3474" s="2">
        <f>IFERROR(__xludf.DUMMYFUNCTION("""COMPUTED_VALUE"""),332.58)</f>
        <v>332.58</v>
      </c>
      <c r="F3474" s="2">
        <f>IFERROR(__xludf.DUMMYFUNCTION("""COMPUTED_VALUE"""),1123109.0)</f>
        <v>1123109</v>
      </c>
    </row>
    <row r="3475">
      <c r="A3475" s="3">
        <f>IFERROR(__xludf.DUMMYFUNCTION("""COMPUTED_VALUE"""),41641.645833333336)</f>
        <v>41641.64583</v>
      </c>
      <c r="B3475" s="2">
        <f>IFERROR(__xludf.DUMMYFUNCTION("""COMPUTED_VALUE"""),332.5)</f>
        <v>332.5</v>
      </c>
      <c r="C3475" s="2">
        <f>IFERROR(__xludf.DUMMYFUNCTION("""COMPUTED_VALUE"""),337.38)</f>
        <v>337.38</v>
      </c>
      <c r="D3475" s="2">
        <f>IFERROR(__xludf.DUMMYFUNCTION("""COMPUTED_VALUE"""),326.77)</f>
        <v>326.77</v>
      </c>
      <c r="E3475" s="2">
        <f>IFERROR(__xludf.DUMMYFUNCTION("""COMPUTED_VALUE"""),328.5)</f>
        <v>328.5</v>
      </c>
      <c r="F3475" s="2">
        <f>IFERROR(__xludf.DUMMYFUNCTION("""COMPUTED_VALUE"""),1807248.0)</f>
        <v>1807248</v>
      </c>
    </row>
    <row r="3476">
      <c r="A3476" s="3">
        <f>IFERROR(__xludf.DUMMYFUNCTION("""COMPUTED_VALUE"""),41642.645833333336)</f>
        <v>41642.64583</v>
      </c>
      <c r="B3476" s="2">
        <f>IFERROR(__xludf.DUMMYFUNCTION("""COMPUTED_VALUE"""),326.0)</f>
        <v>326</v>
      </c>
      <c r="C3476" s="2">
        <f>IFERROR(__xludf.DUMMYFUNCTION("""COMPUTED_VALUE"""),333.0)</f>
        <v>333</v>
      </c>
      <c r="D3476" s="2">
        <f>IFERROR(__xludf.DUMMYFUNCTION("""COMPUTED_VALUE"""),325.0)</f>
        <v>325</v>
      </c>
      <c r="E3476" s="2">
        <f>IFERROR(__xludf.DUMMYFUNCTION("""COMPUTED_VALUE"""),331.55)</f>
        <v>331.55</v>
      </c>
      <c r="F3476" s="2">
        <f>IFERROR(__xludf.DUMMYFUNCTION("""COMPUTED_VALUE"""),1628296.0)</f>
        <v>1628296</v>
      </c>
    </row>
    <row r="3477">
      <c r="A3477" s="3">
        <f>IFERROR(__xludf.DUMMYFUNCTION("""COMPUTED_VALUE"""),41645.645833333336)</f>
        <v>41645.64583</v>
      </c>
      <c r="B3477" s="2">
        <f>IFERROR(__xludf.DUMMYFUNCTION("""COMPUTED_VALUE"""),331.5)</f>
        <v>331.5</v>
      </c>
      <c r="C3477" s="2">
        <f>IFERROR(__xludf.DUMMYFUNCTION("""COMPUTED_VALUE"""),331.5)</f>
        <v>331.5</v>
      </c>
      <c r="D3477" s="2">
        <f>IFERROR(__xludf.DUMMYFUNCTION("""COMPUTED_VALUE"""),328.5)</f>
        <v>328.5</v>
      </c>
      <c r="E3477" s="2">
        <f>IFERROR(__xludf.DUMMYFUNCTION("""COMPUTED_VALUE"""),330.85)</f>
        <v>330.85</v>
      </c>
      <c r="F3477" s="2">
        <f>IFERROR(__xludf.DUMMYFUNCTION("""COMPUTED_VALUE"""),1490855.0)</f>
        <v>1490855</v>
      </c>
    </row>
    <row r="3478">
      <c r="A3478" s="3">
        <f>IFERROR(__xludf.DUMMYFUNCTION("""COMPUTED_VALUE"""),41646.645833333336)</f>
        <v>41646.64583</v>
      </c>
      <c r="B3478" s="2">
        <f>IFERROR(__xludf.DUMMYFUNCTION("""COMPUTED_VALUE"""),333.55)</f>
        <v>333.55</v>
      </c>
      <c r="C3478" s="2">
        <f>IFERROR(__xludf.DUMMYFUNCTION("""COMPUTED_VALUE"""),335.48)</f>
        <v>335.48</v>
      </c>
      <c r="D3478" s="2">
        <f>IFERROR(__xludf.DUMMYFUNCTION("""COMPUTED_VALUE"""),326.65)</f>
        <v>326.65</v>
      </c>
      <c r="E3478" s="2">
        <f>IFERROR(__xludf.DUMMYFUNCTION("""COMPUTED_VALUE"""),332.2)</f>
        <v>332.2</v>
      </c>
      <c r="F3478" s="2">
        <f>IFERROR(__xludf.DUMMYFUNCTION("""COMPUTED_VALUE"""),1974230.0)</f>
        <v>1974230</v>
      </c>
    </row>
    <row r="3479">
      <c r="A3479" s="3">
        <f>IFERROR(__xludf.DUMMYFUNCTION("""COMPUTED_VALUE"""),41647.645833333336)</f>
        <v>41647.64583</v>
      </c>
      <c r="B3479" s="2">
        <f>IFERROR(__xludf.DUMMYFUNCTION("""COMPUTED_VALUE"""),332.6)</f>
        <v>332.6</v>
      </c>
      <c r="C3479" s="2">
        <f>IFERROR(__xludf.DUMMYFUNCTION("""COMPUTED_VALUE"""),333.48)</f>
        <v>333.48</v>
      </c>
      <c r="D3479" s="2">
        <f>IFERROR(__xludf.DUMMYFUNCTION("""COMPUTED_VALUE"""),330.0)</f>
        <v>330</v>
      </c>
      <c r="E3479" s="2">
        <f>IFERROR(__xludf.DUMMYFUNCTION("""COMPUTED_VALUE"""),332.35)</f>
        <v>332.35</v>
      </c>
      <c r="F3479" s="2">
        <f>IFERROR(__xludf.DUMMYFUNCTION("""COMPUTED_VALUE"""),1162370.0)</f>
        <v>1162370</v>
      </c>
    </row>
    <row r="3480">
      <c r="A3480" s="3">
        <f>IFERROR(__xludf.DUMMYFUNCTION("""COMPUTED_VALUE"""),41648.645833333336)</f>
        <v>41648.64583</v>
      </c>
      <c r="B3480" s="2">
        <f>IFERROR(__xludf.DUMMYFUNCTION("""COMPUTED_VALUE"""),331.6)</f>
        <v>331.6</v>
      </c>
      <c r="C3480" s="2">
        <f>IFERROR(__xludf.DUMMYFUNCTION("""COMPUTED_VALUE"""),333.03)</f>
        <v>333.03</v>
      </c>
      <c r="D3480" s="2">
        <f>IFERROR(__xludf.DUMMYFUNCTION("""COMPUTED_VALUE"""),328.55)</f>
        <v>328.55</v>
      </c>
      <c r="E3480" s="2">
        <f>IFERROR(__xludf.DUMMYFUNCTION("""COMPUTED_VALUE"""),331.48)</f>
        <v>331.48</v>
      </c>
      <c r="F3480" s="2">
        <f>IFERROR(__xludf.DUMMYFUNCTION("""COMPUTED_VALUE"""),944368.0)</f>
        <v>944368</v>
      </c>
    </row>
    <row r="3481">
      <c r="A3481" s="3">
        <f>IFERROR(__xludf.DUMMYFUNCTION("""COMPUTED_VALUE"""),41649.645833333336)</f>
        <v>41649.64583</v>
      </c>
      <c r="B3481" s="2">
        <f>IFERROR(__xludf.DUMMYFUNCTION("""COMPUTED_VALUE"""),331.48)</f>
        <v>331.48</v>
      </c>
      <c r="C3481" s="2">
        <f>IFERROR(__xludf.DUMMYFUNCTION("""COMPUTED_VALUE"""),337.35)</f>
        <v>337.35</v>
      </c>
      <c r="D3481" s="2">
        <f>IFERROR(__xludf.DUMMYFUNCTION("""COMPUTED_VALUE"""),328.15)</f>
        <v>328.15</v>
      </c>
      <c r="E3481" s="2">
        <f>IFERROR(__xludf.DUMMYFUNCTION("""COMPUTED_VALUE"""),331.03)</f>
        <v>331.03</v>
      </c>
      <c r="F3481" s="2">
        <f>IFERROR(__xludf.DUMMYFUNCTION("""COMPUTED_VALUE"""),1537627.0)</f>
        <v>1537627</v>
      </c>
    </row>
    <row r="3482">
      <c r="A3482" s="3">
        <f>IFERROR(__xludf.DUMMYFUNCTION("""COMPUTED_VALUE"""),41652.645833333336)</f>
        <v>41652.64583</v>
      </c>
      <c r="B3482" s="2">
        <f>IFERROR(__xludf.DUMMYFUNCTION("""COMPUTED_VALUE"""),330.05)</f>
        <v>330.05</v>
      </c>
      <c r="C3482" s="2">
        <f>IFERROR(__xludf.DUMMYFUNCTION("""COMPUTED_VALUE"""),338.48)</f>
        <v>338.48</v>
      </c>
      <c r="D3482" s="2">
        <f>IFERROR(__xludf.DUMMYFUNCTION("""COMPUTED_VALUE"""),328.45)</f>
        <v>328.45</v>
      </c>
      <c r="E3482" s="2">
        <f>IFERROR(__xludf.DUMMYFUNCTION("""COMPUTED_VALUE"""),336.42)</f>
        <v>336.42</v>
      </c>
      <c r="F3482" s="2">
        <f>IFERROR(__xludf.DUMMYFUNCTION("""COMPUTED_VALUE"""),1188145.0)</f>
        <v>1188145</v>
      </c>
    </row>
    <row r="3483">
      <c r="A3483" s="3">
        <f>IFERROR(__xludf.DUMMYFUNCTION("""COMPUTED_VALUE"""),41653.645833333336)</f>
        <v>41653.64583</v>
      </c>
      <c r="B3483" s="2">
        <f>IFERROR(__xludf.DUMMYFUNCTION("""COMPUTED_VALUE"""),334.53)</f>
        <v>334.53</v>
      </c>
      <c r="C3483" s="2">
        <f>IFERROR(__xludf.DUMMYFUNCTION("""COMPUTED_VALUE"""),338.0)</f>
        <v>338</v>
      </c>
      <c r="D3483" s="2">
        <f>IFERROR(__xludf.DUMMYFUNCTION("""COMPUTED_VALUE"""),334.15)</f>
        <v>334.15</v>
      </c>
      <c r="E3483" s="2">
        <f>IFERROR(__xludf.DUMMYFUNCTION("""COMPUTED_VALUE"""),336.15)</f>
        <v>336.15</v>
      </c>
      <c r="F3483" s="2">
        <f>IFERROR(__xludf.DUMMYFUNCTION("""COMPUTED_VALUE"""),894280.0)</f>
        <v>894280</v>
      </c>
    </row>
    <row r="3484">
      <c r="A3484" s="3">
        <f>IFERROR(__xludf.DUMMYFUNCTION("""COMPUTED_VALUE"""),41654.645833333336)</f>
        <v>41654.64583</v>
      </c>
      <c r="B3484" s="2">
        <f>IFERROR(__xludf.DUMMYFUNCTION("""COMPUTED_VALUE"""),336.5)</f>
        <v>336.5</v>
      </c>
      <c r="C3484" s="2">
        <f>IFERROR(__xludf.DUMMYFUNCTION("""COMPUTED_VALUE"""),341.35)</f>
        <v>341.35</v>
      </c>
      <c r="D3484" s="2">
        <f>IFERROR(__xludf.DUMMYFUNCTION("""COMPUTED_VALUE"""),334.8)</f>
        <v>334.8</v>
      </c>
      <c r="E3484" s="2">
        <f>IFERROR(__xludf.DUMMYFUNCTION("""COMPUTED_VALUE"""),340.28)</f>
        <v>340.28</v>
      </c>
      <c r="F3484" s="2">
        <f>IFERROR(__xludf.DUMMYFUNCTION("""COMPUTED_VALUE"""),1156960.0)</f>
        <v>1156960</v>
      </c>
    </row>
    <row r="3485">
      <c r="A3485" s="3">
        <f>IFERROR(__xludf.DUMMYFUNCTION("""COMPUTED_VALUE"""),41655.645833333336)</f>
        <v>41655.64583</v>
      </c>
      <c r="B3485" s="2">
        <f>IFERROR(__xludf.DUMMYFUNCTION("""COMPUTED_VALUE"""),342.2)</f>
        <v>342.2</v>
      </c>
      <c r="C3485" s="2">
        <f>IFERROR(__xludf.DUMMYFUNCTION("""COMPUTED_VALUE"""),342.5)</f>
        <v>342.5</v>
      </c>
      <c r="D3485" s="2">
        <f>IFERROR(__xludf.DUMMYFUNCTION("""COMPUTED_VALUE"""),335.17)</f>
        <v>335.17</v>
      </c>
      <c r="E3485" s="2">
        <f>IFERROR(__xludf.DUMMYFUNCTION("""COMPUTED_VALUE"""),336.53)</f>
        <v>336.53</v>
      </c>
      <c r="F3485" s="2">
        <f>IFERROR(__xludf.DUMMYFUNCTION("""COMPUTED_VALUE"""),1125294.0)</f>
        <v>1125294</v>
      </c>
    </row>
    <row r="3486">
      <c r="A3486" s="3">
        <f>IFERROR(__xludf.DUMMYFUNCTION("""COMPUTED_VALUE"""),41656.645833333336)</f>
        <v>41656.64583</v>
      </c>
      <c r="B3486" s="2">
        <f>IFERROR(__xludf.DUMMYFUNCTION("""COMPUTED_VALUE"""),337.5)</f>
        <v>337.5</v>
      </c>
      <c r="C3486" s="2">
        <f>IFERROR(__xludf.DUMMYFUNCTION("""COMPUTED_VALUE"""),337.5)</f>
        <v>337.5</v>
      </c>
      <c r="D3486" s="2">
        <f>IFERROR(__xludf.DUMMYFUNCTION("""COMPUTED_VALUE"""),329.53)</f>
        <v>329.53</v>
      </c>
      <c r="E3486" s="2">
        <f>IFERROR(__xludf.DUMMYFUNCTION("""COMPUTED_VALUE"""),332.5)</f>
        <v>332.5</v>
      </c>
      <c r="F3486" s="2">
        <f>IFERROR(__xludf.DUMMYFUNCTION("""COMPUTED_VALUE"""),1.0843714E7)</f>
        <v>10843714</v>
      </c>
    </row>
    <row r="3487">
      <c r="A3487" s="3">
        <f>IFERROR(__xludf.DUMMYFUNCTION("""COMPUTED_VALUE"""),41659.645833333336)</f>
        <v>41659.64583</v>
      </c>
      <c r="B3487" s="2">
        <f>IFERROR(__xludf.DUMMYFUNCTION("""COMPUTED_VALUE"""),334.05)</f>
        <v>334.05</v>
      </c>
      <c r="C3487" s="2">
        <f>IFERROR(__xludf.DUMMYFUNCTION("""COMPUTED_VALUE"""),338.35)</f>
        <v>338.35</v>
      </c>
      <c r="D3487" s="2">
        <f>IFERROR(__xludf.DUMMYFUNCTION("""COMPUTED_VALUE"""),333.2)</f>
        <v>333.2</v>
      </c>
      <c r="E3487" s="2">
        <f>IFERROR(__xludf.DUMMYFUNCTION("""COMPUTED_VALUE"""),335.03)</f>
        <v>335.03</v>
      </c>
      <c r="F3487" s="2">
        <f>IFERROR(__xludf.DUMMYFUNCTION("""COMPUTED_VALUE"""),1400092.0)</f>
        <v>1400092</v>
      </c>
    </row>
    <row r="3488">
      <c r="A3488" s="3">
        <f>IFERROR(__xludf.DUMMYFUNCTION("""COMPUTED_VALUE"""),41660.645833333336)</f>
        <v>41660.64583</v>
      </c>
      <c r="B3488" s="2">
        <f>IFERROR(__xludf.DUMMYFUNCTION("""COMPUTED_VALUE"""),336.48)</f>
        <v>336.48</v>
      </c>
      <c r="C3488" s="2">
        <f>IFERROR(__xludf.DUMMYFUNCTION("""COMPUTED_VALUE"""),339.4)</f>
        <v>339.4</v>
      </c>
      <c r="D3488" s="2">
        <f>IFERROR(__xludf.DUMMYFUNCTION("""COMPUTED_VALUE"""),335.0)</f>
        <v>335</v>
      </c>
      <c r="E3488" s="2">
        <f>IFERROR(__xludf.DUMMYFUNCTION("""COMPUTED_VALUE"""),338.05)</f>
        <v>338.05</v>
      </c>
      <c r="F3488" s="2">
        <f>IFERROR(__xludf.DUMMYFUNCTION("""COMPUTED_VALUE"""),1562981.0)</f>
        <v>1562981</v>
      </c>
    </row>
    <row r="3489">
      <c r="A3489" s="3">
        <f>IFERROR(__xludf.DUMMYFUNCTION("""COMPUTED_VALUE"""),41661.645833333336)</f>
        <v>41661.64583</v>
      </c>
      <c r="B3489" s="2">
        <f>IFERROR(__xludf.DUMMYFUNCTION("""COMPUTED_VALUE"""),337.75)</f>
        <v>337.75</v>
      </c>
      <c r="C3489" s="2">
        <f>IFERROR(__xludf.DUMMYFUNCTION("""COMPUTED_VALUE"""),342.35)</f>
        <v>342.35</v>
      </c>
      <c r="D3489" s="2">
        <f>IFERROR(__xludf.DUMMYFUNCTION("""COMPUTED_VALUE"""),337.33)</f>
        <v>337.33</v>
      </c>
      <c r="E3489" s="2">
        <f>IFERROR(__xludf.DUMMYFUNCTION("""COMPUTED_VALUE"""),338.55)</f>
        <v>338.55</v>
      </c>
      <c r="F3489" s="2">
        <f>IFERROR(__xludf.DUMMYFUNCTION("""COMPUTED_VALUE"""),1758334.0)</f>
        <v>1758334</v>
      </c>
    </row>
    <row r="3490">
      <c r="A3490" s="3">
        <f>IFERROR(__xludf.DUMMYFUNCTION("""COMPUTED_VALUE"""),41662.645833333336)</f>
        <v>41662.64583</v>
      </c>
      <c r="B3490" s="2">
        <f>IFERROR(__xludf.DUMMYFUNCTION("""COMPUTED_VALUE"""),337.5)</f>
        <v>337.5</v>
      </c>
      <c r="C3490" s="2">
        <f>IFERROR(__xludf.DUMMYFUNCTION("""COMPUTED_VALUE"""),340.55)</f>
        <v>340.55</v>
      </c>
      <c r="D3490" s="2">
        <f>IFERROR(__xludf.DUMMYFUNCTION("""COMPUTED_VALUE"""),336.38)</f>
        <v>336.38</v>
      </c>
      <c r="E3490" s="2">
        <f>IFERROR(__xludf.DUMMYFUNCTION("""COMPUTED_VALUE"""),339.75)</f>
        <v>339.75</v>
      </c>
      <c r="F3490" s="2">
        <f>IFERROR(__xludf.DUMMYFUNCTION("""COMPUTED_VALUE"""),1370685.0)</f>
        <v>1370685</v>
      </c>
    </row>
    <row r="3491">
      <c r="A3491" s="3">
        <f>IFERROR(__xludf.DUMMYFUNCTION("""COMPUTED_VALUE"""),41663.645833333336)</f>
        <v>41663.64583</v>
      </c>
      <c r="B3491" s="2">
        <f>IFERROR(__xludf.DUMMYFUNCTION("""COMPUTED_VALUE"""),335.0)</f>
        <v>335</v>
      </c>
      <c r="C3491" s="2">
        <f>IFERROR(__xludf.DUMMYFUNCTION("""COMPUTED_VALUE"""),337.48)</f>
        <v>337.48</v>
      </c>
      <c r="D3491" s="2">
        <f>IFERROR(__xludf.DUMMYFUNCTION("""COMPUTED_VALUE"""),331.85)</f>
        <v>331.85</v>
      </c>
      <c r="E3491" s="2">
        <f>IFERROR(__xludf.DUMMYFUNCTION("""COMPUTED_VALUE"""),336.7)</f>
        <v>336.7</v>
      </c>
      <c r="F3491" s="2">
        <f>IFERROR(__xludf.DUMMYFUNCTION("""COMPUTED_VALUE"""),2210725.0)</f>
        <v>2210725</v>
      </c>
    </row>
    <row r="3492">
      <c r="A3492" s="3">
        <f>IFERROR(__xludf.DUMMYFUNCTION("""COMPUTED_VALUE"""),41666.645833333336)</f>
        <v>41666.64583</v>
      </c>
      <c r="B3492" s="2">
        <f>IFERROR(__xludf.DUMMYFUNCTION("""COMPUTED_VALUE"""),332.45)</f>
        <v>332.45</v>
      </c>
      <c r="C3492" s="2">
        <f>IFERROR(__xludf.DUMMYFUNCTION("""COMPUTED_VALUE"""),332.45)</f>
        <v>332.45</v>
      </c>
      <c r="D3492" s="2">
        <f>IFERROR(__xludf.DUMMYFUNCTION("""COMPUTED_VALUE"""),322.8)</f>
        <v>322.8</v>
      </c>
      <c r="E3492" s="2">
        <f>IFERROR(__xludf.DUMMYFUNCTION("""COMPUTED_VALUE"""),324.6)</f>
        <v>324.6</v>
      </c>
      <c r="F3492" s="2">
        <f>IFERROR(__xludf.DUMMYFUNCTION("""COMPUTED_VALUE"""),4265112.0)</f>
        <v>4265112</v>
      </c>
    </row>
    <row r="3493">
      <c r="A3493" s="3">
        <f>IFERROR(__xludf.DUMMYFUNCTION("""COMPUTED_VALUE"""),41667.645833333336)</f>
        <v>41667.64583</v>
      </c>
      <c r="B3493" s="2">
        <f>IFERROR(__xludf.DUMMYFUNCTION("""COMPUTED_VALUE"""),324.0)</f>
        <v>324</v>
      </c>
      <c r="C3493" s="2">
        <f>IFERROR(__xludf.DUMMYFUNCTION("""COMPUTED_VALUE"""),328.0)</f>
        <v>328</v>
      </c>
      <c r="D3493" s="2">
        <f>IFERROR(__xludf.DUMMYFUNCTION("""COMPUTED_VALUE"""),319.3)</f>
        <v>319.3</v>
      </c>
      <c r="E3493" s="2">
        <f>IFERROR(__xludf.DUMMYFUNCTION("""COMPUTED_VALUE"""),322.23)</f>
        <v>322.23</v>
      </c>
      <c r="F3493" s="2">
        <f>IFERROR(__xludf.DUMMYFUNCTION("""COMPUTED_VALUE"""),4598856.0)</f>
        <v>4598856</v>
      </c>
    </row>
    <row r="3494">
      <c r="A3494" s="3">
        <f>IFERROR(__xludf.DUMMYFUNCTION("""COMPUTED_VALUE"""),41668.645833333336)</f>
        <v>41668.64583</v>
      </c>
      <c r="B3494" s="2">
        <f>IFERROR(__xludf.DUMMYFUNCTION("""COMPUTED_VALUE"""),323.75)</f>
        <v>323.75</v>
      </c>
      <c r="C3494" s="2">
        <f>IFERROR(__xludf.DUMMYFUNCTION("""COMPUTED_VALUE"""),325.45)</f>
        <v>325.45</v>
      </c>
      <c r="D3494" s="2">
        <f>IFERROR(__xludf.DUMMYFUNCTION("""COMPUTED_VALUE"""),320.27)</f>
        <v>320.27</v>
      </c>
      <c r="E3494" s="2">
        <f>IFERROR(__xludf.DUMMYFUNCTION("""COMPUTED_VALUE"""),322.73)</f>
        <v>322.73</v>
      </c>
      <c r="F3494" s="2">
        <f>IFERROR(__xludf.DUMMYFUNCTION("""COMPUTED_VALUE"""),2742731.0)</f>
        <v>2742731</v>
      </c>
    </row>
    <row r="3495">
      <c r="A3495" s="3">
        <f>IFERROR(__xludf.DUMMYFUNCTION("""COMPUTED_VALUE"""),41669.645833333336)</f>
        <v>41669.64583</v>
      </c>
      <c r="B3495" s="2">
        <f>IFERROR(__xludf.DUMMYFUNCTION("""COMPUTED_VALUE"""),318.75)</f>
        <v>318.75</v>
      </c>
      <c r="C3495" s="2">
        <f>IFERROR(__xludf.DUMMYFUNCTION("""COMPUTED_VALUE"""),319.95)</f>
        <v>319.95</v>
      </c>
      <c r="D3495" s="2">
        <f>IFERROR(__xludf.DUMMYFUNCTION("""COMPUTED_VALUE"""),313.83)</f>
        <v>313.83</v>
      </c>
      <c r="E3495" s="2">
        <f>IFERROR(__xludf.DUMMYFUNCTION("""COMPUTED_VALUE"""),315.9)</f>
        <v>315.9</v>
      </c>
      <c r="F3495" s="2">
        <f>IFERROR(__xludf.DUMMYFUNCTION("""COMPUTED_VALUE"""),2856365.0)</f>
        <v>2856365</v>
      </c>
    </row>
    <row r="3496">
      <c r="A3496" s="3">
        <f>IFERROR(__xludf.DUMMYFUNCTION("""COMPUTED_VALUE"""),41670.645833333336)</f>
        <v>41670.64583</v>
      </c>
      <c r="B3496" s="2">
        <f>IFERROR(__xludf.DUMMYFUNCTION("""COMPUTED_VALUE"""),315.0)</f>
        <v>315</v>
      </c>
      <c r="C3496" s="2">
        <f>IFERROR(__xludf.DUMMYFUNCTION("""COMPUTED_VALUE"""),318.15)</f>
        <v>318.15</v>
      </c>
      <c r="D3496" s="2">
        <f>IFERROR(__xludf.DUMMYFUNCTION("""COMPUTED_VALUE"""),312.55)</f>
        <v>312.55</v>
      </c>
      <c r="E3496" s="2">
        <f>IFERROR(__xludf.DUMMYFUNCTION("""COMPUTED_VALUE"""),314.25)</f>
        <v>314.25</v>
      </c>
      <c r="F3496" s="2">
        <f>IFERROR(__xludf.DUMMYFUNCTION("""COMPUTED_VALUE"""),2405246.0)</f>
        <v>2405246</v>
      </c>
    </row>
    <row r="3497">
      <c r="A3497" s="3">
        <f>IFERROR(__xludf.DUMMYFUNCTION("""COMPUTED_VALUE"""),41673.645833333336)</f>
        <v>41673.64583</v>
      </c>
      <c r="B3497" s="2">
        <f>IFERROR(__xludf.DUMMYFUNCTION("""COMPUTED_VALUE"""),314.98)</f>
        <v>314.98</v>
      </c>
      <c r="C3497" s="2">
        <f>IFERROR(__xludf.DUMMYFUNCTION("""COMPUTED_VALUE"""),317.0)</f>
        <v>317</v>
      </c>
      <c r="D3497" s="2">
        <f>IFERROR(__xludf.DUMMYFUNCTION("""COMPUTED_VALUE"""),312.55)</f>
        <v>312.55</v>
      </c>
      <c r="E3497" s="2">
        <f>IFERROR(__xludf.DUMMYFUNCTION("""COMPUTED_VALUE"""),313.25)</f>
        <v>313.25</v>
      </c>
      <c r="F3497" s="2">
        <f>IFERROR(__xludf.DUMMYFUNCTION("""COMPUTED_VALUE"""),1194205.0)</f>
        <v>1194205</v>
      </c>
    </row>
    <row r="3498">
      <c r="A3498" s="3">
        <f>IFERROR(__xludf.DUMMYFUNCTION("""COMPUTED_VALUE"""),41674.645833333336)</f>
        <v>41674.64583</v>
      </c>
      <c r="B3498" s="2">
        <f>IFERROR(__xludf.DUMMYFUNCTION("""COMPUTED_VALUE"""),310.83)</f>
        <v>310.83</v>
      </c>
      <c r="C3498" s="2">
        <f>IFERROR(__xludf.DUMMYFUNCTION("""COMPUTED_VALUE"""),317.75)</f>
        <v>317.75</v>
      </c>
      <c r="D3498" s="2">
        <f>IFERROR(__xludf.DUMMYFUNCTION("""COMPUTED_VALUE"""),308.4)</f>
        <v>308.4</v>
      </c>
      <c r="E3498" s="2">
        <f>IFERROR(__xludf.DUMMYFUNCTION("""COMPUTED_VALUE"""),315.3)</f>
        <v>315.3</v>
      </c>
      <c r="F3498" s="2">
        <f>IFERROR(__xludf.DUMMYFUNCTION("""COMPUTED_VALUE"""),1852326.0)</f>
        <v>1852326</v>
      </c>
    </row>
    <row r="3499">
      <c r="A3499" s="3">
        <f>IFERROR(__xludf.DUMMYFUNCTION("""COMPUTED_VALUE"""),41675.645833333336)</f>
        <v>41675.64583</v>
      </c>
      <c r="B3499" s="2">
        <f>IFERROR(__xludf.DUMMYFUNCTION("""COMPUTED_VALUE"""),315.5)</f>
        <v>315.5</v>
      </c>
      <c r="C3499" s="2">
        <f>IFERROR(__xludf.DUMMYFUNCTION("""COMPUTED_VALUE"""),319.9)</f>
        <v>319.9</v>
      </c>
      <c r="D3499" s="2">
        <f>IFERROR(__xludf.DUMMYFUNCTION("""COMPUTED_VALUE"""),312.55)</f>
        <v>312.55</v>
      </c>
      <c r="E3499" s="2">
        <f>IFERROR(__xludf.DUMMYFUNCTION("""COMPUTED_VALUE"""),318.73)</f>
        <v>318.73</v>
      </c>
      <c r="F3499" s="2">
        <f>IFERROR(__xludf.DUMMYFUNCTION("""COMPUTED_VALUE"""),1726346.0)</f>
        <v>1726346</v>
      </c>
    </row>
    <row r="3500">
      <c r="A3500" s="3">
        <f>IFERROR(__xludf.DUMMYFUNCTION("""COMPUTED_VALUE"""),41676.645833333336)</f>
        <v>41676.64583</v>
      </c>
      <c r="B3500" s="2">
        <f>IFERROR(__xludf.DUMMYFUNCTION("""COMPUTED_VALUE"""),319.38)</f>
        <v>319.38</v>
      </c>
      <c r="C3500" s="2">
        <f>IFERROR(__xludf.DUMMYFUNCTION("""COMPUTED_VALUE"""),324.8)</f>
        <v>324.8</v>
      </c>
      <c r="D3500" s="2">
        <f>IFERROR(__xludf.DUMMYFUNCTION("""COMPUTED_VALUE"""),314.75)</f>
        <v>314.75</v>
      </c>
      <c r="E3500" s="2">
        <f>IFERROR(__xludf.DUMMYFUNCTION("""COMPUTED_VALUE"""),323.5)</f>
        <v>323.5</v>
      </c>
      <c r="F3500" s="2">
        <f>IFERROR(__xludf.DUMMYFUNCTION("""COMPUTED_VALUE"""),3366736.0)</f>
        <v>3366736</v>
      </c>
    </row>
    <row r="3501">
      <c r="A3501" s="3">
        <f>IFERROR(__xludf.DUMMYFUNCTION("""COMPUTED_VALUE"""),41677.645833333336)</f>
        <v>41677.64583</v>
      </c>
      <c r="B3501" s="2">
        <f>IFERROR(__xludf.DUMMYFUNCTION("""COMPUTED_VALUE"""),326.2)</f>
        <v>326.2</v>
      </c>
      <c r="C3501" s="2">
        <f>IFERROR(__xludf.DUMMYFUNCTION("""COMPUTED_VALUE"""),327.25)</f>
        <v>327.25</v>
      </c>
      <c r="D3501" s="2">
        <f>IFERROR(__xludf.DUMMYFUNCTION("""COMPUTED_VALUE"""),321.05)</f>
        <v>321.05</v>
      </c>
      <c r="E3501" s="2">
        <f>IFERROR(__xludf.DUMMYFUNCTION("""COMPUTED_VALUE"""),323.88)</f>
        <v>323.88</v>
      </c>
      <c r="F3501" s="2">
        <f>IFERROR(__xludf.DUMMYFUNCTION("""COMPUTED_VALUE"""),1007367.0)</f>
        <v>1007367</v>
      </c>
    </row>
    <row r="3502">
      <c r="A3502" s="3">
        <f>IFERROR(__xludf.DUMMYFUNCTION("""COMPUTED_VALUE"""),41680.645833333336)</f>
        <v>41680.64583</v>
      </c>
      <c r="B3502" s="2">
        <f>IFERROR(__xludf.DUMMYFUNCTION("""COMPUTED_VALUE"""),323.83)</f>
        <v>323.83</v>
      </c>
      <c r="C3502" s="2">
        <f>IFERROR(__xludf.DUMMYFUNCTION("""COMPUTED_VALUE"""),325.08)</f>
        <v>325.08</v>
      </c>
      <c r="D3502" s="2">
        <f>IFERROR(__xludf.DUMMYFUNCTION("""COMPUTED_VALUE"""),318.0)</f>
        <v>318</v>
      </c>
      <c r="E3502" s="2">
        <f>IFERROR(__xludf.DUMMYFUNCTION("""COMPUTED_VALUE"""),321.95)</f>
        <v>321.95</v>
      </c>
      <c r="F3502" s="2">
        <f>IFERROR(__xludf.DUMMYFUNCTION("""COMPUTED_VALUE"""),1570205.0)</f>
        <v>1570205</v>
      </c>
    </row>
    <row r="3503">
      <c r="A3503" s="3">
        <f>IFERROR(__xludf.DUMMYFUNCTION("""COMPUTED_VALUE"""),41681.645833333336)</f>
        <v>41681.64583</v>
      </c>
      <c r="B3503" s="2">
        <f>IFERROR(__xludf.DUMMYFUNCTION("""COMPUTED_VALUE"""),323.0)</f>
        <v>323</v>
      </c>
      <c r="C3503" s="2">
        <f>IFERROR(__xludf.DUMMYFUNCTION("""COMPUTED_VALUE"""),323.58)</f>
        <v>323.58</v>
      </c>
      <c r="D3503" s="2">
        <f>IFERROR(__xludf.DUMMYFUNCTION("""COMPUTED_VALUE"""),319.65)</f>
        <v>319.65</v>
      </c>
      <c r="E3503" s="2">
        <f>IFERROR(__xludf.DUMMYFUNCTION("""COMPUTED_VALUE"""),322.4)</f>
        <v>322.4</v>
      </c>
      <c r="F3503" s="2">
        <f>IFERROR(__xludf.DUMMYFUNCTION("""COMPUTED_VALUE"""),1116214.0)</f>
        <v>1116214</v>
      </c>
    </row>
    <row r="3504">
      <c r="A3504" s="3">
        <f>IFERROR(__xludf.DUMMYFUNCTION("""COMPUTED_VALUE"""),41682.645833333336)</f>
        <v>41682.64583</v>
      </c>
      <c r="B3504" s="2">
        <f>IFERROR(__xludf.DUMMYFUNCTION("""COMPUTED_VALUE"""),323.3)</f>
        <v>323.3</v>
      </c>
      <c r="C3504" s="2">
        <f>IFERROR(__xludf.DUMMYFUNCTION("""COMPUTED_VALUE"""),326.4)</f>
        <v>326.4</v>
      </c>
      <c r="D3504" s="2">
        <f>IFERROR(__xludf.DUMMYFUNCTION("""COMPUTED_VALUE"""),321.83)</f>
        <v>321.83</v>
      </c>
      <c r="E3504" s="2">
        <f>IFERROR(__xludf.DUMMYFUNCTION("""COMPUTED_VALUE"""),322.73)</f>
        <v>322.73</v>
      </c>
      <c r="F3504" s="2">
        <f>IFERROR(__xludf.DUMMYFUNCTION("""COMPUTED_VALUE"""),1609240.0)</f>
        <v>1609240</v>
      </c>
    </row>
    <row r="3505">
      <c r="A3505" s="3">
        <f>IFERROR(__xludf.DUMMYFUNCTION("""COMPUTED_VALUE"""),41683.645833333336)</f>
        <v>41683.64583</v>
      </c>
      <c r="B3505" s="2">
        <f>IFERROR(__xludf.DUMMYFUNCTION("""COMPUTED_VALUE"""),323.0)</f>
        <v>323</v>
      </c>
      <c r="C3505" s="2">
        <f>IFERROR(__xludf.DUMMYFUNCTION("""COMPUTED_VALUE"""),324.0)</f>
        <v>324</v>
      </c>
      <c r="D3505" s="2">
        <f>IFERROR(__xludf.DUMMYFUNCTION("""COMPUTED_VALUE"""),315.63)</f>
        <v>315.63</v>
      </c>
      <c r="E3505" s="2">
        <f>IFERROR(__xludf.DUMMYFUNCTION("""COMPUTED_VALUE"""),316.25)</f>
        <v>316.25</v>
      </c>
      <c r="F3505" s="2">
        <f>IFERROR(__xludf.DUMMYFUNCTION("""COMPUTED_VALUE"""),788800.0)</f>
        <v>788800</v>
      </c>
    </row>
    <row r="3506">
      <c r="A3506" s="3">
        <f>IFERROR(__xludf.DUMMYFUNCTION("""COMPUTED_VALUE"""),41684.645833333336)</f>
        <v>41684.64583</v>
      </c>
      <c r="B3506" s="2">
        <f>IFERROR(__xludf.DUMMYFUNCTION("""COMPUTED_VALUE"""),317.0)</f>
        <v>317</v>
      </c>
      <c r="C3506" s="2">
        <f>IFERROR(__xludf.DUMMYFUNCTION("""COMPUTED_VALUE"""),321.92)</f>
        <v>321.92</v>
      </c>
      <c r="D3506" s="2">
        <f>IFERROR(__xludf.DUMMYFUNCTION("""COMPUTED_VALUE"""),314.67)</f>
        <v>314.67</v>
      </c>
      <c r="E3506" s="2">
        <f>IFERROR(__xludf.DUMMYFUNCTION("""COMPUTED_VALUE"""),320.9)</f>
        <v>320.9</v>
      </c>
      <c r="F3506" s="2">
        <f>IFERROR(__xludf.DUMMYFUNCTION("""COMPUTED_VALUE"""),1062278.0)</f>
        <v>1062278</v>
      </c>
    </row>
    <row r="3507">
      <c r="A3507" s="3">
        <f>IFERROR(__xludf.DUMMYFUNCTION("""COMPUTED_VALUE"""),41687.645833333336)</f>
        <v>41687.64583</v>
      </c>
      <c r="B3507" s="2">
        <f>IFERROR(__xludf.DUMMYFUNCTION("""COMPUTED_VALUE"""),321.0)</f>
        <v>321</v>
      </c>
      <c r="C3507" s="2">
        <f>IFERROR(__xludf.DUMMYFUNCTION("""COMPUTED_VALUE"""),326.0)</f>
        <v>326</v>
      </c>
      <c r="D3507" s="2">
        <f>IFERROR(__xludf.DUMMYFUNCTION("""COMPUTED_VALUE"""),320.55)</f>
        <v>320.55</v>
      </c>
      <c r="E3507" s="2">
        <f>IFERROR(__xludf.DUMMYFUNCTION("""COMPUTED_VALUE"""),325.2)</f>
        <v>325.2</v>
      </c>
      <c r="F3507" s="2">
        <f>IFERROR(__xludf.DUMMYFUNCTION("""COMPUTED_VALUE"""),912530.0)</f>
        <v>912530</v>
      </c>
    </row>
    <row r="3508">
      <c r="A3508" s="3">
        <f>IFERROR(__xludf.DUMMYFUNCTION("""COMPUTED_VALUE"""),41688.645833333336)</f>
        <v>41688.64583</v>
      </c>
      <c r="B3508" s="2">
        <f>IFERROR(__xludf.DUMMYFUNCTION("""COMPUTED_VALUE"""),324.25)</f>
        <v>324.25</v>
      </c>
      <c r="C3508" s="2">
        <f>IFERROR(__xludf.DUMMYFUNCTION("""COMPUTED_VALUE"""),332.2)</f>
        <v>332.2</v>
      </c>
      <c r="D3508" s="2">
        <f>IFERROR(__xludf.DUMMYFUNCTION("""COMPUTED_VALUE"""),323.7)</f>
        <v>323.7</v>
      </c>
      <c r="E3508" s="2">
        <f>IFERROR(__xludf.DUMMYFUNCTION("""COMPUTED_VALUE"""),330.2)</f>
        <v>330.2</v>
      </c>
      <c r="F3508" s="2">
        <f>IFERROR(__xludf.DUMMYFUNCTION("""COMPUTED_VALUE"""),1254918.0)</f>
        <v>1254918</v>
      </c>
    </row>
    <row r="3509">
      <c r="A3509" s="3">
        <f>IFERROR(__xludf.DUMMYFUNCTION("""COMPUTED_VALUE"""),41690.645833333336)</f>
        <v>41690.64583</v>
      </c>
      <c r="B3509" s="2">
        <f>IFERROR(__xludf.DUMMYFUNCTION("""COMPUTED_VALUE"""),332.9)</f>
        <v>332.9</v>
      </c>
      <c r="C3509" s="2">
        <f>IFERROR(__xludf.DUMMYFUNCTION("""COMPUTED_VALUE"""),333.73)</f>
        <v>333.73</v>
      </c>
      <c r="D3509" s="2">
        <f>IFERROR(__xludf.DUMMYFUNCTION("""COMPUTED_VALUE"""),330.42)</f>
        <v>330.42</v>
      </c>
      <c r="E3509" s="2">
        <f>IFERROR(__xludf.DUMMYFUNCTION("""COMPUTED_VALUE"""),331.38)</f>
        <v>331.38</v>
      </c>
      <c r="F3509" s="2">
        <f>IFERROR(__xludf.DUMMYFUNCTION("""COMPUTED_VALUE"""),862109.0)</f>
        <v>862109</v>
      </c>
    </row>
    <row r="3510">
      <c r="A3510" s="3">
        <f>IFERROR(__xludf.DUMMYFUNCTION("""COMPUTED_VALUE"""),41691.645833333336)</f>
        <v>41691.64583</v>
      </c>
      <c r="B3510" s="2">
        <f>IFERROR(__xludf.DUMMYFUNCTION("""COMPUTED_VALUE"""),329.92)</f>
        <v>329.92</v>
      </c>
      <c r="C3510" s="2">
        <f>IFERROR(__xludf.DUMMYFUNCTION("""COMPUTED_VALUE"""),334.8)</f>
        <v>334.8</v>
      </c>
      <c r="D3510" s="2">
        <f>IFERROR(__xludf.DUMMYFUNCTION("""COMPUTED_VALUE"""),329.85)</f>
        <v>329.85</v>
      </c>
      <c r="E3510" s="2">
        <f>IFERROR(__xludf.DUMMYFUNCTION("""COMPUTED_VALUE"""),332.2)</f>
        <v>332.2</v>
      </c>
      <c r="F3510" s="2">
        <f>IFERROR(__xludf.DUMMYFUNCTION("""COMPUTED_VALUE"""),760968.0)</f>
        <v>760968</v>
      </c>
    </row>
    <row r="3511">
      <c r="A3511" s="3">
        <f>IFERROR(__xludf.DUMMYFUNCTION("""COMPUTED_VALUE"""),41694.645833333336)</f>
        <v>41694.64583</v>
      </c>
      <c r="B3511" s="2">
        <f>IFERROR(__xludf.DUMMYFUNCTION("""COMPUTED_VALUE"""),331.05)</f>
        <v>331.05</v>
      </c>
      <c r="C3511" s="2">
        <f>IFERROR(__xludf.DUMMYFUNCTION("""COMPUTED_VALUE"""),336.5)</f>
        <v>336.5</v>
      </c>
      <c r="D3511" s="2">
        <f>IFERROR(__xludf.DUMMYFUNCTION("""COMPUTED_VALUE"""),327.88)</f>
        <v>327.88</v>
      </c>
      <c r="E3511" s="2">
        <f>IFERROR(__xludf.DUMMYFUNCTION("""COMPUTED_VALUE"""),335.5)</f>
        <v>335.5</v>
      </c>
      <c r="F3511" s="2">
        <f>IFERROR(__xludf.DUMMYFUNCTION("""COMPUTED_VALUE"""),1254746.0)</f>
        <v>1254746</v>
      </c>
    </row>
    <row r="3512">
      <c r="A3512" s="3">
        <f>IFERROR(__xludf.DUMMYFUNCTION("""COMPUTED_VALUE"""),41695.645833333336)</f>
        <v>41695.64583</v>
      </c>
      <c r="B3512" s="2">
        <f>IFERROR(__xludf.DUMMYFUNCTION("""COMPUTED_VALUE"""),337.0)</f>
        <v>337</v>
      </c>
      <c r="C3512" s="2">
        <f>IFERROR(__xludf.DUMMYFUNCTION("""COMPUTED_VALUE"""),338.0)</f>
        <v>338</v>
      </c>
      <c r="D3512" s="2">
        <f>IFERROR(__xludf.DUMMYFUNCTION("""COMPUTED_VALUE"""),333.0)</f>
        <v>333</v>
      </c>
      <c r="E3512" s="2">
        <f>IFERROR(__xludf.DUMMYFUNCTION("""COMPUTED_VALUE"""),335.55)</f>
        <v>335.55</v>
      </c>
      <c r="F3512" s="2">
        <f>IFERROR(__xludf.DUMMYFUNCTION("""COMPUTED_VALUE"""),1005140.0)</f>
        <v>1005140</v>
      </c>
    </row>
    <row r="3513">
      <c r="A3513" s="3">
        <f>IFERROR(__xludf.DUMMYFUNCTION("""COMPUTED_VALUE"""),41696.645833333336)</f>
        <v>41696.64583</v>
      </c>
      <c r="B3513" s="2">
        <f>IFERROR(__xludf.DUMMYFUNCTION("""COMPUTED_VALUE"""),335.0)</f>
        <v>335</v>
      </c>
      <c r="C3513" s="2">
        <f>IFERROR(__xludf.DUMMYFUNCTION("""COMPUTED_VALUE"""),339.6)</f>
        <v>339.6</v>
      </c>
      <c r="D3513" s="2">
        <f>IFERROR(__xludf.DUMMYFUNCTION("""COMPUTED_VALUE"""),334.28)</f>
        <v>334.28</v>
      </c>
      <c r="E3513" s="2">
        <f>IFERROR(__xludf.DUMMYFUNCTION("""COMPUTED_VALUE"""),338.7)</f>
        <v>338.7</v>
      </c>
      <c r="F3513" s="2">
        <f>IFERROR(__xludf.DUMMYFUNCTION("""COMPUTED_VALUE"""),1137835.0)</f>
        <v>1137835</v>
      </c>
    </row>
    <row r="3514">
      <c r="A3514" s="3">
        <f>IFERROR(__xludf.DUMMYFUNCTION("""COMPUTED_VALUE"""),41698.645833333336)</f>
        <v>41698.64583</v>
      </c>
      <c r="B3514" s="2">
        <f>IFERROR(__xludf.DUMMYFUNCTION("""COMPUTED_VALUE"""),341.0)</f>
        <v>341</v>
      </c>
      <c r="C3514" s="2">
        <f>IFERROR(__xludf.DUMMYFUNCTION("""COMPUTED_VALUE"""),341.45)</f>
        <v>341.45</v>
      </c>
      <c r="D3514" s="2">
        <f>IFERROR(__xludf.DUMMYFUNCTION("""COMPUTED_VALUE"""),332.58)</f>
        <v>332.58</v>
      </c>
      <c r="E3514" s="2">
        <f>IFERROR(__xludf.DUMMYFUNCTION("""COMPUTED_VALUE"""),334.8)</f>
        <v>334.8</v>
      </c>
      <c r="F3514" s="2">
        <f>IFERROR(__xludf.DUMMYFUNCTION("""COMPUTED_VALUE"""),1225896.0)</f>
        <v>1225896</v>
      </c>
    </row>
    <row r="3515">
      <c r="A3515" s="3">
        <f>IFERROR(__xludf.DUMMYFUNCTION("""COMPUTED_VALUE"""),41701.645833333336)</f>
        <v>41701.64583</v>
      </c>
      <c r="B3515" s="2">
        <f>IFERROR(__xludf.DUMMYFUNCTION("""COMPUTED_VALUE"""),332.6)</f>
        <v>332.6</v>
      </c>
      <c r="C3515" s="2">
        <f>IFERROR(__xludf.DUMMYFUNCTION("""COMPUTED_VALUE"""),336.0)</f>
        <v>336</v>
      </c>
      <c r="D3515" s="2">
        <f>IFERROR(__xludf.DUMMYFUNCTION("""COMPUTED_VALUE"""),331.6)</f>
        <v>331.6</v>
      </c>
      <c r="E3515" s="2">
        <f>IFERROR(__xludf.DUMMYFUNCTION("""COMPUTED_VALUE"""),333.1)</f>
        <v>333.1</v>
      </c>
      <c r="F3515" s="2">
        <f>IFERROR(__xludf.DUMMYFUNCTION("""COMPUTED_VALUE"""),919608.0)</f>
        <v>919608</v>
      </c>
    </row>
    <row r="3516">
      <c r="A3516" s="3">
        <f>IFERROR(__xludf.DUMMYFUNCTION("""COMPUTED_VALUE"""),41702.645833333336)</f>
        <v>41702.64583</v>
      </c>
      <c r="B3516" s="2">
        <f>IFERROR(__xludf.DUMMYFUNCTION("""COMPUTED_VALUE"""),333.0)</f>
        <v>333</v>
      </c>
      <c r="C3516" s="2">
        <f>IFERROR(__xludf.DUMMYFUNCTION("""COMPUTED_VALUE"""),336.92)</f>
        <v>336.92</v>
      </c>
      <c r="D3516" s="2">
        <f>IFERROR(__xludf.DUMMYFUNCTION("""COMPUTED_VALUE"""),332.13)</f>
        <v>332.13</v>
      </c>
      <c r="E3516" s="2">
        <f>IFERROR(__xludf.DUMMYFUNCTION("""COMPUTED_VALUE"""),335.85)</f>
        <v>335.85</v>
      </c>
      <c r="F3516" s="2">
        <f>IFERROR(__xludf.DUMMYFUNCTION("""COMPUTED_VALUE"""),1610967.0)</f>
        <v>1610967</v>
      </c>
    </row>
    <row r="3517">
      <c r="A3517" s="3">
        <f>IFERROR(__xludf.DUMMYFUNCTION("""COMPUTED_VALUE"""),41703.645833333336)</f>
        <v>41703.64583</v>
      </c>
      <c r="B3517" s="2">
        <f>IFERROR(__xludf.DUMMYFUNCTION("""COMPUTED_VALUE"""),336.75)</f>
        <v>336.75</v>
      </c>
      <c r="C3517" s="2">
        <f>IFERROR(__xludf.DUMMYFUNCTION("""COMPUTED_VALUE"""),337.5)</f>
        <v>337.5</v>
      </c>
      <c r="D3517" s="2">
        <f>IFERROR(__xludf.DUMMYFUNCTION("""COMPUTED_VALUE"""),331.25)</f>
        <v>331.25</v>
      </c>
      <c r="E3517" s="2">
        <f>IFERROR(__xludf.DUMMYFUNCTION("""COMPUTED_VALUE"""),334.88)</f>
        <v>334.88</v>
      </c>
      <c r="F3517" s="2">
        <f>IFERROR(__xludf.DUMMYFUNCTION("""COMPUTED_VALUE"""),1001746.0)</f>
        <v>1001746</v>
      </c>
    </row>
    <row r="3518">
      <c r="A3518" s="3">
        <f>IFERROR(__xludf.DUMMYFUNCTION("""COMPUTED_VALUE"""),41704.645833333336)</f>
        <v>41704.64583</v>
      </c>
      <c r="B3518" s="2">
        <f>IFERROR(__xludf.DUMMYFUNCTION("""COMPUTED_VALUE"""),336.5)</f>
        <v>336.5</v>
      </c>
      <c r="C3518" s="2">
        <f>IFERROR(__xludf.DUMMYFUNCTION("""COMPUTED_VALUE"""),338.85)</f>
        <v>338.85</v>
      </c>
      <c r="D3518" s="2">
        <f>IFERROR(__xludf.DUMMYFUNCTION("""COMPUTED_VALUE"""),334.05)</f>
        <v>334.05</v>
      </c>
      <c r="E3518" s="2">
        <f>IFERROR(__xludf.DUMMYFUNCTION("""COMPUTED_VALUE"""),337.8)</f>
        <v>337.8</v>
      </c>
      <c r="F3518" s="2">
        <f>IFERROR(__xludf.DUMMYFUNCTION("""COMPUTED_VALUE"""),1237170.0)</f>
        <v>1237170</v>
      </c>
    </row>
    <row r="3519">
      <c r="A3519" s="3">
        <f>IFERROR(__xludf.DUMMYFUNCTION("""COMPUTED_VALUE"""),41705.645833333336)</f>
        <v>41705.64583</v>
      </c>
      <c r="B3519" s="2">
        <f>IFERROR(__xludf.DUMMYFUNCTION("""COMPUTED_VALUE"""),339.8)</f>
        <v>339.8</v>
      </c>
      <c r="C3519" s="2">
        <f>IFERROR(__xludf.DUMMYFUNCTION("""COMPUTED_VALUE"""),357.45)</f>
        <v>357.45</v>
      </c>
      <c r="D3519" s="2">
        <f>IFERROR(__xludf.DUMMYFUNCTION("""COMPUTED_VALUE"""),338.1)</f>
        <v>338.1</v>
      </c>
      <c r="E3519" s="2">
        <f>IFERROR(__xludf.DUMMYFUNCTION("""COMPUTED_VALUE"""),355.73)</f>
        <v>355.73</v>
      </c>
      <c r="F3519" s="2">
        <f>IFERROR(__xludf.DUMMYFUNCTION("""COMPUTED_VALUE"""),5691892.0)</f>
        <v>5691892</v>
      </c>
    </row>
    <row r="3520">
      <c r="A3520" s="3">
        <f>IFERROR(__xludf.DUMMYFUNCTION("""COMPUTED_VALUE"""),41708.645833333336)</f>
        <v>41708.64583</v>
      </c>
      <c r="B3520" s="2">
        <f>IFERROR(__xludf.DUMMYFUNCTION("""COMPUTED_VALUE"""),353.25)</f>
        <v>353.25</v>
      </c>
      <c r="C3520" s="2">
        <f>IFERROR(__xludf.DUMMYFUNCTION("""COMPUTED_VALUE"""),368.45)</f>
        <v>368.45</v>
      </c>
      <c r="D3520" s="2">
        <f>IFERROR(__xludf.DUMMYFUNCTION("""COMPUTED_VALUE"""),350.0)</f>
        <v>350</v>
      </c>
      <c r="E3520" s="2">
        <f>IFERROR(__xludf.DUMMYFUNCTION("""COMPUTED_VALUE"""),367.23)</f>
        <v>367.23</v>
      </c>
      <c r="F3520" s="2">
        <f>IFERROR(__xludf.DUMMYFUNCTION("""COMPUTED_VALUE"""),6530963.0)</f>
        <v>6530963</v>
      </c>
    </row>
    <row r="3521">
      <c r="A3521" s="3">
        <f>IFERROR(__xludf.DUMMYFUNCTION("""COMPUTED_VALUE"""),41709.645833333336)</f>
        <v>41709.64583</v>
      </c>
      <c r="B3521" s="2">
        <f>IFERROR(__xludf.DUMMYFUNCTION("""COMPUTED_VALUE"""),367.25)</f>
        <v>367.25</v>
      </c>
      <c r="C3521" s="2">
        <f>IFERROR(__xludf.DUMMYFUNCTION("""COMPUTED_VALUE"""),370.0)</f>
        <v>370</v>
      </c>
      <c r="D3521" s="2">
        <f>IFERROR(__xludf.DUMMYFUNCTION("""COMPUTED_VALUE"""),359.78)</f>
        <v>359.78</v>
      </c>
      <c r="E3521" s="2">
        <f>IFERROR(__xludf.DUMMYFUNCTION("""COMPUTED_VALUE"""),362.58)</f>
        <v>362.58</v>
      </c>
      <c r="F3521" s="2">
        <f>IFERROR(__xludf.DUMMYFUNCTION("""COMPUTED_VALUE"""),3250118.0)</f>
        <v>3250118</v>
      </c>
    </row>
    <row r="3522">
      <c r="A3522" s="3">
        <f>IFERROR(__xludf.DUMMYFUNCTION("""COMPUTED_VALUE"""),41710.645833333336)</f>
        <v>41710.64583</v>
      </c>
      <c r="B3522" s="2">
        <f>IFERROR(__xludf.DUMMYFUNCTION("""COMPUTED_VALUE"""),360.63)</f>
        <v>360.63</v>
      </c>
      <c r="C3522" s="2">
        <f>IFERROR(__xludf.DUMMYFUNCTION("""COMPUTED_VALUE"""),366.5)</f>
        <v>366.5</v>
      </c>
      <c r="D3522" s="2">
        <f>IFERROR(__xludf.DUMMYFUNCTION("""COMPUTED_VALUE"""),358.25)</f>
        <v>358.25</v>
      </c>
      <c r="E3522" s="2">
        <f>IFERROR(__xludf.DUMMYFUNCTION("""COMPUTED_VALUE"""),362.78)</f>
        <v>362.78</v>
      </c>
      <c r="F3522" s="2">
        <f>IFERROR(__xludf.DUMMYFUNCTION("""COMPUTED_VALUE"""),1777554.0)</f>
        <v>1777554</v>
      </c>
    </row>
    <row r="3523">
      <c r="A3523" s="3">
        <f>IFERROR(__xludf.DUMMYFUNCTION("""COMPUTED_VALUE"""),41711.645833333336)</f>
        <v>41711.64583</v>
      </c>
      <c r="B3523" s="2">
        <f>IFERROR(__xludf.DUMMYFUNCTION("""COMPUTED_VALUE"""),363.75)</f>
        <v>363.75</v>
      </c>
      <c r="C3523" s="2">
        <f>IFERROR(__xludf.DUMMYFUNCTION("""COMPUTED_VALUE"""),374.75)</f>
        <v>374.75</v>
      </c>
      <c r="D3523" s="2">
        <f>IFERROR(__xludf.DUMMYFUNCTION("""COMPUTED_VALUE"""),363.75)</f>
        <v>363.75</v>
      </c>
      <c r="E3523" s="2">
        <f>IFERROR(__xludf.DUMMYFUNCTION("""COMPUTED_VALUE"""),371.17)</f>
        <v>371.17</v>
      </c>
      <c r="F3523" s="2">
        <f>IFERROR(__xludf.DUMMYFUNCTION("""COMPUTED_VALUE"""),2862113.0)</f>
        <v>2862113</v>
      </c>
    </row>
    <row r="3524">
      <c r="A3524" s="3">
        <f>IFERROR(__xludf.DUMMYFUNCTION("""COMPUTED_VALUE"""),41712.645833333336)</f>
        <v>41712.64583</v>
      </c>
      <c r="B3524" s="2">
        <f>IFERROR(__xludf.DUMMYFUNCTION("""COMPUTED_VALUE"""),367.5)</f>
        <v>367.5</v>
      </c>
      <c r="C3524" s="2">
        <f>IFERROR(__xludf.DUMMYFUNCTION("""COMPUTED_VALUE"""),369.95)</f>
        <v>369.95</v>
      </c>
      <c r="D3524" s="2">
        <f>IFERROR(__xludf.DUMMYFUNCTION("""COMPUTED_VALUE"""),362.0)</f>
        <v>362</v>
      </c>
      <c r="E3524" s="2">
        <f>IFERROR(__xludf.DUMMYFUNCTION("""COMPUTED_VALUE"""),366.08)</f>
        <v>366.08</v>
      </c>
      <c r="F3524" s="2">
        <f>IFERROR(__xludf.DUMMYFUNCTION("""COMPUTED_VALUE"""),3052120.0)</f>
        <v>3052120</v>
      </c>
    </row>
    <row r="3525">
      <c r="A3525" s="3">
        <f>IFERROR(__xludf.DUMMYFUNCTION("""COMPUTED_VALUE"""),41716.645833333336)</f>
        <v>41716.64583</v>
      </c>
      <c r="B3525" s="2">
        <f>IFERROR(__xludf.DUMMYFUNCTION("""COMPUTED_VALUE"""),367.7)</f>
        <v>367.7</v>
      </c>
      <c r="C3525" s="2">
        <f>IFERROR(__xludf.DUMMYFUNCTION("""COMPUTED_VALUE"""),372.4)</f>
        <v>372.4</v>
      </c>
      <c r="D3525" s="2">
        <f>IFERROR(__xludf.DUMMYFUNCTION("""COMPUTED_VALUE"""),364.15)</f>
        <v>364.15</v>
      </c>
      <c r="E3525" s="2">
        <f>IFERROR(__xludf.DUMMYFUNCTION("""COMPUTED_VALUE"""),367.0)</f>
        <v>367</v>
      </c>
      <c r="F3525" s="2">
        <f>IFERROR(__xludf.DUMMYFUNCTION("""COMPUTED_VALUE"""),2025681.0)</f>
        <v>2025681</v>
      </c>
    </row>
    <row r="3526">
      <c r="A3526" s="3">
        <f>IFERROR(__xludf.DUMMYFUNCTION("""COMPUTED_VALUE"""),41717.645833333336)</f>
        <v>41717.64583</v>
      </c>
      <c r="B3526" s="2">
        <f>IFERROR(__xludf.DUMMYFUNCTION("""COMPUTED_VALUE"""),370.0)</f>
        <v>370</v>
      </c>
      <c r="C3526" s="2">
        <f>IFERROR(__xludf.DUMMYFUNCTION("""COMPUTED_VALUE"""),371.65)</f>
        <v>371.65</v>
      </c>
      <c r="D3526" s="2">
        <f>IFERROR(__xludf.DUMMYFUNCTION("""COMPUTED_VALUE"""),367.88)</f>
        <v>367.88</v>
      </c>
      <c r="E3526" s="2">
        <f>IFERROR(__xludf.DUMMYFUNCTION("""COMPUTED_VALUE"""),369.23)</f>
        <v>369.23</v>
      </c>
      <c r="F3526" s="2">
        <f>IFERROR(__xludf.DUMMYFUNCTION("""COMPUTED_VALUE"""),1513784.0)</f>
        <v>1513784</v>
      </c>
    </row>
    <row r="3527">
      <c r="A3527" s="3">
        <f>IFERROR(__xludf.DUMMYFUNCTION("""COMPUTED_VALUE"""),41718.645833333336)</f>
        <v>41718.64583</v>
      </c>
      <c r="B3527" s="2">
        <f>IFERROR(__xludf.DUMMYFUNCTION("""COMPUTED_VALUE"""),369.23)</f>
        <v>369.23</v>
      </c>
      <c r="C3527" s="2">
        <f>IFERROR(__xludf.DUMMYFUNCTION("""COMPUTED_VALUE"""),369.23)</f>
        <v>369.23</v>
      </c>
      <c r="D3527" s="2">
        <f>IFERROR(__xludf.DUMMYFUNCTION("""COMPUTED_VALUE"""),364.0)</f>
        <v>364</v>
      </c>
      <c r="E3527" s="2">
        <f>IFERROR(__xludf.DUMMYFUNCTION("""COMPUTED_VALUE"""),365.1)</f>
        <v>365.1</v>
      </c>
      <c r="F3527" s="2">
        <f>IFERROR(__xludf.DUMMYFUNCTION("""COMPUTED_VALUE"""),1298771.0)</f>
        <v>1298771</v>
      </c>
    </row>
    <row r="3528">
      <c r="A3528" s="3">
        <f>IFERROR(__xludf.DUMMYFUNCTION("""COMPUTED_VALUE"""),41719.645833333336)</f>
        <v>41719.64583</v>
      </c>
      <c r="B3528" s="2">
        <f>IFERROR(__xludf.DUMMYFUNCTION("""COMPUTED_VALUE"""),367.58)</f>
        <v>367.58</v>
      </c>
      <c r="C3528" s="2">
        <f>IFERROR(__xludf.DUMMYFUNCTION("""COMPUTED_VALUE"""),368.75)</f>
        <v>368.75</v>
      </c>
      <c r="D3528" s="2">
        <f>IFERROR(__xludf.DUMMYFUNCTION("""COMPUTED_VALUE"""),365.6)</f>
        <v>365.6</v>
      </c>
      <c r="E3528" s="2">
        <f>IFERROR(__xludf.DUMMYFUNCTION("""COMPUTED_VALUE"""),366.92)</f>
        <v>366.92</v>
      </c>
      <c r="F3528" s="2">
        <f>IFERROR(__xludf.DUMMYFUNCTION("""COMPUTED_VALUE"""),1881398.0)</f>
        <v>1881398</v>
      </c>
    </row>
    <row r="3529">
      <c r="A3529" s="3">
        <f>IFERROR(__xludf.DUMMYFUNCTION("""COMPUTED_VALUE"""),41722.645833333336)</f>
        <v>41722.64583</v>
      </c>
      <c r="B3529" s="2">
        <f>IFERROR(__xludf.DUMMYFUNCTION("""COMPUTED_VALUE"""),367.25)</f>
        <v>367.25</v>
      </c>
      <c r="C3529" s="2">
        <f>IFERROR(__xludf.DUMMYFUNCTION("""COMPUTED_VALUE"""),376.45)</f>
        <v>376.45</v>
      </c>
      <c r="D3529" s="2">
        <f>IFERROR(__xludf.DUMMYFUNCTION("""COMPUTED_VALUE"""),367.0)</f>
        <v>367</v>
      </c>
      <c r="E3529" s="2">
        <f>IFERROR(__xludf.DUMMYFUNCTION("""COMPUTED_VALUE"""),375.33)</f>
        <v>375.33</v>
      </c>
      <c r="F3529" s="2">
        <f>IFERROR(__xludf.DUMMYFUNCTION("""COMPUTED_VALUE"""),2928465.0)</f>
        <v>2928465</v>
      </c>
    </row>
    <row r="3530">
      <c r="A3530" s="3">
        <f>IFERROR(__xludf.DUMMYFUNCTION("""COMPUTED_VALUE"""),41723.645833333336)</f>
        <v>41723.64583</v>
      </c>
      <c r="B3530" s="2">
        <f>IFERROR(__xludf.DUMMYFUNCTION("""COMPUTED_VALUE"""),375.0)</f>
        <v>375</v>
      </c>
      <c r="C3530" s="2">
        <f>IFERROR(__xludf.DUMMYFUNCTION("""COMPUTED_VALUE"""),380.28)</f>
        <v>380.28</v>
      </c>
      <c r="D3530" s="2">
        <f>IFERROR(__xludf.DUMMYFUNCTION("""COMPUTED_VALUE"""),373.88)</f>
        <v>373.88</v>
      </c>
      <c r="E3530" s="2">
        <f>IFERROR(__xludf.DUMMYFUNCTION("""COMPUTED_VALUE"""),375.08)</f>
        <v>375.08</v>
      </c>
      <c r="F3530" s="2">
        <f>IFERROR(__xludf.DUMMYFUNCTION("""COMPUTED_VALUE"""),2007773.0)</f>
        <v>2007773</v>
      </c>
    </row>
    <row r="3531">
      <c r="A3531" s="3">
        <f>IFERROR(__xludf.DUMMYFUNCTION("""COMPUTED_VALUE"""),41724.645833333336)</f>
        <v>41724.64583</v>
      </c>
      <c r="B3531" s="2">
        <f>IFERROR(__xludf.DUMMYFUNCTION("""COMPUTED_VALUE"""),376.4)</f>
        <v>376.4</v>
      </c>
      <c r="C3531" s="2">
        <f>IFERROR(__xludf.DUMMYFUNCTION("""COMPUTED_VALUE"""),378.15)</f>
        <v>378.15</v>
      </c>
      <c r="D3531" s="2">
        <f>IFERROR(__xludf.DUMMYFUNCTION("""COMPUTED_VALUE"""),372.05)</f>
        <v>372.05</v>
      </c>
      <c r="E3531" s="2">
        <f>IFERROR(__xludf.DUMMYFUNCTION("""COMPUTED_VALUE"""),373.03)</f>
        <v>373.03</v>
      </c>
      <c r="F3531" s="2">
        <f>IFERROR(__xludf.DUMMYFUNCTION("""COMPUTED_VALUE"""),2352328.0)</f>
        <v>2352328</v>
      </c>
    </row>
    <row r="3532">
      <c r="A3532" s="3">
        <f>IFERROR(__xludf.DUMMYFUNCTION("""COMPUTED_VALUE"""),41725.645833333336)</f>
        <v>41725.64583</v>
      </c>
      <c r="B3532" s="2">
        <f>IFERROR(__xludf.DUMMYFUNCTION("""COMPUTED_VALUE"""),375.0)</f>
        <v>375</v>
      </c>
      <c r="C3532" s="2">
        <f>IFERROR(__xludf.DUMMYFUNCTION("""COMPUTED_VALUE"""),380.38)</f>
        <v>380.38</v>
      </c>
      <c r="D3532" s="2">
        <f>IFERROR(__xludf.DUMMYFUNCTION("""COMPUTED_VALUE"""),371.0)</f>
        <v>371</v>
      </c>
      <c r="E3532" s="2">
        <f>IFERROR(__xludf.DUMMYFUNCTION("""COMPUTED_VALUE"""),373.38)</f>
        <v>373.38</v>
      </c>
      <c r="F3532" s="2">
        <f>IFERROR(__xludf.DUMMYFUNCTION("""COMPUTED_VALUE"""),6138733.0)</f>
        <v>6138733</v>
      </c>
    </row>
    <row r="3533">
      <c r="A3533" s="3">
        <f>IFERROR(__xludf.DUMMYFUNCTION("""COMPUTED_VALUE"""),41726.645833333336)</f>
        <v>41726.64583</v>
      </c>
      <c r="B3533" s="2">
        <f>IFERROR(__xludf.DUMMYFUNCTION("""COMPUTED_VALUE"""),374.98)</f>
        <v>374.98</v>
      </c>
      <c r="C3533" s="2">
        <f>IFERROR(__xludf.DUMMYFUNCTION("""COMPUTED_VALUE"""),377.05)</f>
        <v>377.05</v>
      </c>
      <c r="D3533" s="2">
        <f>IFERROR(__xludf.DUMMYFUNCTION("""COMPUTED_VALUE"""),367.53)</f>
        <v>367.53</v>
      </c>
      <c r="E3533" s="2">
        <f>IFERROR(__xludf.DUMMYFUNCTION("""COMPUTED_VALUE"""),372.48)</f>
        <v>372.48</v>
      </c>
      <c r="F3533" s="2">
        <f>IFERROR(__xludf.DUMMYFUNCTION("""COMPUTED_VALUE"""),3040225.0)</f>
        <v>3040225</v>
      </c>
    </row>
    <row r="3534">
      <c r="A3534" s="3">
        <f>IFERROR(__xludf.DUMMYFUNCTION("""COMPUTED_VALUE"""),41729.645833333336)</f>
        <v>41729.64583</v>
      </c>
      <c r="B3534" s="2">
        <f>IFERROR(__xludf.DUMMYFUNCTION("""COMPUTED_VALUE"""),373.98)</f>
        <v>373.98</v>
      </c>
      <c r="C3534" s="2">
        <f>IFERROR(__xludf.DUMMYFUNCTION("""COMPUTED_VALUE"""),376.5)</f>
        <v>376.5</v>
      </c>
      <c r="D3534" s="2">
        <f>IFERROR(__xludf.DUMMYFUNCTION("""COMPUTED_VALUE"""),371.55)</f>
        <v>371.55</v>
      </c>
      <c r="E3534" s="2">
        <f>IFERROR(__xludf.DUMMYFUNCTION("""COMPUTED_VALUE"""),374.4)</f>
        <v>374.4</v>
      </c>
      <c r="F3534" s="2">
        <f>IFERROR(__xludf.DUMMYFUNCTION("""COMPUTED_VALUE"""),2065607.0)</f>
        <v>2065607</v>
      </c>
    </row>
    <row r="3535">
      <c r="A3535" s="3">
        <f>IFERROR(__xludf.DUMMYFUNCTION("""COMPUTED_VALUE"""),41730.645833333336)</f>
        <v>41730.64583</v>
      </c>
      <c r="B3535" s="2">
        <f>IFERROR(__xludf.DUMMYFUNCTION("""COMPUTED_VALUE"""),375.75)</f>
        <v>375.75</v>
      </c>
      <c r="C3535" s="2">
        <f>IFERROR(__xludf.DUMMYFUNCTION("""COMPUTED_VALUE"""),376.78)</f>
        <v>376.78</v>
      </c>
      <c r="D3535" s="2">
        <f>IFERROR(__xludf.DUMMYFUNCTION("""COMPUTED_VALUE"""),366.28)</f>
        <v>366.28</v>
      </c>
      <c r="E3535" s="2">
        <f>IFERROR(__xludf.DUMMYFUNCTION("""COMPUTED_VALUE"""),369.05)</f>
        <v>369.05</v>
      </c>
      <c r="F3535" s="2">
        <f>IFERROR(__xludf.DUMMYFUNCTION("""COMPUTED_VALUE"""),2012958.0)</f>
        <v>2012958</v>
      </c>
    </row>
    <row r="3536">
      <c r="A3536" s="3">
        <f>IFERROR(__xludf.DUMMYFUNCTION("""COMPUTED_VALUE"""),41731.645833333336)</f>
        <v>41731.64583</v>
      </c>
      <c r="B3536" s="2">
        <f>IFERROR(__xludf.DUMMYFUNCTION("""COMPUTED_VALUE"""),372.48)</f>
        <v>372.48</v>
      </c>
      <c r="C3536" s="2">
        <f>IFERROR(__xludf.DUMMYFUNCTION("""COMPUTED_VALUE"""),373.0)</f>
        <v>373</v>
      </c>
      <c r="D3536" s="2">
        <f>IFERROR(__xludf.DUMMYFUNCTION("""COMPUTED_VALUE"""),360.95)</f>
        <v>360.95</v>
      </c>
      <c r="E3536" s="2">
        <f>IFERROR(__xludf.DUMMYFUNCTION("""COMPUTED_VALUE"""),365.95)</f>
        <v>365.95</v>
      </c>
      <c r="F3536" s="2">
        <f>IFERROR(__xludf.DUMMYFUNCTION("""COMPUTED_VALUE"""),2599688.0)</f>
        <v>2599688</v>
      </c>
    </row>
    <row r="3537">
      <c r="A3537" s="3">
        <f>IFERROR(__xludf.DUMMYFUNCTION("""COMPUTED_VALUE"""),41732.645833333336)</f>
        <v>41732.64583</v>
      </c>
      <c r="B3537" s="2">
        <f>IFERROR(__xludf.DUMMYFUNCTION("""COMPUTED_VALUE"""),368.0)</f>
        <v>368</v>
      </c>
      <c r="C3537" s="2">
        <f>IFERROR(__xludf.DUMMYFUNCTION("""COMPUTED_VALUE"""),369.0)</f>
        <v>369</v>
      </c>
      <c r="D3537" s="2">
        <f>IFERROR(__xludf.DUMMYFUNCTION("""COMPUTED_VALUE"""),363.13)</f>
        <v>363.13</v>
      </c>
      <c r="E3537" s="2">
        <f>IFERROR(__xludf.DUMMYFUNCTION("""COMPUTED_VALUE"""),364.4)</f>
        <v>364.4</v>
      </c>
      <c r="F3537" s="2">
        <f>IFERROR(__xludf.DUMMYFUNCTION("""COMPUTED_VALUE"""),1389926.0)</f>
        <v>1389926</v>
      </c>
    </row>
    <row r="3538">
      <c r="A3538" s="3">
        <f>IFERROR(__xludf.DUMMYFUNCTION("""COMPUTED_VALUE"""),41733.645833333336)</f>
        <v>41733.64583</v>
      </c>
      <c r="B3538" s="2">
        <f>IFERROR(__xludf.DUMMYFUNCTION("""COMPUTED_VALUE"""),362.78)</f>
        <v>362.78</v>
      </c>
      <c r="C3538" s="2">
        <f>IFERROR(__xludf.DUMMYFUNCTION("""COMPUTED_VALUE"""),366.5)</f>
        <v>366.5</v>
      </c>
      <c r="D3538" s="2">
        <f>IFERROR(__xludf.DUMMYFUNCTION("""COMPUTED_VALUE"""),360.03)</f>
        <v>360.03</v>
      </c>
      <c r="E3538" s="2">
        <f>IFERROR(__xludf.DUMMYFUNCTION("""COMPUTED_VALUE"""),362.73)</f>
        <v>362.73</v>
      </c>
      <c r="F3538" s="2">
        <f>IFERROR(__xludf.DUMMYFUNCTION("""COMPUTED_VALUE"""),1855602.0)</f>
        <v>1855602</v>
      </c>
    </row>
    <row r="3539">
      <c r="A3539" s="3">
        <f>IFERROR(__xludf.DUMMYFUNCTION("""COMPUTED_VALUE"""),41736.645833333336)</f>
        <v>41736.64583</v>
      </c>
      <c r="B3539" s="2">
        <f>IFERROR(__xludf.DUMMYFUNCTION("""COMPUTED_VALUE"""),362.5)</f>
        <v>362.5</v>
      </c>
      <c r="C3539" s="2">
        <f>IFERROR(__xludf.DUMMYFUNCTION("""COMPUTED_VALUE"""),366.0)</f>
        <v>366</v>
      </c>
      <c r="D3539" s="2">
        <f>IFERROR(__xludf.DUMMYFUNCTION("""COMPUTED_VALUE"""),361.55)</f>
        <v>361.55</v>
      </c>
      <c r="E3539" s="2">
        <f>IFERROR(__xludf.DUMMYFUNCTION("""COMPUTED_VALUE"""),362.67)</f>
        <v>362.67</v>
      </c>
      <c r="F3539" s="2">
        <f>IFERROR(__xludf.DUMMYFUNCTION("""COMPUTED_VALUE"""),2933289.0)</f>
        <v>2933289</v>
      </c>
    </row>
    <row r="3540">
      <c r="A3540" s="3">
        <f>IFERROR(__xludf.DUMMYFUNCTION("""COMPUTED_VALUE"""),41738.645833333336)</f>
        <v>41738.64583</v>
      </c>
      <c r="B3540" s="2">
        <f>IFERROR(__xludf.DUMMYFUNCTION("""COMPUTED_VALUE"""),364.03)</f>
        <v>364.03</v>
      </c>
      <c r="C3540" s="2">
        <f>IFERROR(__xludf.DUMMYFUNCTION("""COMPUTED_VALUE"""),372.45)</f>
        <v>372.45</v>
      </c>
      <c r="D3540" s="2">
        <f>IFERROR(__xludf.DUMMYFUNCTION("""COMPUTED_VALUE"""),360.88)</f>
        <v>360.88</v>
      </c>
      <c r="E3540" s="2">
        <f>IFERROR(__xludf.DUMMYFUNCTION("""COMPUTED_VALUE"""),370.92)</f>
        <v>370.92</v>
      </c>
      <c r="F3540" s="2">
        <f>IFERROR(__xludf.DUMMYFUNCTION("""COMPUTED_VALUE"""),2630096.0)</f>
        <v>2630096</v>
      </c>
    </row>
    <row r="3541">
      <c r="A3541" s="3">
        <f>IFERROR(__xludf.DUMMYFUNCTION("""COMPUTED_VALUE"""),41739.645833333336)</f>
        <v>41739.64583</v>
      </c>
      <c r="B3541" s="2">
        <f>IFERROR(__xludf.DUMMYFUNCTION("""COMPUTED_VALUE"""),372.33)</f>
        <v>372.33</v>
      </c>
      <c r="C3541" s="2">
        <f>IFERROR(__xludf.DUMMYFUNCTION("""COMPUTED_VALUE"""),374.33)</f>
        <v>374.33</v>
      </c>
      <c r="D3541" s="2">
        <f>IFERROR(__xludf.DUMMYFUNCTION("""COMPUTED_VALUE"""),368.0)</f>
        <v>368</v>
      </c>
      <c r="E3541" s="2">
        <f>IFERROR(__xludf.DUMMYFUNCTION("""COMPUTED_VALUE"""),369.7)</f>
        <v>369.7</v>
      </c>
      <c r="F3541" s="2">
        <f>IFERROR(__xludf.DUMMYFUNCTION("""COMPUTED_VALUE"""),1873698.0)</f>
        <v>1873698</v>
      </c>
    </row>
    <row r="3542">
      <c r="A3542" s="3">
        <f>IFERROR(__xludf.DUMMYFUNCTION("""COMPUTED_VALUE"""),41740.645833333336)</f>
        <v>41740.64583</v>
      </c>
      <c r="B3542" s="2">
        <f>IFERROR(__xludf.DUMMYFUNCTION("""COMPUTED_VALUE"""),367.03)</f>
        <v>367.03</v>
      </c>
      <c r="C3542" s="2">
        <f>IFERROR(__xludf.DUMMYFUNCTION("""COMPUTED_VALUE"""),372.4)</f>
        <v>372.4</v>
      </c>
      <c r="D3542" s="2">
        <f>IFERROR(__xludf.DUMMYFUNCTION("""COMPUTED_VALUE"""),366.95)</f>
        <v>366.95</v>
      </c>
      <c r="E3542" s="2">
        <f>IFERROR(__xludf.DUMMYFUNCTION("""COMPUTED_VALUE"""),369.08)</f>
        <v>369.08</v>
      </c>
      <c r="F3542" s="2">
        <f>IFERROR(__xludf.DUMMYFUNCTION("""COMPUTED_VALUE"""),1301988.0)</f>
        <v>1301988</v>
      </c>
    </row>
    <row r="3543">
      <c r="A3543" s="3">
        <f>IFERROR(__xludf.DUMMYFUNCTION("""COMPUTED_VALUE"""),41744.645833333336)</f>
        <v>41744.64583</v>
      </c>
      <c r="B3543" s="2">
        <f>IFERROR(__xludf.DUMMYFUNCTION("""COMPUTED_VALUE"""),367.15)</f>
        <v>367.15</v>
      </c>
      <c r="C3543" s="2">
        <f>IFERROR(__xludf.DUMMYFUNCTION("""COMPUTED_VALUE"""),369.4)</f>
        <v>369.4</v>
      </c>
      <c r="D3543" s="2">
        <f>IFERROR(__xludf.DUMMYFUNCTION("""COMPUTED_VALUE"""),359.05)</f>
        <v>359.05</v>
      </c>
      <c r="E3543" s="2">
        <f>IFERROR(__xludf.DUMMYFUNCTION("""COMPUTED_VALUE"""),361.98)</f>
        <v>361.98</v>
      </c>
      <c r="F3543" s="2">
        <f>IFERROR(__xludf.DUMMYFUNCTION("""COMPUTED_VALUE"""),2092967.0)</f>
        <v>2092967</v>
      </c>
    </row>
    <row r="3544">
      <c r="A3544" s="3">
        <f>IFERROR(__xludf.DUMMYFUNCTION("""COMPUTED_VALUE"""),41745.645833333336)</f>
        <v>41745.64583</v>
      </c>
      <c r="B3544" s="2">
        <f>IFERROR(__xludf.DUMMYFUNCTION("""COMPUTED_VALUE"""),361.6)</f>
        <v>361.6</v>
      </c>
      <c r="C3544" s="2">
        <f>IFERROR(__xludf.DUMMYFUNCTION("""COMPUTED_VALUE"""),365.9)</f>
        <v>365.9</v>
      </c>
      <c r="D3544" s="2">
        <f>IFERROR(__xludf.DUMMYFUNCTION("""COMPUTED_VALUE"""),360.55)</f>
        <v>360.55</v>
      </c>
      <c r="E3544" s="2">
        <f>IFERROR(__xludf.DUMMYFUNCTION("""COMPUTED_VALUE"""),362.98)</f>
        <v>362.98</v>
      </c>
      <c r="F3544" s="2">
        <f>IFERROR(__xludf.DUMMYFUNCTION("""COMPUTED_VALUE"""),893098.0)</f>
        <v>893098</v>
      </c>
    </row>
    <row r="3545">
      <c r="A3545" s="3">
        <f>IFERROR(__xludf.DUMMYFUNCTION("""COMPUTED_VALUE"""),41746.645833333336)</f>
        <v>41746.64583</v>
      </c>
      <c r="B3545" s="2">
        <f>IFERROR(__xludf.DUMMYFUNCTION("""COMPUTED_VALUE"""),358.13)</f>
        <v>358.13</v>
      </c>
      <c r="C3545" s="2">
        <f>IFERROR(__xludf.DUMMYFUNCTION("""COMPUTED_VALUE"""),360.65)</f>
        <v>360.65</v>
      </c>
      <c r="D3545" s="2">
        <f>IFERROR(__xludf.DUMMYFUNCTION("""COMPUTED_VALUE"""),353.65)</f>
        <v>353.65</v>
      </c>
      <c r="E3545" s="2">
        <f>IFERROR(__xludf.DUMMYFUNCTION("""COMPUTED_VALUE"""),359.35)</f>
        <v>359.35</v>
      </c>
      <c r="F3545" s="2">
        <f>IFERROR(__xludf.DUMMYFUNCTION("""COMPUTED_VALUE"""),3075582.0)</f>
        <v>3075582</v>
      </c>
    </row>
    <row r="3546">
      <c r="A3546" s="3">
        <f>IFERROR(__xludf.DUMMYFUNCTION("""COMPUTED_VALUE"""),41750.645833333336)</f>
        <v>41750.64583</v>
      </c>
      <c r="B3546" s="2">
        <f>IFERROR(__xludf.DUMMYFUNCTION("""COMPUTED_VALUE"""),361.35)</f>
        <v>361.35</v>
      </c>
      <c r="C3546" s="2">
        <f>IFERROR(__xludf.DUMMYFUNCTION("""COMPUTED_VALUE"""),363.25)</f>
        <v>363.25</v>
      </c>
      <c r="D3546" s="2">
        <f>IFERROR(__xludf.DUMMYFUNCTION("""COMPUTED_VALUE"""),356.5)</f>
        <v>356.5</v>
      </c>
      <c r="E3546" s="2">
        <f>IFERROR(__xludf.DUMMYFUNCTION("""COMPUTED_VALUE"""),358.23)</f>
        <v>358.23</v>
      </c>
      <c r="F3546" s="2">
        <f>IFERROR(__xludf.DUMMYFUNCTION("""COMPUTED_VALUE"""),1746938.0)</f>
        <v>1746938</v>
      </c>
    </row>
    <row r="3547">
      <c r="A3547" s="3">
        <f>IFERROR(__xludf.DUMMYFUNCTION("""COMPUTED_VALUE"""),41751.645833333336)</f>
        <v>41751.64583</v>
      </c>
      <c r="B3547" s="2">
        <f>IFERROR(__xludf.DUMMYFUNCTION("""COMPUTED_VALUE"""),360.95)</f>
        <v>360.95</v>
      </c>
      <c r="C3547" s="2">
        <f>IFERROR(__xludf.DUMMYFUNCTION("""COMPUTED_VALUE"""),364.8)</f>
        <v>364.8</v>
      </c>
      <c r="D3547" s="2">
        <f>IFERROR(__xludf.DUMMYFUNCTION("""COMPUTED_VALUE"""),358.7)</f>
        <v>358.7</v>
      </c>
      <c r="E3547" s="2">
        <f>IFERROR(__xludf.DUMMYFUNCTION("""COMPUTED_VALUE"""),363.78)</f>
        <v>363.78</v>
      </c>
      <c r="F3547" s="2">
        <f>IFERROR(__xludf.DUMMYFUNCTION("""COMPUTED_VALUE"""),2848956.0)</f>
        <v>2848956</v>
      </c>
    </row>
    <row r="3548">
      <c r="A3548" s="3">
        <f>IFERROR(__xludf.DUMMYFUNCTION("""COMPUTED_VALUE"""),41752.645833333336)</f>
        <v>41752.64583</v>
      </c>
      <c r="B3548" s="2">
        <f>IFERROR(__xludf.DUMMYFUNCTION("""COMPUTED_VALUE"""),362.45)</f>
        <v>362.45</v>
      </c>
      <c r="C3548" s="2">
        <f>IFERROR(__xludf.DUMMYFUNCTION("""COMPUTED_VALUE"""),369.73)</f>
        <v>369.73</v>
      </c>
      <c r="D3548" s="2">
        <f>IFERROR(__xludf.DUMMYFUNCTION("""COMPUTED_VALUE"""),361.3)</f>
        <v>361.3</v>
      </c>
      <c r="E3548" s="2">
        <f>IFERROR(__xludf.DUMMYFUNCTION("""COMPUTED_VALUE"""),366.5)</f>
        <v>366.5</v>
      </c>
      <c r="F3548" s="2">
        <f>IFERROR(__xludf.DUMMYFUNCTION("""COMPUTED_VALUE"""),5256336.0)</f>
        <v>5256336</v>
      </c>
    </row>
    <row r="3549">
      <c r="A3549" s="3">
        <f>IFERROR(__xludf.DUMMYFUNCTION("""COMPUTED_VALUE"""),41754.645833333336)</f>
        <v>41754.64583</v>
      </c>
      <c r="B3549" s="2">
        <f>IFERROR(__xludf.DUMMYFUNCTION("""COMPUTED_VALUE"""),366.58)</f>
        <v>366.58</v>
      </c>
      <c r="C3549" s="2">
        <f>IFERROR(__xludf.DUMMYFUNCTION("""COMPUTED_VALUE"""),369.0)</f>
        <v>369</v>
      </c>
      <c r="D3549" s="2">
        <f>IFERROR(__xludf.DUMMYFUNCTION("""COMPUTED_VALUE"""),362.5)</f>
        <v>362.5</v>
      </c>
      <c r="E3549" s="2">
        <f>IFERROR(__xludf.DUMMYFUNCTION("""COMPUTED_VALUE"""),363.2)</f>
        <v>363.2</v>
      </c>
      <c r="F3549" s="2">
        <f>IFERROR(__xludf.DUMMYFUNCTION("""COMPUTED_VALUE"""),1553111.0)</f>
        <v>1553111</v>
      </c>
    </row>
    <row r="3550">
      <c r="A3550" s="3">
        <f>IFERROR(__xludf.DUMMYFUNCTION("""COMPUTED_VALUE"""),41757.645833333336)</f>
        <v>41757.64583</v>
      </c>
      <c r="B3550" s="2">
        <f>IFERROR(__xludf.DUMMYFUNCTION("""COMPUTED_VALUE"""),361.13)</f>
        <v>361.13</v>
      </c>
      <c r="C3550" s="2">
        <f>IFERROR(__xludf.DUMMYFUNCTION("""COMPUTED_VALUE"""),364.63)</f>
        <v>364.63</v>
      </c>
      <c r="D3550" s="2">
        <f>IFERROR(__xludf.DUMMYFUNCTION("""COMPUTED_VALUE"""),360.28)</f>
        <v>360.28</v>
      </c>
      <c r="E3550" s="2">
        <f>IFERROR(__xludf.DUMMYFUNCTION("""COMPUTED_VALUE"""),362.6)</f>
        <v>362.6</v>
      </c>
      <c r="F3550" s="2">
        <f>IFERROR(__xludf.DUMMYFUNCTION("""COMPUTED_VALUE"""),1220715.0)</f>
        <v>1220715</v>
      </c>
    </row>
    <row r="3551">
      <c r="A3551" s="3">
        <f>IFERROR(__xludf.DUMMYFUNCTION("""COMPUTED_VALUE"""),41758.645833333336)</f>
        <v>41758.64583</v>
      </c>
      <c r="B3551" s="2">
        <f>IFERROR(__xludf.DUMMYFUNCTION("""COMPUTED_VALUE"""),363.2)</f>
        <v>363.2</v>
      </c>
      <c r="C3551" s="2">
        <f>IFERROR(__xludf.DUMMYFUNCTION("""COMPUTED_VALUE"""),363.75)</f>
        <v>363.75</v>
      </c>
      <c r="D3551" s="2">
        <f>IFERROR(__xludf.DUMMYFUNCTION("""COMPUTED_VALUE"""),356.25)</f>
        <v>356.25</v>
      </c>
      <c r="E3551" s="2">
        <f>IFERROR(__xludf.DUMMYFUNCTION("""COMPUTED_VALUE"""),357.9)</f>
        <v>357.9</v>
      </c>
      <c r="F3551" s="2">
        <f>IFERROR(__xludf.DUMMYFUNCTION("""COMPUTED_VALUE"""),1660309.0)</f>
        <v>1660309</v>
      </c>
    </row>
    <row r="3552">
      <c r="A3552" s="3">
        <f>IFERROR(__xludf.DUMMYFUNCTION("""COMPUTED_VALUE"""),41759.645833333336)</f>
        <v>41759.64583</v>
      </c>
      <c r="B3552" s="2">
        <f>IFERROR(__xludf.DUMMYFUNCTION("""COMPUTED_VALUE"""),358.0)</f>
        <v>358</v>
      </c>
      <c r="C3552" s="2">
        <f>IFERROR(__xludf.DUMMYFUNCTION("""COMPUTED_VALUE"""),364.95)</f>
        <v>364.95</v>
      </c>
      <c r="D3552" s="2">
        <f>IFERROR(__xludf.DUMMYFUNCTION("""COMPUTED_VALUE"""),355.83)</f>
        <v>355.83</v>
      </c>
      <c r="E3552" s="2">
        <f>IFERROR(__xludf.DUMMYFUNCTION("""COMPUTED_VALUE"""),360.65)</f>
        <v>360.65</v>
      </c>
      <c r="F3552" s="2">
        <f>IFERROR(__xludf.DUMMYFUNCTION("""COMPUTED_VALUE"""),2196730.0)</f>
        <v>2196730</v>
      </c>
    </row>
    <row r="3553">
      <c r="A3553" s="3">
        <f>IFERROR(__xludf.DUMMYFUNCTION("""COMPUTED_VALUE"""),41761.645833333336)</f>
        <v>41761.64583</v>
      </c>
      <c r="B3553" s="2">
        <f>IFERROR(__xludf.DUMMYFUNCTION("""COMPUTED_VALUE"""),361.75)</f>
        <v>361.75</v>
      </c>
      <c r="C3553" s="2">
        <f>IFERROR(__xludf.DUMMYFUNCTION("""COMPUTED_VALUE"""),363.78)</f>
        <v>363.78</v>
      </c>
      <c r="D3553" s="2">
        <f>IFERROR(__xludf.DUMMYFUNCTION("""COMPUTED_VALUE"""),357.78)</f>
        <v>357.78</v>
      </c>
      <c r="E3553" s="2">
        <f>IFERROR(__xludf.DUMMYFUNCTION("""COMPUTED_VALUE"""),358.55)</f>
        <v>358.55</v>
      </c>
      <c r="F3553" s="2">
        <f>IFERROR(__xludf.DUMMYFUNCTION("""COMPUTED_VALUE"""),1478823.0)</f>
        <v>1478823</v>
      </c>
    </row>
    <row r="3554">
      <c r="A3554" s="3">
        <f>IFERROR(__xludf.DUMMYFUNCTION("""COMPUTED_VALUE"""),41764.645833333336)</f>
        <v>41764.64583</v>
      </c>
      <c r="B3554" s="2">
        <f>IFERROR(__xludf.DUMMYFUNCTION("""COMPUTED_VALUE"""),359.92)</f>
        <v>359.92</v>
      </c>
      <c r="C3554" s="2">
        <f>IFERROR(__xludf.DUMMYFUNCTION("""COMPUTED_VALUE"""),361.55)</f>
        <v>361.55</v>
      </c>
      <c r="D3554" s="2">
        <f>IFERROR(__xludf.DUMMYFUNCTION("""COMPUTED_VALUE"""),357.0)</f>
        <v>357</v>
      </c>
      <c r="E3554" s="2">
        <f>IFERROR(__xludf.DUMMYFUNCTION("""COMPUTED_VALUE"""),358.35)</f>
        <v>358.35</v>
      </c>
      <c r="F3554" s="2">
        <f>IFERROR(__xludf.DUMMYFUNCTION("""COMPUTED_VALUE"""),1298081.0)</f>
        <v>1298081</v>
      </c>
    </row>
    <row r="3555">
      <c r="A3555" s="3">
        <f>IFERROR(__xludf.DUMMYFUNCTION("""COMPUTED_VALUE"""),41765.645833333336)</f>
        <v>41765.64583</v>
      </c>
      <c r="B3555" s="2">
        <f>IFERROR(__xludf.DUMMYFUNCTION("""COMPUTED_VALUE"""),360.1)</f>
        <v>360.1</v>
      </c>
      <c r="C3555" s="2">
        <f>IFERROR(__xludf.DUMMYFUNCTION("""COMPUTED_VALUE"""),362.3)</f>
        <v>362.3</v>
      </c>
      <c r="D3555" s="2">
        <f>IFERROR(__xludf.DUMMYFUNCTION("""COMPUTED_VALUE"""),357.05)</f>
        <v>357.05</v>
      </c>
      <c r="E3555" s="2">
        <f>IFERROR(__xludf.DUMMYFUNCTION("""COMPUTED_VALUE"""),360.1)</f>
        <v>360.1</v>
      </c>
      <c r="F3555" s="2">
        <f>IFERROR(__xludf.DUMMYFUNCTION("""COMPUTED_VALUE"""),1546140.0)</f>
        <v>1546140</v>
      </c>
    </row>
    <row r="3556">
      <c r="A3556" s="3">
        <f>IFERROR(__xludf.DUMMYFUNCTION("""COMPUTED_VALUE"""),41766.645833333336)</f>
        <v>41766.64583</v>
      </c>
      <c r="B3556" s="2">
        <f>IFERROR(__xludf.DUMMYFUNCTION("""COMPUTED_VALUE"""),359.25)</f>
        <v>359.25</v>
      </c>
      <c r="C3556" s="2">
        <f>IFERROR(__xludf.DUMMYFUNCTION("""COMPUTED_VALUE"""),363.5)</f>
        <v>363.5</v>
      </c>
      <c r="D3556" s="2">
        <f>IFERROR(__xludf.DUMMYFUNCTION("""COMPUTED_VALUE"""),355.73)</f>
        <v>355.73</v>
      </c>
      <c r="E3556" s="2">
        <f>IFERROR(__xludf.DUMMYFUNCTION("""COMPUTED_VALUE"""),357.8)</f>
        <v>357.8</v>
      </c>
      <c r="F3556" s="2">
        <f>IFERROR(__xludf.DUMMYFUNCTION("""COMPUTED_VALUE"""),1649656.0)</f>
        <v>1649656</v>
      </c>
    </row>
    <row r="3557">
      <c r="A3557" s="3">
        <f>IFERROR(__xludf.DUMMYFUNCTION("""COMPUTED_VALUE"""),41767.645833333336)</f>
        <v>41767.64583</v>
      </c>
      <c r="B3557" s="2">
        <f>IFERROR(__xludf.DUMMYFUNCTION("""COMPUTED_VALUE"""),358.58)</f>
        <v>358.58</v>
      </c>
      <c r="C3557" s="2">
        <f>IFERROR(__xludf.DUMMYFUNCTION("""COMPUTED_VALUE"""),361.5)</f>
        <v>361.5</v>
      </c>
      <c r="D3557" s="2">
        <f>IFERROR(__xludf.DUMMYFUNCTION("""COMPUTED_VALUE"""),357.75)</f>
        <v>357.75</v>
      </c>
      <c r="E3557" s="2">
        <f>IFERROR(__xludf.DUMMYFUNCTION("""COMPUTED_VALUE"""),359.15)</f>
        <v>359.15</v>
      </c>
      <c r="F3557" s="2">
        <f>IFERROR(__xludf.DUMMYFUNCTION("""COMPUTED_VALUE"""),1880107.0)</f>
        <v>1880107</v>
      </c>
    </row>
    <row r="3558">
      <c r="A3558" s="3">
        <f>IFERROR(__xludf.DUMMYFUNCTION("""COMPUTED_VALUE"""),41768.645833333336)</f>
        <v>41768.64583</v>
      </c>
      <c r="B3558" s="2">
        <f>IFERROR(__xludf.DUMMYFUNCTION("""COMPUTED_VALUE"""),360.0)</f>
        <v>360</v>
      </c>
      <c r="C3558" s="2">
        <f>IFERROR(__xludf.DUMMYFUNCTION("""COMPUTED_VALUE"""),380.0)</f>
        <v>380</v>
      </c>
      <c r="D3558" s="2">
        <f>IFERROR(__xludf.DUMMYFUNCTION("""COMPUTED_VALUE"""),360.0)</f>
        <v>360</v>
      </c>
      <c r="E3558" s="2">
        <f>IFERROR(__xludf.DUMMYFUNCTION("""COMPUTED_VALUE"""),378.4)</f>
        <v>378.4</v>
      </c>
      <c r="F3558" s="2">
        <f>IFERROR(__xludf.DUMMYFUNCTION("""COMPUTED_VALUE"""),4094111.0)</f>
        <v>4094111</v>
      </c>
    </row>
    <row r="3559">
      <c r="A3559" s="3">
        <f>IFERROR(__xludf.DUMMYFUNCTION("""COMPUTED_VALUE"""),41771.645833333336)</f>
        <v>41771.64583</v>
      </c>
      <c r="B3559" s="2">
        <f>IFERROR(__xludf.DUMMYFUNCTION("""COMPUTED_VALUE"""),377.55)</f>
        <v>377.55</v>
      </c>
      <c r="C3559" s="2">
        <f>IFERROR(__xludf.DUMMYFUNCTION("""COMPUTED_VALUE"""),397.42)</f>
        <v>397.42</v>
      </c>
      <c r="D3559" s="2">
        <f>IFERROR(__xludf.DUMMYFUNCTION("""COMPUTED_VALUE"""),377.25)</f>
        <v>377.25</v>
      </c>
      <c r="E3559" s="2">
        <f>IFERROR(__xludf.DUMMYFUNCTION("""COMPUTED_VALUE"""),396.08)</f>
        <v>396.08</v>
      </c>
      <c r="F3559" s="2">
        <f>IFERROR(__xludf.DUMMYFUNCTION("""COMPUTED_VALUE"""),4390340.0)</f>
        <v>4390340</v>
      </c>
    </row>
    <row r="3560">
      <c r="A3560" s="3">
        <f>IFERROR(__xludf.DUMMYFUNCTION("""COMPUTED_VALUE"""),41772.645833333336)</f>
        <v>41772.64583</v>
      </c>
      <c r="B3560" s="2">
        <f>IFERROR(__xludf.DUMMYFUNCTION("""COMPUTED_VALUE"""),400.0)</f>
        <v>400</v>
      </c>
      <c r="C3560" s="2">
        <f>IFERROR(__xludf.DUMMYFUNCTION("""COMPUTED_VALUE"""),400.0)</f>
        <v>400</v>
      </c>
      <c r="D3560" s="2">
        <f>IFERROR(__xludf.DUMMYFUNCTION("""COMPUTED_VALUE"""),391.25)</f>
        <v>391.25</v>
      </c>
      <c r="E3560" s="2">
        <f>IFERROR(__xludf.DUMMYFUNCTION("""COMPUTED_VALUE"""),394.08)</f>
        <v>394.08</v>
      </c>
      <c r="F3560" s="2">
        <f>IFERROR(__xludf.DUMMYFUNCTION("""COMPUTED_VALUE"""),3166304.0)</f>
        <v>3166304</v>
      </c>
    </row>
    <row r="3561">
      <c r="A3561" s="3">
        <f>IFERROR(__xludf.DUMMYFUNCTION("""COMPUTED_VALUE"""),41773.645833333336)</f>
        <v>41773.64583</v>
      </c>
      <c r="B3561" s="2">
        <f>IFERROR(__xludf.DUMMYFUNCTION("""COMPUTED_VALUE"""),392.5)</f>
        <v>392.5</v>
      </c>
      <c r="C3561" s="2">
        <f>IFERROR(__xludf.DUMMYFUNCTION("""COMPUTED_VALUE"""),397.4)</f>
        <v>397.4</v>
      </c>
      <c r="D3561" s="2">
        <f>IFERROR(__xludf.DUMMYFUNCTION("""COMPUTED_VALUE"""),387.13)</f>
        <v>387.13</v>
      </c>
      <c r="E3561" s="2">
        <f>IFERROR(__xludf.DUMMYFUNCTION("""COMPUTED_VALUE"""),387.73)</f>
        <v>387.73</v>
      </c>
      <c r="F3561" s="2">
        <f>IFERROR(__xludf.DUMMYFUNCTION("""COMPUTED_VALUE"""),2125375.0)</f>
        <v>2125375</v>
      </c>
    </row>
    <row r="3562">
      <c r="A3562" s="3">
        <f>IFERROR(__xludf.DUMMYFUNCTION("""COMPUTED_VALUE"""),41774.645833333336)</f>
        <v>41774.64583</v>
      </c>
      <c r="B3562" s="2">
        <f>IFERROR(__xludf.DUMMYFUNCTION("""COMPUTED_VALUE"""),384.5)</f>
        <v>384.5</v>
      </c>
      <c r="C3562" s="2">
        <f>IFERROR(__xludf.DUMMYFUNCTION("""COMPUTED_VALUE"""),395.58)</f>
        <v>395.58</v>
      </c>
      <c r="D3562" s="2">
        <f>IFERROR(__xludf.DUMMYFUNCTION("""COMPUTED_VALUE"""),383.03)</f>
        <v>383.03</v>
      </c>
      <c r="E3562" s="2">
        <f>IFERROR(__xludf.DUMMYFUNCTION("""COMPUTED_VALUE"""),394.17)</f>
        <v>394.17</v>
      </c>
      <c r="F3562" s="2">
        <f>IFERROR(__xludf.DUMMYFUNCTION("""COMPUTED_VALUE"""),2366547.0)</f>
        <v>2366547</v>
      </c>
    </row>
    <row r="3563">
      <c r="A3563" s="3">
        <f>IFERROR(__xludf.DUMMYFUNCTION("""COMPUTED_VALUE"""),41775.645833333336)</f>
        <v>41775.64583</v>
      </c>
      <c r="B3563" s="2">
        <f>IFERROR(__xludf.DUMMYFUNCTION("""COMPUTED_VALUE"""),400.0)</f>
        <v>400</v>
      </c>
      <c r="C3563" s="2">
        <f>IFERROR(__xludf.DUMMYFUNCTION("""COMPUTED_VALUE"""),427.0)</f>
        <v>427</v>
      </c>
      <c r="D3563" s="2">
        <f>IFERROR(__xludf.DUMMYFUNCTION("""COMPUTED_VALUE"""),393.83)</f>
        <v>393.83</v>
      </c>
      <c r="E3563" s="2">
        <f>IFERROR(__xludf.DUMMYFUNCTION("""COMPUTED_VALUE"""),402.35)</f>
        <v>402.35</v>
      </c>
      <c r="F3563" s="2">
        <f>IFERROR(__xludf.DUMMYFUNCTION("""COMPUTED_VALUE"""),8217092.0)</f>
        <v>8217092</v>
      </c>
    </row>
    <row r="3564">
      <c r="A3564" s="3">
        <f>IFERROR(__xludf.DUMMYFUNCTION("""COMPUTED_VALUE"""),41778.645833333336)</f>
        <v>41778.64583</v>
      </c>
      <c r="B3564" s="2">
        <f>IFERROR(__xludf.DUMMYFUNCTION("""COMPUTED_VALUE"""),407.95)</f>
        <v>407.95</v>
      </c>
      <c r="C3564" s="2">
        <f>IFERROR(__xludf.DUMMYFUNCTION("""COMPUTED_VALUE"""),417.5)</f>
        <v>417.5</v>
      </c>
      <c r="D3564" s="2">
        <f>IFERROR(__xludf.DUMMYFUNCTION("""COMPUTED_VALUE"""),404.0)</f>
        <v>404</v>
      </c>
      <c r="E3564" s="2">
        <f>IFERROR(__xludf.DUMMYFUNCTION("""COMPUTED_VALUE"""),405.95)</f>
        <v>405.95</v>
      </c>
      <c r="F3564" s="2">
        <f>IFERROR(__xludf.DUMMYFUNCTION("""COMPUTED_VALUE"""),2630701.0)</f>
        <v>2630701</v>
      </c>
    </row>
    <row r="3565">
      <c r="A3565" s="3">
        <f>IFERROR(__xludf.DUMMYFUNCTION("""COMPUTED_VALUE"""),41779.645833333336)</f>
        <v>41779.64583</v>
      </c>
      <c r="B3565" s="2">
        <f>IFERROR(__xludf.DUMMYFUNCTION("""COMPUTED_VALUE"""),408.0)</f>
        <v>408</v>
      </c>
      <c r="C3565" s="2">
        <f>IFERROR(__xludf.DUMMYFUNCTION("""COMPUTED_VALUE"""),410.8)</f>
        <v>410.8</v>
      </c>
      <c r="D3565" s="2">
        <f>IFERROR(__xludf.DUMMYFUNCTION("""COMPUTED_VALUE"""),402.17)</f>
        <v>402.17</v>
      </c>
      <c r="E3565" s="2">
        <f>IFERROR(__xludf.DUMMYFUNCTION("""COMPUTED_VALUE"""),408.03)</f>
        <v>408.03</v>
      </c>
      <c r="F3565" s="2">
        <f>IFERROR(__xludf.DUMMYFUNCTION("""COMPUTED_VALUE"""),1589258.0)</f>
        <v>1589258</v>
      </c>
    </row>
    <row r="3566">
      <c r="A3566" s="3">
        <f>IFERROR(__xludf.DUMMYFUNCTION("""COMPUTED_VALUE"""),41780.645833333336)</f>
        <v>41780.64583</v>
      </c>
      <c r="B3566" s="2">
        <f>IFERROR(__xludf.DUMMYFUNCTION("""COMPUTED_VALUE"""),406.17)</f>
        <v>406.17</v>
      </c>
      <c r="C3566" s="2">
        <f>IFERROR(__xludf.DUMMYFUNCTION("""COMPUTED_VALUE"""),407.25)</f>
        <v>407.25</v>
      </c>
      <c r="D3566" s="2">
        <f>IFERROR(__xludf.DUMMYFUNCTION("""COMPUTED_VALUE"""),402.5)</f>
        <v>402.5</v>
      </c>
      <c r="E3566" s="2">
        <f>IFERROR(__xludf.DUMMYFUNCTION("""COMPUTED_VALUE"""),404.75)</f>
        <v>404.75</v>
      </c>
      <c r="F3566" s="2">
        <f>IFERROR(__xludf.DUMMYFUNCTION("""COMPUTED_VALUE"""),910597.0)</f>
        <v>910597</v>
      </c>
    </row>
    <row r="3567">
      <c r="A3567" s="3">
        <f>IFERROR(__xludf.DUMMYFUNCTION("""COMPUTED_VALUE"""),41781.645833333336)</f>
        <v>41781.64583</v>
      </c>
      <c r="B3567" s="2">
        <f>IFERROR(__xludf.DUMMYFUNCTION("""COMPUTED_VALUE"""),406.0)</f>
        <v>406</v>
      </c>
      <c r="C3567" s="2">
        <f>IFERROR(__xludf.DUMMYFUNCTION("""COMPUTED_VALUE"""),407.5)</f>
        <v>407.5</v>
      </c>
      <c r="D3567" s="2">
        <f>IFERROR(__xludf.DUMMYFUNCTION("""COMPUTED_VALUE"""),399.0)</f>
        <v>399</v>
      </c>
      <c r="E3567" s="2">
        <f>IFERROR(__xludf.DUMMYFUNCTION("""COMPUTED_VALUE"""),401.3)</f>
        <v>401.3</v>
      </c>
      <c r="F3567" s="2">
        <f>IFERROR(__xludf.DUMMYFUNCTION("""COMPUTED_VALUE"""),1951614.0)</f>
        <v>1951614</v>
      </c>
    </row>
    <row r="3568">
      <c r="A3568" s="3">
        <f>IFERROR(__xludf.DUMMYFUNCTION("""COMPUTED_VALUE"""),41782.645833333336)</f>
        <v>41782.64583</v>
      </c>
      <c r="B3568" s="2">
        <f>IFERROR(__xludf.DUMMYFUNCTION("""COMPUTED_VALUE"""),399.5)</f>
        <v>399.5</v>
      </c>
      <c r="C3568" s="2">
        <f>IFERROR(__xludf.DUMMYFUNCTION("""COMPUTED_VALUE"""),401.5)</f>
        <v>401.5</v>
      </c>
      <c r="D3568" s="2">
        <f>IFERROR(__xludf.DUMMYFUNCTION("""COMPUTED_VALUE"""),391.35)</f>
        <v>391.35</v>
      </c>
      <c r="E3568" s="2">
        <f>IFERROR(__xludf.DUMMYFUNCTION("""COMPUTED_VALUE"""),394.83)</f>
        <v>394.83</v>
      </c>
      <c r="F3568" s="2">
        <f>IFERROR(__xludf.DUMMYFUNCTION("""COMPUTED_VALUE"""),2454734.0)</f>
        <v>2454734</v>
      </c>
    </row>
    <row r="3569">
      <c r="A3569" s="3">
        <f>IFERROR(__xludf.DUMMYFUNCTION("""COMPUTED_VALUE"""),41785.645833333336)</f>
        <v>41785.64583</v>
      </c>
      <c r="B3569" s="2">
        <f>IFERROR(__xludf.DUMMYFUNCTION("""COMPUTED_VALUE"""),399.5)</f>
        <v>399.5</v>
      </c>
      <c r="C3569" s="2">
        <f>IFERROR(__xludf.DUMMYFUNCTION("""COMPUTED_VALUE"""),402.03)</f>
        <v>402.03</v>
      </c>
      <c r="D3569" s="2">
        <f>IFERROR(__xludf.DUMMYFUNCTION("""COMPUTED_VALUE"""),395.0)</f>
        <v>395</v>
      </c>
      <c r="E3569" s="2">
        <f>IFERROR(__xludf.DUMMYFUNCTION("""COMPUTED_VALUE"""),398.58)</f>
        <v>398.58</v>
      </c>
      <c r="F3569" s="2">
        <f>IFERROR(__xludf.DUMMYFUNCTION("""COMPUTED_VALUE"""),4348808.0)</f>
        <v>4348808</v>
      </c>
    </row>
    <row r="3570">
      <c r="A3570" s="3">
        <f>IFERROR(__xludf.DUMMYFUNCTION("""COMPUTED_VALUE"""),41786.645833333336)</f>
        <v>41786.64583</v>
      </c>
      <c r="B3570" s="2">
        <f>IFERROR(__xludf.DUMMYFUNCTION("""COMPUTED_VALUE"""),400.0)</f>
        <v>400</v>
      </c>
      <c r="C3570" s="2">
        <f>IFERROR(__xludf.DUMMYFUNCTION("""COMPUTED_VALUE"""),405.33)</f>
        <v>405.33</v>
      </c>
      <c r="D3570" s="2">
        <f>IFERROR(__xludf.DUMMYFUNCTION("""COMPUTED_VALUE"""),394.17)</f>
        <v>394.17</v>
      </c>
      <c r="E3570" s="2">
        <f>IFERROR(__xludf.DUMMYFUNCTION("""COMPUTED_VALUE"""),402.45)</f>
        <v>402.45</v>
      </c>
      <c r="F3570" s="2">
        <f>IFERROR(__xludf.DUMMYFUNCTION("""COMPUTED_VALUE"""),1904881.0)</f>
        <v>1904881</v>
      </c>
    </row>
    <row r="3571">
      <c r="A3571" s="3">
        <f>IFERROR(__xludf.DUMMYFUNCTION("""COMPUTED_VALUE"""),41787.645833333336)</f>
        <v>41787.64583</v>
      </c>
      <c r="B3571" s="2">
        <f>IFERROR(__xludf.DUMMYFUNCTION("""COMPUTED_VALUE"""),399.95)</f>
        <v>399.95</v>
      </c>
      <c r="C3571" s="2">
        <f>IFERROR(__xludf.DUMMYFUNCTION("""COMPUTED_VALUE"""),413.38)</f>
        <v>413.38</v>
      </c>
      <c r="D3571" s="2">
        <f>IFERROR(__xludf.DUMMYFUNCTION("""COMPUTED_VALUE"""),399.75)</f>
        <v>399.75</v>
      </c>
      <c r="E3571" s="2">
        <f>IFERROR(__xludf.DUMMYFUNCTION("""COMPUTED_VALUE"""),411.73)</f>
        <v>411.73</v>
      </c>
      <c r="F3571" s="2">
        <f>IFERROR(__xludf.DUMMYFUNCTION("""COMPUTED_VALUE"""),3588891.0)</f>
        <v>3588891</v>
      </c>
    </row>
    <row r="3572">
      <c r="A3572" s="3">
        <f>IFERROR(__xludf.DUMMYFUNCTION("""COMPUTED_VALUE"""),41788.645833333336)</f>
        <v>41788.64583</v>
      </c>
      <c r="B3572" s="2">
        <f>IFERROR(__xludf.DUMMYFUNCTION("""COMPUTED_VALUE"""),411.3)</f>
        <v>411.3</v>
      </c>
      <c r="C3572" s="2">
        <f>IFERROR(__xludf.DUMMYFUNCTION("""COMPUTED_VALUE"""),415.38)</f>
        <v>415.38</v>
      </c>
      <c r="D3572" s="2">
        <f>IFERROR(__xludf.DUMMYFUNCTION("""COMPUTED_VALUE"""),403.7)</f>
        <v>403.7</v>
      </c>
      <c r="E3572" s="2">
        <f>IFERROR(__xludf.DUMMYFUNCTION("""COMPUTED_VALUE"""),405.13)</f>
        <v>405.13</v>
      </c>
      <c r="F3572" s="2">
        <f>IFERROR(__xludf.DUMMYFUNCTION("""COMPUTED_VALUE"""),3421002.0)</f>
        <v>3421002</v>
      </c>
    </row>
    <row r="3573">
      <c r="A3573" s="3">
        <f>IFERROR(__xludf.DUMMYFUNCTION("""COMPUTED_VALUE"""),41789.645833333336)</f>
        <v>41789.64583</v>
      </c>
      <c r="B3573" s="2">
        <f>IFERROR(__xludf.DUMMYFUNCTION("""COMPUTED_VALUE"""),407.5)</f>
        <v>407.5</v>
      </c>
      <c r="C3573" s="2">
        <f>IFERROR(__xludf.DUMMYFUNCTION("""COMPUTED_VALUE"""),411.4)</f>
        <v>411.4</v>
      </c>
      <c r="D3573" s="2">
        <f>IFERROR(__xludf.DUMMYFUNCTION("""COMPUTED_VALUE"""),365.0)</f>
        <v>365</v>
      </c>
      <c r="E3573" s="2">
        <f>IFERROR(__xludf.DUMMYFUNCTION("""COMPUTED_VALUE"""),396.38)</f>
        <v>396.38</v>
      </c>
      <c r="F3573" s="2">
        <f>IFERROR(__xludf.DUMMYFUNCTION("""COMPUTED_VALUE"""),8201886.0)</f>
        <v>8201886</v>
      </c>
    </row>
    <row r="3574">
      <c r="A3574" s="3">
        <f>IFERROR(__xludf.DUMMYFUNCTION("""COMPUTED_VALUE"""),41792.645833333336)</f>
        <v>41792.64583</v>
      </c>
      <c r="B3574" s="2">
        <f>IFERROR(__xludf.DUMMYFUNCTION("""COMPUTED_VALUE"""),396.75)</f>
        <v>396.75</v>
      </c>
      <c r="C3574" s="2">
        <f>IFERROR(__xludf.DUMMYFUNCTION("""COMPUTED_VALUE"""),411.17)</f>
        <v>411.17</v>
      </c>
      <c r="D3574" s="2">
        <f>IFERROR(__xludf.DUMMYFUNCTION("""COMPUTED_VALUE"""),396.75)</f>
        <v>396.75</v>
      </c>
      <c r="E3574" s="2">
        <f>IFERROR(__xludf.DUMMYFUNCTION("""COMPUTED_VALUE"""),409.7)</f>
        <v>409.7</v>
      </c>
      <c r="F3574" s="2">
        <f>IFERROR(__xludf.DUMMYFUNCTION("""COMPUTED_VALUE"""),2020783.0)</f>
        <v>2020783</v>
      </c>
    </row>
    <row r="3575">
      <c r="A3575" s="3">
        <f>IFERROR(__xludf.DUMMYFUNCTION("""COMPUTED_VALUE"""),41793.645833333336)</f>
        <v>41793.64583</v>
      </c>
      <c r="B3575" s="2">
        <f>IFERROR(__xludf.DUMMYFUNCTION("""COMPUTED_VALUE"""),411.5)</f>
        <v>411.5</v>
      </c>
      <c r="C3575" s="2">
        <f>IFERROR(__xludf.DUMMYFUNCTION("""COMPUTED_VALUE"""),413.92)</f>
        <v>413.92</v>
      </c>
      <c r="D3575" s="2">
        <f>IFERROR(__xludf.DUMMYFUNCTION("""COMPUTED_VALUE"""),407.0)</f>
        <v>407</v>
      </c>
      <c r="E3575" s="2">
        <f>IFERROR(__xludf.DUMMYFUNCTION("""COMPUTED_VALUE"""),412.17)</f>
        <v>412.17</v>
      </c>
      <c r="F3575" s="2">
        <f>IFERROR(__xludf.DUMMYFUNCTION("""COMPUTED_VALUE"""),906037.0)</f>
        <v>906037</v>
      </c>
    </row>
    <row r="3576">
      <c r="A3576" s="3">
        <f>IFERROR(__xludf.DUMMYFUNCTION("""COMPUTED_VALUE"""),41794.645833333336)</f>
        <v>41794.64583</v>
      </c>
      <c r="B3576" s="2">
        <f>IFERROR(__xludf.DUMMYFUNCTION("""COMPUTED_VALUE"""),411.2)</f>
        <v>411.2</v>
      </c>
      <c r="C3576" s="2">
        <f>IFERROR(__xludf.DUMMYFUNCTION("""COMPUTED_VALUE"""),414.85)</f>
        <v>414.85</v>
      </c>
      <c r="D3576" s="2">
        <f>IFERROR(__xludf.DUMMYFUNCTION("""COMPUTED_VALUE"""),407.55)</f>
        <v>407.55</v>
      </c>
      <c r="E3576" s="2">
        <f>IFERROR(__xludf.DUMMYFUNCTION("""COMPUTED_VALUE"""),408.35)</f>
        <v>408.35</v>
      </c>
      <c r="F3576" s="2">
        <f>IFERROR(__xludf.DUMMYFUNCTION("""COMPUTED_VALUE"""),716085.0)</f>
        <v>716085</v>
      </c>
    </row>
    <row r="3577">
      <c r="A3577" s="3">
        <f>IFERROR(__xludf.DUMMYFUNCTION("""COMPUTED_VALUE"""),41795.645833333336)</f>
        <v>41795.64583</v>
      </c>
      <c r="B3577" s="2">
        <f>IFERROR(__xludf.DUMMYFUNCTION("""COMPUTED_VALUE"""),405.9)</f>
        <v>405.9</v>
      </c>
      <c r="C3577" s="2">
        <f>IFERROR(__xludf.DUMMYFUNCTION("""COMPUTED_VALUE"""),407.7)</f>
        <v>407.7</v>
      </c>
      <c r="D3577" s="2">
        <f>IFERROR(__xludf.DUMMYFUNCTION("""COMPUTED_VALUE"""),400.5)</f>
        <v>400.5</v>
      </c>
      <c r="E3577" s="2">
        <f>IFERROR(__xludf.DUMMYFUNCTION("""COMPUTED_VALUE"""),402.73)</f>
        <v>402.73</v>
      </c>
      <c r="F3577" s="2">
        <f>IFERROR(__xludf.DUMMYFUNCTION("""COMPUTED_VALUE"""),1918618.0)</f>
        <v>1918618</v>
      </c>
    </row>
    <row r="3578">
      <c r="A3578" s="3">
        <f>IFERROR(__xludf.DUMMYFUNCTION("""COMPUTED_VALUE"""),41796.645833333336)</f>
        <v>41796.64583</v>
      </c>
      <c r="B3578" s="2">
        <f>IFERROR(__xludf.DUMMYFUNCTION("""COMPUTED_VALUE"""),406.5)</f>
        <v>406.5</v>
      </c>
      <c r="C3578" s="2">
        <f>IFERROR(__xludf.DUMMYFUNCTION("""COMPUTED_VALUE"""),410.5)</f>
        <v>410.5</v>
      </c>
      <c r="D3578" s="2">
        <f>IFERROR(__xludf.DUMMYFUNCTION("""COMPUTED_VALUE"""),400.5)</f>
        <v>400.5</v>
      </c>
      <c r="E3578" s="2">
        <f>IFERROR(__xludf.DUMMYFUNCTION("""COMPUTED_VALUE"""),407.63)</f>
        <v>407.63</v>
      </c>
      <c r="F3578" s="2">
        <f>IFERROR(__xludf.DUMMYFUNCTION("""COMPUTED_VALUE"""),2641319.0)</f>
        <v>2641319</v>
      </c>
    </row>
    <row r="3579">
      <c r="A3579" s="3">
        <f>IFERROR(__xludf.DUMMYFUNCTION("""COMPUTED_VALUE"""),41799.645833333336)</f>
        <v>41799.64583</v>
      </c>
      <c r="B3579" s="2">
        <f>IFERROR(__xludf.DUMMYFUNCTION("""COMPUTED_VALUE"""),410.95)</f>
        <v>410.95</v>
      </c>
      <c r="C3579" s="2">
        <f>IFERROR(__xludf.DUMMYFUNCTION("""COMPUTED_VALUE"""),415.0)</f>
        <v>415</v>
      </c>
      <c r="D3579" s="2">
        <f>IFERROR(__xludf.DUMMYFUNCTION("""COMPUTED_VALUE"""),407.5)</f>
        <v>407.5</v>
      </c>
      <c r="E3579" s="2">
        <f>IFERROR(__xludf.DUMMYFUNCTION("""COMPUTED_VALUE"""),409.73)</f>
        <v>409.73</v>
      </c>
      <c r="F3579" s="2">
        <f>IFERROR(__xludf.DUMMYFUNCTION("""COMPUTED_VALUE"""),2334980.0)</f>
        <v>2334980</v>
      </c>
    </row>
    <row r="3580">
      <c r="A3580" s="3">
        <f>IFERROR(__xludf.DUMMYFUNCTION("""COMPUTED_VALUE"""),41800.645833333336)</f>
        <v>41800.64583</v>
      </c>
      <c r="B3580" s="2">
        <f>IFERROR(__xludf.DUMMYFUNCTION("""COMPUTED_VALUE"""),410.58)</f>
        <v>410.58</v>
      </c>
      <c r="C3580" s="2">
        <f>IFERROR(__xludf.DUMMYFUNCTION("""COMPUTED_VALUE"""),411.8)</f>
        <v>411.8</v>
      </c>
      <c r="D3580" s="2">
        <f>IFERROR(__xludf.DUMMYFUNCTION("""COMPUTED_VALUE"""),405.0)</f>
        <v>405</v>
      </c>
      <c r="E3580" s="2">
        <f>IFERROR(__xludf.DUMMYFUNCTION("""COMPUTED_VALUE"""),408.33)</f>
        <v>408.33</v>
      </c>
      <c r="F3580" s="2">
        <f>IFERROR(__xludf.DUMMYFUNCTION("""COMPUTED_VALUE"""),1249836.0)</f>
        <v>1249836</v>
      </c>
    </row>
    <row r="3581">
      <c r="A3581" s="3">
        <f>IFERROR(__xludf.DUMMYFUNCTION("""COMPUTED_VALUE"""),41801.645833333336)</f>
        <v>41801.64583</v>
      </c>
      <c r="B3581" s="2">
        <f>IFERROR(__xludf.DUMMYFUNCTION("""COMPUTED_VALUE"""),408.5)</f>
        <v>408.5</v>
      </c>
      <c r="C3581" s="2">
        <f>IFERROR(__xludf.DUMMYFUNCTION("""COMPUTED_VALUE"""),414.92)</f>
        <v>414.92</v>
      </c>
      <c r="D3581" s="2">
        <f>IFERROR(__xludf.DUMMYFUNCTION("""COMPUTED_VALUE"""),405.0)</f>
        <v>405</v>
      </c>
      <c r="E3581" s="2">
        <f>IFERROR(__xludf.DUMMYFUNCTION("""COMPUTED_VALUE"""),410.25)</f>
        <v>410.25</v>
      </c>
      <c r="F3581" s="2">
        <f>IFERROR(__xludf.DUMMYFUNCTION("""COMPUTED_VALUE"""),1935943.0)</f>
        <v>1935943</v>
      </c>
    </row>
    <row r="3582">
      <c r="A3582" s="3">
        <f>IFERROR(__xludf.DUMMYFUNCTION("""COMPUTED_VALUE"""),41802.645833333336)</f>
        <v>41802.64583</v>
      </c>
      <c r="B3582" s="2">
        <f>IFERROR(__xludf.DUMMYFUNCTION("""COMPUTED_VALUE"""),412.25)</f>
        <v>412.25</v>
      </c>
      <c r="C3582" s="2">
        <f>IFERROR(__xludf.DUMMYFUNCTION("""COMPUTED_VALUE"""),422.48)</f>
        <v>422.48</v>
      </c>
      <c r="D3582" s="2">
        <f>IFERROR(__xludf.DUMMYFUNCTION("""COMPUTED_VALUE"""),406.42)</f>
        <v>406.42</v>
      </c>
      <c r="E3582" s="2">
        <f>IFERROR(__xludf.DUMMYFUNCTION("""COMPUTED_VALUE"""),419.92)</f>
        <v>419.92</v>
      </c>
      <c r="F3582" s="2">
        <f>IFERROR(__xludf.DUMMYFUNCTION("""COMPUTED_VALUE"""),3183012.0)</f>
        <v>3183012</v>
      </c>
    </row>
    <row r="3583">
      <c r="A3583" s="3">
        <f>IFERROR(__xludf.DUMMYFUNCTION("""COMPUTED_VALUE"""),41803.645833333336)</f>
        <v>41803.64583</v>
      </c>
      <c r="B3583" s="2">
        <f>IFERROR(__xludf.DUMMYFUNCTION("""COMPUTED_VALUE"""),422.0)</f>
        <v>422</v>
      </c>
      <c r="C3583" s="2">
        <f>IFERROR(__xludf.DUMMYFUNCTION("""COMPUTED_VALUE"""),428.0)</f>
        <v>428</v>
      </c>
      <c r="D3583" s="2">
        <f>IFERROR(__xludf.DUMMYFUNCTION("""COMPUTED_VALUE"""),415.83)</f>
        <v>415.83</v>
      </c>
      <c r="E3583" s="2">
        <f>IFERROR(__xludf.DUMMYFUNCTION("""COMPUTED_VALUE"""),417.7)</f>
        <v>417.7</v>
      </c>
      <c r="F3583" s="2">
        <f>IFERROR(__xludf.DUMMYFUNCTION("""COMPUTED_VALUE"""),3053221.0)</f>
        <v>3053221</v>
      </c>
    </row>
    <row r="3584">
      <c r="A3584" s="3">
        <f>IFERROR(__xludf.DUMMYFUNCTION("""COMPUTED_VALUE"""),41806.645833333336)</f>
        <v>41806.64583</v>
      </c>
      <c r="B3584" s="2">
        <f>IFERROR(__xludf.DUMMYFUNCTION("""COMPUTED_VALUE"""),415.5)</f>
        <v>415.5</v>
      </c>
      <c r="C3584" s="2">
        <f>IFERROR(__xludf.DUMMYFUNCTION("""COMPUTED_VALUE"""),421.4)</f>
        <v>421.4</v>
      </c>
      <c r="D3584" s="2">
        <f>IFERROR(__xludf.DUMMYFUNCTION("""COMPUTED_VALUE"""),415.15)</f>
        <v>415.15</v>
      </c>
      <c r="E3584" s="2">
        <f>IFERROR(__xludf.DUMMYFUNCTION("""COMPUTED_VALUE"""),419.5)</f>
        <v>419.5</v>
      </c>
      <c r="F3584" s="2">
        <f>IFERROR(__xludf.DUMMYFUNCTION("""COMPUTED_VALUE"""),1327470.0)</f>
        <v>1327470</v>
      </c>
    </row>
    <row r="3585">
      <c r="A3585" s="3">
        <f>IFERROR(__xludf.DUMMYFUNCTION("""COMPUTED_VALUE"""),41807.645833333336)</f>
        <v>41807.64583</v>
      </c>
      <c r="B3585" s="2">
        <f>IFERROR(__xludf.DUMMYFUNCTION("""COMPUTED_VALUE"""),418.0)</f>
        <v>418</v>
      </c>
      <c r="C3585" s="2">
        <f>IFERROR(__xludf.DUMMYFUNCTION("""COMPUTED_VALUE"""),424.4)</f>
        <v>424.4</v>
      </c>
      <c r="D3585" s="2">
        <f>IFERROR(__xludf.DUMMYFUNCTION("""COMPUTED_VALUE"""),413.67)</f>
        <v>413.67</v>
      </c>
      <c r="E3585" s="2">
        <f>IFERROR(__xludf.DUMMYFUNCTION("""COMPUTED_VALUE"""),423.28)</f>
        <v>423.28</v>
      </c>
      <c r="F3585" s="2">
        <f>IFERROR(__xludf.DUMMYFUNCTION("""COMPUTED_VALUE"""),1747030.0)</f>
        <v>1747030</v>
      </c>
    </row>
    <row r="3586">
      <c r="A3586" s="3">
        <f>IFERROR(__xludf.DUMMYFUNCTION("""COMPUTED_VALUE"""),41808.645833333336)</f>
        <v>41808.64583</v>
      </c>
      <c r="B3586" s="2">
        <f>IFERROR(__xludf.DUMMYFUNCTION("""COMPUTED_VALUE"""),423.55)</f>
        <v>423.55</v>
      </c>
      <c r="C3586" s="2">
        <f>IFERROR(__xludf.DUMMYFUNCTION("""COMPUTED_VALUE"""),425.7)</f>
        <v>425.7</v>
      </c>
      <c r="D3586" s="2">
        <f>IFERROR(__xludf.DUMMYFUNCTION("""COMPUTED_VALUE"""),414.38)</f>
        <v>414.38</v>
      </c>
      <c r="E3586" s="2">
        <f>IFERROR(__xludf.DUMMYFUNCTION("""COMPUTED_VALUE"""),417.42)</f>
        <v>417.42</v>
      </c>
      <c r="F3586" s="2">
        <f>IFERROR(__xludf.DUMMYFUNCTION("""COMPUTED_VALUE"""),1343657.0)</f>
        <v>1343657</v>
      </c>
    </row>
    <row r="3587">
      <c r="A3587" s="3">
        <f>IFERROR(__xludf.DUMMYFUNCTION("""COMPUTED_VALUE"""),41809.645833333336)</f>
        <v>41809.64583</v>
      </c>
      <c r="B3587" s="2">
        <f>IFERROR(__xludf.DUMMYFUNCTION("""COMPUTED_VALUE"""),418.55)</f>
        <v>418.55</v>
      </c>
      <c r="C3587" s="2">
        <f>IFERROR(__xludf.DUMMYFUNCTION("""COMPUTED_VALUE"""),419.98)</f>
        <v>419.98</v>
      </c>
      <c r="D3587" s="2">
        <f>IFERROR(__xludf.DUMMYFUNCTION("""COMPUTED_VALUE"""),411.1)</f>
        <v>411.1</v>
      </c>
      <c r="E3587" s="2">
        <f>IFERROR(__xludf.DUMMYFUNCTION("""COMPUTED_VALUE"""),412.88)</f>
        <v>412.88</v>
      </c>
      <c r="F3587" s="2">
        <f>IFERROR(__xludf.DUMMYFUNCTION("""COMPUTED_VALUE"""),1180249.0)</f>
        <v>1180249</v>
      </c>
    </row>
    <row r="3588">
      <c r="A3588" s="3">
        <f>IFERROR(__xludf.DUMMYFUNCTION("""COMPUTED_VALUE"""),41810.645833333336)</f>
        <v>41810.64583</v>
      </c>
      <c r="B3588" s="2">
        <f>IFERROR(__xludf.DUMMYFUNCTION("""COMPUTED_VALUE"""),413.0)</f>
        <v>413</v>
      </c>
      <c r="C3588" s="2">
        <f>IFERROR(__xludf.DUMMYFUNCTION("""COMPUTED_VALUE"""),415.88)</f>
        <v>415.88</v>
      </c>
      <c r="D3588" s="2">
        <f>IFERROR(__xludf.DUMMYFUNCTION("""COMPUTED_VALUE"""),409.67)</f>
        <v>409.67</v>
      </c>
      <c r="E3588" s="2">
        <f>IFERROR(__xludf.DUMMYFUNCTION("""COMPUTED_VALUE"""),410.98)</f>
        <v>410.98</v>
      </c>
      <c r="F3588" s="2">
        <f>IFERROR(__xludf.DUMMYFUNCTION("""COMPUTED_VALUE"""),742442.0)</f>
        <v>742442</v>
      </c>
    </row>
    <row r="3589">
      <c r="A3589" s="3">
        <f>IFERROR(__xludf.DUMMYFUNCTION("""COMPUTED_VALUE"""),41813.645833333336)</f>
        <v>41813.64583</v>
      </c>
      <c r="B3589" s="2">
        <f>IFERROR(__xludf.DUMMYFUNCTION("""COMPUTED_VALUE"""),412.0)</f>
        <v>412</v>
      </c>
      <c r="C3589" s="2">
        <f>IFERROR(__xludf.DUMMYFUNCTION("""COMPUTED_VALUE"""),413.28)</f>
        <v>413.28</v>
      </c>
      <c r="D3589" s="2">
        <f>IFERROR(__xludf.DUMMYFUNCTION("""COMPUTED_VALUE"""),407.65)</f>
        <v>407.65</v>
      </c>
      <c r="E3589" s="2">
        <f>IFERROR(__xludf.DUMMYFUNCTION("""COMPUTED_VALUE"""),410.73)</f>
        <v>410.73</v>
      </c>
      <c r="F3589" s="2">
        <f>IFERROR(__xludf.DUMMYFUNCTION("""COMPUTED_VALUE"""),1460211.0)</f>
        <v>1460211</v>
      </c>
    </row>
    <row r="3590">
      <c r="A3590" s="3">
        <f>IFERROR(__xludf.DUMMYFUNCTION("""COMPUTED_VALUE"""),41814.645833333336)</f>
        <v>41814.64583</v>
      </c>
      <c r="B3590" s="2">
        <f>IFERROR(__xludf.DUMMYFUNCTION("""COMPUTED_VALUE"""),412.67)</f>
        <v>412.67</v>
      </c>
      <c r="C3590" s="2">
        <f>IFERROR(__xludf.DUMMYFUNCTION("""COMPUTED_VALUE"""),416.38)</f>
        <v>416.38</v>
      </c>
      <c r="D3590" s="2">
        <f>IFERROR(__xludf.DUMMYFUNCTION("""COMPUTED_VALUE"""),412.5)</f>
        <v>412.5</v>
      </c>
      <c r="E3590" s="2">
        <f>IFERROR(__xludf.DUMMYFUNCTION("""COMPUTED_VALUE"""),414.5)</f>
        <v>414.5</v>
      </c>
      <c r="F3590" s="2">
        <f>IFERROR(__xludf.DUMMYFUNCTION("""COMPUTED_VALUE"""),1266556.0)</f>
        <v>1266556</v>
      </c>
    </row>
    <row r="3591">
      <c r="A3591" s="3">
        <f>IFERROR(__xludf.DUMMYFUNCTION("""COMPUTED_VALUE"""),41815.645833333336)</f>
        <v>41815.64583</v>
      </c>
      <c r="B3591" s="2">
        <f>IFERROR(__xludf.DUMMYFUNCTION("""COMPUTED_VALUE"""),414.5)</f>
        <v>414.5</v>
      </c>
      <c r="C3591" s="2">
        <f>IFERROR(__xludf.DUMMYFUNCTION("""COMPUTED_VALUE"""),416.6)</f>
        <v>416.6</v>
      </c>
      <c r="D3591" s="2">
        <f>IFERROR(__xludf.DUMMYFUNCTION("""COMPUTED_VALUE"""),411.5)</f>
        <v>411.5</v>
      </c>
      <c r="E3591" s="2">
        <f>IFERROR(__xludf.DUMMYFUNCTION("""COMPUTED_VALUE"""),412.05)</f>
        <v>412.05</v>
      </c>
      <c r="F3591" s="2">
        <f>IFERROR(__xludf.DUMMYFUNCTION("""COMPUTED_VALUE"""),1582656.0)</f>
        <v>1582656</v>
      </c>
    </row>
    <row r="3592">
      <c r="A3592" s="3">
        <f>IFERROR(__xludf.DUMMYFUNCTION("""COMPUTED_VALUE"""),41816.645833333336)</f>
        <v>41816.64583</v>
      </c>
      <c r="B3592" s="2">
        <f>IFERROR(__xludf.DUMMYFUNCTION("""COMPUTED_VALUE"""),410.0)</f>
        <v>410</v>
      </c>
      <c r="C3592" s="2">
        <f>IFERROR(__xludf.DUMMYFUNCTION("""COMPUTED_VALUE"""),413.3)</f>
        <v>413.3</v>
      </c>
      <c r="D3592" s="2">
        <f>IFERROR(__xludf.DUMMYFUNCTION("""COMPUTED_VALUE"""),404.33)</f>
        <v>404.33</v>
      </c>
      <c r="E3592" s="2">
        <f>IFERROR(__xludf.DUMMYFUNCTION("""COMPUTED_VALUE"""),406.2)</f>
        <v>406.2</v>
      </c>
      <c r="F3592" s="2">
        <f>IFERROR(__xludf.DUMMYFUNCTION("""COMPUTED_VALUE"""),5452066.0)</f>
        <v>5452066</v>
      </c>
    </row>
    <row r="3593">
      <c r="A3593" s="3">
        <f>IFERROR(__xludf.DUMMYFUNCTION("""COMPUTED_VALUE"""),41817.645833333336)</f>
        <v>41817.64583</v>
      </c>
      <c r="B3593" s="2">
        <f>IFERROR(__xludf.DUMMYFUNCTION("""COMPUTED_VALUE"""),408.92)</f>
        <v>408.92</v>
      </c>
      <c r="C3593" s="2">
        <f>IFERROR(__xludf.DUMMYFUNCTION("""COMPUTED_VALUE"""),411.0)</f>
        <v>411</v>
      </c>
      <c r="D3593" s="2">
        <f>IFERROR(__xludf.DUMMYFUNCTION("""COMPUTED_VALUE"""),407.0)</f>
        <v>407</v>
      </c>
      <c r="E3593" s="2">
        <f>IFERROR(__xludf.DUMMYFUNCTION("""COMPUTED_VALUE"""),408.1)</f>
        <v>408.1</v>
      </c>
      <c r="F3593" s="2">
        <f>IFERROR(__xludf.DUMMYFUNCTION("""COMPUTED_VALUE"""),1285740.0)</f>
        <v>1285740</v>
      </c>
    </row>
    <row r="3594">
      <c r="A3594" s="3">
        <f>IFERROR(__xludf.DUMMYFUNCTION("""COMPUTED_VALUE"""),41820.645833333336)</f>
        <v>41820.64583</v>
      </c>
      <c r="B3594" s="2">
        <f>IFERROR(__xludf.DUMMYFUNCTION("""COMPUTED_VALUE"""),409.95)</f>
        <v>409.95</v>
      </c>
      <c r="C3594" s="2">
        <f>IFERROR(__xludf.DUMMYFUNCTION("""COMPUTED_VALUE"""),416.35)</f>
        <v>416.35</v>
      </c>
      <c r="D3594" s="2">
        <f>IFERROR(__xludf.DUMMYFUNCTION("""COMPUTED_VALUE"""),409.95)</f>
        <v>409.95</v>
      </c>
      <c r="E3594" s="2">
        <f>IFERROR(__xludf.DUMMYFUNCTION("""COMPUTED_VALUE"""),410.78)</f>
        <v>410.78</v>
      </c>
      <c r="F3594" s="2">
        <f>IFERROR(__xludf.DUMMYFUNCTION("""COMPUTED_VALUE"""),1544025.0)</f>
        <v>1544025</v>
      </c>
    </row>
    <row r="3595">
      <c r="A3595" s="3">
        <f>IFERROR(__xludf.DUMMYFUNCTION("""COMPUTED_VALUE"""),41821.645833333336)</f>
        <v>41821.64583</v>
      </c>
      <c r="B3595" s="2">
        <f>IFERROR(__xludf.DUMMYFUNCTION("""COMPUTED_VALUE"""),411.5)</f>
        <v>411.5</v>
      </c>
      <c r="C3595" s="2">
        <f>IFERROR(__xludf.DUMMYFUNCTION("""COMPUTED_VALUE"""),413.98)</f>
        <v>413.98</v>
      </c>
      <c r="D3595" s="2">
        <f>IFERROR(__xludf.DUMMYFUNCTION("""COMPUTED_VALUE"""),407.5)</f>
        <v>407.5</v>
      </c>
      <c r="E3595" s="2">
        <f>IFERROR(__xludf.DUMMYFUNCTION("""COMPUTED_VALUE"""),411.65)</f>
        <v>411.65</v>
      </c>
      <c r="F3595" s="2">
        <f>IFERROR(__xludf.DUMMYFUNCTION("""COMPUTED_VALUE"""),1910343.0)</f>
        <v>1910343</v>
      </c>
    </row>
    <row r="3596">
      <c r="A3596" s="3">
        <f>IFERROR(__xludf.DUMMYFUNCTION("""COMPUTED_VALUE"""),41822.645833333336)</f>
        <v>41822.64583</v>
      </c>
      <c r="B3596" s="2">
        <f>IFERROR(__xludf.DUMMYFUNCTION("""COMPUTED_VALUE"""),415.4)</f>
        <v>415.4</v>
      </c>
      <c r="C3596" s="2">
        <f>IFERROR(__xludf.DUMMYFUNCTION("""COMPUTED_VALUE"""),421.0)</f>
        <v>421</v>
      </c>
      <c r="D3596" s="2">
        <f>IFERROR(__xludf.DUMMYFUNCTION("""COMPUTED_VALUE"""),412.75)</f>
        <v>412.75</v>
      </c>
      <c r="E3596" s="2">
        <f>IFERROR(__xludf.DUMMYFUNCTION("""COMPUTED_VALUE"""),419.95)</f>
        <v>419.95</v>
      </c>
      <c r="F3596" s="2">
        <f>IFERROR(__xludf.DUMMYFUNCTION("""COMPUTED_VALUE"""),1906681.0)</f>
        <v>1906681</v>
      </c>
    </row>
    <row r="3597">
      <c r="A3597" s="3">
        <f>IFERROR(__xludf.DUMMYFUNCTION("""COMPUTED_VALUE"""),41823.645833333336)</f>
        <v>41823.64583</v>
      </c>
      <c r="B3597" s="2">
        <f>IFERROR(__xludf.DUMMYFUNCTION("""COMPUTED_VALUE"""),420.5)</f>
        <v>420.5</v>
      </c>
      <c r="C3597" s="2">
        <f>IFERROR(__xludf.DUMMYFUNCTION("""COMPUTED_VALUE"""),422.65)</f>
        <v>422.65</v>
      </c>
      <c r="D3597" s="2">
        <f>IFERROR(__xludf.DUMMYFUNCTION("""COMPUTED_VALUE"""),415.67)</f>
        <v>415.67</v>
      </c>
      <c r="E3597" s="2">
        <f>IFERROR(__xludf.DUMMYFUNCTION("""COMPUTED_VALUE"""),418.4)</f>
        <v>418.4</v>
      </c>
      <c r="F3597" s="2">
        <f>IFERROR(__xludf.DUMMYFUNCTION("""COMPUTED_VALUE"""),1515685.0)</f>
        <v>1515685</v>
      </c>
    </row>
    <row r="3598">
      <c r="A3598" s="3">
        <f>IFERROR(__xludf.DUMMYFUNCTION("""COMPUTED_VALUE"""),41824.645833333336)</f>
        <v>41824.64583</v>
      </c>
      <c r="B3598" s="2">
        <f>IFERROR(__xludf.DUMMYFUNCTION("""COMPUTED_VALUE"""),418.4)</f>
        <v>418.4</v>
      </c>
      <c r="C3598" s="2">
        <f>IFERROR(__xludf.DUMMYFUNCTION("""COMPUTED_VALUE"""),429.48)</f>
        <v>429.48</v>
      </c>
      <c r="D3598" s="2">
        <f>IFERROR(__xludf.DUMMYFUNCTION("""COMPUTED_VALUE"""),417.55)</f>
        <v>417.55</v>
      </c>
      <c r="E3598" s="2">
        <f>IFERROR(__xludf.DUMMYFUNCTION("""COMPUTED_VALUE"""),428.33)</f>
        <v>428.33</v>
      </c>
      <c r="F3598" s="2">
        <f>IFERROR(__xludf.DUMMYFUNCTION("""COMPUTED_VALUE"""),1407997.0)</f>
        <v>1407997</v>
      </c>
    </row>
    <row r="3599">
      <c r="A3599" s="3">
        <f>IFERROR(__xludf.DUMMYFUNCTION("""COMPUTED_VALUE"""),41827.645833333336)</f>
        <v>41827.64583</v>
      </c>
      <c r="B3599" s="2">
        <f>IFERROR(__xludf.DUMMYFUNCTION("""COMPUTED_VALUE"""),429.95)</f>
        <v>429.95</v>
      </c>
      <c r="C3599" s="2">
        <f>IFERROR(__xludf.DUMMYFUNCTION("""COMPUTED_VALUE"""),430.35)</f>
        <v>430.35</v>
      </c>
      <c r="D3599" s="2">
        <f>IFERROR(__xludf.DUMMYFUNCTION("""COMPUTED_VALUE"""),417.92)</f>
        <v>417.92</v>
      </c>
      <c r="E3599" s="2">
        <f>IFERROR(__xludf.DUMMYFUNCTION("""COMPUTED_VALUE"""),420.23)</f>
        <v>420.23</v>
      </c>
      <c r="F3599" s="2">
        <f>IFERROR(__xludf.DUMMYFUNCTION("""COMPUTED_VALUE"""),2032992.0)</f>
        <v>2032992</v>
      </c>
    </row>
    <row r="3600">
      <c r="A3600" s="3">
        <f>IFERROR(__xludf.DUMMYFUNCTION("""COMPUTED_VALUE"""),41828.645833333336)</f>
        <v>41828.64583</v>
      </c>
      <c r="B3600" s="2">
        <f>IFERROR(__xludf.DUMMYFUNCTION("""COMPUTED_VALUE"""),422.0)</f>
        <v>422</v>
      </c>
      <c r="C3600" s="2">
        <f>IFERROR(__xludf.DUMMYFUNCTION("""COMPUTED_VALUE"""),424.17)</f>
        <v>424.17</v>
      </c>
      <c r="D3600" s="2">
        <f>IFERROR(__xludf.DUMMYFUNCTION("""COMPUTED_VALUE"""),410.0)</f>
        <v>410</v>
      </c>
      <c r="E3600" s="2">
        <f>IFERROR(__xludf.DUMMYFUNCTION("""COMPUTED_VALUE"""),414.63)</f>
        <v>414.63</v>
      </c>
      <c r="F3600" s="2">
        <f>IFERROR(__xludf.DUMMYFUNCTION("""COMPUTED_VALUE"""),1683068.0)</f>
        <v>1683068</v>
      </c>
    </row>
    <row r="3601">
      <c r="A3601" s="3">
        <f>IFERROR(__xludf.DUMMYFUNCTION("""COMPUTED_VALUE"""),41829.645833333336)</f>
        <v>41829.64583</v>
      </c>
      <c r="B3601" s="2">
        <f>IFERROR(__xludf.DUMMYFUNCTION("""COMPUTED_VALUE"""),414.0)</f>
        <v>414</v>
      </c>
      <c r="C3601" s="2">
        <f>IFERROR(__xludf.DUMMYFUNCTION("""COMPUTED_VALUE"""),417.42)</f>
        <v>417.42</v>
      </c>
      <c r="D3601" s="2">
        <f>IFERROR(__xludf.DUMMYFUNCTION("""COMPUTED_VALUE"""),409.0)</f>
        <v>409</v>
      </c>
      <c r="E3601" s="2">
        <f>IFERROR(__xludf.DUMMYFUNCTION("""COMPUTED_VALUE"""),415.15)</f>
        <v>415.15</v>
      </c>
      <c r="F3601" s="2">
        <f>IFERROR(__xludf.DUMMYFUNCTION("""COMPUTED_VALUE"""),1448888.0)</f>
        <v>1448888</v>
      </c>
    </row>
    <row r="3602">
      <c r="A3602" s="3">
        <f>IFERROR(__xludf.DUMMYFUNCTION("""COMPUTED_VALUE"""),41830.645833333336)</f>
        <v>41830.64583</v>
      </c>
      <c r="B3602" s="2">
        <f>IFERROR(__xludf.DUMMYFUNCTION("""COMPUTED_VALUE"""),415.15)</f>
        <v>415.15</v>
      </c>
      <c r="C3602" s="2">
        <f>IFERROR(__xludf.DUMMYFUNCTION("""COMPUTED_VALUE"""),424.0)</f>
        <v>424</v>
      </c>
      <c r="D3602" s="2">
        <f>IFERROR(__xludf.DUMMYFUNCTION("""COMPUTED_VALUE"""),406.13)</f>
        <v>406.13</v>
      </c>
      <c r="E3602" s="2">
        <f>IFERROR(__xludf.DUMMYFUNCTION("""COMPUTED_VALUE"""),411.67)</f>
        <v>411.67</v>
      </c>
      <c r="F3602" s="2">
        <f>IFERROR(__xludf.DUMMYFUNCTION("""COMPUTED_VALUE"""),2464386.0)</f>
        <v>2464386</v>
      </c>
    </row>
    <row r="3603">
      <c r="A3603" s="3">
        <f>IFERROR(__xludf.DUMMYFUNCTION("""COMPUTED_VALUE"""),41831.645833333336)</f>
        <v>41831.64583</v>
      </c>
      <c r="B3603" s="2">
        <f>IFERROR(__xludf.DUMMYFUNCTION("""COMPUTED_VALUE"""),410.55)</f>
        <v>410.55</v>
      </c>
      <c r="C3603" s="2">
        <f>IFERROR(__xludf.DUMMYFUNCTION("""COMPUTED_VALUE"""),415.73)</f>
        <v>415.73</v>
      </c>
      <c r="D3603" s="2">
        <f>IFERROR(__xludf.DUMMYFUNCTION("""COMPUTED_VALUE"""),404.4)</f>
        <v>404.4</v>
      </c>
      <c r="E3603" s="2">
        <f>IFERROR(__xludf.DUMMYFUNCTION("""COMPUTED_VALUE"""),405.9)</f>
        <v>405.9</v>
      </c>
      <c r="F3603" s="2">
        <f>IFERROR(__xludf.DUMMYFUNCTION("""COMPUTED_VALUE"""),2299695.0)</f>
        <v>2299695</v>
      </c>
    </row>
    <row r="3604">
      <c r="A3604" s="3">
        <f>IFERROR(__xludf.DUMMYFUNCTION("""COMPUTED_VALUE"""),41834.645833333336)</f>
        <v>41834.64583</v>
      </c>
      <c r="B3604" s="2">
        <f>IFERROR(__xludf.DUMMYFUNCTION("""COMPUTED_VALUE"""),407.5)</f>
        <v>407.5</v>
      </c>
      <c r="C3604" s="2">
        <f>IFERROR(__xludf.DUMMYFUNCTION("""COMPUTED_VALUE"""),410.0)</f>
        <v>410</v>
      </c>
      <c r="D3604" s="2">
        <f>IFERROR(__xludf.DUMMYFUNCTION("""COMPUTED_VALUE"""),403.58)</f>
        <v>403.58</v>
      </c>
      <c r="E3604" s="2">
        <f>IFERROR(__xludf.DUMMYFUNCTION("""COMPUTED_VALUE"""),408.73)</f>
        <v>408.73</v>
      </c>
      <c r="F3604" s="2">
        <f>IFERROR(__xludf.DUMMYFUNCTION("""COMPUTED_VALUE"""),1230402.0)</f>
        <v>1230402</v>
      </c>
    </row>
    <row r="3605">
      <c r="A3605" s="3">
        <f>IFERROR(__xludf.DUMMYFUNCTION("""COMPUTED_VALUE"""),41835.645833333336)</f>
        <v>41835.64583</v>
      </c>
      <c r="B3605" s="2">
        <f>IFERROR(__xludf.DUMMYFUNCTION("""COMPUTED_VALUE"""),410.38)</f>
        <v>410.38</v>
      </c>
      <c r="C3605" s="2">
        <f>IFERROR(__xludf.DUMMYFUNCTION("""COMPUTED_VALUE"""),414.4)</f>
        <v>414.4</v>
      </c>
      <c r="D3605" s="2">
        <f>IFERROR(__xludf.DUMMYFUNCTION("""COMPUTED_VALUE"""),408.25)</f>
        <v>408.25</v>
      </c>
      <c r="E3605" s="2">
        <f>IFERROR(__xludf.DUMMYFUNCTION("""COMPUTED_VALUE"""),413.4)</f>
        <v>413.4</v>
      </c>
      <c r="F3605" s="2">
        <f>IFERROR(__xludf.DUMMYFUNCTION("""COMPUTED_VALUE"""),1523009.0)</f>
        <v>1523009</v>
      </c>
    </row>
    <row r="3606">
      <c r="A3606" s="3">
        <f>IFERROR(__xludf.DUMMYFUNCTION("""COMPUTED_VALUE"""),41836.645833333336)</f>
        <v>41836.64583</v>
      </c>
      <c r="B3606" s="2">
        <f>IFERROR(__xludf.DUMMYFUNCTION("""COMPUTED_VALUE"""),414.75)</f>
        <v>414.75</v>
      </c>
      <c r="C3606" s="2">
        <f>IFERROR(__xludf.DUMMYFUNCTION("""COMPUTED_VALUE"""),419.25)</f>
        <v>419.25</v>
      </c>
      <c r="D3606" s="2">
        <f>IFERROR(__xludf.DUMMYFUNCTION("""COMPUTED_VALUE"""),408.95)</f>
        <v>408.95</v>
      </c>
      <c r="E3606" s="2">
        <f>IFERROR(__xludf.DUMMYFUNCTION("""COMPUTED_VALUE"""),417.88)</f>
        <v>417.88</v>
      </c>
      <c r="F3606" s="2">
        <f>IFERROR(__xludf.DUMMYFUNCTION("""COMPUTED_VALUE"""),2397325.0)</f>
        <v>2397325</v>
      </c>
    </row>
    <row r="3607">
      <c r="A3607" s="3">
        <f>IFERROR(__xludf.DUMMYFUNCTION("""COMPUTED_VALUE"""),41837.645833333336)</f>
        <v>41837.64583</v>
      </c>
      <c r="B3607" s="2">
        <f>IFERROR(__xludf.DUMMYFUNCTION("""COMPUTED_VALUE"""),419.35)</f>
        <v>419.35</v>
      </c>
      <c r="C3607" s="2">
        <f>IFERROR(__xludf.DUMMYFUNCTION("""COMPUTED_VALUE"""),419.5)</f>
        <v>419.5</v>
      </c>
      <c r="D3607" s="2">
        <f>IFERROR(__xludf.DUMMYFUNCTION("""COMPUTED_VALUE"""),414.75)</f>
        <v>414.75</v>
      </c>
      <c r="E3607" s="2">
        <f>IFERROR(__xludf.DUMMYFUNCTION("""COMPUTED_VALUE"""),415.9)</f>
        <v>415.9</v>
      </c>
      <c r="F3607" s="2">
        <f>IFERROR(__xludf.DUMMYFUNCTION("""COMPUTED_VALUE"""),1259775.0)</f>
        <v>1259775</v>
      </c>
    </row>
    <row r="3608">
      <c r="A3608" s="3">
        <f>IFERROR(__xludf.DUMMYFUNCTION("""COMPUTED_VALUE"""),41838.645833333336)</f>
        <v>41838.64583</v>
      </c>
      <c r="B3608" s="2">
        <f>IFERROR(__xludf.DUMMYFUNCTION("""COMPUTED_VALUE"""),414.45)</f>
        <v>414.45</v>
      </c>
      <c r="C3608" s="2">
        <f>IFERROR(__xludf.DUMMYFUNCTION("""COMPUTED_VALUE"""),418.4)</f>
        <v>418.4</v>
      </c>
      <c r="D3608" s="2">
        <f>IFERROR(__xludf.DUMMYFUNCTION("""COMPUTED_VALUE"""),411.0)</f>
        <v>411</v>
      </c>
      <c r="E3608" s="2">
        <f>IFERROR(__xludf.DUMMYFUNCTION("""COMPUTED_VALUE"""),416.23)</f>
        <v>416.23</v>
      </c>
      <c r="F3608" s="2">
        <f>IFERROR(__xludf.DUMMYFUNCTION("""COMPUTED_VALUE"""),1822108.0)</f>
        <v>1822108</v>
      </c>
    </row>
    <row r="3609">
      <c r="A3609" s="3">
        <f>IFERROR(__xludf.DUMMYFUNCTION("""COMPUTED_VALUE"""),41841.645833333336)</f>
        <v>41841.64583</v>
      </c>
      <c r="B3609" s="2">
        <f>IFERROR(__xludf.DUMMYFUNCTION("""COMPUTED_VALUE"""),420.85)</f>
        <v>420.85</v>
      </c>
      <c r="C3609" s="2">
        <f>IFERROR(__xludf.DUMMYFUNCTION("""COMPUTED_VALUE"""),423.48)</f>
        <v>423.48</v>
      </c>
      <c r="D3609" s="2">
        <f>IFERROR(__xludf.DUMMYFUNCTION("""COMPUTED_VALUE"""),412.63)</f>
        <v>412.63</v>
      </c>
      <c r="E3609" s="2">
        <f>IFERROR(__xludf.DUMMYFUNCTION("""COMPUTED_VALUE"""),413.73)</f>
        <v>413.73</v>
      </c>
      <c r="F3609" s="2">
        <f>IFERROR(__xludf.DUMMYFUNCTION("""COMPUTED_VALUE"""),2453414.0)</f>
        <v>2453414</v>
      </c>
    </row>
    <row r="3610">
      <c r="A3610" s="3">
        <f>IFERROR(__xludf.DUMMYFUNCTION("""COMPUTED_VALUE"""),41842.645833333336)</f>
        <v>41842.64583</v>
      </c>
      <c r="B3610" s="2">
        <f>IFERROR(__xludf.DUMMYFUNCTION("""COMPUTED_VALUE"""),414.95)</f>
        <v>414.95</v>
      </c>
      <c r="C3610" s="2">
        <f>IFERROR(__xludf.DUMMYFUNCTION("""COMPUTED_VALUE"""),421.33)</f>
        <v>421.33</v>
      </c>
      <c r="D3610" s="2">
        <f>IFERROR(__xludf.DUMMYFUNCTION("""COMPUTED_VALUE"""),413.5)</f>
        <v>413.5</v>
      </c>
      <c r="E3610" s="2">
        <f>IFERROR(__xludf.DUMMYFUNCTION("""COMPUTED_VALUE"""),419.92)</f>
        <v>419.92</v>
      </c>
      <c r="F3610" s="2">
        <f>IFERROR(__xludf.DUMMYFUNCTION("""COMPUTED_VALUE"""),1742588.0)</f>
        <v>1742588</v>
      </c>
    </row>
    <row r="3611">
      <c r="A3611" s="3">
        <f>IFERROR(__xludf.DUMMYFUNCTION("""COMPUTED_VALUE"""),41843.645833333336)</f>
        <v>41843.64583</v>
      </c>
      <c r="B3611" s="2">
        <f>IFERROR(__xludf.DUMMYFUNCTION("""COMPUTED_VALUE"""),421.55)</f>
        <v>421.55</v>
      </c>
      <c r="C3611" s="2">
        <f>IFERROR(__xludf.DUMMYFUNCTION("""COMPUTED_VALUE"""),422.5)</f>
        <v>422.5</v>
      </c>
      <c r="D3611" s="2">
        <f>IFERROR(__xludf.DUMMYFUNCTION("""COMPUTED_VALUE"""),417.5)</f>
        <v>417.5</v>
      </c>
      <c r="E3611" s="2">
        <f>IFERROR(__xludf.DUMMYFUNCTION("""COMPUTED_VALUE"""),418.15)</f>
        <v>418.15</v>
      </c>
      <c r="F3611" s="2">
        <f>IFERROR(__xludf.DUMMYFUNCTION("""COMPUTED_VALUE"""),1962463.0)</f>
        <v>1962463</v>
      </c>
    </row>
    <row r="3612">
      <c r="A3612" s="3">
        <f>IFERROR(__xludf.DUMMYFUNCTION("""COMPUTED_VALUE"""),41844.645833333336)</f>
        <v>41844.64583</v>
      </c>
      <c r="B3612" s="2">
        <f>IFERROR(__xludf.DUMMYFUNCTION("""COMPUTED_VALUE"""),418.0)</f>
        <v>418</v>
      </c>
      <c r="C3612" s="2">
        <f>IFERROR(__xludf.DUMMYFUNCTION("""COMPUTED_VALUE"""),422.0)</f>
        <v>422</v>
      </c>
      <c r="D3612" s="2">
        <f>IFERROR(__xludf.DUMMYFUNCTION("""COMPUTED_VALUE"""),416.5)</f>
        <v>416.5</v>
      </c>
      <c r="E3612" s="2">
        <f>IFERROR(__xludf.DUMMYFUNCTION("""COMPUTED_VALUE"""),421.13)</f>
        <v>421.13</v>
      </c>
      <c r="F3612" s="2">
        <f>IFERROR(__xludf.DUMMYFUNCTION("""COMPUTED_VALUE"""),1069650.0)</f>
        <v>1069650</v>
      </c>
    </row>
    <row r="3613">
      <c r="A3613" s="3">
        <f>IFERROR(__xludf.DUMMYFUNCTION("""COMPUTED_VALUE"""),41845.645833333336)</f>
        <v>41845.64583</v>
      </c>
      <c r="B3613" s="2">
        <f>IFERROR(__xludf.DUMMYFUNCTION("""COMPUTED_VALUE"""),420.5)</f>
        <v>420.5</v>
      </c>
      <c r="C3613" s="2">
        <f>IFERROR(__xludf.DUMMYFUNCTION("""COMPUTED_VALUE"""),424.9)</f>
        <v>424.9</v>
      </c>
      <c r="D3613" s="2">
        <f>IFERROR(__xludf.DUMMYFUNCTION("""COMPUTED_VALUE"""),417.08)</f>
        <v>417.08</v>
      </c>
      <c r="E3613" s="2">
        <f>IFERROR(__xludf.DUMMYFUNCTION("""COMPUTED_VALUE"""),417.75)</f>
        <v>417.75</v>
      </c>
      <c r="F3613" s="2">
        <f>IFERROR(__xludf.DUMMYFUNCTION("""COMPUTED_VALUE"""),2666488.0)</f>
        <v>2666488</v>
      </c>
    </row>
    <row r="3614">
      <c r="A3614" s="3">
        <f>IFERROR(__xludf.DUMMYFUNCTION("""COMPUTED_VALUE"""),41848.645833333336)</f>
        <v>41848.64583</v>
      </c>
      <c r="B3614" s="2">
        <f>IFERROR(__xludf.DUMMYFUNCTION("""COMPUTED_VALUE"""),419.25)</f>
        <v>419.25</v>
      </c>
      <c r="C3614" s="2">
        <f>IFERROR(__xludf.DUMMYFUNCTION("""COMPUTED_VALUE"""),419.9)</f>
        <v>419.9</v>
      </c>
      <c r="D3614" s="2">
        <f>IFERROR(__xludf.DUMMYFUNCTION("""COMPUTED_VALUE"""),414.0)</f>
        <v>414</v>
      </c>
      <c r="E3614" s="2">
        <f>IFERROR(__xludf.DUMMYFUNCTION("""COMPUTED_VALUE"""),414.78)</f>
        <v>414.78</v>
      </c>
      <c r="F3614" s="2">
        <f>IFERROR(__xludf.DUMMYFUNCTION("""COMPUTED_VALUE"""),971238.0)</f>
        <v>971238</v>
      </c>
    </row>
    <row r="3615">
      <c r="A3615" s="3">
        <f>IFERROR(__xludf.DUMMYFUNCTION("""COMPUTED_VALUE"""),41850.645833333336)</f>
        <v>41850.64583</v>
      </c>
      <c r="B3615" s="2">
        <f>IFERROR(__xludf.DUMMYFUNCTION("""COMPUTED_VALUE"""),415.5)</f>
        <v>415.5</v>
      </c>
      <c r="C3615" s="2">
        <f>IFERROR(__xludf.DUMMYFUNCTION("""COMPUTED_VALUE"""),420.95)</f>
        <v>420.95</v>
      </c>
      <c r="D3615" s="2">
        <f>IFERROR(__xludf.DUMMYFUNCTION("""COMPUTED_VALUE"""),413.42)</f>
        <v>413.42</v>
      </c>
      <c r="E3615" s="2">
        <f>IFERROR(__xludf.DUMMYFUNCTION("""COMPUTED_VALUE"""),419.4)</f>
        <v>419.4</v>
      </c>
      <c r="F3615" s="2">
        <f>IFERROR(__xludf.DUMMYFUNCTION("""COMPUTED_VALUE"""),1171345.0)</f>
        <v>1171345</v>
      </c>
    </row>
    <row r="3616">
      <c r="A3616" s="3">
        <f>IFERROR(__xludf.DUMMYFUNCTION("""COMPUTED_VALUE"""),41851.645833333336)</f>
        <v>41851.64583</v>
      </c>
      <c r="B3616" s="2">
        <f>IFERROR(__xludf.DUMMYFUNCTION("""COMPUTED_VALUE"""),418.95)</f>
        <v>418.95</v>
      </c>
      <c r="C3616" s="2">
        <f>IFERROR(__xludf.DUMMYFUNCTION("""COMPUTED_VALUE"""),419.95)</f>
        <v>419.95</v>
      </c>
      <c r="D3616" s="2">
        <f>IFERROR(__xludf.DUMMYFUNCTION("""COMPUTED_VALUE"""),414.28)</f>
        <v>414.28</v>
      </c>
      <c r="E3616" s="2">
        <f>IFERROR(__xludf.DUMMYFUNCTION("""COMPUTED_VALUE"""),417.0)</f>
        <v>417</v>
      </c>
      <c r="F3616" s="2">
        <f>IFERROR(__xludf.DUMMYFUNCTION("""COMPUTED_VALUE"""),2975336.0)</f>
        <v>2975336</v>
      </c>
    </row>
    <row r="3617">
      <c r="A3617" s="3">
        <f>IFERROR(__xludf.DUMMYFUNCTION("""COMPUTED_VALUE"""),41852.645833333336)</f>
        <v>41852.64583</v>
      </c>
      <c r="B3617" s="2">
        <f>IFERROR(__xludf.DUMMYFUNCTION("""COMPUTED_VALUE"""),413.03)</f>
        <v>413.03</v>
      </c>
      <c r="C3617" s="2">
        <f>IFERROR(__xludf.DUMMYFUNCTION("""COMPUTED_VALUE"""),413.9)</f>
        <v>413.9</v>
      </c>
      <c r="D3617" s="2">
        <f>IFERROR(__xludf.DUMMYFUNCTION("""COMPUTED_VALUE"""),406.0)</f>
        <v>406</v>
      </c>
      <c r="E3617" s="2">
        <f>IFERROR(__xludf.DUMMYFUNCTION("""COMPUTED_VALUE"""),407.73)</f>
        <v>407.73</v>
      </c>
      <c r="F3617" s="2">
        <f>IFERROR(__xludf.DUMMYFUNCTION("""COMPUTED_VALUE"""),1707115.0)</f>
        <v>1707115</v>
      </c>
    </row>
    <row r="3618">
      <c r="A3618" s="3">
        <f>IFERROR(__xludf.DUMMYFUNCTION("""COMPUTED_VALUE"""),41855.645833333336)</f>
        <v>41855.64583</v>
      </c>
      <c r="B3618" s="2">
        <f>IFERROR(__xludf.DUMMYFUNCTION("""COMPUTED_VALUE"""),409.5)</f>
        <v>409.5</v>
      </c>
      <c r="C3618" s="2">
        <f>IFERROR(__xludf.DUMMYFUNCTION("""COMPUTED_VALUE"""),411.35)</f>
        <v>411.35</v>
      </c>
      <c r="D3618" s="2">
        <f>IFERROR(__xludf.DUMMYFUNCTION("""COMPUTED_VALUE"""),403.55)</f>
        <v>403.55</v>
      </c>
      <c r="E3618" s="2">
        <f>IFERROR(__xludf.DUMMYFUNCTION("""COMPUTED_VALUE"""),406.5)</f>
        <v>406.5</v>
      </c>
      <c r="F3618" s="2">
        <f>IFERROR(__xludf.DUMMYFUNCTION("""COMPUTED_VALUE"""),1840761.0)</f>
        <v>1840761</v>
      </c>
    </row>
    <row r="3619">
      <c r="A3619" s="3">
        <f>IFERROR(__xludf.DUMMYFUNCTION("""COMPUTED_VALUE"""),41856.645833333336)</f>
        <v>41856.64583</v>
      </c>
      <c r="B3619" s="2">
        <f>IFERROR(__xludf.DUMMYFUNCTION("""COMPUTED_VALUE"""),408.5)</f>
        <v>408.5</v>
      </c>
      <c r="C3619" s="2">
        <f>IFERROR(__xludf.DUMMYFUNCTION("""COMPUTED_VALUE"""),411.5)</f>
        <v>411.5</v>
      </c>
      <c r="D3619" s="2">
        <f>IFERROR(__xludf.DUMMYFUNCTION("""COMPUTED_VALUE"""),404.95)</f>
        <v>404.95</v>
      </c>
      <c r="E3619" s="2">
        <f>IFERROR(__xludf.DUMMYFUNCTION("""COMPUTED_VALUE"""),410.1)</f>
        <v>410.1</v>
      </c>
      <c r="F3619" s="2">
        <f>IFERROR(__xludf.DUMMYFUNCTION("""COMPUTED_VALUE"""),1519276.0)</f>
        <v>1519276</v>
      </c>
    </row>
    <row r="3620">
      <c r="A3620" s="3">
        <f>IFERROR(__xludf.DUMMYFUNCTION("""COMPUTED_VALUE"""),41857.645833333336)</f>
        <v>41857.64583</v>
      </c>
      <c r="B3620" s="2">
        <f>IFERROR(__xludf.DUMMYFUNCTION("""COMPUTED_VALUE"""),407.53)</f>
        <v>407.53</v>
      </c>
      <c r="C3620" s="2">
        <f>IFERROR(__xludf.DUMMYFUNCTION("""COMPUTED_VALUE"""),409.78)</f>
        <v>409.78</v>
      </c>
      <c r="D3620" s="2">
        <f>IFERROR(__xludf.DUMMYFUNCTION("""COMPUTED_VALUE"""),403.67)</f>
        <v>403.67</v>
      </c>
      <c r="E3620" s="2">
        <f>IFERROR(__xludf.DUMMYFUNCTION("""COMPUTED_VALUE"""),405.0)</f>
        <v>405</v>
      </c>
      <c r="F3620" s="2">
        <f>IFERROR(__xludf.DUMMYFUNCTION("""COMPUTED_VALUE"""),845350.0)</f>
        <v>845350</v>
      </c>
    </row>
    <row r="3621">
      <c r="A3621" s="3">
        <f>IFERROR(__xludf.DUMMYFUNCTION("""COMPUTED_VALUE"""),41858.645833333336)</f>
        <v>41858.64583</v>
      </c>
      <c r="B3621" s="2">
        <f>IFERROR(__xludf.DUMMYFUNCTION("""COMPUTED_VALUE"""),406.45)</f>
        <v>406.45</v>
      </c>
      <c r="C3621" s="2">
        <f>IFERROR(__xludf.DUMMYFUNCTION("""COMPUTED_VALUE"""),409.25)</f>
        <v>409.25</v>
      </c>
      <c r="D3621" s="2">
        <f>IFERROR(__xludf.DUMMYFUNCTION("""COMPUTED_VALUE"""),405.0)</f>
        <v>405</v>
      </c>
      <c r="E3621" s="2">
        <f>IFERROR(__xludf.DUMMYFUNCTION("""COMPUTED_VALUE"""),405.75)</f>
        <v>405.75</v>
      </c>
      <c r="F3621" s="2">
        <f>IFERROR(__xludf.DUMMYFUNCTION("""COMPUTED_VALUE"""),983435.0)</f>
        <v>983435</v>
      </c>
    </row>
    <row r="3622">
      <c r="A3622" s="3">
        <f>IFERROR(__xludf.DUMMYFUNCTION("""COMPUTED_VALUE"""),41859.645833333336)</f>
        <v>41859.64583</v>
      </c>
      <c r="B3622" s="2">
        <f>IFERROR(__xludf.DUMMYFUNCTION("""COMPUTED_VALUE"""),402.5)</f>
        <v>402.5</v>
      </c>
      <c r="C3622" s="2">
        <f>IFERROR(__xludf.DUMMYFUNCTION("""COMPUTED_VALUE"""),403.9)</f>
        <v>403.9</v>
      </c>
      <c r="D3622" s="2">
        <f>IFERROR(__xludf.DUMMYFUNCTION("""COMPUTED_VALUE"""),397.5)</f>
        <v>397.5</v>
      </c>
      <c r="E3622" s="2">
        <f>IFERROR(__xludf.DUMMYFUNCTION("""COMPUTED_VALUE"""),398.08)</f>
        <v>398.08</v>
      </c>
      <c r="F3622" s="2">
        <f>IFERROR(__xludf.DUMMYFUNCTION("""COMPUTED_VALUE"""),1862670.0)</f>
        <v>1862670</v>
      </c>
    </row>
    <row r="3623">
      <c r="A3623" s="3">
        <f>IFERROR(__xludf.DUMMYFUNCTION("""COMPUTED_VALUE"""),41862.645833333336)</f>
        <v>41862.64583</v>
      </c>
      <c r="B3623" s="2">
        <f>IFERROR(__xludf.DUMMYFUNCTION("""COMPUTED_VALUE"""),400.5)</f>
        <v>400.5</v>
      </c>
      <c r="C3623" s="2">
        <f>IFERROR(__xludf.DUMMYFUNCTION("""COMPUTED_VALUE"""),401.42)</f>
        <v>401.42</v>
      </c>
      <c r="D3623" s="2">
        <f>IFERROR(__xludf.DUMMYFUNCTION("""COMPUTED_VALUE"""),395.7)</f>
        <v>395.7</v>
      </c>
      <c r="E3623" s="2">
        <f>IFERROR(__xludf.DUMMYFUNCTION("""COMPUTED_VALUE"""),396.48)</f>
        <v>396.48</v>
      </c>
      <c r="F3623" s="2">
        <f>IFERROR(__xludf.DUMMYFUNCTION("""COMPUTED_VALUE"""),1406556.0)</f>
        <v>1406556</v>
      </c>
    </row>
    <row r="3624">
      <c r="A3624" s="3">
        <f>IFERROR(__xludf.DUMMYFUNCTION("""COMPUTED_VALUE"""),41863.645833333336)</f>
        <v>41863.64583</v>
      </c>
      <c r="B3624" s="2">
        <f>IFERROR(__xludf.DUMMYFUNCTION("""COMPUTED_VALUE"""),400.5)</f>
        <v>400.5</v>
      </c>
      <c r="C3624" s="2">
        <f>IFERROR(__xludf.DUMMYFUNCTION("""COMPUTED_VALUE"""),404.25)</f>
        <v>404.25</v>
      </c>
      <c r="D3624" s="2">
        <f>IFERROR(__xludf.DUMMYFUNCTION("""COMPUTED_VALUE"""),396.0)</f>
        <v>396</v>
      </c>
      <c r="E3624" s="2">
        <f>IFERROR(__xludf.DUMMYFUNCTION("""COMPUTED_VALUE"""),403.6)</f>
        <v>403.6</v>
      </c>
      <c r="F3624" s="2">
        <f>IFERROR(__xludf.DUMMYFUNCTION("""COMPUTED_VALUE"""),1650768.0)</f>
        <v>1650768</v>
      </c>
    </row>
    <row r="3625">
      <c r="A3625" s="3">
        <f>IFERROR(__xludf.DUMMYFUNCTION("""COMPUTED_VALUE"""),41864.645833333336)</f>
        <v>41864.64583</v>
      </c>
      <c r="B3625" s="2">
        <f>IFERROR(__xludf.DUMMYFUNCTION("""COMPUTED_VALUE"""),405.0)</f>
        <v>405</v>
      </c>
      <c r="C3625" s="2">
        <f>IFERROR(__xludf.DUMMYFUNCTION("""COMPUTED_VALUE"""),407.88)</f>
        <v>407.88</v>
      </c>
      <c r="D3625" s="2">
        <f>IFERROR(__xludf.DUMMYFUNCTION("""COMPUTED_VALUE"""),401.33)</f>
        <v>401.33</v>
      </c>
      <c r="E3625" s="2">
        <f>IFERROR(__xludf.DUMMYFUNCTION("""COMPUTED_VALUE"""),406.2)</f>
        <v>406.2</v>
      </c>
      <c r="F3625" s="2">
        <f>IFERROR(__xludf.DUMMYFUNCTION("""COMPUTED_VALUE"""),1959955.0)</f>
        <v>1959955</v>
      </c>
    </row>
    <row r="3626">
      <c r="A3626" s="3">
        <f>IFERROR(__xludf.DUMMYFUNCTION("""COMPUTED_VALUE"""),41865.645833333336)</f>
        <v>41865.64583</v>
      </c>
      <c r="B3626" s="2">
        <f>IFERROR(__xludf.DUMMYFUNCTION("""COMPUTED_VALUE"""),407.05)</f>
        <v>407.05</v>
      </c>
      <c r="C3626" s="2">
        <f>IFERROR(__xludf.DUMMYFUNCTION("""COMPUTED_VALUE"""),415.83)</f>
        <v>415.83</v>
      </c>
      <c r="D3626" s="2">
        <f>IFERROR(__xludf.DUMMYFUNCTION("""COMPUTED_VALUE"""),406.65)</f>
        <v>406.65</v>
      </c>
      <c r="E3626" s="2">
        <f>IFERROR(__xludf.DUMMYFUNCTION("""COMPUTED_VALUE"""),413.35)</f>
        <v>413.35</v>
      </c>
      <c r="F3626" s="2">
        <f>IFERROR(__xludf.DUMMYFUNCTION("""COMPUTED_VALUE"""),2968306.0)</f>
        <v>2968306</v>
      </c>
    </row>
    <row r="3627">
      <c r="A3627" s="3">
        <f>IFERROR(__xludf.DUMMYFUNCTION("""COMPUTED_VALUE"""),41869.645833333336)</f>
        <v>41869.64583</v>
      </c>
      <c r="B3627" s="2">
        <f>IFERROR(__xludf.DUMMYFUNCTION("""COMPUTED_VALUE"""),415.0)</f>
        <v>415</v>
      </c>
      <c r="C3627" s="2">
        <f>IFERROR(__xludf.DUMMYFUNCTION("""COMPUTED_VALUE"""),417.25)</f>
        <v>417.25</v>
      </c>
      <c r="D3627" s="2">
        <f>IFERROR(__xludf.DUMMYFUNCTION("""COMPUTED_VALUE"""),411.8)</f>
        <v>411.8</v>
      </c>
      <c r="E3627" s="2">
        <f>IFERROR(__xludf.DUMMYFUNCTION("""COMPUTED_VALUE"""),416.17)</f>
        <v>416.17</v>
      </c>
      <c r="F3627" s="2">
        <f>IFERROR(__xludf.DUMMYFUNCTION("""COMPUTED_VALUE"""),1675542.0)</f>
        <v>1675542</v>
      </c>
    </row>
    <row r="3628">
      <c r="A3628" s="3">
        <f>IFERROR(__xludf.DUMMYFUNCTION("""COMPUTED_VALUE"""),41870.645833333336)</f>
        <v>41870.64583</v>
      </c>
      <c r="B3628" s="2">
        <f>IFERROR(__xludf.DUMMYFUNCTION("""COMPUTED_VALUE"""),416.5)</f>
        <v>416.5</v>
      </c>
      <c r="C3628" s="2">
        <f>IFERROR(__xludf.DUMMYFUNCTION("""COMPUTED_VALUE"""),418.75)</f>
        <v>418.75</v>
      </c>
      <c r="D3628" s="2">
        <f>IFERROR(__xludf.DUMMYFUNCTION("""COMPUTED_VALUE"""),411.13)</f>
        <v>411.13</v>
      </c>
      <c r="E3628" s="2">
        <f>IFERROR(__xludf.DUMMYFUNCTION("""COMPUTED_VALUE"""),411.92)</f>
        <v>411.92</v>
      </c>
      <c r="F3628" s="2">
        <f>IFERROR(__xludf.DUMMYFUNCTION("""COMPUTED_VALUE"""),1973214.0)</f>
        <v>1973214</v>
      </c>
    </row>
    <row r="3629">
      <c r="A3629" s="3">
        <f>IFERROR(__xludf.DUMMYFUNCTION("""COMPUTED_VALUE"""),41871.645833333336)</f>
        <v>41871.64583</v>
      </c>
      <c r="B3629" s="2">
        <f>IFERROR(__xludf.DUMMYFUNCTION("""COMPUTED_VALUE"""),414.5)</f>
        <v>414.5</v>
      </c>
      <c r="C3629" s="2">
        <f>IFERROR(__xludf.DUMMYFUNCTION("""COMPUTED_VALUE"""),417.3)</f>
        <v>417.3</v>
      </c>
      <c r="D3629" s="2">
        <f>IFERROR(__xludf.DUMMYFUNCTION("""COMPUTED_VALUE"""),409.5)</f>
        <v>409.5</v>
      </c>
      <c r="E3629" s="2">
        <f>IFERROR(__xludf.DUMMYFUNCTION("""COMPUTED_VALUE"""),410.28)</f>
        <v>410.28</v>
      </c>
      <c r="F3629" s="2">
        <f>IFERROR(__xludf.DUMMYFUNCTION("""COMPUTED_VALUE"""),2358713.0)</f>
        <v>2358713</v>
      </c>
    </row>
    <row r="3630">
      <c r="A3630" s="3">
        <f>IFERROR(__xludf.DUMMYFUNCTION("""COMPUTED_VALUE"""),41872.645833333336)</f>
        <v>41872.64583</v>
      </c>
      <c r="B3630" s="2">
        <f>IFERROR(__xludf.DUMMYFUNCTION("""COMPUTED_VALUE"""),411.0)</f>
        <v>411</v>
      </c>
      <c r="C3630" s="2">
        <f>IFERROR(__xludf.DUMMYFUNCTION("""COMPUTED_VALUE"""),417.6)</f>
        <v>417.6</v>
      </c>
      <c r="D3630" s="2">
        <f>IFERROR(__xludf.DUMMYFUNCTION("""COMPUTED_VALUE"""),410.5)</f>
        <v>410.5</v>
      </c>
      <c r="E3630" s="2">
        <f>IFERROR(__xludf.DUMMYFUNCTION("""COMPUTED_VALUE"""),416.25)</f>
        <v>416.25</v>
      </c>
      <c r="F3630" s="2">
        <f>IFERROR(__xludf.DUMMYFUNCTION("""COMPUTED_VALUE"""),1597620.0)</f>
        <v>1597620</v>
      </c>
    </row>
    <row r="3631">
      <c r="A3631" s="3">
        <f>IFERROR(__xludf.DUMMYFUNCTION("""COMPUTED_VALUE"""),41873.645833333336)</f>
        <v>41873.64583</v>
      </c>
      <c r="B3631" s="2">
        <f>IFERROR(__xludf.DUMMYFUNCTION("""COMPUTED_VALUE"""),417.17)</f>
        <v>417.17</v>
      </c>
      <c r="C3631" s="2">
        <f>IFERROR(__xludf.DUMMYFUNCTION("""COMPUTED_VALUE"""),424.38)</f>
        <v>424.38</v>
      </c>
      <c r="D3631" s="2">
        <f>IFERROR(__xludf.DUMMYFUNCTION("""COMPUTED_VALUE"""),414.03)</f>
        <v>414.03</v>
      </c>
      <c r="E3631" s="2">
        <f>IFERROR(__xludf.DUMMYFUNCTION("""COMPUTED_VALUE"""),423.38)</f>
        <v>423.38</v>
      </c>
      <c r="F3631" s="2">
        <f>IFERROR(__xludf.DUMMYFUNCTION("""COMPUTED_VALUE"""),2503822.0)</f>
        <v>2503822</v>
      </c>
    </row>
    <row r="3632">
      <c r="A3632" s="3">
        <f>IFERROR(__xludf.DUMMYFUNCTION("""COMPUTED_VALUE"""),41876.645833333336)</f>
        <v>41876.64583</v>
      </c>
      <c r="B3632" s="2">
        <f>IFERROR(__xludf.DUMMYFUNCTION("""COMPUTED_VALUE"""),421.5)</f>
        <v>421.5</v>
      </c>
      <c r="C3632" s="2">
        <f>IFERROR(__xludf.DUMMYFUNCTION("""COMPUTED_VALUE"""),426.4)</f>
        <v>426.4</v>
      </c>
      <c r="D3632" s="2">
        <f>IFERROR(__xludf.DUMMYFUNCTION("""COMPUTED_VALUE"""),418.6)</f>
        <v>418.6</v>
      </c>
      <c r="E3632" s="2">
        <f>IFERROR(__xludf.DUMMYFUNCTION("""COMPUTED_VALUE"""),421.73)</f>
        <v>421.73</v>
      </c>
      <c r="F3632" s="2">
        <f>IFERROR(__xludf.DUMMYFUNCTION("""COMPUTED_VALUE"""),1664016.0)</f>
        <v>1664016</v>
      </c>
    </row>
    <row r="3633">
      <c r="A3633" s="3">
        <f>IFERROR(__xludf.DUMMYFUNCTION("""COMPUTED_VALUE"""),41877.645833333336)</f>
        <v>41877.64583</v>
      </c>
      <c r="B3633" s="2">
        <f>IFERROR(__xludf.DUMMYFUNCTION("""COMPUTED_VALUE"""),422.25)</f>
        <v>422.25</v>
      </c>
      <c r="C3633" s="2">
        <f>IFERROR(__xludf.DUMMYFUNCTION("""COMPUTED_VALUE"""),424.25)</f>
        <v>424.25</v>
      </c>
      <c r="D3633" s="2">
        <f>IFERROR(__xludf.DUMMYFUNCTION("""COMPUTED_VALUE"""),419.05)</f>
        <v>419.05</v>
      </c>
      <c r="E3633" s="2">
        <f>IFERROR(__xludf.DUMMYFUNCTION("""COMPUTED_VALUE"""),421.25)</f>
        <v>421.25</v>
      </c>
      <c r="F3633" s="2">
        <f>IFERROR(__xludf.DUMMYFUNCTION("""COMPUTED_VALUE"""),1041314.0)</f>
        <v>1041314</v>
      </c>
    </row>
    <row r="3634">
      <c r="A3634" s="3">
        <f>IFERROR(__xludf.DUMMYFUNCTION("""COMPUTED_VALUE"""),41878.645833333336)</f>
        <v>41878.64583</v>
      </c>
      <c r="B3634" s="2">
        <f>IFERROR(__xludf.DUMMYFUNCTION("""COMPUTED_VALUE"""),423.0)</f>
        <v>423</v>
      </c>
      <c r="C3634" s="2">
        <f>IFERROR(__xludf.DUMMYFUNCTION("""COMPUTED_VALUE"""),423.0)</f>
        <v>423</v>
      </c>
      <c r="D3634" s="2">
        <f>IFERROR(__xludf.DUMMYFUNCTION("""COMPUTED_VALUE"""),417.0)</f>
        <v>417</v>
      </c>
      <c r="E3634" s="2">
        <f>IFERROR(__xludf.DUMMYFUNCTION("""COMPUTED_VALUE"""),418.3)</f>
        <v>418.3</v>
      </c>
      <c r="F3634" s="2">
        <f>IFERROR(__xludf.DUMMYFUNCTION("""COMPUTED_VALUE"""),1213242.0)</f>
        <v>1213242</v>
      </c>
    </row>
    <row r="3635">
      <c r="A3635" s="3">
        <f>IFERROR(__xludf.DUMMYFUNCTION("""COMPUTED_VALUE"""),41879.645833333336)</f>
        <v>41879.64583</v>
      </c>
      <c r="B3635" s="2">
        <f>IFERROR(__xludf.DUMMYFUNCTION("""COMPUTED_VALUE"""),418.75)</f>
        <v>418.75</v>
      </c>
      <c r="C3635" s="2">
        <f>IFERROR(__xludf.DUMMYFUNCTION("""COMPUTED_VALUE"""),422.75)</f>
        <v>422.75</v>
      </c>
      <c r="D3635" s="2">
        <f>IFERROR(__xludf.DUMMYFUNCTION("""COMPUTED_VALUE"""),417.0)</f>
        <v>417</v>
      </c>
      <c r="E3635" s="2">
        <f>IFERROR(__xludf.DUMMYFUNCTION("""COMPUTED_VALUE"""),421.78)</f>
        <v>421.78</v>
      </c>
      <c r="F3635" s="2">
        <f>IFERROR(__xludf.DUMMYFUNCTION("""COMPUTED_VALUE"""),1997863.0)</f>
        <v>1997863</v>
      </c>
    </row>
    <row r="3636">
      <c r="A3636" s="3">
        <f>IFERROR(__xludf.DUMMYFUNCTION("""COMPUTED_VALUE"""),41883.645833333336)</f>
        <v>41883.64583</v>
      </c>
      <c r="B3636" s="2">
        <f>IFERROR(__xludf.DUMMYFUNCTION("""COMPUTED_VALUE"""),422.95)</f>
        <v>422.95</v>
      </c>
      <c r="C3636" s="2">
        <f>IFERROR(__xludf.DUMMYFUNCTION("""COMPUTED_VALUE"""),424.5)</f>
        <v>424.5</v>
      </c>
      <c r="D3636" s="2">
        <f>IFERROR(__xludf.DUMMYFUNCTION("""COMPUTED_VALUE"""),419.3)</f>
        <v>419.3</v>
      </c>
      <c r="E3636" s="2">
        <f>IFERROR(__xludf.DUMMYFUNCTION("""COMPUTED_VALUE"""),420.6)</f>
        <v>420.6</v>
      </c>
      <c r="F3636" s="2">
        <f>IFERROR(__xludf.DUMMYFUNCTION("""COMPUTED_VALUE"""),1038664.0)</f>
        <v>1038664</v>
      </c>
    </row>
    <row r="3637">
      <c r="A3637" s="3">
        <f>IFERROR(__xludf.DUMMYFUNCTION("""COMPUTED_VALUE"""),41884.645833333336)</f>
        <v>41884.64583</v>
      </c>
      <c r="B3637" s="2">
        <f>IFERROR(__xludf.DUMMYFUNCTION("""COMPUTED_VALUE"""),421.55)</f>
        <v>421.55</v>
      </c>
      <c r="C3637" s="2">
        <f>IFERROR(__xludf.DUMMYFUNCTION("""COMPUTED_VALUE"""),430.55)</f>
        <v>430.55</v>
      </c>
      <c r="D3637" s="2">
        <f>IFERROR(__xludf.DUMMYFUNCTION("""COMPUTED_VALUE"""),419.33)</f>
        <v>419.33</v>
      </c>
      <c r="E3637" s="2">
        <f>IFERROR(__xludf.DUMMYFUNCTION("""COMPUTED_VALUE"""),429.6)</f>
        <v>429.6</v>
      </c>
      <c r="F3637" s="2">
        <f>IFERROR(__xludf.DUMMYFUNCTION("""COMPUTED_VALUE"""),2860563.0)</f>
        <v>2860563</v>
      </c>
    </row>
    <row r="3638">
      <c r="A3638" s="3">
        <f>IFERROR(__xludf.DUMMYFUNCTION("""COMPUTED_VALUE"""),41885.645833333336)</f>
        <v>41885.64583</v>
      </c>
      <c r="B3638" s="2">
        <f>IFERROR(__xludf.DUMMYFUNCTION("""COMPUTED_VALUE"""),432.5)</f>
        <v>432.5</v>
      </c>
      <c r="C3638" s="2">
        <f>IFERROR(__xludf.DUMMYFUNCTION("""COMPUTED_VALUE"""),432.5)</f>
        <v>432.5</v>
      </c>
      <c r="D3638" s="2">
        <f>IFERROR(__xludf.DUMMYFUNCTION("""COMPUTED_VALUE"""),425.8)</f>
        <v>425.8</v>
      </c>
      <c r="E3638" s="2">
        <f>IFERROR(__xludf.DUMMYFUNCTION("""COMPUTED_VALUE"""),428.33)</f>
        <v>428.33</v>
      </c>
      <c r="F3638" s="2">
        <f>IFERROR(__xludf.DUMMYFUNCTION("""COMPUTED_VALUE"""),2308695.0)</f>
        <v>2308695</v>
      </c>
    </row>
    <row r="3639">
      <c r="A3639" s="3">
        <f>IFERROR(__xludf.DUMMYFUNCTION("""COMPUTED_VALUE"""),41886.645833333336)</f>
        <v>41886.64583</v>
      </c>
      <c r="B3639" s="2">
        <f>IFERROR(__xludf.DUMMYFUNCTION("""COMPUTED_VALUE"""),429.03)</f>
        <v>429.03</v>
      </c>
      <c r="C3639" s="2">
        <f>IFERROR(__xludf.DUMMYFUNCTION("""COMPUTED_VALUE"""),429.5)</f>
        <v>429.5</v>
      </c>
      <c r="D3639" s="2">
        <f>IFERROR(__xludf.DUMMYFUNCTION("""COMPUTED_VALUE"""),424.25)</f>
        <v>424.25</v>
      </c>
      <c r="E3639" s="2">
        <f>IFERROR(__xludf.DUMMYFUNCTION("""COMPUTED_VALUE"""),425.92)</f>
        <v>425.92</v>
      </c>
      <c r="F3639" s="2">
        <f>IFERROR(__xludf.DUMMYFUNCTION("""COMPUTED_VALUE"""),1601742.0)</f>
        <v>1601742</v>
      </c>
    </row>
    <row r="3640">
      <c r="A3640" s="3">
        <f>IFERROR(__xludf.DUMMYFUNCTION("""COMPUTED_VALUE"""),41887.645833333336)</f>
        <v>41887.64583</v>
      </c>
      <c r="B3640" s="2">
        <f>IFERROR(__xludf.DUMMYFUNCTION("""COMPUTED_VALUE"""),426.0)</f>
        <v>426</v>
      </c>
      <c r="C3640" s="2">
        <f>IFERROR(__xludf.DUMMYFUNCTION("""COMPUTED_VALUE"""),427.78)</f>
        <v>427.78</v>
      </c>
      <c r="D3640" s="2">
        <f>IFERROR(__xludf.DUMMYFUNCTION("""COMPUTED_VALUE"""),422.05)</f>
        <v>422.05</v>
      </c>
      <c r="E3640" s="2">
        <f>IFERROR(__xludf.DUMMYFUNCTION("""COMPUTED_VALUE"""),424.23)</f>
        <v>424.23</v>
      </c>
      <c r="F3640" s="2">
        <f>IFERROR(__xludf.DUMMYFUNCTION("""COMPUTED_VALUE"""),958802.0)</f>
        <v>958802</v>
      </c>
    </row>
    <row r="3641">
      <c r="A3641" s="3">
        <f>IFERROR(__xludf.DUMMYFUNCTION("""COMPUTED_VALUE"""),41890.645833333336)</f>
        <v>41890.64583</v>
      </c>
      <c r="B3641" s="2">
        <f>IFERROR(__xludf.DUMMYFUNCTION("""COMPUTED_VALUE"""),425.5)</f>
        <v>425.5</v>
      </c>
      <c r="C3641" s="2">
        <f>IFERROR(__xludf.DUMMYFUNCTION("""COMPUTED_VALUE"""),433.9)</f>
        <v>433.9</v>
      </c>
      <c r="D3641" s="2">
        <f>IFERROR(__xludf.DUMMYFUNCTION("""COMPUTED_VALUE"""),424.73)</f>
        <v>424.73</v>
      </c>
      <c r="E3641" s="2">
        <f>IFERROR(__xludf.DUMMYFUNCTION("""COMPUTED_VALUE"""),432.38)</f>
        <v>432.38</v>
      </c>
      <c r="F3641" s="2">
        <f>IFERROR(__xludf.DUMMYFUNCTION("""COMPUTED_VALUE"""),2447086.0)</f>
        <v>2447086</v>
      </c>
    </row>
    <row r="3642">
      <c r="A3642" s="3">
        <f>IFERROR(__xludf.DUMMYFUNCTION("""COMPUTED_VALUE"""),41891.645833333336)</f>
        <v>41891.64583</v>
      </c>
      <c r="B3642" s="2">
        <f>IFERROR(__xludf.DUMMYFUNCTION("""COMPUTED_VALUE"""),430.05)</f>
        <v>430.05</v>
      </c>
      <c r="C3642" s="2">
        <f>IFERROR(__xludf.DUMMYFUNCTION("""COMPUTED_VALUE"""),434.95)</f>
        <v>434.95</v>
      </c>
      <c r="D3642" s="2">
        <f>IFERROR(__xludf.DUMMYFUNCTION("""COMPUTED_VALUE"""),428.9)</f>
        <v>428.9</v>
      </c>
      <c r="E3642" s="2">
        <f>IFERROR(__xludf.DUMMYFUNCTION("""COMPUTED_VALUE"""),432.8)</f>
        <v>432.8</v>
      </c>
      <c r="F3642" s="2">
        <f>IFERROR(__xludf.DUMMYFUNCTION("""COMPUTED_VALUE"""),1915261.0)</f>
        <v>1915261</v>
      </c>
    </row>
    <row r="3643">
      <c r="A3643" s="3">
        <f>IFERROR(__xludf.DUMMYFUNCTION("""COMPUTED_VALUE"""),41892.645833333336)</f>
        <v>41892.64583</v>
      </c>
      <c r="B3643" s="2">
        <f>IFERROR(__xludf.DUMMYFUNCTION("""COMPUTED_VALUE"""),432.5)</f>
        <v>432.5</v>
      </c>
      <c r="C3643" s="2">
        <f>IFERROR(__xludf.DUMMYFUNCTION("""COMPUTED_VALUE"""),432.5)</f>
        <v>432.5</v>
      </c>
      <c r="D3643" s="2">
        <f>IFERROR(__xludf.DUMMYFUNCTION("""COMPUTED_VALUE"""),427.05)</f>
        <v>427.05</v>
      </c>
      <c r="E3643" s="2">
        <f>IFERROR(__xludf.DUMMYFUNCTION("""COMPUTED_VALUE"""),428.65)</f>
        <v>428.65</v>
      </c>
      <c r="F3643" s="2">
        <f>IFERROR(__xludf.DUMMYFUNCTION("""COMPUTED_VALUE"""),1078563.0)</f>
        <v>1078563</v>
      </c>
    </row>
    <row r="3644">
      <c r="A3644" s="3">
        <f>IFERROR(__xludf.DUMMYFUNCTION("""COMPUTED_VALUE"""),41893.645833333336)</f>
        <v>41893.64583</v>
      </c>
      <c r="B3644" s="2">
        <f>IFERROR(__xludf.DUMMYFUNCTION("""COMPUTED_VALUE"""),428.7)</f>
        <v>428.7</v>
      </c>
      <c r="C3644" s="2">
        <f>IFERROR(__xludf.DUMMYFUNCTION("""COMPUTED_VALUE"""),431.55)</f>
        <v>431.55</v>
      </c>
      <c r="D3644" s="2">
        <f>IFERROR(__xludf.DUMMYFUNCTION("""COMPUTED_VALUE"""),426.5)</f>
        <v>426.5</v>
      </c>
      <c r="E3644" s="2">
        <f>IFERROR(__xludf.DUMMYFUNCTION("""COMPUTED_VALUE"""),427.17)</f>
        <v>427.17</v>
      </c>
      <c r="F3644" s="2">
        <f>IFERROR(__xludf.DUMMYFUNCTION("""COMPUTED_VALUE"""),1633216.0)</f>
        <v>1633216</v>
      </c>
    </row>
    <row r="3645">
      <c r="A3645" s="3">
        <f>IFERROR(__xludf.DUMMYFUNCTION("""COMPUTED_VALUE"""),41894.645833333336)</f>
        <v>41894.64583</v>
      </c>
      <c r="B3645" s="2">
        <f>IFERROR(__xludf.DUMMYFUNCTION("""COMPUTED_VALUE"""),425.05)</f>
        <v>425.05</v>
      </c>
      <c r="C3645" s="2">
        <f>IFERROR(__xludf.DUMMYFUNCTION("""COMPUTED_VALUE"""),429.0)</f>
        <v>429</v>
      </c>
      <c r="D3645" s="2">
        <f>IFERROR(__xludf.DUMMYFUNCTION("""COMPUTED_VALUE"""),424.48)</f>
        <v>424.48</v>
      </c>
      <c r="E3645" s="2">
        <f>IFERROR(__xludf.DUMMYFUNCTION("""COMPUTED_VALUE"""),427.85)</f>
        <v>427.85</v>
      </c>
      <c r="F3645" s="2">
        <f>IFERROR(__xludf.DUMMYFUNCTION("""COMPUTED_VALUE"""),1521639.0)</f>
        <v>1521639</v>
      </c>
    </row>
    <row r="3646">
      <c r="A3646" s="3">
        <f>IFERROR(__xludf.DUMMYFUNCTION("""COMPUTED_VALUE"""),41897.645833333336)</f>
        <v>41897.64583</v>
      </c>
      <c r="B3646" s="2">
        <f>IFERROR(__xludf.DUMMYFUNCTION("""COMPUTED_VALUE"""),425.0)</f>
        <v>425</v>
      </c>
      <c r="C3646" s="2">
        <f>IFERROR(__xludf.DUMMYFUNCTION("""COMPUTED_VALUE"""),432.5)</f>
        <v>432.5</v>
      </c>
      <c r="D3646" s="2">
        <f>IFERROR(__xludf.DUMMYFUNCTION("""COMPUTED_VALUE"""),425.0)</f>
        <v>425</v>
      </c>
      <c r="E3646" s="2">
        <f>IFERROR(__xludf.DUMMYFUNCTION("""COMPUTED_VALUE"""),430.17)</f>
        <v>430.17</v>
      </c>
      <c r="F3646" s="2">
        <f>IFERROR(__xludf.DUMMYFUNCTION("""COMPUTED_VALUE"""),1452272.0)</f>
        <v>1452272</v>
      </c>
    </row>
    <row r="3647">
      <c r="A3647" s="3">
        <f>IFERROR(__xludf.DUMMYFUNCTION("""COMPUTED_VALUE"""),41898.645833333336)</f>
        <v>41898.64583</v>
      </c>
      <c r="B3647" s="2">
        <f>IFERROR(__xludf.DUMMYFUNCTION("""COMPUTED_VALUE"""),430.5)</f>
        <v>430.5</v>
      </c>
      <c r="C3647" s="2">
        <f>IFERROR(__xludf.DUMMYFUNCTION("""COMPUTED_VALUE"""),431.03)</f>
        <v>431.03</v>
      </c>
      <c r="D3647" s="2">
        <f>IFERROR(__xludf.DUMMYFUNCTION("""COMPUTED_VALUE"""),424.0)</f>
        <v>424</v>
      </c>
      <c r="E3647" s="2">
        <f>IFERROR(__xludf.DUMMYFUNCTION("""COMPUTED_VALUE"""),425.5)</f>
        <v>425.5</v>
      </c>
      <c r="F3647" s="2">
        <f>IFERROR(__xludf.DUMMYFUNCTION("""COMPUTED_VALUE"""),1269067.0)</f>
        <v>1269067</v>
      </c>
    </row>
    <row r="3648">
      <c r="A3648" s="3">
        <f>IFERROR(__xludf.DUMMYFUNCTION("""COMPUTED_VALUE"""),41899.645833333336)</f>
        <v>41899.64583</v>
      </c>
      <c r="B3648" s="2">
        <f>IFERROR(__xludf.DUMMYFUNCTION("""COMPUTED_VALUE"""),427.5)</f>
        <v>427.5</v>
      </c>
      <c r="C3648" s="2">
        <f>IFERROR(__xludf.DUMMYFUNCTION("""COMPUTED_VALUE"""),427.95)</f>
        <v>427.95</v>
      </c>
      <c r="D3648" s="2">
        <f>IFERROR(__xludf.DUMMYFUNCTION("""COMPUTED_VALUE"""),421.05)</f>
        <v>421.05</v>
      </c>
      <c r="E3648" s="2">
        <f>IFERROR(__xludf.DUMMYFUNCTION("""COMPUTED_VALUE"""),423.2)</f>
        <v>423.2</v>
      </c>
      <c r="F3648" s="2">
        <f>IFERROR(__xludf.DUMMYFUNCTION("""COMPUTED_VALUE"""),1976474.0)</f>
        <v>1976474</v>
      </c>
    </row>
    <row r="3649">
      <c r="A3649" s="3">
        <f>IFERROR(__xludf.DUMMYFUNCTION("""COMPUTED_VALUE"""),41900.645833333336)</f>
        <v>41900.64583</v>
      </c>
      <c r="B3649" s="2">
        <f>IFERROR(__xludf.DUMMYFUNCTION("""COMPUTED_VALUE"""),422.38)</f>
        <v>422.38</v>
      </c>
      <c r="C3649" s="2">
        <f>IFERROR(__xludf.DUMMYFUNCTION("""COMPUTED_VALUE"""),430.5)</f>
        <v>430.5</v>
      </c>
      <c r="D3649" s="2">
        <f>IFERROR(__xludf.DUMMYFUNCTION("""COMPUTED_VALUE"""),421.13)</f>
        <v>421.13</v>
      </c>
      <c r="E3649" s="2">
        <f>IFERROR(__xludf.DUMMYFUNCTION("""COMPUTED_VALUE"""),429.08)</f>
        <v>429.08</v>
      </c>
      <c r="F3649" s="2">
        <f>IFERROR(__xludf.DUMMYFUNCTION("""COMPUTED_VALUE"""),1663142.0)</f>
        <v>1663142</v>
      </c>
    </row>
    <row r="3650">
      <c r="A3650" s="3">
        <f>IFERROR(__xludf.DUMMYFUNCTION("""COMPUTED_VALUE"""),41901.645833333336)</f>
        <v>41901.64583</v>
      </c>
      <c r="B3650" s="2">
        <f>IFERROR(__xludf.DUMMYFUNCTION("""COMPUTED_VALUE"""),430.0)</f>
        <v>430</v>
      </c>
      <c r="C3650" s="2">
        <f>IFERROR(__xludf.DUMMYFUNCTION("""COMPUTED_VALUE"""),432.5)</f>
        <v>432.5</v>
      </c>
      <c r="D3650" s="2">
        <f>IFERROR(__xludf.DUMMYFUNCTION("""COMPUTED_VALUE"""),425.7)</f>
        <v>425.7</v>
      </c>
      <c r="E3650" s="2">
        <f>IFERROR(__xludf.DUMMYFUNCTION("""COMPUTED_VALUE"""),430.13)</f>
        <v>430.13</v>
      </c>
      <c r="F3650" s="2">
        <f>IFERROR(__xludf.DUMMYFUNCTION("""COMPUTED_VALUE"""),1635527.0)</f>
        <v>1635527</v>
      </c>
    </row>
    <row r="3651">
      <c r="A3651" s="3">
        <f>IFERROR(__xludf.DUMMYFUNCTION("""COMPUTED_VALUE"""),41904.645833333336)</f>
        <v>41904.64583</v>
      </c>
      <c r="B3651" s="2">
        <f>IFERROR(__xludf.DUMMYFUNCTION("""COMPUTED_VALUE"""),428.48)</f>
        <v>428.48</v>
      </c>
      <c r="C3651" s="2">
        <f>IFERROR(__xludf.DUMMYFUNCTION("""COMPUTED_VALUE"""),429.25)</f>
        <v>429.25</v>
      </c>
      <c r="D3651" s="2">
        <f>IFERROR(__xludf.DUMMYFUNCTION("""COMPUTED_VALUE"""),425.5)</f>
        <v>425.5</v>
      </c>
      <c r="E3651" s="2">
        <f>IFERROR(__xludf.DUMMYFUNCTION("""COMPUTED_VALUE"""),428.42)</f>
        <v>428.42</v>
      </c>
      <c r="F3651" s="2">
        <f>IFERROR(__xludf.DUMMYFUNCTION("""COMPUTED_VALUE"""),1633579.0)</f>
        <v>1633579</v>
      </c>
    </row>
    <row r="3652">
      <c r="A3652" s="3">
        <f>IFERROR(__xludf.DUMMYFUNCTION("""COMPUTED_VALUE"""),41905.645833333336)</f>
        <v>41905.64583</v>
      </c>
      <c r="B3652" s="2">
        <f>IFERROR(__xludf.DUMMYFUNCTION("""COMPUTED_VALUE"""),428.03)</f>
        <v>428.03</v>
      </c>
      <c r="C3652" s="2">
        <f>IFERROR(__xludf.DUMMYFUNCTION("""COMPUTED_VALUE"""),428.92)</f>
        <v>428.92</v>
      </c>
      <c r="D3652" s="2">
        <f>IFERROR(__xludf.DUMMYFUNCTION("""COMPUTED_VALUE"""),422.8)</f>
        <v>422.8</v>
      </c>
      <c r="E3652" s="2">
        <f>IFERROR(__xludf.DUMMYFUNCTION("""COMPUTED_VALUE"""),424.42)</f>
        <v>424.42</v>
      </c>
      <c r="F3652" s="2">
        <f>IFERROR(__xludf.DUMMYFUNCTION("""COMPUTED_VALUE"""),1179244.0)</f>
        <v>1179244</v>
      </c>
    </row>
    <row r="3653">
      <c r="A3653" s="3">
        <f>IFERROR(__xludf.DUMMYFUNCTION("""COMPUTED_VALUE"""),41906.645833333336)</f>
        <v>41906.64583</v>
      </c>
      <c r="B3653" s="2">
        <f>IFERROR(__xludf.DUMMYFUNCTION("""COMPUTED_VALUE"""),423.55)</f>
        <v>423.55</v>
      </c>
      <c r="C3653" s="2">
        <f>IFERROR(__xludf.DUMMYFUNCTION("""COMPUTED_VALUE"""),428.65)</f>
        <v>428.65</v>
      </c>
      <c r="D3653" s="2">
        <f>IFERROR(__xludf.DUMMYFUNCTION("""COMPUTED_VALUE"""),422.53)</f>
        <v>422.53</v>
      </c>
      <c r="E3653" s="2">
        <f>IFERROR(__xludf.DUMMYFUNCTION("""COMPUTED_VALUE"""),427.73)</f>
        <v>427.73</v>
      </c>
      <c r="F3653" s="2">
        <f>IFERROR(__xludf.DUMMYFUNCTION("""COMPUTED_VALUE"""),1666374.0)</f>
        <v>1666374</v>
      </c>
    </row>
    <row r="3654">
      <c r="A3654" s="3">
        <f>IFERROR(__xludf.DUMMYFUNCTION("""COMPUTED_VALUE"""),41907.645833333336)</f>
        <v>41907.64583</v>
      </c>
      <c r="B3654" s="2">
        <f>IFERROR(__xludf.DUMMYFUNCTION("""COMPUTED_VALUE"""),426.5)</f>
        <v>426.5</v>
      </c>
      <c r="C3654" s="2">
        <f>IFERROR(__xludf.DUMMYFUNCTION("""COMPUTED_VALUE"""),432.8)</f>
        <v>432.8</v>
      </c>
      <c r="D3654" s="2">
        <f>IFERROR(__xludf.DUMMYFUNCTION("""COMPUTED_VALUE"""),421.05)</f>
        <v>421.05</v>
      </c>
      <c r="E3654" s="2">
        <f>IFERROR(__xludf.DUMMYFUNCTION("""COMPUTED_VALUE"""),424.98)</f>
        <v>424.98</v>
      </c>
      <c r="F3654" s="2">
        <f>IFERROR(__xludf.DUMMYFUNCTION("""COMPUTED_VALUE"""),4148990.0)</f>
        <v>4148990</v>
      </c>
    </row>
    <row r="3655">
      <c r="A3655" s="3">
        <f>IFERROR(__xludf.DUMMYFUNCTION("""COMPUTED_VALUE"""),41908.645833333336)</f>
        <v>41908.64583</v>
      </c>
      <c r="B3655" s="2">
        <f>IFERROR(__xludf.DUMMYFUNCTION("""COMPUTED_VALUE"""),424.98)</f>
        <v>424.98</v>
      </c>
      <c r="C3655" s="2">
        <f>IFERROR(__xludf.DUMMYFUNCTION("""COMPUTED_VALUE"""),439.5)</f>
        <v>439.5</v>
      </c>
      <c r="D3655" s="2">
        <f>IFERROR(__xludf.DUMMYFUNCTION("""COMPUTED_VALUE"""),422.5)</f>
        <v>422.5</v>
      </c>
      <c r="E3655" s="2">
        <f>IFERROR(__xludf.DUMMYFUNCTION("""COMPUTED_VALUE"""),435.83)</f>
        <v>435.83</v>
      </c>
      <c r="F3655" s="2">
        <f>IFERROR(__xludf.DUMMYFUNCTION("""COMPUTED_VALUE"""),2470563.0)</f>
        <v>2470563</v>
      </c>
    </row>
    <row r="3656">
      <c r="A3656" s="3">
        <f>IFERROR(__xludf.DUMMYFUNCTION("""COMPUTED_VALUE"""),41911.645833333336)</f>
        <v>41911.64583</v>
      </c>
      <c r="B3656" s="2">
        <f>IFERROR(__xludf.DUMMYFUNCTION("""COMPUTED_VALUE"""),436.5)</f>
        <v>436.5</v>
      </c>
      <c r="C3656" s="2">
        <f>IFERROR(__xludf.DUMMYFUNCTION("""COMPUTED_VALUE"""),438.67)</f>
        <v>438.67</v>
      </c>
      <c r="D3656" s="2">
        <f>IFERROR(__xludf.DUMMYFUNCTION("""COMPUTED_VALUE"""),430.6)</f>
        <v>430.6</v>
      </c>
      <c r="E3656" s="2">
        <f>IFERROR(__xludf.DUMMYFUNCTION("""COMPUTED_VALUE"""),432.55)</f>
        <v>432.55</v>
      </c>
      <c r="F3656" s="2">
        <f>IFERROR(__xludf.DUMMYFUNCTION("""COMPUTED_VALUE"""),2170567.0)</f>
        <v>2170567</v>
      </c>
    </row>
    <row r="3657">
      <c r="A3657" s="3">
        <f>IFERROR(__xludf.DUMMYFUNCTION("""COMPUTED_VALUE"""),41912.645833333336)</f>
        <v>41912.64583</v>
      </c>
      <c r="B3657" s="2">
        <f>IFERROR(__xludf.DUMMYFUNCTION("""COMPUTED_VALUE"""),432.1)</f>
        <v>432.1</v>
      </c>
      <c r="C3657" s="2">
        <f>IFERROR(__xludf.DUMMYFUNCTION("""COMPUTED_VALUE"""),439.9)</f>
        <v>439.9</v>
      </c>
      <c r="D3657" s="2">
        <f>IFERROR(__xludf.DUMMYFUNCTION("""COMPUTED_VALUE"""),430.58)</f>
        <v>430.58</v>
      </c>
      <c r="E3657" s="2">
        <f>IFERROR(__xludf.DUMMYFUNCTION("""COMPUTED_VALUE"""),436.33)</f>
        <v>436.33</v>
      </c>
      <c r="F3657" s="2">
        <f>IFERROR(__xludf.DUMMYFUNCTION("""COMPUTED_VALUE"""),3008858.0)</f>
        <v>3008858</v>
      </c>
    </row>
    <row r="3658">
      <c r="A3658" s="3">
        <f>IFERROR(__xludf.DUMMYFUNCTION("""COMPUTED_VALUE"""),41913.645833333336)</f>
        <v>41913.64583</v>
      </c>
      <c r="B3658" s="2">
        <f>IFERROR(__xludf.DUMMYFUNCTION("""COMPUTED_VALUE"""),433.0)</f>
        <v>433</v>
      </c>
      <c r="C3658" s="2">
        <f>IFERROR(__xludf.DUMMYFUNCTION("""COMPUTED_VALUE"""),435.58)</f>
        <v>435.58</v>
      </c>
      <c r="D3658" s="2">
        <f>IFERROR(__xludf.DUMMYFUNCTION("""COMPUTED_VALUE"""),430.25)</f>
        <v>430.25</v>
      </c>
      <c r="E3658" s="2">
        <f>IFERROR(__xludf.DUMMYFUNCTION("""COMPUTED_VALUE"""),434.0)</f>
        <v>434</v>
      </c>
      <c r="F3658" s="2">
        <f>IFERROR(__xludf.DUMMYFUNCTION("""COMPUTED_VALUE"""),1467547.0)</f>
        <v>1467547</v>
      </c>
    </row>
    <row r="3659">
      <c r="A3659" s="3">
        <f>IFERROR(__xludf.DUMMYFUNCTION("""COMPUTED_VALUE"""),41919.645833333336)</f>
        <v>41919.64583</v>
      </c>
      <c r="B3659" s="2">
        <f>IFERROR(__xludf.DUMMYFUNCTION("""COMPUTED_VALUE"""),432.5)</f>
        <v>432.5</v>
      </c>
      <c r="C3659" s="2">
        <f>IFERROR(__xludf.DUMMYFUNCTION("""COMPUTED_VALUE"""),433.5)</f>
        <v>433.5</v>
      </c>
      <c r="D3659" s="2">
        <f>IFERROR(__xludf.DUMMYFUNCTION("""COMPUTED_VALUE"""),427.05)</f>
        <v>427.05</v>
      </c>
      <c r="E3659" s="2">
        <f>IFERROR(__xludf.DUMMYFUNCTION("""COMPUTED_VALUE"""),431.23)</f>
        <v>431.23</v>
      </c>
      <c r="F3659" s="2">
        <f>IFERROR(__xludf.DUMMYFUNCTION("""COMPUTED_VALUE"""),1256572.0)</f>
        <v>1256572</v>
      </c>
    </row>
    <row r="3660">
      <c r="A3660" s="3">
        <f>IFERROR(__xludf.DUMMYFUNCTION("""COMPUTED_VALUE"""),41920.645833333336)</f>
        <v>41920.64583</v>
      </c>
      <c r="B3660" s="2">
        <f>IFERROR(__xludf.DUMMYFUNCTION("""COMPUTED_VALUE"""),430.28)</f>
        <v>430.28</v>
      </c>
      <c r="C3660" s="2">
        <f>IFERROR(__xludf.DUMMYFUNCTION("""COMPUTED_VALUE"""),435.0)</f>
        <v>435</v>
      </c>
      <c r="D3660" s="2">
        <f>IFERROR(__xludf.DUMMYFUNCTION("""COMPUTED_VALUE"""),429.15)</f>
        <v>429.15</v>
      </c>
      <c r="E3660" s="2">
        <f>IFERROR(__xludf.DUMMYFUNCTION("""COMPUTED_VALUE"""),433.8)</f>
        <v>433.8</v>
      </c>
      <c r="F3660" s="2">
        <f>IFERROR(__xludf.DUMMYFUNCTION("""COMPUTED_VALUE"""),785096.0)</f>
        <v>785096</v>
      </c>
    </row>
    <row r="3661">
      <c r="A3661" s="3">
        <f>IFERROR(__xludf.DUMMYFUNCTION("""COMPUTED_VALUE"""),41921.645833333336)</f>
        <v>41921.64583</v>
      </c>
      <c r="B3661" s="2">
        <f>IFERROR(__xludf.DUMMYFUNCTION("""COMPUTED_VALUE"""),437.0)</f>
        <v>437</v>
      </c>
      <c r="C3661" s="2">
        <f>IFERROR(__xludf.DUMMYFUNCTION("""COMPUTED_VALUE"""),446.48)</f>
        <v>446.48</v>
      </c>
      <c r="D3661" s="2">
        <f>IFERROR(__xludf.DUMMYFUNCTION("""COMPUTED_VALUE"""),434.13)</f>
        <v>434.13</v>
      </c>
      <c r="E3661" s="2">
        <f>IFERROR(__xludf.DUMMYFUNCTION("""COMPUTED_VALUE"""),443.8)</f>
        <v>443.8</v>
      </c>
      <c r="F3661" s="2">
        <f>IFERROR(__xludf.DUMMYFUNCTION("""COMPUTED_VALUE"""),1912605.0)</f>
        <v>1912605</v>
      </c>
    </row>
    <row r="3662">
      <c r="A3662" s="3">
        <f>IFERROR(__xludf.DUMMYFUNCTION("""COMPUTED_VALUE"""),41922.645833333336)</f>
        <v>41922.64583</v>
      </c>
      <c r="B3662" s="2">
        <f>IFERROR(__xludf.DUMMYFUNCTION("""COMPUTED_VALUE"""),441.53)</f>
        <v>441.53</v>
      </c>
      <c r="C3662" s="2">
        <f>IFERROR(__xludf.DUMMYFUNCTION("""COMPUTED_VALUE"""),442.58)</f>
        <v>442.58</v>
      </c>
      <c r="D3662" s="2">
        <f>IFERROR(__xludf.DUMMYFUNCTION("""COMPUTED_VALUE"""),432.45)</f>
        <v>432.45</v>
      </c>
      <c r="E3662" s="2">
        <f>IFERROR(__xludf.DUMMYFUNCTION("""COMPUTED_VALUE"""),433.65)</f>
        <v>433.65</v>
      </c>
      <c r="F3662" s="2">
        <f>IFERROR(__xludf.DUMMYFUNCTION("""COMPUTED_VALUE"""),1066745.0)</f>
        <v>1066745</v>
      </c>
    </row>
    <row r="3663">
      <c r="A3663" s="3">
        <f>IFERROR(__xludf.DUMMYFUNCTION("""COMPUTED_VALUE"""),41925.645833333336)</f>
        <v>41925.64583</v>
      </c>
      <c r="B3663" s="2">
        <f>IFERROR(__xludf.DUMMYFUNCTION("""COMPUTED_VALUE"""),432.0)</f>
        <v>432</v>
      </c>
      <c r="C3663" s="2">
        <f>IFERROR(__xludf.DUMMYFUNCTION("""COMPUTED_VALUE"""),439.0)</f>
        <v>439</v>
      </c>
      <c r="D3663" s="2">
        <f>IFERROR(__xludf.DUMMYFUNCTION("""COMPUTED_VALUE"""),427.83)</f>
        <v>427.83</v>
      </c>
      <c r="E3663" s="2">
        <f>IFERROR(__xludf.DUMMYFUNCTION("""COMPUTED_VALUE"""),438.4)</f>
        <v>438.4</v>
      </c>
      <c r="F3663" s="2">
        <f>IFERROR(__xludf.DUMMYFUNCTION("""COMPUTED_VALUE"""),1344128.0)</f>
        <v>1344128</v>
      </c>
    </row>
    <row r="3664">
      <c r="A3664" s="3">
        <f>IFERROR(__xludf.DUMMYFUNCTION("""COMPUTED_VALUE"""),41926.645833333336)</f>
        <v>41926.64583</v>
      </c>
      <c r="B3664" s="2">
        <f>IFERROR(__xludf.DUMMYFUNCTION("""COMPUTED_VALUE"""),442.5)</f>
        <v>442.5</v>
      </c>
      <c r="C3664" s="2">
        <f>IFERROR(__xludf.DUMMYFUNCTION("""COMPUTED_VALUE"""),442.98)</f>
        <v>442.98</v>
      </c>
      <c r="D3664" s="2">
        <f>IFERROR(__xludf.DUMMYFUNCTION("""COMPUTED_VALUE"""),432.58)</f>
        <v>432.58</v>
      </c>
      <c r="E3664" s="2">
        <f>IFERROR(__xludf.DUMMYFUNCTION("""COMPUTED_VALUE"""),434.17)</f>
        <v>434.17</v>
      </c>
      <c r="F3664" s="2">
        <f>IFERROR(__xludf.DUMMYFUNCTION("""COMPUTED_VALUE"""),1816560.0)</f>
        <v>1816560</v>
      </c>
    </row>
    <row r="3665">
      <c r="A3665" s="3">
        <f>IFERROR(__xludf.DUMMYFUNCTION("""COMPUTED_VALUE"""),41928.645833333336)</f>
        <v>41928.64583</v>
      </c>
      <c r="B3665" s="2">
        <f>IFERROR(__xludf.DUMMYFUNCTION("""COMPUTED_VALUE"""),434.2)</f>
        <v>434.2</v>
      </c>
      <c r="C3665" s="2">
        <f>IFERROR(__xludf.DUMMYFUNCTION("""COMPUTED_VALUE"""),437.0)</f>
        <v>437</v>
      </c>
      <c r="D3665" s="2">
        <f>IFERROR(__xludf.DUMMYFUNCTION("""COMPUTED_VALUE"""),427.53)</f>
        <v>427.53</v>
      </c>
      <c r="E3665" s="2">
        <f>IFERROR(__xludf.DUMMYFUNCTION("""COMPUTED_VALUE"""),429.42)</f>
        <v>429.42</v>
      </c>
      <c r="F3665" s="2">
        <f>IFERROR(__xludf.DUMMYFUNCTION("""COMPUTED_VALUE"""),1383271.0)</f>
        <v>1383271</v>
      </c>
    </row>
    <row r="3666">
      <c r="A3666" s="3">
        <f>IFERROR(__xludf.DUMMYFUNCTION("""COMPUTED_VALUE"""),41929.645833333336)</f>
        <v>41929.64583</v>
      </c>
      <c r="B3666" s="2">
        <f>IFERROR(__xludf.DUMMYFUNCTION("""COMPUTED_VALUE"""),430.13)</f>
        <v>430.13</v>
      </c>
      <c r="C3666" s="2">
        <f>IFERROR(__xludf.DUMMYFUNCTION("""COMPUTED_VALUE"""),444.05)</f>
        <v>444.05</v>
      </c>
      <c r="D3666" s="2">
        <f>IFERROR(__xludf.DUMMYFUNCTION("""COMPUTED_VALUE"""),428.55)</f>
        <v>428.55</v>
      </c>
      <c r="E3666" s="2">
        <f>IFERROR(__xludf.DUMMYFUNCTION("""COMPUTED_VALUE"""),442.63)</f>
        <v>442.63</v>
      </c>
      <c r="F3666" s="2">
        <f>IFERROR(__xludf.DUMMYFUNCTION("""COMPUTED_VALUE"""),2494480.0)</f>
        <v>2494480</v>
      </c>
    </row>
    <row r="3667">
      <c r="A3667" s="3">
        <f>IFERROR(__xludf.DUMMYFUNCTION("""COMPUTED_VALUE"""),41932.645833333336)</f>
        <v>41932.64583</v>
      </c>
      <c r="B3667" s="2">
        <f>IFERROR(__xludf.DUMMYFUNCTION("""COMPUTED_VALUE"""),447.0)</f>
        <v>447</v>
      </c>
      <c r="C3667" s="2">
        <f>IFERROR(__xludf.DUMMYFUNCTION("""COMPUTED_VALUE"""),454.8)</f>
        <v>454.8</v>
      </c>
      <c r="D3667" s="2">
        <f>IFERROR(__xludf.DUMMYFUNCTION("""COMPUTED_VALUE"""),445.08)</f>
        <v>445.08</v>
      </c>
      <c r="E3667" s="2">
        <f>IFERROR(__xludf.DUMMYFUNCTION("""COMPUTED_VALUE"""),446.9)</f>
        <v>446.9</v>
      </c>
      <c r="F3667" s="2">
        <f>IFERROR(__xludf.DUMMYFUNCTION("""COMPUTED_VALUE"""),2383001.0)</f>
        <v>2383001</v>
      </c>
    </row>
    <row r="3668">
      <c r="A3668" s="3">
        <f>IFERROR(__xludf.DUMMYFUNCTION("""COMPUTED_VALUE"""),41933.645833333336)</f>
        <v>41933.64583</v>
      </c>
      <c r="B3668" s="2">
        <f>IFERROR(__xludf.DUMMYFUNCTION("""COMPUTED_VALUE"""),450.0)</f>
        <v>450</v>
      </c>
      <c r="C3668" s="2">
        <f>IFERROR(__xludf.DUMMYFUNCTION("""COMPUTED_VALUE"""),452.88)</f>
        <v>452.88</v>
      </c>
      <c r="D3668" s="2">
        <f>IFERROR(__xludf.DUMMYFUNCTION("""COMPUTED_VALUE"""),443.83)</f>
        <v>443.83</v>
      </c>
      <c r="E3668" s="2">
        <f>IFERROR(__xludf.DUMMYFUNCTION("""COMPUTED_VALUE"""),447.78)</f>
        <v>447.78</v>
      </c>
      <c r="F3668" s="2">
        <f>IFERROR(__xludf.DUMMYFUNCTION("""COMPUTED_VALUE"""),4009288.0)</f>
        <v>4009288</v>
      </c>
    </row>
    <row r="3669">
      <c r="A3669" s="3">
        <f>IFERROR(__xludf.DUMMYFUNCTION("""COMPUTED_VALUE"""),41934.645833333336)</f>
        <v>41934.64583</v>
      </c>
      <c r="B3669" s="2">
        <f>IFERROR(__xludf.DUMMYFUNCTION("""COMPUTED_VALUE"""),452.53)</f>
        <v>452.53</v>
      </c>
      <c r="C3669" s="2">
        <f>IFERROR(__xludf.DUMMYFUNCTION("""COMPUTED_VALUE"""),453.17)</f>
        <v>453.17</v>
      </c>
      <c r="D3669" s="2">
        <f>IFERROR(__xludf.DUMMYFUNCTION("""COMPUTED_VALUE"""),445.63)</f>
        <v>445.63</v>
      </c>
      <c r="E3669" s="2">
        <f>IFERROR(__xludf.DUMMYFUNCTION("""COMPUTED_VALUE"""),446.83)</f>
        <v>446.83</v>
      </c>
      <c r="F3669" s="2">
        <f>IFERROR(__xludf.DUMMYFUNCTION("""COMPUTED_VALUE"""),1142886.0)</f>
        <v>1142886</v>
      </c>
    </row>
    <row r="3670">
      <c r="A3670" s="3">
        <f>IFERROR(__xludf.DUMMYFUNCTION("""COMPUTED_VALUE"""),41935.645833333336)</f>
        <v>41935.64583</v>
      </c>
      <c r="B3670" s="2">
        <f>IFERROR(__xludf.DUMMYFUNCTION("""COMPUTED_VALUE"""),446.5)</f>
        <v>446.5</v>
      </c>
      <c r="C3670" s="2">
        <f>IFERROR(__xludf.DUMMYFUNCTION("""COMPUTED_VALUE"""),448.6)</f>
        <v>448.6</v>
      </c>
      <c r="D3670" s="2">
        <f>IFERROR(__xludf.DUMMYFUNCTION("""COMPUTED_VALUE"""),446.0)</f>
        <v>446</v>
      </c>
      <c r="E3670" s="2">
        <f>IFERROR(__xludf.DUMMYFUNCTION("""COMPUTED_VALUE"""),448.2)</f>
        <v>448.2</v>
      </c>
      <c r="F3670" s="2">
        <f>IFERROR(__xludf.DUMMYFUNCTION("""COMPUTED_VALUE"""),161641.0)</f>
        <v>161641</v>
      </c>
    </row>
    <row r="3671">
      <c r="A3671" s="3">
        <f>IFERROR(__xludf.DUMMYFUNCTION("""COMPUTED_VALUE"""),41939.645833333336)</f>
        <v>41939.64583</v>
      </c>
      <c r="B3671" s="2">
        <f>IFERROR(__xludf.DUMMYFUNCTION("""COMPUTED_VALUE"""),449.53)</f>
        <v>449.53</v>
      </c>
      <c r="C3671" s="2">
        <f>IFERROR(__xludf.DUMMYFUNCTION("""COMPUTED_VALUE"""),453.65)</f>
        <v>453.65</v>
      </c>
      <c r="D3671" s="2">
        <f>IFERROR(__xludf.DUMMYFUNCTION("""COMPUTED_VALUE"""),447.08)</f>
        <v>447.08</v>
      </c>
      <c r="E3671" s="2">
        <f>IFERROR(__xludf.DUMMYFUNCTION("""COMPUTED_VALUE"""),448.63)</f>
        <v>448.63</v>
      </c>
      <c r="F3671" s="2">
        <f>IFERROR(__xludf.DUMMYFUNCTION("""COMPUTED_VALUE"""),1681192.0)</f>
        <v>1681192</v>
      </c>
    </row>
    <row r="3672">
      <c r="A3672" s="3">
        <f>IFERROR(__xludf.DUMMYFUNCTION("""COMPUTED_VALUE"""),41940.645833333336)</f>
        <v>41940.64583</v>
      </c>
      <c r="B3672" s="2">
        <f>IFERROR(__xludf.DUMMYFUNCTION("""COMPUTED_VALUE"""),449.5)</f>
        <v>449.5</v>
      </c>
      <c r="C3672" s="2">
        <f>IFERROR(__xludf.DUMMYFUNCTION("""COMPUTED_VALUE"""),450.1)</f>
        <v>450.1</v>
      </c>
      <c r="D3672" s="2">
        <f>IFERROR(__xludf.DUMMYFUNCTION("""COMPUTED_VALUE"""),447.0)</f>
        <v>447</v>
      </c>
      <c r="E3672" s="2">
        <f>IFERROR(__xludf.DUMMYFUNCTION("""COMPUTED_VALUE"""),447.65)</f>
        <v>447.65</v>
      </c>
      <c r="F3672" s="2">
        <f>IFERROR(__xludf.DUMMYFUNCTION("""COMPUTED_VALUE"""),1450873.0)</f>
        <v>1450873</v>
      </c>
    </row>
    <row r="3673">
      <c r="A3673" s="3">
        <f>IFERROR(__xludf.DUMMYFUNCTION("""COMPUTED_VALUE"""),41941.645833333336)</f>
        <v>41941.64583</v>
      </c>
      <c r="B3673" s="2">
        <f>IFERROR(__xludf.DUMMYFUNCTION("""COMPUTED_VALUE"""),450.1)</f>
        <v>450.1</v>
      </c>
      <c r="C3673" s="2">
        <f>IFERROR(__xludf.DUMMYFUNCTION("""COMPUTED_VALUE"""),451.25)</f>
        <v>451.25</v>
      </c>
      <c r="D3673" s="2">
        <f>IFERROR(__xludf.DUMMYFUNCTION("""COMPUTED_VALUE"""),445.0)</f>
        <v>445</v>
      </c>
      <c r="E3673" s="2">
        <f>IFERROR(__xludf.DUMMYFUNCTION("""COMPUTED_VALUE"""),445.78)</f>
        <v>445.78</v>
      </c>
      <c r="F3673" s="2">
        <f>IFERROR(__xludf.DUMMYFUNCTION("""COMPUTED_VALUE"""),1974047.0)</f>
        <v>1974047</v>
      </c>
    </row>
    <row r="3674">
      <c r="A3674" s="3">
        <f>IFERROR(__xludf.DUMMYFUNCTION("""COMPUTED_VALUE"""),41942.645833333336)</f>
        <v>41942.64583</v>
      </c>
      <c r="B3674" s="2">
        <f>IFERROR(__xludf.DUMMYFUNCTION("""COMPUTED_VALUE"""),444.95)</f>
        <v>444.95</v>
      </c>
      <c r="C3674" s="2">
        <f>IFERROR(__xludf.DUMMYFUNCTION("""COMPUTED_VALUE"""),449.98)</f>
        <v>449.98</v>
      </c>
      <c r="D3674" s="2">
        <f>IFERROR(__xludf.DUMMYFUNCTION("""COMPUTED_VALUE"""),443.55)</f>
        <v>443.55</v>
      </c>
      <c r="E3674" s="2">
        <f>IFERROR(__xludf.DUMMYFUNCTION("""COMPUTED_VALUE"""),448.33)</f>
        <v>448.33</v>
      </c>
      <c r="F3674" s="2">
        <f>IFERROR(__xludf.DUMMYFUNCTION("""COMPUTED_VALUE"""),2684545.0)</f>
        <v>2684545</v>
      </c>
    </row>
    <row r="3675">
      <c r="A3675" s="3">
        <f>IFERROR(__xludf.DUMMYFUNCTION("""COMPUTED_VALUE"""),41943.645833333336)</f>
        <v>41943.64583</v>
      </c>
      <c r="B3675" s="2">
        <f>IFERROR(__xludf.DUMMYFUNCTION("""COMPUTED_VALUE"""),450.05)</f>
        <v>450.05</v>
      </c>
      <c r="C3675" s="2">
        <f>IFERROR(__xludf.DUMMYFUNCTION("""COMPUTED_VALUE"""),457.3)</f>
        <v>457.3</v>
      </c>
      <c r="D3675" s="2">
        <f>IFERROR(__xludf.DUMMYFUNCTION("""COMPUTED_VALUE"""),448.67)</f>
        <v>448.67</v>
      </c>
      <c r="E3675" s="2">
        <f>IFERROR(__xludf.DUMMYFUNCTION("""COMPUTED_VALUE"""),455.92)</f>
        <v>455.92</v>
      </c>
      <c r="F3675" s="2">
        <f>IFERROR(__xludf.DUMMYFUNCTION("""COMPUTED_VALUE"""),2526497.0)</f>
        <v>2526497</v>
      </c>
    </row>
    <row r="3676">
      <c r="A3676" s="3">
        <f>IFERROR(__xludf.DUMMYFUNCTION("""COMPUTED_VALUE"""),41946.645833333336)</f>
        <v>41946.64583</v>
      </c>
      <c r="B3676" s="2">
        <f>IFERROR(__xludf.DUMMYFUNCTION("""COMPUTED_VALUE"""),457.6)</f>
        <v>457.6</v>
      </c>
      <c r="C3676" s="2">
        <f>IFERROR(__xludf.DUMMYFUNCTION("""COMPUTED_VALUE"""),459.65)</f>
        <v>459.65</v>
      </c>
      <c r="D3676" s="2">
        <f>IFERROR(__xludf.DUMMYFUNCTION("""COMPUTED_VALUE"""),452.7)</f>
        <v>452.7</v>
      </c>
      <c r="E3676" s="2">
        <f>IFERROR(__xludf.DUMMYFUNCTION("""COMPUTED_VALUE"""),455.35)</f>
        <v>455.35</v>
      </c>
      <c r="F3676" s="2">
        <f>IFERROR(__xludf.DUMMYFUNCTION("""COMPUTED_VALUE"""),1809912.0)</f>
        <v>1809912</v>
      </c>
    </row>
    <row r="3677">
      <c r="A3677" s="3">
        <f>IFERROR(__xludf.DUMMYFUNCTION("""COMPUTED_VALUE"""),41948.645833333336)</f>
        <v>41948.64583</v>
      </c>
      <c r="B3677" s="2">
        <f>IFERROR(__xludf.DUMMYFUNCTION("""COMPUTED_VALUE"""),457.53)</f>
        <v>457.53</v>
      </c>
      <c r="C3677" s="2">
        <f>IFERROR(__xludf.DUMMYFUNCTION("""COMPUTED_VALUE"""),460.15)</f>
        <v>460.15</v>
      </c>
      <c r="D3677" s="2">
        <f>IFERROR(__xludf.DUMMYFUNCTION("""COMPUTED_VALUE"""),455.13)</f>
        <v>455.13</v>
      </c>
      <c r="E3677" s="2">
        <f>IFERROR(__xludf.DUMMYFUNCTION("""COMPUTED_VALUE"""),456.4)</f>
        <v>456.4</v>
      </c>
      <c r="F3677" s="2">
        <f>IFERROR(__xludf.DUMMYFUNCTION("""COMPUTED_VALUE"""),1881045.0)</f>
        <v>1881045</v>
      </c>
    </row>
    <row r="3678">
      <c r="A3678" s="3">
        <f>IFERROR(__xludf.DUMMYFUNCTION("""COMPUTED_VALUE"""),41950.645833333336)</f>
        <v>41950.64583</v>
      </c>
      <c r="B3678" s="2">
        <f>IFERROR(__xludf.DUMMYFUNCTION("""COMPUTED_VALUE"""),452.5)</f>
        <v>452.5</v>
      </c>
      <c r="C3678" s="2">
        <f>IFERROR(__xludf.DUMMYFUNCTION("""COMPUTED_VALUE"""),453.3)</f>
        <v>453.3</v>
      </c>
      <c r="D3678" s="2">
        <f>IFERROR(__xludf.DUMMYFUNCTION("""COMPUTED_VALUE"""),446.83)</f>
        <v>446.83</v>
      </c>
      <c r="E3678" s="2">
        <f>IFERROR(__xludf.DUMMYFUNCTION("""COMPUTED_VALUE"""),449.73)</f>
        <v>449.73</v>
      </c>
      <c r="F3678" s="2">
        <f>IFERROR(__xludf.DUMMYFUNCTION("""COMPUTED_VALUE"""),2257123.0)</f>
        <v>2257123</v>
      </c>
    </row>
    <row r="3679">
      <c r="A3679" s="3">
        <f>IFERROR(__xludf.DUMMYFUNCTION("""COMPUTED_VALUE"""),41953.64583333333)</f>
        <v>41953.64583</v>
      </c>
      <c r="B3679" s="2">
        <f>IFERROR(__xludf.DUMMYFUNCTION("""COMPUTED_VALUE"""),449.75)</f>
        <v>449.75</v>
      </c>
      <c r="C3679" s="2">
        <f>IFERROR(__xludf.DUMMYFUNCTION("""COMPUTED_VALUE"""),454.17)</f>
        <v>454.17</v>
      </c>
      <c r="D3679" s="2">
        <f>IFERROR(__xludf.DUMMYFUNCTION("""COMPUTED_VALUE"""),446.5)</f>
        <v>446.5</v>
      </c>
      <c r="E3679" s="2">
        <f>IFERROR(__xludf.DUMMYFUNCTION("""COMPUTED_VALUE"""),452.33)</f>
        <v>452.33</v>
      </c>
      <c r="F3679" s="2">
        <f>IFERROR(__xludf.DUMMYFUNCTION("""COMPUTED_VALUE"""),1597439.0)</f>
        <v>1597439</v>
      </c>
    </row>
    <row r="3680">
      <c r="A3680" s="3">
        <f>IFERROR(__xludf.DUMMYFUNCTION("""COMPUTED_VALUE"""),41954.64583333333)</f>
        <v>41954.64583</v>
      </c>
      <c r="B3680" s="2">
        <f>IFERROR(__xludf.DUMMYFUNCTION("""COMPUTED_VALUE"""),452.95)</f>
        <v>452.95</v>
      </c>
      <c r="C3680" s="2">
        <f>IFERROR(__xludf.DUMMYFUNCTION("""COMPUTED_VALUE"""),458.65)</f>
        <v>458.65</v>
      </c>
      <c r="D3680" s="2">
        <f>IFERROR(__xludf.DUMMYFUNCTION("""COMPUTED_VALUE"""),451.2)</f>
        <v>451.2</v>
      </c>
      <c r="E3680" s="2">
        <f>IFERROR(__xludf.DUMMYFUNCTION("""COMPUTED_VALUE"""),453.95)</f>
        <v>453.95</v>
      </c>
      <c r="F3680" s="2">
        <f>IFERROR(__xludf.DUMMYFUNCTION("""COMPUTED_VALUE"""),1478352.0)</f>
        <v>1478352</v>
      </c>
    </row>
    <row r="3681">
      <c r="A3681" s="3">
        <f>IFERROR(__xludf.DUMMYFUNCTION("""COMPUTED_VALUE"""),41955.64583333333)</f>
        <v>41955.64583</v>
      </c>
      <c r="B3681" s="2">
        <f>IFERROR(__xludf.DUMMYFUNCTION("""COMPUTED_VALUE"""),455.5)</f>
        <v>455.5</v>
      </c>
      <c r="C3681" s="2">
        <f>IFERROR(__xludf.DUMMYFUNCTION("""COMPUTED_VALUE"""),459.95)</f>
        <v>459.95</v>
      </c>
      <c r="D3681" s="2">
        <f>IFERROR(__xludf.DUMMYFUNCTION("""COMPUTED_VALUE"""),452.08)</f>
        <v>452.08</v>
      </c>
      <c r="E3681" s="2">
        <f>IFERROR(__xludf.DUMMYFUNCTION("""COMPUTED_VALUE"""),455.88)</f>
        <v>455.88</v>
      </c>
      <c r="F3681" s="2">
        <f>IFERROR(__xludf.DUMMYFUNCTION("""COMPUTED_VALUE"""),2264666.0)</f>
        <v>2264666</v>
      </c>
    </row>
    <row r="3682">
      <c r="A3682" s="3">
        <f>IFERROR(__xludf.DUMMYFUNCTION("""COMPUTED_VALUE"""),41956.64583333333)</f>
        <v>41956.64583</v>
      </c>
      <c r="B3682" s="2">
        <f>IFERROR(__xludf.DUMMYFUNCTION("""COMPUTED_VALUE"""),457.75)</f>
        <v>457.75</v>
      </c>
      <c r="C3682" s="2">
        <f>IFERROR(__xludf.DUMMYFUNCTION("""COMPUTED_VALUE"""),460.0)</f>
        <v>460</v>
      </c>
      <c r="D3682" s="2">
        <f>IFERROR(__xludf.DUMMYFUNCTION("""COMPUTED_VALUE"""),451.95)</f>
        <v>451.95</v>
      </c>
      <c r="E3682" s="2">
        <f>IFERROR(__xludf.DUMMYFUNCTION("""COMPUTED_VALUE"""),457.98)</f>
        <v>457.98</v>
      </c>
      <c r="F3682" s="2">
        <f>IFERROR(__xludf.DUMMYFUNCTION("""COMPUTED_VALUE"""),1847238.0)</f>
        <v>1847238</v>
      </c>
    </row>
    <row r="3683">
      <c r="A3683" s="3">
        <f>IFERROR(__xludf.DUMMYFUNCTION("""COMPUTED_VALUE"""),41957.64583333333)</f>
        <v>41957.64583</v>
      </c>
      <c r="B3683" s="2">
        <f>IFERROR(__xludf.DUMMYFUNCTION("""COMPUTED_VALUE"""),459.1)</f>
        <v>459.1</v>
      </c>
      <c r="C3683" s="2">
        <f>IFERROR(__xludf.DUMMYFUNCTION("""COMPUTED_VALUE"""),466.5)</f>
        <v>466.5</v>
      </c>
      <c r="D3683" s="2">
        <f>IFERROR(__xludf.DUMMYFUNCTION("""COMPUTED_VALUE"""),455.88)</f>
        <v>455.88</v>
      </c>
      <c r="E3683" s="2">
        <f>IFERROR(__xludf.DUMMYFUNCTION("""COMPUTED_VALUE"""),465.05)</f>
        <v>465.05</v>
      </c>
      <c r="F3683" s="2">
        <f>IFERROR(__xludf.DUMMYFUNCTION("""COMPUTED_VALUE"""),2109514.0)</f>
        <v>2109514</v>
      </c>
    </row>
    <row r="3684">
      <c r="A3684" s="3">
        <f>IFERROR(__xludf.DUMMYFUNCTION("""COMPUTED_VALUE"""),41960.64583333333)</f>
        <v>41960.64583</v>
      </c>
      <c r="B3684" s="2">
        <f>IFERROR(__xludf.DUMMYFUNCTION("""COMPUTED_VALUE"""),465.0)</f>
        <v>465</v>
      </c>
      <c r="C3684" s="2">
        <f>IFERROR(__xludf.DUMMYFUNCTION("""COMPUTED_VALUE"""),467.0)</f>
        <v>467</v>
      </c>
      <c r="D3684" s="2">
        <f>IFERROR(__xludf.DUMMYFUNCTION("""COMPUTED_VALUE"""),454.0)</f>
        <v>454</v>
      </c>
      <c r="E3684" s="2">
        <f>IFERROR(__xludf.DUMMYFUNCTION("""COMPUTED_VALUE"""),459.48)</f>
        <v>459.48</v>
      </c>
      <c r="F3684" s="2">
        <f>IFERROR(__xludf.DUMMYFUNCTION("""COMPUTED_VALUE"""),3366021.0)</f>
        <v>3366021</v>
      </c>
    </row>
    <row r="3685">
      <c r="A3685" s="3">
        <f>IFERROR(__xludf.DUMMYFUNCTION("""COMPUTED_VALUE"""),41961.64583333333)</f>
        <v>41961.64583</v>
      </c>
      <c r="B3685" s="2">
        <f>IFERROR(__xludf.DUMMYFUNCTION("""COMPUTED_VALUE"""),460.5)</f>
        <v>460.5</v>
      </c>
      <c r="C3685" s="2">
        <f>IFERROR(__xludf.DUMMYFUNCTION("""COMPUTED_VALUE"""),467.5)</f>
        <v>467.5</v>
      </c>
      <c r="D3685" s="2">
        <f>IFERROR(__xludf.DUMMYFUNCTION("""COMPUTED_VALUE"""),456.0)</f>
        <v>456</v>
      </c>
      <c r="E3685" s="2">
        <f>IFERROR(__xludf.DUMMYFUNCTION("""COMPUTED_VALUE"""),466.1)</f>
        <v>466.1</v>
      </c>
      <c r="F3685" s="2">
        <f>IFERROR(__xludf.DUMMYFUNCTION("""COMPUTED_VALUE"""),2297278.0)</f>
        <v>2297278</v>
      </c>
    </row>
    <row r="3686">
      <c r="A3686" s="3">
        <f>IFERROR(__xludf.DUMMYFUNCTION("""COMPUTED_VALUE"""),41962.64583333333)</f>
        <v>41962.64583</v>
      </c>
      <c r="B3686" s="2">
        <f>IFERROR(__xludf.DUMMYFUNCTION("""COMPUTED_VALUE"""),467.53)</f>
        <v>467.53</v>
      </c>
      <c r="C3686" s="2">
        <f>IFERROR(__xludf.DUMMYFUNCTION("""COMPUTED_VALUE"""),468.85)</f>
        <v>468.85</v>
      </c>
      <c r="D3686" s="2">
        <f>IFERROR(__xludf.DUMMYFUNCTION("""COMPUTED_VALUE"""),461.08)</f>
        <v>461.08</v>
      </c>
      <c r="E3686" s="2">
        <f>IFERROR(__xludf.DUMMYFUNCTION("""COMPUTED_VALUE"""),463.28)</f>
        <v>463.28</v>
      </c>
      <c r="F3686" s="2">
        <f>IFERROR(__xludf.DUMMYFUNCTION("""COMPUTED_VALUE"""),863712.0)</f>
        <v>863712</v>
      </c>
    </row>
    <row r="3687">
      <c r="A3687" s="3">
        <f>IFERROR(__xludf.DUMMYFUNCTION("""COMPUTED_VALUE"""),41963.64583333333)</f>
        <v>41963.64583</v>
      </c>
      <c r="B3687" s="2">
        <f>IFERROR(__xludf.DUMMYFUNCTION("""COMPUTED_VALUE"""),463.98)</f>
        <v>463.98</v>
      </c>
      <c r="C3687" s="2">
        <f>IFERROR(__xludf.DUMMYFUNCTION("""COMPUTED_VALUE"""),463.98)</f>
        <v>463.98</v>
      </c>
      <c r="D3687" s="2">
        <f>IFERROR(__xludf.DUMMYFUNCTION("""COMPUTED_VALUE"""),456.05)</f>
        <v>456.05</v>
      </c>
      <c r="E3687" s="2">
        <f>IFERROR(__xludf.DUMMYFUNCTION("""COMPUTED_VALUE"""),459.1)</f>
        <v>459.1</v>
      </c>
      <c r="F3687" s="2">
        <f>IFERROR(__xludf.DUMMYFUNCTION("""COMPUTED_VALUE"""),1192593.0)</f>
        <v>1192593</v>
      </c>
    </row>
    <row r="3688">
      <c r="A3688" s="3">
        <f>IFERROR(__xludf.DUMMYFUNCTION("""COMPUTED_VALUE"""),41964.64583333333)</f>
        <v>41964.64583</v>
      </c>
      <c r="B3688" s="2">
        <f>IFERROR(__xludf.DUMMYFUNCTION("""COMPUTED_VALUE"""),460.6)</f>
        <v>460.6</v>
      </c>
      <c r="C3688" s="2">
        <f>IFERROR(__xludf.DUMMYFUNCTION("""COMPUTED_VALUE"""),467.5)</f>
        <v>467.5</v>
      </c>
      <c r="D3688" s="2">
        <f>IFERROR(__xludf.DUMMYFUNCTION("""COMPUTED_VALUE"""),457.03)</f>
        <v>457.03</v>
      </c>
      <c r="E3688" s="2">
        <f>IFERROR(__xludf.DUMMYFUNCTION("""COMPUTED_VALUE"""),466.42)</f>
        <v>466.42</v>
      </c>
      <c r="F3688" s="2">
        <f>IFERROR(__xludf.DUMMYFUNCTION("""COMPUTED_VALUE"""),2205952.0)</f>
        <v>2205952</v>
      </c>
    </row>
    <row r="3689">
      <c r="A3689" s="3">
        <f>IFERROR(__xludf.DUMMYFUNCTION("""COMPUTED_VALUE"""),41967.64583333333)</f>
        <v>41967.64583</v>
      </c>
      <c r="B3689" s="2">
        <f>IFERROR(__xludf.DUMMYFUNCTION("""COMPUTED_VALUE"""),466.17)</f>
        <v>466.17</v>
      </c>
      <c r="C3689" s="2">
        <f>IFERROR(__xludf.DUMMYFUNCTION("""COMPUTED_VALUE"""),475.0)</f>
        <v>475</v>
      </c>
      <c r="D3689" s="2">
        <f>IFERROR(__xludf.DUMMYFUNCTION("""COMPUTED_VALUE"""),464.05)</f>
        <v>464.05</v>
      </c>
      <c r="E3689" s="2">
        <f>IFERROR(__xludf.DUMMYFUNCTION("""COMPUTED_VALUE"""),472.6)</f>
        <v>472.6</v>
      </c>
      <c r="F3689" s="2">
        <f>IFERROR(__xludf.DUMMYFUNCTION("""COMPUTED_VALUE"""),1829215.0)</f>
        <v>1829215</v>
      </c>
    </row>
    <row r="3690">
      <c r="A3690" s="3">
        <f>IFERROR(__xludf.DUMMYFUNCTION("""COMPUTED_VALUE"""),41968.64583333333)</f>
        <v>41968.64583</v>
      </c>
      <c r="B3690" s="2">
        <f>IFERROR(__xludf.DUMMYFUNCTION("""COMPUTED_VALUE"""),471.5)</f>
        <v>471.5</v>
      </c>
      <c r="C3690" s="2">
        <f>IFERROR(__xludf.DUMMYFUNCTION("""COMPUTED_VALUE"""),479.4)</f>
        <v>479.4</v>
      </c>
      <c r="D3690" s="2">
        <f>IFERROR(__xludf.DUMMYFUNCTION("""COMPUTED_VALUE"""),469.5)</f>
        <v>469.5</v>
      </c>
      <c r="E3690" s="2">
        <f>IFERROR(__xludf.DUMMYFUNCTION("""COMPUTED_VALUE"""),476.78)</f>
        <v>476.78</v>
      </c>
      <c r="F3690" s="2">
        <f>IFERROR(__xludf.DUMMYFUNCTION("""COMPUTED_VALUE"""),3039127.0)</f>
        <v>3039127</v>
      </c>
    </row>
    <row r="3691">
      <c r="A3691" s="3">
        <f>IFERROR(__xludf.DUMMYFUNCTION("""COMPUTED_VALUE"""),41969.64583333333)</f>
        <v>41969.64583</v>
      </c>
      <c r="B3691" s="2">
        <f>IFERROR(__xludf.DUMMYFUNCTION("""COMPUTED_VALUE"""),469.9)</f>
        <v>469.9</v>
      </c>
      <c r="C3691" s="2">
        <f>IFERROR(__xludf.DUMMYFUNCTION("""COMPUTED_VALUE"""),479.95)</f>
        <v>479.95</v>
      </c>
      <c r="D3691" s="2">
        <f>IFERROR(__xludf.DUMMYFUNCTION("""COMPUTED_VALUE"""),466.65)</f>
        <v>466.65</v>
      </c>
      <c r="E3691" s="2">
        <f>IFERROR(__xludf.DUMMYFUNCTION("""COMPUTED_VALUE"""),475.65)</f>
        <v>475.65</v>
      </c>
      <c r="F3691" s="2">
        <f>IFERROR(__xludf.DUMMYFUNCTION("""COMPUTED_VALUE"""),2244107.0)</f>
        <v>2244107</v>
      </c>
    </row>
    <row r="3692">
      <c r="A3692" s="3">
        <f>IFERROR(__xludf.DUMMYFUNCTION("""COMPUTED_VALUE"""),41970.64583333333)</f>
        <v>41970.64583</v>
      </c>
      <c r="B3692" s="2">
        <f>IFERROR(__xludf.DUMMYFUNCTION("""COMPUTED_VALUE"""),475.3)</f>
        <v>475.3</v>
      </c>
      <c r="C3692" s="2">
        <f>IFERROR(__xludf.DUMMYFUNCTION("""COMPUTED_VALUE"""),476.9)</f>
        <v>476.9</v>
      </c>
      <c r="D3692" s="2">
        <f>IFERROR(__xludf.DUMMYFUNCTION("""COMPUTED_VALUE"""),471.5)</f>
        <v>471.5</v>
      </c>
      <c r="E3692" s="2">
        <f>IFERROR(__xludf.DUMMYFUNCTION("""COMPUTED_VALUE"""),474.08)</f>
        <v>474.08</v>
      </c>
      <c r="F3692" s="2">
        <f>IFERROR(__xludf.DUMMYFUNCTION("""COMPUTED_VALUE"""),3302862.0)</f>
        <v>3302862</v>
      </c>
    </row>
    <row r="3693">
      <c r="A3693" s="3">
        <f>IFERROR(__xludf.DUMMYFUNCTION("""COMPUTED_VALUE"""),41971.64583333333)</f>
        <v>41971.64583</v>
      </c>
      <c r="B3693" s="2">
        <f>IFERROR(__xludf.DUMMYFUNCTION("""COMPUTED_VALUE"""),474.0)</f>
        <v>474</v>
      </c>
      <c r="C3693" s="2">
        <f>IFERROR(__xludf.DUMMYFUNCTION("""COMPUTED_VALUE"""),482.95)</f>
        <v>482.95</v>
      </c>
      <c r="D3693" s="2">
        <f>IFERROR(__xludf.DUMMYFUNCTION("""COMPUTED_VALUE"""),473.5)</f>
        <v>473.5</v>
      </c>
      <c r="E3693" s="2">
        <f>IFERROR(__xludf.DUMMYFUNCTION("""COMPUTED_VALUE"""),478.58)</f>
        <v>478.58</v>
      </c>
      <c r="F3693" s="2">
        <f>IFERROR(__xludf.DUMMYFUNCTION("""COMPUTED_VALUE"""),2312965.0)</f>
        <v>2312965</v>
      </c>
    </row>
    <row r="3694">
      <c r="A3694" s="3">
        <f>IFERROR(__xludf.DUMMYFUNCTION("""COMPUTED_VALUE"""),41974.64583333333)</f>
        <v>41974.64583</v>
      </c>
      <c r="B3694" s="2">
        <f>IFERROR(__xludf.DUMMYFUNCTION("""COMPUTED_VALUE"""),479.15)</f>
        <v>479.15</v>
      </c>
      <c r="C3694" s="2">
        <f>IFERROR(__xludf.DUMMYFUNCTION("""COMPUTED_VALUE"""),481.23)</f>
        <v>481.23</v>
      </c>
      <c r="D3694" s="2">
        <f>IFERROR(__xludf.DUMMYFUNCTION("""COMPUTED_VALUE"""),474.1)</f>
        <v>474.1</v>
      </c>
      <c r="E3694" s="2">
        <f>IFERROR(__xludf.DUMMYFUNCTION("""COMPUTED_VALUE"""),475.0)</f>
        <v>475</v>
      </c>
      <c r="F3694" s="2">
        <f>IFERROR(__xludf.DUMMYFUNCTION("""COMPUTED_VALUE"""),1847282.0)</f>
        <v>1847282</v>
      </c>
    </row>
    <row r="3695">
      <c r="A3695" s="3">
        <f>IFERROR(__xludf.DUMMYFUNCTION("""COMPUTED_VALUE"""),41975.64583333333)</f>
        <v>41975.64583</v>
      </c>
      <c r="B3695" s="2">
        <f>IFERROR(__xludf.DUMMYFUNCTION("""COMPUTED_VALUE"""),470.88)</f>
        <v>470.88</v>
      </c>
      <c r="C3695" s="2">
        <f>IFERROR(__xludf.DUMMYFUNCTION("""COMPUTED_VALUE"""),474.8)</f>
        <v>474.8</v>
      </c>
      <c r="D3695" s="2">
        <f>IFERROR(__xludf.DUMMYFUNCTION("""COMPUTED_VALUE"""),469.6)</f>
        <v>469.6</v>
      </c>
      <c r="E3695" s="2">
        <f>IFERROR(__xludf.DUMMYFUNCTION("""COMPUTED_VALUE"""),471.65)</f>
        <v>471.65</v>
      </c>
      <c r="F3695" s="2">
        <f>IFERROR(__xludf.DUMMYFUNCTION("""COMPUTED_VALUE"""),1129389.0)</f>
        <v>1129389</v>
      </c>
    </row>
    <row r="3696">
      <c r="A3696" s="3">
        <f>IFERROR(__xludf.DUMMYFUNCTION("""COMPUTED_VALUE"""),41976.64583333333)</f>
        <v>41976.64583</v>
      </c>
      <c r="B3696" s="2">
        <f>IFERROR(__xludf.DUMMYFUNCTION("""COMPUTED_VALUE"""),471.0)</f>
        <v>471</v>
      </c>
      <c r="C3696" s="2">
        <f>IFERROR(__xludf.DUMMYFUNCTION("""COMPUTED_VALUE"""),472.03)</f>
        <v>472.03</v>
      </c>
      <c r="D3696" s="2">
        <f>IFERROR(__xludf.DUMMYFUNCTION("""COMPUTED_VALUE"""),466.0)</f>
        <v>466</v>
      </c>
      <c r="E3696" s="2">
        <f>IFERROR(__xludf.DUMMYFUNCTION("""COMPUTED_VALUE"""),466.55)</f>
        <v>466.55</v>
      </c>
      <c r="F3696" s="2">
        <f>IFERROR(__xludf.DUMMYFUNCTION("""COMPUTED_VALUE"""),1665296.0)</f>
        <v>1665296</v>
      </c>
    </row>
    <row r="3697">
      <c r="A3697" s="3">
        <f>IFERROR(__xludf.DUMMYFUNCTION("""COMPUTED_VALUE"""),41977.64583333333)</f>
        <v>41977.64583</v>
      </c>
      <c r="B3697" s="2">
        <f>IFERROR(__xludf.DUMMYFUNCTION("""COMPUTED_VALUE"""),470.0)</f>
        <v>470</v>
      </c>
      <c r="C3697" s="2">
        <f>IFERROR(__xludf.DUMMYFUNCTION("""COMPUTED_VALUE"""),472.13)</f>
        <v>472.13</v>
      </c>
      <c r="D3697" s="2">
        <f>IFERROR(__xludf.DUMMYFUNCTION("""COMPUTED_VALUE"""),466.0)</f>
        <v>466</v>
      </c>
      <c r="E3697" s="2">
        <f>IFERROR(__xludf.DUMMYFUNCTION("""COMPUTED_VALUE"""),470.7)</f>
        <v>470.7</v>
      </c>
      <c r="F3697" s="2">
        <f>IFERROR(__xludf.DUMMYFUNCTION("""COMPUTED_VALUE"""),1709776.0)</f>
        <v>1709776</v>
      </c>
    </row>
    <row r="3698">
      <c r="A3698" s="3">
        <f>IFERROR(__xludf.DUMMYFUNCTION("""COMPUTED_VALUE"""),41978.64583333333)</f>
        <v>41978.64583</v>
      </c>
      <c r="B3698" s="2">
        <f>IFERROR(__xludf.DUMMYFUNCTION("""COMPUTED_VALUE"""),470.5)</f>
        <v>470.5</v>
      </c>
      <c r="C3698" s="2">
        <f>IFERROR(__xludf.DUMMYFUNCTION("""COMPUTED_VALUE"""),472.2)</f>
        <v>472.2</v>
      </c>
      <c r="D3698" s="2">
        <f>IFERROR(__xludf.DUMMYFUNCTION("""COMPUTED_VALUE"""),467.85)</f>
        <v>467.85</v>
      </c>
      <c r="E3698" s="2">
        <f>IFERROR(__xludf.DUMMYFUNCTION("""COMPUTED_VALUE"""),471.38)</f>
        <v>471.38</v>
      </c>
      <c r="F3698" s="2">
        <f>IFERROR(__xludf.DUMMYFUNCTION("""COMPUTED_VALUE"""),1018545.0)</f>
        <v>1018545</v>
      </c>
    </row>
    <row r="3699">
      <c r="A3699" s="3">
        <f>IFERROR(__xludf.DUMMYFUNCTION("""COMPUTED_VALUE"""),41981.64583333333)</f>
        <v>41981.64583</v>
      </c>
      <c r="B3699" s="2">
        <f>IFERROR(__xludf.DUMMYFUNCTION("""COMPUTED_VALUE"""),472.5)</f>
        <v>472.5</v>
      </c>
      <c r="C3699" s="2">
        <f>IFERROR(__xludf.DUMMYFUNCTION("""COMPUTED_VALUE"""),472.5)</f>
        <v>472.5</v>
      </c>
      <c r="D3699" s="2">
        <f>IFERROR(__xludf.DUMMYFUNCTION("""COMPUTED_VALUE"""),462.5)</f>
        <v>462.5</v>
      </c>
      <c r="E3699" s="2">
        <f>IFERROR(__xludf.DUMMYFUNCTION("""COMPUTED_VALUE"""),463.58)</f>
        <v>463.58</v>
      </c>
      <c r="F3699" s="2">
        <f>IFERROR(__xludf.DUMMYFUNCTION("""COMPUTED_VALUE"""),1014282.0)</f>
        <v>1014282</v>
      </c>
    </row>
    <row r="3700">
      <c r="A3700" s="3">
        <f>IFERROR(__xludf.DUMMYFUNCTION("""COMPUTED_VALUE"""),41982.64583333333)</f>
        <v>41982.64583</v>
      </c>
      <c r="B3700" s="2">
        <f>IFERROR(__xludf.DUMMYFUNCTION("""COMPUTED_VALUE"""),462.53)</f>
        <v>462.53</v>
      </c>
      <c r="C3700" s="2">
        <f>IFERROR(__xludf.DUMMYFUNCTION("""COMPUTED_VALUE"""),467.5)</f>
        <v>467.5</v>
      </c>
      <c r="D3700" s="2">
        <f>IFERROR(__xludf.DUMMYFUNCTION("""COMPUTED_VALUE"""),462.53)</f>
        <v>462.53</v>
      </c>
      <c r="E3700" s="2">
        <f>IFERROR(__xludf.DUMMYFUNCTION("""COMPUTED_VALUE"""),463.38)</f>
        <v>463.38</v>
      </c>
      <c r="F3700" s="2">
        <f>IFERROR(__xludf.DUMMYFUNCTION("""COMPUTED_VALUE"""),1218336.0)</f>
        <v>1218336</v>
      </c>
    </row>
    <row r="3701">
      <c r="A3701" s="3">
        <f>IFERROR(__xludf.DUMMYFUNCTION("""COMPUTED_VALUE"""),41983.64583333333)</f>
        <v>41983.64583</v>
      </c>
      <c r="B3701" s="2">
        <f>IFERROR(__xludf.DUMMYFUNCTION("""COMPUTED_VALUE"""),463.05)</f>
        <v>463.05</v>
      </c>
      <c r="C3701" s="2">
        <f>IFERROR(__xludf.DUMMYFUNCTION("""COMPUTED_VALUE"""),467.5)</f>
        <v>467.5</v>
      </c>
      <c r="D3701" s="2">
        <f>IFERROR(__xludf.DUMMYFUNCTION("""COMPUTED_VALUE"""),462.65)</f>
        <v>462.65</v>
      </c>
      <c r="E3701" s="2">
        <f>IFERROR(__xludf.DUMMYFUNCTION("""COMPUTED_VALUE"""),465.7)</f>
        <v>465.7</v>
      </c>
      <c r="F3701" s="2">
        <f>IFERROR(__xludf.DUMMYFUNCTION("""COMPUTED_VALUE"""),1391358.0)</f>
        <v>1391358</v>
      </c>
    </row>
    <row r="3702">
      <c r="A3702" s="3">
        <f>IFERROR(__xludf.DUMMYFUNCTION("""COMPUTED_VALUE"""),41984.64583333333)</f>
        <v>41984.64583</v>
      </c>
      <c r="B3702" s="2">
        <f>IFERROR(__xludf.DUMMYFUNCTION("""COMPUTED_VALUE"""),464.95)</f>
        <v>464.95</v>
      </c>
      <c r="C3702" s="2">
        <f>IFERROR(__xludf.DUMMYFUNCTION("""COMPUTED_VALUE"""),467.88)</f>
        <v>467.88</v>
      </c>
      <c r="D3702" s="2">
        <f>IFERROR(__xludf.DUMMYFUNCTION("""COMPUTED_VALUE"""),462.5)</f>
        <v>462.5</v>
      </c>
      <c r="E3702" s="2">
        <f>IFERROR(__xludf.DUMMYFUNCTION("""COMPUTED_VALUE"""),466.8)</f>
        <v>466.8</v>
      </c>
      <c r="F3702" s="2">
        <f>IFERROR(__xludf.DUMMYFUNCTION("""COMPUTED_VALUE"""),1204711.0)</f>
        <v>1204711</v>
      </c>
    </row>
    <row r="3703">
      <c r="A3703" s="3">
        <f>IFERROR(__xludf.DUMMYFUNCTION("""COMPUTED_VALUE"""),41985.64583333333)</f>
        <v>41985.64583</v>
      </c>
      <c r="B3703" s="2">
        <f>IFERROR(__xludf.DUMMYFUNCTION("""COMPUTED_VALUE"""),466.5)</f>
        <v>466.5</v>
      </c>
      <c r="C3703" s="2">
        <f>IFERROR(__xludf.DUMMYFUNCTION("""COMPUTED_VALUE"""),468.1)</f>
        <v>468.1</v>
      </c>
      <c r="D3703" s="2">
        <f>IFERROR(__xludf.DUMMYFUNCTION("""COMPUTED_VALUE"""),464.5)</f>
        <v>464.5</v>
      </c>
      <c r="E3703" s="2">
        <f>IFERROR(__xludf.DUMMYFUNCTION("""COMPUTED_VALUE"""),465.75)</f>
        <v>465.75</v>
      </c>
      <c r="F3703" s="2">
        <f>IFERROR(__xludf.DUMMYFUNCTION("""COMPUTED_VALUE"""),1154207.0)</f>
        <v>1154207</v>
      </c>
    </row>
    <row r="3704">
      <c r="A3704" s="3">
        <f>IFERROR(__xludf.DUMMYFUNCTION("""COMPUTED_VALUE"""),41988.64583333333)</f>
        <v>41988.64583</v>
      </c>
      <c r="B3704" s="2">
        <f>IFERROR(__xludf.DUMMYFUNCTION("""COMPUTED_VALUE"""),465.0)</f>
        <v>465</v>
      </c>
      <c r="C3704" s="2">
        <f>IFERROR(__xludf.DUMMYFUNCTION("""COMPUTED_VALUE"""),472.15)</f>
        <v>472.15</v>
      </c>
      <c r="D3704" s="2">
        <f>IFERROR(__xludf.DUMMYFUNCTION("""COMPUTED_VALUE"""),464.0)</f>
        <v>464</v>
      </c>
      <c r="E3704" s="2">
        <f>IFERROR(__xludf.DUMMYFUNCTION("""COMPUTED_VALUE"""),470.75)</f>
        <v>470.75</v>
      </c>
      <c r="F3704" s="2">
        <f>IFERROR(__xludf.DUMMYFUNCTION("""COMPUTED_VALUE"""),1659657.0)</f>
        <v>1659657</v>
      </c>
    </row>
    <row r="3705">
      <c r="A3705" s="3">
        <f>IFERROR(__xludf.DUMMYFUNCTION("""COMPUTED_VALUE"""),41989.64583333333)</f>
        <v>41989.64583</v>
      </c>
      <c r="B3705" s="2">
        <f>IFERROR(__xludf.DUMMYFUNCTION("""COMPUTED_VALUE"""),468.78)</f>
        <v>468.78</v>
      </c>
      <c r="C3705" s="2">
        <f>IFERROR(__xludf.DUMMYFUNCTION("""COMPUTED_VALUE"""),471.0)</f>
        <v>471</v>
      </c>
      <c r="D3705" s="2">
        <f>IFERROR(__xludf.DUMMYFUNCTION("""COMPUTED_VALUE"""),458.5)</f>
        <v>458.5</v>
      </c>
      <c r="E3705" s="2">
        <f>IFERROR(__xludf.DUMMYFUNCTION("""COMPUTED_VALUE"""),462.88)</f>
        <v>462.88</v>
      </c>
      <c r="F3705" s="2">
        <f>IFERROR(__xludf.DUMMYFUNCTION("""COMPUTED_VALUE"""),1247489.0)</f>
        <v>1247489</v>
      </c>
    </row>
    <row r="3706">
      <c r="A3706" s="3">
        <f>IFERROR(__xludf.DUMMYFUNCTION("""COMPUTED_VALUE"""),41990.64583333333)</f>
        <v>41990.64583</v>
      </c>
      <c r="B3706" s="2">
        <f>IFERROR(__xludf.DUMMYFUNCTION("""COMPUTED_VALUE"""),463.0)</f>
        <v>463</v>
      </c>
      <c r="C3706" s="2">
        <f>IFERROR(__xludf.DUMMYFUNCTION("""COMPUTED_VALUE"""),466.25)</f>
        <v>466.25</v>
      </c>
      <c r="D3706" s="2">
        <f>IFERROR(__xludf.DUMMYFUNCTION("""COMPUTED_VALUE"""),458.0)</f>
        <v>458</v>
      </c>
      <c r="E3706" s="2">
        <f>IFERROR(__xludf.DUMMYFUNCTION("""COMPUTED_VALUE"""),460.92)</f>
        <v>460.92</v>
      </c>
      <c r="F3706" s="2">
        <f>IFERROR(__xludf.DUMMYFUNCTION("""COMPUTED_VALUE"""),1766004.0)</f>
        <v>1766004</v>
      </c>
    </row>
    <row r="3707">
      <c r="A3707" s="3">
        <f>IFERROR(__xludf.DUMMYFUNCTION("""COMPUTED_VALUE"""),41991.64583333333)</f>
        <v>41991.64583</v>
      </c>
      <c r="B3707" s="2">
        <f>IFERROR(__xludf.DUMMYFUNCTION("""COMPUTED_VALUE"""),466.3)</f>
        <v>466.3</v>
      </c>
      <c r="C3707" s="2">
        <f>IFERROR(__xludf.DUMMYFUNCTION("""COMPUTED_VALUE"""),468.25)</f>
        <v>468.25</v>
      </c>
      <c r="D3707" s="2">
        <f>IFERROR(__xludf.DUMMYFUNCTION("""COMPUTED_VALUE"""),461.03)</f>
        <v>461.03</v>
      </c>
      <c r="E3707" s="2">
        <f>IFERROR(__xludf.DUMMYFUNCTION("""COMPUTED_VALUE"""),467.03)</f>
        <v>467.03</v>
      </c>
      <c r="F3707" s="2">
        <f>IFERROR(__xludf.DUMMYFUNCTION("""COMPUTED_VALUE"""),1623457.0)</f>
        <v>1623457</v>
      </c>
    </row>
    <row r="3708">
      <c r="A3708" s="3">
        <f>IFERROR(__xludf.DUMMYFUNCTION("""COMPUTED_VALUE"""),41992.64583333333)</f>
        <v>41992.64583</v>
      </c>
      <c r="B3708" s="2">
        <f>IFERROR(__xludf.DUMMYFUNCTION("""COMPUTED_VALUE"""),472.53)</f>
        <v>472.53</v>
      </c>
      <c r="C3708" s="2">
        <f>IFERROR(__xludf.DUMMYFUNCTION("""COMPUTED_VALUE"""),474.5)</f>
        <v>474.5</v>
      </c>
      <c r="D3708" s="2">
        <f>IFERROR(__xludf.DUMMYFUNCTION("""COMPUTED_VALUE"""),466.25)</f>
        <v>466.25</v>
      </c>
      <c r="E3708" s="2">
        <f>IFERROR(__xludf.DUMMYFUNCTION("""COMPUTED_VALUE"""),470.73)</f>
        <v>470.73</v>
      </c>
      <c r="F3708" s="2">
        <f>IFERROR(__xludf.DUMMYFUNCTION("""COMPUTED_VALUE"""),1528527.0)</f>
        <v>1528527</v>
      </c>
    </row>
    <row r="3709">
      <c r="A3709" s="3">
        <f>IFERROR(__xludf.DUMMYFUNCTION("""COMPUTED_VALUE"""),41995.64583333333)</f>
        <v>41995.64583</v>
      </c>
      <c r="B3709" s="2">
        <f>IFERROR(__xludf.DUMMYFUNCTION("""COMPUTED_VALUE"""),477.0)</f>
        <v>477</v>
      </c>
      <c r="C3709" s="2">
        <f>IFERROR(__xludf.DUMMYFUNCTION("""COMPUTED_VALUE"""),483.05)</f>
        <v>483.05</v>
      </c>
      <c r="D3709" s="2">
        <f>IFERROR(__xludf.DUMMYFUNCTION("""COMPUTED_VALUE"""),471.25)</f>
        <v>471.25</v>
      </c>
      <c r="E3709" s="2">
        <f>IFERROR(__xludf.DUMMYFUNCTION("""COMPUTED_VALUE"""),481.85)</f>
        <v>481.85</v>
      </c>
      <c r="F3709" s="2">
        <f>IFERROR(__xludf.DUMMYFUNCTION("""COMPUTED_VALUE"""),2073903.0)</f>
        <v>2073903</v>
      </c>
    </row>
    <row r="3710">
      <c r="A3710" s="3">
        <f>IFERROR(__xludf.DUMMYFUNCTION("""COMPUTED_VALUE"""),41996.64583333333)</f>
        <v>41996.64583</v>
      </c>
      <c r="B3710" s="2">
        <f>IFERROR(__xludf.DUMMYFUNCTION("""COMPUTED_VALUE"""),479.85)</f>
        <v>479.85</v>
      </c>
      <c r="C3710" s="2">
        <f>IFERROR(__xludf.DUMMYFUNCTION("""COMPUTED_VALUE"""),486.98)</f>
        <v>486.98</v>
      </c>
      <c r="D3710" s="2">
        <f>IFERROR(__xludf.DUMMYFUNCTION("""COMPUTED_VALUE"""),477.67)</f>
        <v>477.67</v>
      </c>
      <c r="E3710" s="2">
        <f>IFERROR(__xludf.DUMMYFUNCTION("""COMPUTED_VALUE"""),479.88)</f>
        <v>479.88</v>
      </c>
      <c r="F3710" s="2">
        <f>IFERROR(__xludf.DUMMYFUNCTION("""COMPUTED_VALUE"""),1886020.0)</f>
        <v>1886020</v>
      </c>
    </row>
    <row r="3711">
      <c r="A3711" s="3">
        <f>IFERROR(__xludf.DUMMYFUNCTION("""COMPUTED_VALUE"""),41997.64583333333)</f>
        <v>41997.64583</v>
      </c>
      <c r="B3711" s="2">
        <f>IFERROR(__xludf.DUMMYFUNCTION("""COMPUTED_VALUE"""),478.95)</f>
        <v>478.95</v>
      </c>
      <c r="C3711" s="2">
        <f>IFERROR(__xludf.DUMMYFUNCTION("""COMPUTED_VALUE"""),482.4)</f>
        <v>482.4</v>
      </c>
      <c r="D3711" s="2">
        <f>IFERROR(__xludf.DUMMYFUNCTION("""COMPUTED_VALUE"""),470.55)</f>
        <v>470.55</v>
      </c>
      <c r="E3711" s="2">
        <f>IFERROR(__xludf.DUMMYFUNCTION("""COMPUTED_VALUE"""),472.63)</f>
        <v>472.63</v>
      </c>
      <c r="F3711" s="2">
        <f>IFERROR(__xludf.DUMMYFUNCTION("""COMPUTED_VALUE"""),4166203.0)</f>
        <v>4166203</v>
      </c>
    </row>
    <row r="3712">
      <c r="A3712" s="3">
        <f>IFERROR(__xludf.DUMMYFUNCTION("""COMPUTED_VALUE"""),41999.64583333333)</f>
        <v>41999.64583</v>
      </c>
      <c r="B3712" s="2">
        <f>IFERROR(__xludf.DUMMYFUNCTION("""COMPUTED_VALUE"""),475.2)</f>
        <v>475.2</v>
      </c>
      <c r="C3712" s="2">
        <f>IFERROR(__xludf.DUMMYFUNCTION("""COMPUTED_VALUE"""),476.48)</f>
        <v>476.48</v>
      </c>
      <c r="D3712" s="2">
        <f>IFERROR(__xludf.DUMMYFUNCTION("""COMPUTED_VALUE"""),471.28)</f>
        <v>471.28</v>
      </c>
      <c r="E3712" s="2">
        <f>IFERROR(__xludf.DUMMYFUNCTION("""COMPUTED_VALUE"""),474.33)</f>
        <v>474.33</v>
      </c>
      <c r="F3712" s="2">
        <f>IFERROR(__xludf.DUMMYFUNCTION("""COMPUTED_VALUE"""),841620.0)</f>
        <v>841620</v>
      </c>
    </row>
    <row r="3713">
      <c r="A3713" s="3">
        <f>IFERROR(__xludf.DUMMYFUNCTION("""COMPUTED_VALUE"""),42002.64583333333)</f>
        <v>42002.64583</v>
      </c>
      <c r="B3713" s="2">
        <f>IFERROR(__xludf.DUMMYFUNCTION("""COMPUTED_VALUE"""),475.05)</f>
        <v>475.05</v>
      </c>
      <c r="C3713" s="2">
        <f>IFERROR(__xludf.DUMMYFUNCTION("""COMPUTED_VALUE"""),478.0)</f>
        <v>478</v>
      </c>
      <c r="D3713" s="2">
        <f>IFERROR(__xludf.DUMMYFUNCTION("""COMPUTED_VALUE"""),474.15)</f>
        <v>474.15</v>
      </c>
      <c r="E3713" s="2">
        <f>IFERROR(__xludf.DUMMYFUNCTION("""COMPUTED_VALUE"""),475.85)</f>
        <v>475.85</v>
      </c>
      <c r="F3713" s="2">
        <f>IFERROR(__xludf.DUMMYFUNCTION("""COMPUTED_VALUE"""),903700.0)</f>
        <v>903700</v>
      </c>
    </row>
    <row r="3714">
      <c r="A3714" s="3">
        <f>IFERROR(__xludf.DUMMYFUNCTION("""COMPUTED_VALUE"""),42003.64583333333)</f>
        <v>42003.64583</v>
      </c>
      <c r="B3714" s="2">
        <f>IFERROR(__xludf.DUMMYFUNCTION("""COMPUTED_VALUE"""),475.0)</f>
        <v>475</v>
      </c>
      <c r="C3714" s="2">
        <f>IFERROR(__xludf.DUMMYFUNCTION("""COMPUTED_VALUE"""),479.8)</f>
        <v>479.8</v>
      </c>
      <c r="D3714" s="2">
        <f>IFERROR(__xludf.DUMMYFUNCTION("""COMPUTED_VALUE"""),471.38)</f>
        <v>471.38</v>
      </c>
      <c r="E3714" s="2">
        <f>IFERROR(__xludf.DUMMYFUNCTION("""COMPUTED_VALUE"""),478.23)</f>
        <v>478.23</v>
      </c>
      <c r="F3714" s="2">
        <f>IFERROR(__xludf.DUMMYFUNCTION("""COMPUTED_VALUE"""),1420300.0)</f>
        <v>1420300</v>
      </c>
    </row>
    <row r="3715">
      <c r="A3715" s="3">
        <f>IFERROR(__xludf.DUMMYFUNCTION("""COMPUTED_VALUE"""),42004.64583333333)</f>
        <v>42004.64583</v>
      </c>
      <c r="B3715" s="2">
        <f>IFERROR(__xludf.DUMMYFUNCTION("""COMPUTED_VALUE"""),478.0)</f>
        <v>478</v>
      </c>
      <c r="C3715" s="2">
        <f>IFERROR(__xludf.DUMMYFUNCTION("""COMPUTED_VALUE"""),478.65)</f>
        <v>478.65</v>
      </c>
      <c r="D3715" s="2">
        <f>IFERROR(__xludf.DUMMYFUNCTION("""COMPUTED_VALUE"""),474.88)</f>
        <v>474.88</v>
      </c>
      <c r="E3715" s="2">
        <f>IFERROR(__xludf.DUMMYFUNCTION("""COMPUTED_VALUE"""),475.8)</f>
        <v>475.8</v>
      </c>
      <c r="F3715" s="2">
        <f>IFERROR(__xludf.DUMMYFUNCTION("""COMPUTED_VALUE"""),1248132.0)</f>
        <v>1248132</v>
      </c>
    </row>
    <row r="3716">
      <c r="A3716" s="3">
        <f>IFERROR(__xludf.DUMMYFUNCTION("""COMPUTED_VALUE"""),42005.64583333333)</f>
        <v>42005.64583</v>
      </c>
      <c r="B3716" s="2">
        <f>IFERROR(__xludf.DUMMYFUNCTION("""COMPUTED_VALUE"""),475.5)</f>
        <v>475.5</v>
      </c>
      <c r="C3716" s="2">
        <f>IFERROR(__xludf.DUMMYFUNCTION("""COMPUTED_VALUE"""),477.2)</f>
        <v>477.2</v>
      </c>
      <c r="D3716" s="2">
        <f>IFERROR(__xludf.DUMMYFUNCTION("""COMPUTED_VALUE"""),472.53)</f>
        <v>472.53</v>
      </c>
      <c r="E3716" s="2">
        <f>IFERROR(__xludf.DUMMYFUNCTION("""COMPUTED_VALUE"""),476.03)</f>
        <v>476.03</v>
      </c>
      <c r="F3716" s="2">
        <f>IFERROR(__xludf.DUMMYFUNCTION("""COMPUTED_VALUE"""),886235.0)</f>
        <v>886235</v>
      </c>
    </row>
    <row r="3717">
      <c r="A3717" s="3">
        <f>IFERROR(__xludf.DUMMYFUNCTION("""COMPUTED_VALUE"""),42006.64583333333)</f>
        <v>42006.64583</v>
      </c>
      <c r="B3717" s="2">
        <f>IFERROR(__xludf.DUMMYFUNCTION("""COMPUTED_VALUE"""),475.2)</f>
        <v>475.2</v>
      </c>
      <c r="C3717" s="2">
        <f>IFERROR(__xludf.DUMMYFUNCTION("""COMPUTED_VALUE"""),484.65)</f>
        <v>484.65</v>
      </c>
      <c r="D3717" s="2">
        <f>IFERROR(__xludf.DUMMYFUNCTION("""COMPUTED_VALUE"""),475.2)</f>
        <v>475.2</v>
      </c>
      <c r="E3717" s="2">
        <f>IFERROR(__xludf.DUMMYFUNCTION("""COMPUTED_VALUE"""),482.65)</f>
        <v>482.65</v>
      </c>
      <c r="F3717" s="2">
        <f>IFERROR(__xludf.DUMMYFUNCTION("""COMPUTED_VALUE"""),1475096.0)</f>
        <v>1475096</v>
      </c>
    </row>
    <row r="3718">
      <c r="A3718" s="3">
        <f>IFERROR(__xludf.DUMMYFUNCTION("""COMPUTED_VALUE"""),42009.64583333333)</f>
        <v>42009.64583</v>
      </c>
      <c r="B3718" s="2">
        <f>IFERROR(__xludf.DUMMYFUNCTION("""COMPUTED_VALUE"""),485.0)</f>
        <v>485</v>
      </c>
      <c r="C3718" s="2">
        <f>IFERROR(__xludf.DUMMYFUNCTION("""COMPUTED_VALUE"""),485.28)</f>
        <v>485.28</v>
      </c>
      <c r="D3718" s="2">
        <f>IFERROR(__xludf.DUMMYFUNCTION("""COMPUTED_VALUE"""),477.55)</f>
        <v>477.55</v>
      </c>
      <c r="E3718" s="2">
        <f>IFERROR(__xludf.DUMMYFUNCTION("""COMPUTED_VALUE"""),478.58)</f>
        <v>478.58</v>
      </c>
      <c r="F3718" s="2">
        <f>IFERROR(__xludf.DUMMYFUNCTION("""COMPUTED_VALUE"""),1199000.0)</f>
        <v>1199000</v>
      </c>
    </row>
    <row r="3719">
      <c r="A3719" s="3">
        <f>IFERROR(__xludf.DUMMYFUNCTION("""COMPUTED_VALUE"""),42010.64583333333)</f>
        <v>42010.64583</v>
      </c>
      <c r="B3719" s="2">
        <f>IFERROR(__xludf.DUMMYFUNCTION("""COMPUTED_VALUE"""),477.0)</f>
        <v>477</v>
      </c>
      <c r="C3719" s="2">
        <f>IFERROR(__xludf.DUMMYFUNCTION("""COMPUTED_VALUE"""),478.28)</f>
        <v>478.28</v>
      </c>
      <c r="D3719" s="2">
        <f>IFERROR(__xludf.DUMMYFUNCTION("""COMPUTED_VALUE"""),468.78)</f>
        <v>468.78</v>
      </c>
      <c r="E3719" s="2">
        <f>IFERROR(__xludf.DUMMYFUNCTION("""COMPUTED_VALUE"""),471.13)</f>
        <v>471.13</v>
      </c>
      <c r="F3719" s="2">
        <f>IFERROR(__xludf.DUMMYFUNCTION("""COMPUTED_VALUE"""),2054920.0)</f>
        <v>2054920</v>
      </c>
    </row>
    <row r="3720">
      <c r="A3720" s="3">
        <f>IFERROR(__xludf.DUMMYFUNCTION("""COMPUTED_VALUE"""),42011.64583333333)</f>
        <v>42011.64583</v>
      </c>
      <c r="B3720" s="2">
        <f>IFERROR(__xludf.DUMMYFUNCTION("""COMPUTED_VALUE"""),469.85)</f>
        <v>469.85</v>
      </c>
      <c r="C3720" s="2">
        <f>IFERROR(__xludf.DUMMYFUNCTION("""COMPUTED_VALUE"""),475.68)</f>
        <v>475.68</v>
      </c>
      <c r="D3720" s="2">
        <f>IFERROR(__xludf.DUMMYFUNCTION("""COMPUTED_VALUE"""),468.13)</f>
        <v>468.13</v>
      </c>
      <c r="E3720" s="2">
        <f>IFERROR(__xludf.DUMMYFUNCTION("""COMPUTED_VALUE"""),472.5)</f>
        <v>472.5</v>
      </c>
      <c r="F3720" s="2">
        <f>IFERROR(__xludf.DUMMYFUNCTION("""COMPUTED_VALUE"""),1436528.0)</f>
        <v>1436528</v>
      </c>
    </row>
    <row r="3721">
      <c r="A3721" s="3">
        <f>IFERROR(__xludf.DUMMYFUNCTION("""COMPUTED_VALUE"""),42012.64583333333)</f>
        <v>42012.64583</v>
      </c>
      <c r="B3721" s="2">
        <f>IFERROR(__xludf.DUMMYFUNCTION("""COMPUTED_VALUE"""),477.13)</f>
        <v>477.13</v>
      </c>
      <c r="C3721" s="2">
        <f>IFERROR(__xludf.DUMMYFUNCTION("""COMPUTED_VALUE"""),484.48)</f>
        <v>484.48</v>
      </c>
      <c r="D3721" s="2">
        <f>IFERROR(__xludf.DUMMYFUNCTION("""COMPUTED_VALUE"""),474.1)</f>
        <v>474.1</v>
      </c>
      <c r="E3721" s="2">
        <f>IFERROR(__xludf.DUMMYFUNCTION("""COMPUTED_VALUE"""),482.43)</f>
        <v>482.43</v>
      </c>
      <c r="F3721" s="2">
        <f>IFERROR(__xludf.DUMMYFUNCTION("""COMPUTED_VALUE"""),2381456.0)</f>
        <v>2381456</v>
      </c>
    </row>
    <row r="3722">
      <c r="A3722" s="3">
        <f>IFERROR(__xludf.DUMMYFUNCTION("""COMPUTED_VALUE"""),42013.64583333333)</f>
        <v>42013.64583</v>
      </c>
      <c r="B3722" s="2">
        <f>IFERROR(__xludf.DUMMYFUNCTION("""COMPUTED_VALUE"""),486.45)</f>
        <v>486.45</v>
      </c>
      <c r="C3722" s="2">
        <f>IFERROR(__xludf.DUMMYFUNCTION("""COMPUTED_VALUE"""),490.0)</f>
        <v>490</v>
      </c>
      <c r="D3722" s="2">
        <f>IFERROR(__xludf.DUMMYFUNCTION("""COMPUTED_VALUE"""),483.3)</f>
        <v>483.3</v>
      </c>
      <c r="E3722" s="2">
        <f>IFERROR(__xludf.DUMMYFUNCTION("""COMPUTED_VALUE"""),487.83)</f>
        <v>487.83</v>
      </c>
      <c r="F3722" s="2">
        <f>IFERROR(__xludf.DUMMYFUNCTION("""COMPUTED_VALUE"""),2246296.0)</f>
        <v>2246296</v>
      </c>
    </row>
    <row r="3723">
      <c r="A3723" s="3">
        <f>IFERROR(__xludf.DUMMYFUNCTION("""COMPUTED_VALUE"""),42016.64583333333)</f>
        <v>42016.64583</v>
      </c>
      <c r="B3723" s="2">
        <f>IFERROR(__xludf.DUMMYFUNCTION("""COMPUTED_VALUE"""),484.7)</f>
        <v>484.7</v>
      </c>
      <c r="C3723" s="2">
        <f>IFERROR(__xludf.DUMMYFUNCTION("""COMPUTED_VALUE"""),487.2)</f>
        <v>487.2</v>
      </c>
      <c r="D3723" s="2">
        <f>IFERROR(__xludf.DUMMYFUNCTION("""COMPUTED_VALUE"""),482.25)</f>
        <v>482.25</v>
      </c>
      <c r="E3723" s="2">
        <f>IFERROR(__xludf.DUMMYFUNCTION("""COMPUTED_VALUE"""),483.53)</f>
        <v>483.53</v>
      </c>
      <c r="F3723" s="2">
        <f>IFERROR(__xludf.DUMMYFUNCTION("""COMPUTED_VALUE"""),1031603.0)</f>
        <v>1031603</v>
      </c>
    </row>
    <row r="3724">
      <c r="A3724" s="3">
        <f>IFERROR(__xludf.DUMMYFUNCTION("""COMPUTED_VALUE"""),42017.64583333333)</f>
        <v>42017.64583</v>
      </c>
      <c r="B3724" s="2">
        <f>IFERROR(__xludf.DUMMYFUNCTION("""COMPUTED_VALUE"""),484.48)</f>
        <v>484.48</v>
      </c>
      <c r="C3724" s="2">
        <f>IFERROR(__xludf.DUMMYFUNCTION("""COMPUTED_VALUE"""),485.98)</f>
        <v>485.98</v>
      </c>
      <c r="D3724" s="2">
        <f>IFERROR(__xludf.DUMMYFUNCTION("""COMPUTED_VALUE"""),477.85)</f>
        <v>477.85</v>
      </c>
      <c r="E3724" s="2">
        <f>IFERROR(__xludf.DUMMYFUNCTION("""COMPUTED_VALUE"""),481.68)</f>
        <v>481.68</v>
      </c>
      <c r="F3724" s="2">
        <f>IFERROR(__xludf.DUMMYFUNCTION("""COMPUTED_VALUE"""),1457087.0)</f>
        <v>1457087</v>
      </c>
    </row>
    <row r="3725">
      <c r="A3725" s="3">
        <f>IFERROR(__xludf.DUMMYFUNCTION("""COMPUTED_VALUE"""),42018.64583333333)</f>
        <v>42018.64583</v>
      </c>
      <c r="B3725" s="2">
        <f>IFERROR(__xludf.DUMMYFUNCTION("""COMPUTED_VALUE"""),480.03)</f>
        <v>480.03</v>
      </c>
      <c r="C3725" s="2">
        <f>IFERROR(__xludf.DUMMYFUNCTION("""COMPUTED_VALUE"""),487.33)</f>
        <v>487.33</v>
      </c>
      <c r="D3725" s="2">
        <f>IFERROR(__xludf.DUMMYFUNCTION("""COMPUTED_VALUE"""),479.85)</f>
        <v>479.85</v>
      </c>
      <c r="E3725" s="2">
        <f>IFERROR(__xludf.DUMMYFUNCTION("""COMPUTED_VALUE"""),481.95)</f>
        <v>481.95</v>
      </c>
      <c r="F3725" s="2">
        <f>IFERROR(__xludf.DUMMYFUNCTION("""COMPUTED_VALUE"""),921308.0)</f>
        <v>921308</v>
      </c>
    </row>
    <row r="3726">
      <c r="A3726" s="3">
        <f>IFERROR(__xludf.DUMMYFUNCTION("""COMPUTED_VALUE"""),42019.64583333333)</f>
        <v>42019.64583</v>
      </c>
      <c r="B3726" s="2">
        <f>IFERROR(__xludf.DUMMYFUNCTION("""COMPUTED_VALUE"""),495.0)</f>
        <v>495</v>
      </c>
      <c r="C3726" s="2">
        <f>IFERROR(__xludf.DUMMYFUNCTION("""COMPUTED_VALUE"""),499.1)</f>
        <v>499.1</v>
      </c>
      <c r="D3726" s="2">
        <f>IFERROR(__xludf.DUMMYFUNCTION("""COMPUTED_VALUE"""),485.38)</f>
        <v>485.38</v>
      </c>
      <c r="E3726" s="2">
        <f>IFERROR(__xludf.DUMMYFUNCTION("""COMPUTED_VALUE"""),496.58)</f>
        <v>496.58</v>
      </c>
      <c r="F3726" s="2">
        <f>IFERROR(__xludf.DUMMYFUNCTION("""COMPUTED_VALUE"""),2849619.0)</f>
        <v>2849619</v>
      </c>
    </row>
    <row r="3727">
      <c r="A3727" s="3">
        <f>IFERROR(__xludf.DUMMYFUNCTION("""COMPUTED_VALUE"""),42020.64583333333)</f>
        <v>42020.64583</v>
      </c>
      <c r="B3727" s="2">
        <f>IFERROR(__xludf.DUMMYFUNCTION("""COMPUTED_VALUE"""),501.1)</f>
        <v>501.1</v>
      </c>
      <c r="C3727" s="2">
        <f>IFERROR(__xludf.DUMMYFUNCTION("""COMPUTED_VALUE"""),507.45)</f>
        <v>507.45</v>
      </c>
      <c r="D3727" s="2">
        <f>IFERROR(__xludf.DUMMYFUNCTION("""COMPUTED_VALUE"""),499.28)</f>
        <v>499.28</v>
      </c>
      <c r="E3727" s="2">
        <f>IFERROR(__xludf.DUMMYFUNCTION("""COMPUTED_VALUE"""),500.68)</f>
        <v>500.68</v>
      </c>
      <c r="F3727" s="2">
        <f>IFERROR(__xludf.DUMMYFUNCTION("""COMPUTED_VALUE"""),1955327.0)</f>
        <v>1955327</v>
      </c>
    </row>
    <row r="3728">
      <c r="A3728" s="3">
        <f>IFERROR(__xludf.DUMMYFUNCTION("""COMPUTED_VALUE"""),42023.64583333333)</f>
        <v>42023.64583</v>
      </c>
      <c r="B3728" s="2">
        <f>IFERROR(__xludf.DUMMYFUNCTION("""COMPUTED_VALUE"""),506.63)</f>
        <v>506.63</v>
      </c>
      <c r="C3728" s="2">
        <f>IFERROR(__xludf.DUMMYFUNCTION("""COMPUTED_VALUE"""),510.0)</f>
        <v>510</v>
      </c>
      <c r="D3728" s="2">
        <f>IFERROR(__xludf.DUMMYFUNCTION("""COMPUTED_VALUE"""),501.48)</f>
        <v>501.48</v>
      </c>
      <c r="E3728" s="2">
        <f>IFERROR(__xludf.DUMMYFUNCTION("""COMPUTED_VALUE"""),502.28)</f>
        <v>502.28</v>
      </c>
      <c r="F3728" s="2">
        <f>IFERROR(__xludf.DUMMYFUNCTION("""COMPUTED_VALUE"""),1059873.0)</f>
        <v>1059873</v>
      </c>
    </row>
    <row r="3729">
      <c r="A3729" s="3">
        <f>IFERROR(__xludf.DUMMYFUNCTION("""COMPUTED_VALUE"""),42024.64583333333)</f>
        <v>42024.64583</v>
      </c>
      <c r="B3729" s="2">
        <f>IFERROR(__xludf.DUMMYFUNCTION("""COMPUTED_VALUE"""),505.0)</f>
        <v>505</v>
      </c>
      <c r="C3729" s="2">
        <f>IFERROR(__xludf.DUMMYFUNCTION("""COMPUTED_VALUE"""),513.5)</f>
        <v>513.5</v>
      </c>
      <c r="D3729" s="2">
        <f>IFERROR(__xludf.DUMMYFUNCTION("""COMPUTED_VALUE"""),501.0)</f>
        <v>501</v>
      </c>
      <c r="E3729" s="2">
        <f>IFERROR(__xludf.DUMMYFUNCTION("""COMPUTED_VALUE"""),510.48)</f>
        <v>510.48</v>
      </c>
      <c r="F3729" s="2">
        <f>IFERROR(__xludf.DUMMYFUNCTION("""COMPUTED_VALUE"""),2126451.0)</f>
        <v>2126451</v>
      </c>
    </row>
    <row r="3730">
      <c r="A3730" s="3">
        <f>IFERROR(__xludf.DUMMYFUNCTION("""COMPUTED_VALUE"""),42025.64583333333)</f>
        <v>42025.64583</v>
      </c>
      <c r="B3730" s="2">
        <f>IFERROR(__xludf.DUMMYFUNCTION("""COMPUTED_VALUE"""),513.7)</f>
        <v>513.7</v>
      </c>
      <c r="C3730" s="2">
        <f>IFERROR(__xludf.DUMMYFUNCTION("""COMPUTED_VALUE"""),516.48)</f>
        <v>516.48</v>
      </c>
      <c r="D3730" s="2">
        <f>IFERROR(__xludf.DUMMYFUNCTION("""COMPUTED_VALUE"""),509.18)</f>
        <v>509.18</v>
      </c>
      <c r="E3730" s="2">
        <f>IFERROR(__xludf.DUMMYFUNCTION("""COMPUTED_VALUE"""),509.98)</f>
        <v>509.98</v>
      </c>
      <c r="F3730" s="2">
        <f>IFERROR(__xludf.DUMMYFUNCTION("""COMPUTED_VALUE"""),1685153.0)</f>
        <v>1685153</v>
      </c>
    </row>
    <row r="3731">
      <c r="A3731" s="3">
        <f>IFERROR(__xludf.DUMMYFUNCTION("""COMPUTED_VALUE"""),42026.64583333333)</f>
        <v>42026.64583</v>
      </c>
      <c r="B3731" s="2">
        <f>IFERROR(__xludf.DUMMYFUNCTION("""COMPUTED_VALUE"""),512.5)</f>
        <v>512.5</v>
      </c>
      <c r="C3731" s="2">
        <f>IFERROR(__xludf.DUMMYFUNCTION("""COMPUTED_VALUE"""),516.25)</f>
        <v>516.25</v>
      </c>
      <c r="D3731" s="2">
        <f>IFERROR(__xludf.DUMMYFUNCTION("""COMPUTED_VALUE"""),509.28)</f>
        <v>509.28</v>
      </c>
      <c r="E3731" s="2">
        <f>IFERROR(__xludf.DUMMYFUNCTION("""COMPUTED_VALUE"""),510.63)</f>
        <v>510.63</v>
      </c>
      <c r="F3731" s="2">
        <f>IFERROR(__xludf.DUMMYFUNCTION("""COMPUTED_VALUE"""),1617670.0)</f>
        <v>1617670</v>
      </c>
    </row>
    <row r="3732">
      <c r="A3732" s="3">
        <f>IFERROR(__xludf.DUMMYFUNCTION("""COMPUTED_VALUE"""),42027.64583333333)</f>
        <v>42027.64583</v>
      </c>
      <c r="B3732" s="2">
        <f>IFERROR(__xludf.DUMMYFUNCTION("""COMPUTED_VALUE"""),515.0)</f>
        <v>515</v>
      </c>
      <c r="C3732" s="2">
        <f>IFERROR(__xludf.DUMMYFUNCTION("""COMPUTED_VALUE"""),524.0)</f>
        <v>524</v>
      </c>
      <c r="D3732" s="2">
        <f>IFERROR(__xludf.DUMMYFUNCTION("""COMPUTED_VALUE"""),512.2)</f>
        <v>512.2</v>
      </c>
      <c r="E3732" s="2">
        <f>IFERROR(__xludf.DUMMYFUNCTION("""COMPUTED_VALUE"""),521.4)</f>
        <v>521.4</v>
      </c>
      <c r="F3732" s="2">
        <f>IFERROR(__xludf.DUMMYFUNCTION("""COMPUTED_VALUE"""),2496978.0)</f>
        <v>2496978</v>
      </c>
    </row>
    <row r="3733">
      <c r="A3733" s="3">
        <f>IFERROR(__xludf.DUMMYFUNCTION("""COMPUTED_VALUE"""),42031.64583333333)</f>
        <v>42031.64583</v>
      </c>
      <c r="B3733" s="2">
        <f>IFERROR(__xludf.DUMMYFUNCTION("""COMPUTED_VALUE"""),521.5)</f>
        <v>521.5</v>
      </c>
      <c r="C3733" s="2">
        <f>IFERROR(__xludf.DUMMYFUNCTION("""COMPUTED_VALUE"""),538.88)</f>
        <v>538.88</v>
      </c>
      <c r="D3733" s="2">
        <f>IFERROR(__xludf.DUMMYFUNCTION("""COMPUTED_VALUE"""),520.45)</f>
        <v>520.45</v>
      </c>
      <c r="E3733" s="2">
        <f>IFERROR(__xludf.DUMMYFUNCTION("""COMPUTED_VALUE"""),537.03)</f>
        <v>537.03</v>
      </c>
      <c r="F3733" s="2">
        <f>IFERROR(__xludf.DUMMYFUNCTION("""COMPUTED_VALUE"""),2490600.0)</f>
        <v>2490600</v>
      </c>
    </row>
    <row r="3734">
      <c r="A3734" s="3">
        <f>IFERROR(__xludf.DUMMYFUNCTION("""COMPUTED_VALUE"""),42032.64583333333)</f>
        <v>42032.64583</v>
      </c>
      <c r="B3734" s="2">
        <f>IFERROR(__xludf.DUMMYFUNCTION("""COMPUTED_VALUE"""),535.0)</f>
        <v>535</v>
      </c>
      <c r="C3734" s="2">
        <f>IFERROR(__xludf.DUMMYFUNCTION("""COMPUTED_VALUE"""),546.6)</f>
        <v>546.6</v>
      </c>
      <c r="D3734" s="2">
        <f>IFERROR(__xludf.DUMMYFUNCTION("""COMPUTED_VALUE"""),527.5)</f>
        <v>527.5</v>
      </c>
      <c r="E3734" s="2">
        <f>IFERROR(__xludf.DUMMYFUNCTION("""COMPUTED_VALUE"""),529.17)</f>
        <v>529.17</v>
      </c>
      <c r="F3734" s="2">
        <f>IFERROR(__xludf.DUMMYFUNCTION("""COMPUTED_VALUE"""),2841235.0)</f>
        <v>2841235</v>
      </c>
    </row>
    <row r="3735">
      <c r="A3735" s="3">
        <f>IFERROR(__xludf.DUMMYFUNCTION("""COMPUTED_VALUE"""),42033.64583333333)</f>
        <v>42033.64583</v>
      </c>
      <c r="B3735" s="2">
        <f>IFERROR(__xludf.DUMMYFUNCTION("""COMPUTED_VALUE"""),537.5)</f>
        <v>537.5</v>
      </c>
      <c r="C3735" s="2">
        <f>IFERROR(__xludf.DUMMYFUNCTION("""COMPUTED_VALUE"""),550.3)</f>
        <v>550.3</v>
      </c>
      <c r="D3735" s="2">
        <f>IFERROR(__xludf.DUMMYFUNCTION("""COMPUTED_VALUE"""),530.5)</f>
        <v>530.5</v>
      </c>
      <c r="E3735" s="2">
        <f>IFERROR(__xludf.DUMMYFUNCTION("""COMPUTED_VALUE"""),547.5)</f>
        <v>547.5</v>
      </c>
      <c r="F3735" s="2">
        <f>IFERROR(__xludf.DUMMYFUNCTION("""COMPUTED_VALUE"""),5141904.0)</f>
        <v>5141904</v>
      </c>
    </row>
    <row r="3736">
      <c r="A3736" s="3">
        <f>IFERROR(__xludf.DUMMYFUNCTION("""COMPUTED_VALUE"""),42034.64583333333)</f>
        <v>42034.64583</v>
      </c>
      <c r="B3736" s="2">
        <f>IFERROR(__xludf.DUMMYFUNCTION("""COMPUTED_VALUE"""),547.28)</f>
        <v>547.28</v>
      </c>
      <c r="C3736" s="2">
        <f>IFERROR(__xludf.DUMMYFUNCTION("""COMPUTED_VALUE"""),547.28)</f>
        <v>547.28</v>
      </c>
      <c r="D3736" s="2">
        <f>IFERROR(__xludf.DUMMYFUNCTION("""COMPUTED_VALUE"""),532.13)</f>
        <v>532.13</v>
      </c>
      <c r="E3736" s="2">
        <f>IFERROR(__xludf.DUMMYFUNCTION("""COMPUTED_VALUE"""),538.67)</f>
        <v>538.67</v>
      </c>
      <c r="F3736" s="2">
        <f>IFERROR(__xludf.DUMMYFUNCTION("""COMPUTED_VALUE"""),2642604.0)</f>
        <v>2642604</v>
      </c>
    </row>
    <row r="3737">
      <c r="A3737" s="3">
        <f>IFERROR(__xludf.DUMMYFUNCTION("""COMPUTED_VALUE"""),42037.64583333333)</f>
        <v>42037.64583</v>
      </c>
      <c r="B3737" s="2">
        <f>IFERROR(__xludf.DUMMYFUNCTION("""COMPUTED_VALUE"""),534.25)</f>
        <v>534.25</v>
      </c>
      <c r="C3737" s="2">
        <f>IFERROR(__xludf.DUMMYFUNCTION("""COMPUTED_VALUE"""),546.5)</f>
        <v>546.5</v>
      </c>
      <c r="D3737" s="2">
        <f>IFERROR(__xludf.DUMMYFUNCTION("""COMPUTED_VALUE"""),526.17)</f>
        <v>526.17</v>
      </c>
      <c r="E3737" s="2">
        <f>IFERROR(__xludf.DUMMYFUNCTION("""COMPUTED_VALUE"""),540.8)</f>
        <v>540.8</v>
      </c>
      <c r="F3737" s="2">
        <f>IFERROR(__xludf.DUMMYFUNCTION("""COMPUTED_VALUE"""),1427588.0)</f>
        <v>1427588</v>
      </c>
    </row>
    <row r="3738">
      <c r="A3738" s="3">
        <f>IFERROR(__xludf.DUMMYFUNCTION("""COMPUTED_VALUE"""),42038.64583333333)</f>
        <v>42038.64583</v>
      </c>
      <c r="B3738" s="2">
        <f>IFERROR(__xludf.DUMMYFUNCTION("""COMPUTED_VALUE"""),539.25)</f>
        <v>539.25</v>
      </c>
      <c r="C3738" s="2">
        <f>IFERROR(__xludf.DUMMYFUNCTION("""COMPUTED_VALUE"""),541.1)</f>
        <v>541.1</v>
      </c>
      <c r="D3738" s="2">
        <f>IFERROR(__xludf.DUMMYFUNCTION("""COMPUTED_VALUE"""),527.65)</f>
        <v>527.65</v>
      </c>
      <c r="E3738" s="2">
        <f>IFERROR(__xludf.DUMMYFUNCTION("""COMPUTED_VALUE"""),532.05)</f>
        <v>532.05</v>
      </c>
      <c r="F3738" s="2">
        <f>IFERROR(__xludf.DUMMYFUNCTION("""COMPUTED_VALUE"""),2550172.0)</f>
        <v>2550172</v>
      </c>
    </row>
    <row r="3739">
      <c r="A3739" s="3">
        <f>IFERROR(__xludf.DUMMYFUNCTION("""COMPUTED_VALUE"""),42039.64583333333)</f>
        <v>42039.64583</v>
      </c>
      <c r="B3739" s="2">
        <f>IFERROR(__xludf.DUMMYFUNCTION("""COMPUTED_VALUE"""),531.5)</f>
        <v>531.5</v>
      </c>
      <c r="C3739" s="2">
        <f>IFERROR(__xludf.DUMMYFUNCTION("""COMPUTED_VALUE"""),540.4)</f>
        <v>540.4</v>
      </c>
      <c r="D3739" s="2">
        <f>IFERROR(__xludf.DUMMYFUNCTION("""COMPUTED_VALUE"""),528.63)</f>
        <v>528.63</v>
      </c>
      <c r="E3739" s="2">
        <f>IFERROR(__xludf.DUMMYFUNCTION("""COMPUTED_VALUE"""),533.85)</f>
        <v>533.85</v>
      </c>
      <c r="F3739" s="2">
        <f>IFERROR(__xludf.DUMMYFUNCTION("""COMPUTED_VALUE"""),1549378.0)</f>
        <v>1549378</v>
      </c>
    </row>
    <row r="3740">
      <c r="A3740" s="3">
        <f>IFERROR(__xludf.DUMMYFUNCTION("""COMPUTED_VALUE"""),42040.64583333333)</f>
        <v>42040.64583</v>
      </c>
      <c r="B3740" s="2">
        <f>IFERROR(__xludf.DUMMYFUNCTION("""COMPUTED_VALUE"""),537.5)</f>
        <v>537.5</v>
      </c>
      <c r="C3740" s="2">
        <f>IFERROR(__xludf.DUMMYFUNCTION("""COMPUTED_VALUE"""),546.4)</f>
        <v>546.4</v>
      </c>
      <c r="D3740" s="2">
        <f>IFERROR(__xludf.DUMMYFUNCTION("""COMPUTED_VALUE"""),535.17)</f>
        <v>535.17</v>
      </c>
      <c r="E3740" s="2">
        <f>IFERROR(__xludf.DUMMYFUNCTION("""COMPUTED_VALUE"""),538.25)</f>
        <v>538.25</v>
      </c>
      <c r="F3740" s="2">
        <f>IFERROR(__xludf.DUMMYFUNCTION("""COMPUTED_VALUE"""),2014787.0)</f>
        <v>2014787</v>
      </c>
    </row>
    <row r="3741">
      <c r="A3741" s="3">
        <f>IFERROR(__xludf.DUMMYFUNCTION("""COMPUTED_VALUE"""),42041.64583333333)</f>
        <v>42041.64583</v>
      </c>
      <c r="B3741" s="2">
        <f>IFERROR(__xludf.DUMMYFUNCTION("""COMPUTED_VALUE"""),538.5)</f>
        <v>538.5</v>
      </c>
      <c r="C3741" s="2">
        <f>IFERROR(__xludf.DUMMYFUNCTION("""COMPUTED_VALUE"""),539.48)</f>
        <v>539.48</v>
      </c>
      <c r="D3741" s="2">
        <f>IFERROR(__xludf.DUMMYFUNCTION("""COMPUTED_VALUE"""),525.03)</f>
        <v>525.03</v>
      </c>
      <c r="E3741" s="2">
        <f>IFERROR(__xludf.DUMMYFUNCTION("""COMPUTED_VALUE"""),526.75)</f>
        <v>526.75</v>
      </c>
      <c r="F3741" s="2">
        <f>IFERROR(__xludf.DUMMYFUNCTION("""COMPUTED_VALUE"""),1725780.0)</f>
        <v>1725780</v>
      </c>
    </row>
    <row r="3742">
      <c r="A3742" s="3">
        <f>IFERROR(__xludf.DUMMYFUNCTION("""COMPUTED_VALUE"""),42044.64583333333)</f>
        <v>42044.64583</v>
      </c>
      <c r="B3742" s="2">
        <f>IFERROR(__xludf.DUMMYFUNCTION("""COMPUTED_VALUE"""),523.5)</f>
        <v>523.5</v>
      </c>
      <c r="C3742" s="2">
        <f>IFERROR(__xludf.DUMMYFUNCTION("""COMPUTED_VALUE"""),525.88)</f>
        <v>525.88</v>
      </c>
      <c r="D3742" s="2">
        <f>IFERROR(__xludf.DUMMYFUNCTION("""COMPUTED_VALUE"""),517.25)</f>
        <v>517.25</v>
      </c>
      <c r="E3742" s="2">
        <f>IFERROR(__xludf.DUMMYFUNCTION("""COMPUTED_VALUE"""),520.05)</f>
        <v>520.05</v>
      </c>
      <c r="F3742" s="2">
        <f>IFERROR(__xludf.DUMMYFUNCTION("""COMPUTED_VALUE"""),1307974.0)</f>
        <v>1307974</v>
      </c>
    </row>
    <row r="3743">
      <c r="A3743" s="3">
        <f>IFERROR(__xludf.DUMMYFUNCTION("""COMPUTED_VALUE"""),42045.64583333333)</f>
        <v>42045.64583</v>
      </c>
      <c r="B3743" s="2">
        <f>IFERROR(__xludf.DUMMYFUNCTION("""COMPUTED_VALUE"""),515.0)</f>
        <v>515</v>
      </c>
      <c r="C3743" s="2">
        <f>IFERROR(__xludf.DUMMYFUNCTION("""COMPUTED_VALUE"""),531.15)</f>
        <v>531.15</v>
      </c>
      <c r="D3743" s="2">
        <f>IFERROR(__xludf.DUMMYFUNCTION("""COMPUTED_VALUE"""),515.0)</f>
        <v>515</v>
      </c>
      <c r="E3743" s="2">
        <f>IFERROR(__xludf.DUMMYFUNCTION("""COMPUTED_VALUE"""),527.23)</f>
        <v>527.23</v>
      </c>
      <c r="F3743" s="2">
        <f>IFERROR(__xludf.DUMMYFUNCTION("""COMPUTED_VALUE"""),2318938.0)</f>
        <v>2318938</v>
      </c>
    </row>
    <row r="3744">
      <c r="A3744" s="3">
        <f>IFERROR(__xludf.DUMMYFUNCTION("""COMPUTED_VALUE"""),42046.64583333333)</f>
        <v>42046.64583</v>
      </c>
      <c r="B3744" s="2">
        <f>IFERROR(__xludf.DUMMYFUNCTION("""COMPUTED_VALUE"""),529.0)</f>
        <v>529</v>
      </c>
      <c r="C3744" s="2">
        <f>IFERROR(__xludf.DUMMYFUNCTION("""COMPUTED_VALUE"""),532.4)</f>
        <v>532.4</v>
      </c>
      <c r="D3744" s="2">
        <f>IFERROR(__xludf.DUMMYFUNCTION("""COMPUTED_VALUE"""),526.5)</f>
        <v>526.5</v>
      </c>
      <c r="E3744" s="2">
        <f>IFERROR(__xludf.DUMMYFUNCTION("""COMPUTED_VALUE"""),529.2)</f>
        <v>529.2</v>
      </c>
      <c r="F3744" s="2">
        <f>IFERROR(__xludf.DUMMYFUNCTION("""COMPUTED_VALUE"""),1040397.0)</f>
        <v>1040397</v>
      </c>
    </row>
    <row r="3745">
      <c r="A3745" s="3">
        <f>IFERROR(__xludf.DUMMYFUNCTION("""COMPUTED_VALUE"""),42047.64583333333)</f>
        <v>42047.64583</v>
      </c>
      <c r="B3745" s="2">
        <f>IFERROR(__xludf.DUMMYFUNCTION("""COMPUTED_VALUE"""),532.55)</f>
        <v>532.55</v>
      </c>
      <c r="C3745" s="2">
        <f>IFERROR(__xludf.DUMMYFUNCTION("""COMPUTED_VALUE"""),540.95)</f>
        <v>540.95</v>
      </c>
      <c r="D3745" s="2">
        <f>IFERROR(__xludf.DUMMYFUNCTION("""COMPUTED_VALUE"""),526.35)</f>
        <v>526.35</v>
      </c>
      <c r="E3745" s="2">
        <f>IFERROR(__xludf.DUMMYFUNCTION("""COMPUTED_VALUE"""),538.0)</f>
        <v>538</v>
      </c>
      <c r="F3745" s="2">
        <f>IFERROR(__xludf.DUMMYFUNCTION("""COMPUTED_VALUE"""),1381435.0)</f>
        <v>1381435</v>
      </c>
    </row>
    <row r="3746">
      <c r="A3746" s="3">
        <f>IFERROR(__xludf.DUMMYFUNCTION("""COMPUTED_VALUE"""),42048.64583333333)</f>
        <v>42048.64583</v>
      </c>
      <c r="B3746" s="2">
        <f>IFERROR(__xludf.DUMMYFUNCTION("""COMPUTED_VALUE"""),540.6)</f>
        <v>540.6</v>
      </c>
      <c r="C3746" s="2">
        <f>IFERROR(__xludf.DUMMYFUNCTION("""COMPUTED_VALUE"""),541.0)</f>
        <v>541</v>
      </c>
      <c r="D3746" s="2">
        <f>IFERROR(__xludf.DUMMYFUNCTION("""COMPUTED_VALUE"""),531.8)</f>
        <v>531.8</v>
      </c>
      <c r="E3746" s="2">
        <f>IFERROR(__xludf.DUMMYFUNCTION("""COMPUTED_VALUE"""),532.9)</f>
        <v>532.9</v>
      </c>
      <c r="F3746" s="2">
        <f>IFERROR(__xludf.DUMMYFUNCTION("""COMPUTED_VALUE"""),1928625.0)</f>
        <v>1928625</v>
      </c>
    </row>
    <row r="3747">
      <c r="A3747" s="3">
        <f>IFERROR(__xludf.DUMMYFUNCTION("""COMPUTED_VALUE"""),42051.64583333333)</f>
        <v>42051.64583</v>
      </c>
      <c r="B3747" s="2">
        <f>IFERROR(__xludf.DUMMYFUNCTION("""COMPUTED_VALUE"""),537.9)</f>
        <v>537.9</v>
      </c>
      <c r="C3747" s="2">
        <f>IFERROR(__xludf.DUMMYFUNCTION("""COMPUTED_VALUE"""),542.5)</f>
        <v>542.5</v>
      </c>
      <c r="D3747" s="2">
        <f>IFERROR(__xludf.DUMMYFUNCTION("""COMPUTED_VALUE"""),531.25)</f>
        <v>531.25</v>
      </c>
      <c r="E3747" s="2">
        <f>IFERROR(__xludf.DUMMYFUNCTION("""COMPUTED_VALUE"""),533.78)</f>
        <v>533.78</v>
      </c>
      <c r="F3747" s="2">
        <f>IFERROR(__xludf.DUMMYFUNCTION("""COMPUTED_VALUE"""),1847179.0)</f>
        <v>1847179</v>
      </c>
    </row>
    <row r="3748">
      <c r="A3748" s="3">
        <f>IFERROR(__xludf.DUMMYFUNCTION("""COMPUTED_VALUE"""),42053.64583333333)</f>
        <v>42053.64583</v>
      </c>
      <c r="B3748" s="2">
        <f>IFERROR(__xludf.DUMMYFUNCTION("""COMPUTED_VALUE"""),533.78)</f>
        <v>533.78</v>
      </c>
      <c r="C3748" s="2">
        <f>IFERROR(__xludf.DUMMYFUNCTION("""COMPUTED_VALUE"""),541.48)</f>
        <v>541.48</v>
      </c>
      <c r="D3748" s="2">
        <f>IFERROR(__xludf.DUMMYFUNCTION("""COMPUTED_VALUE"""),528.53)</f>
        <v>528.53</v>
      </c>
      <c r="E3748" s="2">
        <f>IFERROR(__xludf.DUMMYFUNCTION("""COMPUTED_VALUE"""),537.4)</f>
        <v>537.4</v>
      </c>
      <c r="F3748" s="2">
        <f>IFERROR(__xludf.DUMMYFUNCTION("""COMPUTED_VALUE"""),1345423.0)</f>
        <v>1345423</v>
      </c>
    </row>
    <row r="3749">
      <c r="A3749" s="3">
        <f>IFERROR(__xludf.DUMMYFUNCTION("""COMPUTED_VALUE"""),42054.64583333333)</f>
        <v>42054.64583</v>
      </c>
      <c r="B3749" s="2">
        <f>IFERROR(__xludf.DUMMYFUNCTION("""COMPUTED_VALUE"""),537.0)</f>
        <v>537</v>
      </c>
      <c r="C3749" s="2">
        <f>IFERROR(__xludf.DUMMYFUNCTION("""COMPUTED_VALUE"""),542.45)</f>
        <v>542.45</v>
      </c>
      <c r="D3749" s="2">
        <f>IFERROR(__xludf.DUMMYFUNCTION("""COMPUTED_VALUE"""),531.9)</f>
        <v>531.9</v>
      </c>
      <c r="E3749" s="2">
        <f>IFERROR(__xludf.DUMMYFUNCTION("""COMPUTED_VALUE"""),539.9)</f>
        <v>539.9</v>
      </c>
      <c r="F3749" s="2">
        <f>IFERROR(__xludf.DUMMYFUNCTION("""COMPUTED_VALUE"""),1126751.0)</f>
        <v>1126751</v>
      </c>
    </row>
    <row r="3750">
      <c r="A3750" s="3">
        <f>IFERROR(__xludf.DUMMYFUNCTION("""COMPUTED_VALUE"""),42055.64583333333)</f>
        <v>42055.64583</v>
      </c>
      <c r="B3750" s="2">
        <f>IFERROR(__xludf.DUMMYFUNCTION("""COMPUTED_VALUE"""),541.5)</f>
        <v>541.5</v>
      </c>
      <c r="C3750" s="2">
        <f>IFERROR(__xludf.DUMMYFUNCTION("""COMPUTED_VALUE"""),544.95)</f>
        <v>544.95</v>
      </c>
      <c r="D3750" s="2">
        <f>IFERROR(__xludf.DUMMYFUNCTION("""COMPUTED_VALUE"""),534.25)</f>
        <v>534.25</v>
      </c>
      <c r="E3750" s="2">
        <f>IFERROR(__xludf.DUMMYFUNCTION("""COMPUTED_VALUE"""),536.53)</f>
        <v>536.53</v>
      </c>
      <c r="F3750" s="2">
        <f>IFERROR(__xludf.DUMMYFUNCTION("""COMPUTED_VALUE"""),1551506.0)</f>
        <v>1551506</v>
      </c>
    </row>
    <row r="3751">
      <c r="A3751" s="3">
        <f>IFERROR(__xludf.DUMMYFUNCTION("""COMPUTED_VALUE"""),42058.64583333333)</f>
        <v>42058.64583</v>
      </c>
      <c r="B3751" s="2">
        <f>IFERROR(__xludf.DUMMYFUNCTION("""COMPUTED_VALUE"""),538.55)</f>
        <v>538.55</v>
      </c>
      <c r="C3751" s="2">
        <f>IFERROR(__xludf.DUMMYFUNCTION("""COMPUTED_VALUE"""),540.78)</f>
        <v>540.78</v>
      </c>
      <c r="D3751" s="2">
        <f>IFERROR(__xludf.DUMMYFUNCTION("""COMPUTED_VALUE"""),531.0)</f>
        <v>531</v>
      </c>
      <c r="E3751" s="2">
        <f>IFERROR(__xludf.DUMMYFUNCTION("""COMPUTED_VALUE"""),533.75)</f>
        <v>533.75</v>
      </c>
      <c r="F3751" s="2">
        <f>IFERROR(__xludf.DUMMYFUNCTION("""COMPUTED_VALUE"""),1395391.0)</f>
        <v>1395391</v>
      </c>
    </row>
    <row r="3752">
      <c r="A3752" s="3">
        <f>IFERROR(__xludf.DUMMYFUNCTION("""COMPUTED_VALUE"""),42059.64583333333)</f>
        <v>42059.64583</v>
      </c>
      <c r="B3752" s="2">
        <f>IFERROR(__xludf.DUMMYFUNCTION("""COMPUTED_VALUE"""),535.15)</f>
        <v>535.15</v>
      </c>
      <c r="C3752" s="2">
        <f>IFERROR(__xludf.DUMMYFUNCTION("""COMPUTED_VALUE"""),535.5)</f>
        <v>535.5</v>
      </c>
      <c r="D3752" s="2">
        <f>IFERROR(__xludf.DUMMYFUNCTION("""COMPUTED_VALUE"""),528.55)</f>
        <v>528.55</v>
      </c>
      <c r="E3752" s="2">
        <f>IFERROR(__xludf.DUMMYFUNCTION("""COMPUTED_VALUE"""),533.83)</f>
        <v>533.83</v>
      </c>
      <c r="F3752" s="2">
        <f>IFERROR(__xludf.DUMMYFUNCTION("""COMPUTED_VALUE"""),1461572.0)</f>
        <v>1461572</v>
      </c>
    </row>
    <row r="3753">
      <c r="A3753" s="3">
        <f>IFERROR(__xludf.DUMMYFUNCTION("""COMPUTED_VALUE"""),42060.64583333333)</f>
        <v>42060.64583</v>
      </c>
      <c r="B3753" s="2">
        <f>IFERROR(__xludf.DUMMYFUNCTION("""COMPUTED_VALUE"""),535.0)</f>
        <v>535</v>
      </c>
      <c r="C3753" s="2">
        <f>IFERROR(__xludf.DUMMYFUNCTION("""COMPUTED_VALUE"""),537.4)</f>
        <v>537.4</v>
      </c>
      <c r="D3753" s="2">
        <f>IFERROR(__xludf.DUMMYFUNCTION("""COMPUTED_VALUE"""),525.0)</f>
        <v>525</v>
      </c>
      <c r="E3753" s="2">
        <f>IFERROR(__xludf.DUMMYFUNCTION("""COMPUTED_VALUE"""),526.23)</f>
        <v>526.23</v>
      </c>
      <c r="F3753" s="2">
        <f>IFERROR(__xludf.DUMMYFUNCTION("""COMPUTED_VALUE"""),1162131.0)</f>
        <v>1162131</v>
      </c>
    </row>
    <row r="3754">
      <c r="A3754" s="3">
        <f>IFERROR(__xludf.DUMMYFUNCTION("""COMPUTED_VALUE"""),42061.64583333333)</f>
        <v>42061.64583</v>
      </c>
      <c r="B3754" s="2">
        <f>IFERROR(__xludf.DUMMYFUNCTION("""COMPUTED_VALUE"""),526.83)</f>
        <v>526.83</v>
      </c>
      <c r="C3754" s="2">
        <f>IFERROR(__xludf.DUMMYFUNCTION("""COMPUTED_VALUE"""),528.0)</f>
        <v>528</v>
      </c>
      <c r="D3754" s="2">
        <f>IFERROR(__xludf.DUMMYFUNCTION("""COMPUTED_VALUE"""),517.55)</f>
        <v>517.55</v>
      </c>
      <c r="E3754" s="2">
        <f>IFERROR(__xludf.DUMMYFUNCTION("""COMPUTED_VALUE"""),519.08)</f>
        <v>519.08</v>
      </c>
      <c r="F3754" s="2">
        <f>IFERROR(__xludf.DUMMYFUNCTION("""COMPUTED_VALUE"""),3106736.0)</f>
        <v>3106736</v>
      </c>
    </row>
    <row r="3755">
      <c r="A3755" s="3">
        <f>IFERROR(__xludf.DUMMYFUNCTION("""COMPUTED_VALUE"""),42062.64583333333)</f>
        <v>42062.64583</v>
      </c>
      <c r="B3755" s="2">
        <f>IFERROR(__xludf.DUMMYFUNCTION("""COMPUTED_VALUE"""),522.73)</f>
        <v>522.73</v>
      </c>
      <c r="C3755" s="2">
        <f>IFERROR(__xludf.DUMMYFUNCTION("""COMPUTED_VALUE"""),529.28)</f>
        <v>529.28</v>
      </c>
      <c r="D3755" s="2">
        <f>IFERROR(__xludf.DUMMYFUNCTION("""COMPUTED_VALUE"""),522.73)</f>
        <v>522.73</v>
      </c>
      <c r="E3755" s="2">
        <f>IFERROR(__xludf.DUMMYFUNCTION("""COMPUTED_VALUE"""),527.0)</f>
        <v>527</v>
      </c>
      <c r="F3755" s="2">
        <f>IFERROR(__xludf.DUMMYFUNCTION("""COMPUTED_VALUE"""),2565446.0)</f>
        <v>2565446</v>
      </c>
    </row>
    <row r="3756">
      <c r="A3756" s="3">
        <f>IFERROR(__xludf.DUMMYFUNCTION("""COMPUTED_VALUE"""),42065.64583333333)</f>
        <v>42065.64583</v>
      </c>
      <c r="B3756" s="2">
        <f>IFERROR(__xludf.DUMMYFUNCTION("""COMPUTED_VALUE"""),540.17)</f>
        <v>540.17</v>
      </c>
      <c r="C3756" s="2">
        <f>IFERROR(__xludf.DUMMYFUNCTION("""COMPUTED_VALUE"""),549.5)</f>
        <v>549.5</v>
      </c>
      <c r="D3756" s="2">
        <f>IFERROR(__xludf.DUMMYFUNCTION("""COMPUTED_VALUE"""),534.0)</f>
        <v>534</v>
      </c>
      <c r="E3756" s="2">
        <f>IFERROR(__xludf.DUMMYFUNCTION("""COMPUTED_VALUE"""),541.28)</f>
        <v>541.28</v>
      </c>
      <c r="F3756" s="2">
        <f>IFERROR(__xludf.DUMMYFUNCTION("""COMPUTED_VALUE"""),3596308.0)</f>
        <v>3596308</v>
      </c>
    </row>
    <row r="3757">
      <c r="A3757" s="3">
        <f>IFERROR(__xludf.DUMMYFUNCTION("""COMPUTED_VALUE"""),42066.64583333333)</f>
        <v>42066.64583</v>
      </c>
      <c r="B3757" s="2">
        <f>IFERROR(__xludf.DUMMYFUNCTION("""COMPUTED_VALUE"""),543.23)</f>
        <v>543.23</v>
      </c>
      <c r="C3757" s="2">
        <f>IFERROR(__xludf.DUMMYFUNCTION("""COMPUTED_VALUE"""),546.0)</f>
        <v>546</v>
      </c>
      <c r="D3757" s="2">
        <f>IFERROR(__xludf.DUMMYFUNCTION("""COMPUTED_VALUE"""),538.53)</f>
        <v>538.53</v>
      </c>
      <c r="E3757" s="2">
        <f>IFERROR(__xludf.DUMMYFUNCTION("""COMPUTED_VALUE"""),541.67)</f>
        <v>541.67</v>
      </c>
      <c r="F3757" s="2">
        <f>IFERROR(__xludf.DUMMYFUNCTION("""COMPUTED_VALUE"""),1507337.0)</f>
        <v>1507337</v>
      </c>
    </row>
    <row r="3758">
      <c r="A3758" s="3">
        <f>IFERROR(__xludf.DUMMYFUNCTION("""COMPUTED_VALUE"""),42067.64583333333)</f>
        <v>42067.64583</v>
      </c>
      <c r="B3758" s="2">
        <f>IFERROR(__xludf.DUMMYFUNCTION("""COMPUTED_VALUE"""),552.5)</f>
        <v>552.5</v>
      </c>
      <c r="C3758" s="2">
        <f>IFERROR(__xludf.DUMMYFUNCTION("""COMPUTED_VALUE"""),554.65)</f>
        <v>554.65</v>
      </c>
      <c r="D3758" s="2">
        <f>IFERROR(__xludf.DUMMYFUNCTION("""COMPUTED_VALUE"""),530.0)</f>
        <v>530</v>
      </c>
      <c r="E3758" s="2">
        <f>IFERROR(__xludf.DUMMYFUNCTION("""COMPUTED_VALUE"""),532.65)</f>
        <v>532.65</v>
      </c>
      <c r="F3758" s="2">
        <f>IFERROR(__xludf.DUMMYFUNCTION("""COMPUTED_VALUE"""),3069406.0)</f>
        <v>3069406</v>
      </c>
    </row>
    <row r="3759">
      <c r="A3759" s="3">
        <f>IFERROR(__xludf.DUMMYFUNCTION("""COMPUTED_VALUE"""),42068.64583333333)</f>
        <v>42068.64583</v>
      </c>
      <c r="B3759" s="2">
        <f>IFERROR(__xludf.DUMMYFUNCTION("""COMPUTED_VALUE"""),532.5)</f>
        <v>532.5</v>
      </c>
      <c r="C3759" s="2">
        <f>IFERROR(__xludf.DUMMYFUNCTION("""COMPUTED_VALUE"""),545.0)</f>
        <v>545</v>
      </c>
      <c r="D3759" s="2">
        <f>IFERROR(__xludf.DUMMYFUNCTION("""COMPUTED_VALUE"""),531.25)</f>
        <v>531.25</v>
      </c>
      <c r="E3759" s="2">
        <f>IFERROR(__xludf.DUMMYFUNCTION("""COMPUTED_VALUE"""),542.55)</f>
        <v>542.55</v>
      </c>
      <c r="F3759" s="2">
        <f>IFERROR(__xludf.DUMMYFUNCTION("""COMPUTED_VALUE"""),2425613.0)</f>
        <v>2425613</v>
      </c>
    </row>
    <row r="3760">
      <c r="A3760" s="3">
        <f>IFERROR(__xludf.DUMMYFUNCTION("""COMPUTED_VALUE"""),42072.64583333333)</f>
        <v>42072.64583</v>
      </c>
      <c r="B3760" s="2">
        <f>IFERROR(__xludf.DUMMYFUNCTION("""COMPUTED_VALUE"""),538.53)</f>
        <v>538.53</v>
      </c>
      <c r="C3760" s="2">
        <f>IFERROR(__xludf.DUMMYFUNCTION("""COMPUTED_VALUE"""),540.9)</f>
        <v>540.9</v>
      </c>
      <c r="D3760" s="2">
        <f>IFERROR(__xludf.DUMMYFUNCTION("""COMPUTED_VALUE"""),528.0)</f>
        <v>528</v>
      </c>
      <c r="E3760" s="2">
        <f>IFERROR(__xludf.DUMMYFUNCTION("""COMPUTED_VALUE"""),529.5)</f>
        <v>529.5</v>
      </c>
      <c r="F3760" s="2">
        <f>IFERROR(__xludf.DUMMYFUNCTION("""COMPUTED_VALUE"""),1438952.0)</f>
        <v>1438952</v>
      </c>
    </row>
    <row r="3761">
      <c r="A3761" s="3">
        <f>IFERROR(__xludf.DUMMYFUNCTION("""COMPUTED_VALUE"""),42073.64583333333)</f>
        <v>42073.64583</v>
      </c>
      <c r="B3761" s="2">
        <f>IFERROR(__xludf.DUMMYFUNCTION("""COMPUTED_VALUE"""),531.0)</f>
        <v>531</v>
      </c>
      <c r="C3761" s="2">
        <f>IFERROR(__xludf.DUMMYFUNCTION("""COMPUTED_VALUE"""),531.13)</f>
        <v>531.13</v>
      </c>
      <c r="D3761" s="2">
        <f>IFERROR(__xludf.DUMMYFUNCTION("""COMPUTED_VALUE"""),522.5)</f>
        <v>522.5</v>
      </c>
      <c r="E3761" s="2">
        <f>IFERROR(__xludf.DUMMYFUNCTION("""COMPUTED_VALUE"""),526.28)</f>
        <v>526.28</v>
      </c>
      <c r="F3761" s="2">
        <f>IFERROR(__xludf.DUMMYFUNCTION("""COMPUTED_VALUE"""),1283709.0)</f>
        <v>1283709</v>
      </c>
    </row>
    <row r="3762">
      <c r="A3762" s="3">
        <f>IFERROR(__xludf.DUMMYFUNCTION("""COMPUTED_VALUE"""),42074.64583333333)</f>
        <v>42074.64583</v>
      </c>
      <c r="B3762" s="2">
        <f>IFERROR(__xludf.DUMMYFUNCTION("""COMPUTED_VALUE"""),525.45)</f>
        <v>525.45</v>
      </c>
      <c r="C3762" s="2">
        <f>IFERROR(__xludf.DUMMYFUNCTION("""COMPUTED_VALUE"""),530.95)</f>
        <v>530.95</v>
      </c>
      <c r="D3762" s="2">
        <f>IFERROR(__xludf.DUMMYFUNCTION("""COMPUTED_VALUE"""),525.0)</f>
        <v>525</v>
      </c>
      <c r="E3762" s="2">
        <f>IFERROR(__xludf.DUMMYFUNCTION("""COMPUTED_VALUE"""),528.23)</f>
        <v>528.23</v>
      </c>
      <c r="F3762" s="2">
        <f>IFERROR(__xludf.DUMMYFUNCTION("""COMPUTED_VALUE"""),1366384.0)</f>
        <v>1366384</v>
      </c>
    </row>
    <row r="3763">
      <c r="A3763" s="3">
        <f>IFERROR(__xludf.DUMMYFUNCTION("""COMPUTED_VALUE"""),42075.64583333333)</f>
        <v>42075.64583</v>
      </c>
      <c r="B3763" s="2">
        <f>IFERROR(__xludf.DUMMYFUNCTION("""COMPUTED_VALUE"""),530.05)</f>
        <v>530.05</v>
      </c>
      <c r="C3763" s="2">
        <f>IFERROR(__xludf.DUMMYFUNCTION("""COMPUTED_VALUE"""),531.95)</f>
        <v>531.95</v>
      </c>
      <c r="D3763" s="2">
        <f>IFERROR(__xludf.DUMMYFUNCTION("""COMPUTED_VALUE"""),525.55)</f>
        <v>525.55</v>
      </c>
      <c r="E3763" s="2">
        <f>IFERROR(__xludf.DUMMYFUNCTION("""COMPUTED_VALUE"""),527.3)</f>
        <v>527.3</v>
      </c>
      <c r="F3763" s="2">
        <f>IFERROR(__xludf.DUMMYFUNCTION("""COMPUTED_VALUE"""),1882709.0)</f>
        <v>1882709</v>
      </c>
    </row>
    <row r="3764">
      <c r="A3764" s="3">
        <f>IFERROR(__xludf.DUMMYFUNCTION("""COMPUTED_VALUE"""),42076.64583333333)</f>
        <v>42076.64583</v>
      </c>
      <c r="B3764" s="2">
        <f>IFERROR(__xludf.DUMMYFUNCTION("""COMPUTED_VALUE"""),530.0)</f>
        <v>530</v>
      </c>
      <c r="C3764" s="2">
        <f>IFERROR(__xludf.DUMMYFUNCTION("""COMPUTED_VALUE"""),532.0)</f>
        <v>532</v>
      </c>
      <c r="D3764" s="2">
        <f>IFERROR(__xludf.DUMMYFUNCTION("""COMPUTED_VALUE"""),517.3)</f>
        <v>517.3</v>
      </c>
      <c r="E3764" s="2">
        <f>IFERROR(__xludf.DUMMYFUNCTION("""COMPUTED_VALUE"""),521.33)</f>
        <v>521.33</v>
      </c>
      <c r="F3764" s="2">
        <f>IFERROR(__xludf.DUMMYFUNCTION("""COMPUTED_VALUE"""),1356695.0)</f>
        <v>1356695</v>
      </c>
    </row>
    <row r="3765">
      <c r="A3765" s="3">
        <f>IFERROR(__xludf.DUMMYFUNCTION("""COMPUTED_VALUE"""),42079.64583333333)</f>
        <v>42079.64583</v>
      </c>
      <c r="B3765" s="2">
        <f>IFERROR(__xludf.DUMMYFUNCTION("""COMPUTED_VALUE"""),522.5)</f>
        <v>522.5</v>
      </c>
      <c r="C3765" s="2">
        <f>IFERROR(__xludf.DUMMYFUNCTION("""COMPUTED_VALUE"""),528.95)</f>
        <v>528.95</v>
      </c>
      <c r="D3765" s="2">
        <f>IFERROR(__xludf.DUMMYFUNCTION("""COMPUTED_VALUE"""),521.25)</f>
        <v>521.25</v>
      </c>
      <c r="E3765" s="2">
        <f>IFERROR(__xludf.DUMMYFUNCTION("""COMPUTED_VALUE"""),525.78)</f>
        <v>525.78</v>
      </c>
      <c r="F3765" s="2">
        <f>IFERROR(__xludf.DUMMYFUNCTION("""COMPUTED_VALUE"""),1337193.0)</f>
        <v>1337193</v>
      </c>
    </row>
    <row r="3766">
      <c r="A3766" s="3">
        <f>IFERROR(__xludf.DUMMYFUNCTION("""COMPUTED_VALUE"""),42080.64583333333)</f>
        <v>42080.64583</v>
      </c>
      <c r="B3766" s="2">
        <f>IFERROR(__xludf.DUMMYFUNCTION("""COMPUTED_VALUE"""),530.0)</f>
        <v>530</v>
      </c>
      <c r="C3766" s="2">
        <f>IFERROR(__xludf.DUMMYFUNCTION("""COMPUTED_VALUE"""),532.95)</f>
        <v>532.95</v>
      </c>
      <c r="D3766" s="2">
        <f>IFERROR(__xludf.DUMMYFUNCTION("""COMPUTED_VALUE"""),521.42)</f>
        <v>521.42</v>
      </c>
      <c r="E3766" s="2">
        <f>IFERROR(__xludf.DUMMYFUNCTION("""COMPUTED_VALUE"""),529.03)</f>
        <v>529.03</v>
      </c>
      <c r="F3766" s="2">
        <f>IFERROR(__xludf.DUMMYFUNCTION("""COMPUTED_VALUE"""),1342326.0)</f>
        <v>1342326</v>
      </c>
    </row>
    <row r="3767">
      <c r="A3767" s="3">
        <f>IFERROR(__xludf.DUMMYFUNCTION("""COMPUTED_VALUE"""),42081.64583333333)</f>
        <v>42081.64583</v>
      </c>
      <c r="B3767" s="2">
        <f>IFERROR(__xludf.DUMMYFUNCTION("""COMPUTED_VALUE"""),530.08)</f>
        <v>530.08</v>
      </c>
      <c r="C3767" s="2">
        <f>IFERROR(__xludf.DUMMYFUNCTION("""COMPUTED_VALUE"""),535.95)</f>
        <v>535.95</v>
      </c>
      <c r="D3767" s="2">
        <f>IFERROR(__xludf.DUMMYFUNCTION("""COMPUTED_VALUE"""),526.6)</f>
        <v>526.6</v>
      </c>
      <c r="E3767" s="2">
        <f>IFERROR(__xludf.DUMMYFUNCTION("""COMPUTED_VALUE"""),531.78)</f>
        <v>531.78</v>
      </c>
      <c r="F3767" s="2">
        <f>IFERROR(__xludf.DUMMYFUNCTION("""COMPUTED_VALUE"""),1287083.0)</f>
        <v>1287083</v>
      </c>
    </row>
    <row r="3768">
      <c r="A3768" s="3">
        <f>IFERROR(__xludf.DUMMYFUNCTION("""COMPUTED_VALUE"""),42082.64583333333)</f>
        <v>42082.64583</v>
      </c>
      <c r="B3768" s="2">
        <f>IFERROR(__xludf.DUMMYFUNCTION("""COMPUTED_VALUE"""),535.5)</f>
        <v>535.5</v>
      </c>
      <c r="C3768" s="2">
        <f>IFERROR(__xludf.DUMMYFUNCTION("""COMPUTED_VALUE"""),536.9)</f>
        <v>536.9</v>
      </c>
      <c r="D3768" s="2">
        <f>IFERROR(__xludf.DUMMYFUNCTION("""COMPUTED_VALUE"""),524.35)</f>
        <v>524.35</v>
      </c>
      <c r="E3768" s="2">
        <f>IFERROR(__xludf.DUMMYFUNCTION("""COMPUTED_VALUE"""),526.1)</f>
        <v>526.1</v>
      </c>
      <c r="F3768" s="2">
        <f>IFERROR(__xludf.DUMMYFUNCTION("""COMPUTED_VALUE"""),1343393.0)</f>
        <v>1343393</v>
      </c>
    </row>
    <row r="3769">
      <c r="A3769" s="3">
        <f>IFERROR(__xludf.DUMMYFUNCTION("""COMPUTED_VALUE"""),42083.64583333333)</f>
        <v>42083.64583</v>
      </c>
      <c r="B3769" s="2">
        <f>IFERROR(__xludf.DUMMYFUNCTION("""COMPUTED_VALUE"""),525.5)</f>
        <v>525.5</v>
      </c>
      <c r="C3769" s="2">
        <f>IFERROR(__xludf.DUMMYFUNCTION("""COMPUTED_VALUE"""),529.75)</f>
        <v>529.75</v>
      </c>
      <c r="D3769" s="2">
        <f>IFERROR(__xludf.DUMMYFUNCTION("""COMPUTED_VALUE"""),522.98)</f>
        <v>522.98</v>
      </c>
      <c r="E3769" s="2">
        <f>IFERROR(__xludf.DUMMYFUNCTION("""COMPUTED_VALUE"""),527.95)</f>
        <v>527.95</v>
      </c>
      <c r="F3769" s="2">
        <f>IFERROR(__xludf.DUMMYFUNCTION("""COMPUTED_VALUE"""),1620809.0)</f>
        <v>1620809</v>
      </c>
    </row>
    <row r="3770">
      <c r="A3770" s="3">
        <f>IFERROR(__xludf.DUMMYFUNCTION("""COMPUTED_VALUE"""),42086.64583333333)</f>
        <v>42086.64583</v>
      </c>
      <c r="B3770" s="2">
        <f>IFERROR(__xludf.DUMMYFUNCTION("""COMPUTED_VALUE"""),527.98)</f>
        <v>527.98</v>
      </c>
      <c r="C3770" s="2">
        <f>IFERROR(__xludf.DUMMYFUNCTION("""COMPUTED_VALUE"""),529.7)</f>
        <v>529.7</v>
      </c>
      <c r="D3770" s="2">
        <f>IFERROR(__xludf.DUMMYFUNCTION("""COMPUTED_VALUE"""),523.0)</f>
        <v>523</v>
      </c>
      <c r="E3770" s="2">
        <f>IFERROR(__xludf.DUMMYFUNCTION("""COMPUTED_VALUE"""),523.88)</f>
        <v>523.88</v>
      </c>
      <c r="F3770" s="2">
        <f>IFERROR(__xludf.DUMMYFUNCTION("""COMPUTED_VALUE"""),1361685.0)</f>
        <v>1361685</v>
      </c>
    </row>
    <row r="3771">
      <c r="A3771" s="3">
        <f>IFERROR(__xludf.DUMMYFUNCTION("""COMPUTED_VALUE"""),42087.64583333333)</f>
        <v>42087.64583</v>
      </c>
      <c r="B3771" s="2">
        <f>IFERROR(__xludf.DUMMYFUNCTION("""COMPUTED_VALUE"""),521.65)</f>
        <v>521.65</v>
      </c>
      <c r="C3771" s="2">
        <f>IFERROR(__xludf.DUMMYFUNCTION("""COMPUTED_VALUE"""),528.5)</f>
        <v>528.5</v>
      </c>
      <c r="D3771" s="2">
        <f>IFERROR(__xludf.DUMMYFUNCTION("""COMPUTED_VALUE"""),517.73)</f>
        <v>517.73</v>
      </c>
      <c r="E3771" s="2">
        <f>IFERROR(__xludf.DUMMYFUNCTION("""COMPUTED_VALUE"""),518.98)</f>
        <v>518.98</v>
      </c>
      <c r="F3771" s="2">
        <f>IFERROR(__xludf.DUMMYFUNCTION("""COMPUTED_VALUE"""),2243391.0)</f>
        <v>2243391</v>
      </c>
    </row>
    <row r="3772">
      <c r="A3772" s="3">
        <f>IFERROR(__xludf.DUMMYFUNCTION("""COMPUTED_VALUE"""),42088.64583333333)</f>
        <v>42088.64583</v>
      </c>
      <c r="B3772" s="2">
        <f>IFERROR(__xludf.DUMMYFUNCTION("""COMPUTED_VALUE"""),520.03)</f>
        <v>520.03</v>
      </c>
      <c r="C3772" s="2">
        <f>IFERROR(__xludf.DUMMYFUNCTION("""COMPUTED_VALUE"""),523.35)</f>
        <v>523.35</v>
      </c>
      <c r="D3772" s="2">
        <f>IFERROR(__xludf.DUMMYFUNCTION("""COMPUTED_VALUE"""),515.55)</f>
        <v>515.55</v>
      </c>
      <c r="E3772" s="2">
        <f>IFERROR(__xludf.DUMMYFUNCTION("""COMPUTED_VALUE"""),517.13)</f>
        <v>517.13</v>
      </c>
      <c r="F3772" s="2">
        <f>IFERROR(__xludf.DUMMYFUNCTION("""COMPUTED_VALUE"""),2652225.0)</f>
        <v>2652225</v>
      </c>
    </row>
    <row r="3773">
      <c r="A3773" s="3">
        <f>IFERROR(__xludf.DUMMYFUNCTION("""COMPUTED_VALUE"""),42089.64583333333)</f>
        <v>42089.64583</v>
      </c>
      <c r="B3773" s="2">
        <f>IFERROR(__xludf.DUMMYFUNCTION("""COMPUTED_VALUE"""),513.45)</f>
        <v>513.45</v>
      </c>
      <c r="C3773" s="2">
        <f>IFERROR(__xludf.DUMMYFUNCTION("""COMPUTED_VALUE"""),516.1)</f>
        <v>516.1</v>
      </c>
      <c r="D3773" s="2">
        <f>IFERROR(__xludf.DUMMYFUNCTION("""COMPUTED_VALUE"""),501.05)</f>
        <v>501.05</v>
      </c>
      <c r="E3773" s="2">
        <f>IFERROR(__xludf.DUMMYFUNCTION("""COMPUTED_VALUE"""),503.48)</f>
        <v>503.48</v>
      </c>
      <c r="F3773" s="2">
        <f>IFERROR(__xludf.DUMMYFUNCTION("""COMPUTED_VALUE"""),8950155.0)</f>
        <v>8950155</v>
      </c>
    </row>
    <row r="3774">
      <c r="A3774" s="3">
        <f>IFERROR(__xludf.DUMMYFUNCTION("""COMPUTED_VALUE"""),42090.64583333333)</f>
        <v>42090.64583</v>
      </c>
      <c r="B3774" s="2">
        <f>IFERROR(__xludf.DUMMYFUNCTION("""COMPUTED_VALUE"""),507.48)</f>
        <v>507.48</v>
      </c>
      <c r="C3774" s="2">
        <f>IFERROR(__xludf.DUMMYFUNCTION("""COMPUTED_VALUE"""),511.78)</f>
        <v>511.78</v>
      </c>
      <c r="D3774" s="2">
        <f>IFERROR(__xludf.DUMMYFUNCTION("""COMPUTED_VALUE"""),504.05)</f>
        <v>504.05</v>
      </c>
      <c r="E3774" s="2">
        <f>IFERROR(__xludf.DUMMYFUNCTION("""COMPUTED_VALUE"""),507.33)</f>
        <v>507.33</v>
      </c>
      <c r="F3774" s="2">
        <f>IFERROR(__xludf.DUMMYFUNCTION("""COMPUTED_VALUE"""),2710224.0)</f>
        <v>2710224</v>
      </c>
    </row>
    <row r="3775">
      <c r="A3775" s="3">
        <f>IFERROR(__xludf.DUMMYFUNCTION("""COMPUTED_VALUE"""),42093.64583333333)</f>
        <v>42093.64583</v>
      </c>
      <c r="B3775" s="2">
        <f>IFERROR(__xludf.DUMMYFUNCTION("""COMPUTED_VALUE"""),510.0)</f>
        <v>510</v>
      </c>
      <c r="C3775" s="2">
        <f>IFERROR(__xludf.DUMMYFUNCTION("""COMPUTED_VALUE"""),519.5)</f>
        <v>519.5</v>
      </c>
      <c r="D3775" s="2">
        <f>IFERROR(__xludf.DUMMYFUNCTION("""COMPUTED_VALUE"""),506.4)</f>
        <v>506.4</v>
      </c>
      <c r="E3775" s="2">
        <f>IFERROR(__xludf.DUMMYFUNCTION("""COMPUTED_VALUE"""),518.45)</f>
        <v>518.45</v>
      </c>
      <c r="F3775" s="2">
        <f>IFERROR(__xludf.DUMMYFUNCTION("""COMPUTED_VALUE"""),1738786.0)</f>
        <v>1738786</v>
      </c>
    </row>
    <row r="3776">
      <c r="A3776" s="3">
        <f>IFERROR(__xludf.DUMMYFUNCTION("""COMPUTED_VALUE"""),42094.64583333333)</f>
        <v>42094.64583</v>
      </c>
      <c r="B3776" s="2">
        <f>IFERROR(__xludf.DUMMYFUNCTION("""COMPUTED_VALUE"""),519.95)</f>
        <v>519.95</v>
      </c>
      <c r="C3776" s="2">
        <f>IFERROR(__xludf.DUMMYFUNCTION("""COMPUTED_VALUE"""),519.95)</f>
        <v>519.95</v>
      </c>
      <c r="D3776" s="2">
        <f>IFERROR(__xludf.DUMMYFUNCTION("""COMPUTED_VALUE"""),507.43)</f>
        <v>507.43</v>
      </c>
      <c r="E3776" s="2">
        <f>IFERROR(__xludf.DUMMYFUNCTION("""COMPUTED_VALUE"""),511.35)</f>
        <v>511.35</v>
      </c>
      <c r="F3776" s="2">
        <f>IFERROR(__xludf.DUMMYFUNCTION("""COMPUTED_VALUE"""),1490564.0)</f>
        <v>1490564</v>
      </c>
    </row>
    <row r="3777">
      <c r="A3777" s="3">
        <f>IFERROR(__xludf.DUMMYFUNCTION("""COMPUTED_VALUE"""),42095.64583333333)</f>
        <v>42095.64583</v>
      </c>
      <c r="B3777" s="2">
        <f>IFERROR(__xludf.DUMMYFUNCTION("""COMPUTED_VALUE"""),513.05)</f>
        <v>513.05</v>
      </c>
      <c r="C3777" s="2">
        <f>IFERROR(__xludf.DUMMYFUNCTION("""COMPUTED_VALUE"""),518.42)</f>
        <v>518.42</v>
      </c>
      <c r="D3777" s="2">
        <f>IFERROR(__xludf.DUMMYFUNCTION("""COMPUTED_VALUE"""),506.5)</f>
        <v>506.5</v>
      </c>
      <c r="E3777" s="2">
        <f>IFERROR(__xludf.DUMMYFUNCTION("""COMPUTED_VALUE"""),516.63)</f>
        <v>516.63</v>
      </c>
      <c r="F3777" s="2">
        <f>IFERROR(__xludf.DUMMYFUNCTION("""COMPUTED_VALUE"""),961049.0)</f>
        <v>961049</v>
      </c>
    </row>
    <row r="3778">
      <c r="A3778" s="3">
        <f>IFERROR(__xludf.DUMMYFUNCTION("""COMPUTED_VALUE"""),42100.64583333333)</f>
        <v>42100.64583</v>
      </c>
      <c r="B3778" s="2">
        <f>IFERROR(__xludf.DUMMYFUNCTION("""COMPUTED_VALUE"""),517.5)</f>
        <v>517.5</v>
      </c>
      <c r="C3778" s="2">
        <f>IFERROR(__xludf.DUMMYFUNCTION("""COMPUTED_VALUE"""),518.42)</f>
        <v>518.42</v>
      </c>
      <c r="D3778" s="2">
        <f>IFERROR(__xludf.DUMMYFUNCTION("""COMPUTED_VALUE"""),509.9)</f>
        <v>509.9</v>
      </c>
      <c r="E3778" s="2">
        <f>IFERROR(__xludf.DUMMYFUNCTION("""COMPUTED_VALUE"""),515.98)</f>
        <v>515.98</v>
      </c>
      <c r="F3778" s="2">
        <f>IFERROR(__xludf.DUMMYFUNCTION("""COMPUTED_VALUE"""),1787793.0)</f>
        <v>1787793</v>
      </c>
    </row>
    <row r="3779">
      <c r="A3779" s="3">
        <f>IFERROR(__xludf.DUMMYFUNCTION("""COMPUTED_VALUE"""),42101.64583333333)</f>
        <v>42101.64583</v>
      </c>
      <c r="B3779" s="2">
        <f>IFERROR(__xludf.DUMMYFUNCTION("""COMPUTED_VALUE"""),516.63)</f>
        <v>516.63</v>
      </c>
      <c r="C3779" s="2">
        <f>IFERROR(__xludf.DUMMYFUNCTION("""COMPUTED_VALUE"""),519.1)</f>
        <v>519.1</v>
      </c>
      <c r="D3779" s="2">
        <f>IFERROR(__xludf.DUMMYFUNCTION("""COMPUTED_VALUE"""),511.83)</f>
        <v>511.83</v>
      </c>
      <c r="E3779" s="2">
        <f>IFERROR(__xludf.DUMMYFUNCTION("""COMPUTED_VALUE"""),516.38)</f>
        <v>516.38</v>
      </c>
      <c r="F3779" s="2">
        <f>IFERROR(__xludf.DUMMYFUNCTION("""COMPUTED_VALUE"""),1549268.0)</f>
        <v>1549268</v>
      </c>
    </row>
    <row r="3780">
      <c r="A3780" s="3">
        <f>IFERROR(__xludf.DUMMYFUNCTION("""COMPUTED_VALUE"""),42102.64583333333)</f>
        <v>42102.64583</v>
      </c>
      <c r="B3780" s="2">
        <f>IFERROR(__xludf.DUMMYFUNCTION("""COMPUTED_VALUE"""),520.03)</f>
        <v>520.03</v>
      </c>
      <c r="C3780" s="2">
        <f>IFERROR(__xludf.DUMMYFUNCTION("""COMPUTED_VALUE"""),521.23)</f>
        <v>521.23</v>
      </c>
      <c r="D3780" s="2">
        <f>IFERROR(__xludf.DUMMYFUNCTION("""COMPUTED_VALUE"""),515.03)</f>
        <v>515.03</v>
      </c>
      <c r="E3780" s="2">
        <f>IFERROR(__xludf.DUMMYFUNCTION("""COMPUTED_VALUE"""),517.78)</f>
        <v>517.78</v>
      </c>
      <c r="F3780" s="2">
        <f>IFERROR(__xludf.DUMMYFUNCTION("""COMPUTED_VALUE"""),1026536.0)</f>
        <v>1026536</v>
      </c>
    </row>
    <row r="3781">
      <c r="A3781" s="3">
        <f>IFERROR(__xludf.DUMMYFUNCTION("""COMPUTED_VALUE"""),42103.64583333333)</f>
        <v>42103.64583</v>
      </c>
      <c r="B3781" s="2">
        <f>IFERROR(__xludf.DUMMYFUNCTION("""COMPUTED_VALUE"""),519.13)</f>
        <v>519.13</v>
      </c>
      <c r="C3781" s="2">
        <f>IFERROR(__xludf.DUMMYFUNCTION("""COMPUTED_VALUE"""),529.5)</f>
        <v>529.5</v>
      </c>
      <c r="D3781" s="2">
        <f>IFERROR(__xludf.DUMMYFUNCTION("""COMPUTED_VALUE"""),515.0)</f>
        <v>515</v>
      </c>
      <c r="E3781" s="2">
        <f>IFERROR(__xludf.DUMMYFUNCTION("""COMPUTED_VALUE"""),528.05)</f>
        <v>528.05</v>
      </c>
      <c r="F3781" s="2">
        <f>IFERROR(__xludf.DUMMYFUNCTION("""COMPUTED_VALUE"""),1750696.0)</f>
        <v>1750696</v>
      </c>
    </row>
    <row r="3782">
      <c r="A3782" s="3">
        <f>IFERROR(__xludf.DUMMYFUNCTION("""COMPUTED_VALUE"""),42104.64583333333)</f>
        <v>42104.64583</v>
      </c>
      <c r="B3782" s="2">
        <f>IFERROR(__xludf.DUMMYFUNCTION("""COMPUTED_VALUE"""),526.5)</f>
        <v>526.5</v>
      </c>
      <c r="C3782" s="2">
        <f>IFERROR(__xludf.DUMMYFUNCTION("""COMPUTED_VALUE"""),526.5)</f>
        <v>526.5</v>
      </c>
      <c r="D3782" s="2">
        <f>IFERROR(__xludf.DUMMYFUNCTION("""COMPUTED_VALUE"""),517.42)</f>
        <v>517.42</v>
      </c>
      <c r="E3782" s="2">
        <f>IFERROR(__xludf.DUMMYFUNCTION("""COMPUTED_VALUE"""),521.33)</f>
        <v>521.33</v>
      </c>
      <c r="F3782" s="2">
        <f>IFERROR(__xludf.DUMMYFUNCTION("""COMPUTED_VALUE"""),1529831.0)</f>
        <v>1529831</v>
      </c>
    </row>
    <row r="3783">
      <c r="A3783" s="3">
        <f>IFERROR(__xludf.DUMMYFUNCTION("""COMPUTED_VALUE"""),42107.64583333333)</f>
        <v>42107.64583</v>
      </c>
      <c r="B3783" s="2">
        <f>IFERROR(__xludf.DUMMYFUNCTION("""COMPUTED_VALUE"""),520.0)</f>
        <v>520</v>
      </c>
      <c r="C3783" s="2">
        <f>IFERROR(__xludf.DUMMYFUNCTION("""COMPUTED_VALUE"""),523.15)</f>
        <v>523.15</v>
      </c>
      <c r="D3783" s="2">
        <f>IFERROR(__xludf.DUMMYFUNCTION("""COMPUTED_VALUE"""),517.4)</f>
        <v>517.4</v>
      </c>
      <c r="E3783" s="2">
        <f>IFERROR(__xludf.DUMMYFUNCTION("""COMPUTED_VALUE"""),519.4)</f>
        <v>519.4</v>
      </c>
      <c r="F3783" s="2">
        <f>IFERROR(__xludf.DUMMYFUNCTION("""COMPUTED_VALUE"""),1140809.0)</f>
        <v>1140809</v>
      </c>
    </row>
    <row r="3784">
      <c r="A3784" s="3">
        <f>IFERROR(__xludf.DUMMYFUNCTION("""COMPUTED_VALUE"""),42109.64583333333)</f>
        <v>42109.64583</v>
      </c>
      <c r="B3784" s="2">
        <f>IFERROR(__xludf.DUMMYFUNCTION("""COMPUTED_VALUE"""),520.0)</f>
        <v>520</v>
      </c>
      <c r="C3784" s="2">
        <f>IFERROR(__xludf.DUMMYFUNCTION("""COMPUTED_VALUE"""),524.35)</f>
        <v>524.35</v>
      </c>
      <c r="D3784" s="2">
        <f>IFERROR(__xludf.DUMMYFUNCTION("""COMPUTED_VALUE"""),512.6)</f>
        <v>512.6</v>
      </c>
      <c r="E3784" s="2">
        <f>IFERROR(__xludf.DUMMYFUNCTION("""COMPUTED_VALUE"""),515.83)</f>
        <v>515.83</v>
      </c>
      <c r="F3784" s="2">
        <f>IFERROR(__xludf.DUMMYFUNCTION("""COMPUTED_VALUE"""),1223499.0)</f>
        <v>1223499</v>
      </c>
    </row>
    <row r="3785">
      <c r="A3785" s="3">
        <f>IFERROR(__xludf.DUMMYFUNCTION("""COMPUTED_VALUE"""),42110.64583333333)</f>
        <v>42110.64583</v>
      </c>
      <c r="B3785" s="2">
        <f>IFERROR(__xludf.DUMMYFUNCTION("""COMPUTED_VALUE"""),514.0)</f>
        <v>514</v>
      </c>
      <c r="C3785" s="2">
        <f>IFERROR(__xludf.DUMMYFUNCTION("""COMPUTED_VALUE"""),516.78)</f>
        <v>516.78</v>
      </c>
      <c r="D3785" s="2">
        <f>IFERROR(__xludf.DUMMYFUNCTION("""COMPUTED_VALUE"""),509.0)</f>
        <v>509</v>
      </c>
      <c r="E3785" s="2">
        <f>IFERROR(__xludf.DUMMYFUNCTION("""COMPUTED_VALUE"""),514.83)</f>
        <v>514.83</v>
      </c>
      <c r="F3785" s="2">
        <f>IFERROR(__xludf.DUMMYFUNCTION("""COMPUTED_VALUE"""),1402530.0)</f>
        <v>1402530</v>
      </c>
    </row>
    <row r="3786">
      <c r="A3786" s="3">
        <f>IFERROR(__xludf.DUMMYFUNCTION("""COMPUTED_VALUE"""),42111.64583333333)</f>
        <v>42111.64583</v>
      </c>
      <c r="B3786" s="2">
        <f>IFERROR(__xludf.DUMMYFUNCTION("""COMPUTED_VALUE"""),512.55)</f>
        <v>512.55</v>
      </c>
      <c r="C3786" s="2">
        <f>IFERROR(__xludf.DUMMYFUNCTION("""COMPUTED_VALUE"""),513.92)</f>
        <v>513.92</v>
      </c>
      <c r="D3786" s="2">
        <f>IFERROR(__xludf.DUMMYFUNCTION("""COMPUTED_VALUE"""),508.03)</f>
        <v>508.03</v>
      </c>
      <c r="E3786" s="2">
        <f>IFERROR(__xludf.DUMMYFUNCTION("""COMPUTED_VALUE"""),509.13)</f>
        <v>509.13</v>
      </c>
      <c r="F3786" s="2">
        <f>IFERROR(__xludf.DUMMYFUNCTION("""COMPUTED_VALUE"""),1012253.0)</f>
        <v>1012253</v>
      </c>
    </row>
    <row r="3787">
      <c r="A3787" s="3">
        <f>IFERROR(__xludf.DUMMYFUNCTION("""COMPUTED_VALUE"""),42114.64583333333)</f>
        <v>42114.64583</v>
      </c>
      <c r="B3787" s="2">
        <f>IFERROR(__xludf.DUMMYFUNCTION("""COMPUTED_VALUE"""),510.0)</f>
        <v>510</v>
      </c>
      <c r="C3787" s="2">
        <f>IFERROR(__xludf.DUMMYFUNCTION("""COMPUTED_VALUE"""),512.5)</f>
        <v>512.5</v>
      </c>
      <c r="D3787" s="2">
        <f>IFERROR(__xludf.DUMMYFUNCTION("""COMPUTED_VALUE"""),501.3)</f>
        <v>501.3</v>
      </c>
      <c r="E3787" s="2">
        <f>IFERROR(__xludf.DUMMYFUNCTION("""COMPUTED_VALUE"""),502.55)</f>
        <v>502.55</v>
      </c>
      <c r="F3787" s="2">
        <f>IFERROR(__xludf.DUMMYFUNCTION("""COMPUTED_VALUE"""),1297220.0)</f>
        <v>1297220</v>
      </c>
    </row>
    <row r="3788">
      <c r="A3788" s="3">
        <f>IFERROR(__xludf.DUMMYFUNCTION("""COMPUTED_VALUE"""),42115.64583333333)</f>
        <v>42115.64583</v>
      </c>
      <c r="B3788" s="2">
        <f>IFERROR(__xludf.DUMMYFUNCTION("""COMPUTED_VALUE"""),502.5)</f>
        <v>502.5</v>
      </c>
      <c r="C3788" s="2">
        <f>IFERROR(__xludf.DUMMYFUNCTION("""COMPUTED_VALUE"""),507.2)</f>
        <v>507.2</v>
      </c>
      <c r="D3788" s="2">
        <f>IFERROR(__xludf.DUMMYFUNCTION("""COMPUTED_VALUE"""),497.8)</f>
        <v>497.8</v>
      </c>
      <c r="E3788" s="2">
        <f>IFERROR(__xludf.DUMMYFUNCTION("""COMPUTED_VALUE"""),501.5)</f>
        <v>501.5</v>
      </c>
      <c r="F3788" s="2">
        <f>IFERROR(__xludf.DUMMYFUNCTION("""COMPUTED_VALUE"""),1627686.0)</f>
        <v>1627686</v>
      </c>
    </row>
    <row r="3789">
      <c r="A3789" s="3">
        <f>IFERROR(__xludf.DUMMYFUNCTION("""COMPUTED_VALUE"""),42116.64583333333)</f>
        <v>42116.64583</v>
      </c>
      <c r="B3789" s="2">
        <f>IFERROR(__xludf.DUMMYFUNCTION("""COMPUTED_VALUE"""),503.25)</f>
        <v>503.25</v>
      </c>
      <c r="C3789" s="2">
        <f>IFERROR(__xludf.DUMMYFUNCTION("""COMPUTED_VALUE"""),510.5)</f>
        <v>510.5</v>
      </c>
      <c r="D3789" s="2">
        <f>IFERROR(__xludf.DUMMYFUNCTION("""COMPUTED_VALUE"""),496.75)</f>
        <v>496.75</v>
      </c>
      <c r="E3789" s="2">
        <f>IFERROR(__xludf.DUMMYFUNCTION("""COMPUTED_VALUE"""),506.55)</f>
        <v>506.55</v>
      </c>
      <c r="F3789" s="2">
        <f>IFERROR(__xludf.DUMMYFUNCTION("""COMPUTED_VALUE"""),1691484.0)</f>
        <v>1691484</v>
      </c>
    </row>
    <row r="3790">
      <c r="A3790" s="3">
        <f>IFERROR(__xludf.DUMMYFUNCTION("""COMPUTED_VALUE"""),42117.64583333333)</f>
        <v>42117.64583</v>
      </c>
      <c r="B3790" s="2">
        <f>IFERROR(__xludf.DUMMYFUNCTION("""COMPUTED_VALUE"""),510.03)</f>
        <v>510.03</v>
      </c>
      <c r="C3790" s="2">
        <f>IFERROR(__xludf.DUMMYFUNCTION("""COMPUTED_VALUE"""),512.1)</f>
        <v>512.1</v>
      </c>
      <c r="D3790" s="2">
        <f>IFERROR(__xludf.DUMMYFUNCTION("""COMPUTED_VALUE"""),503.05)</f>
        <v>503.05</v>
      </c>
      <c r="E3790" s="2">
        <f>IFERROR(__xludf.DUMMYFUNCTION("""COMPUTED_VALUE"""),506.75)</f>
        <v>506.75</v>
      </c>
      <c r="F3790" s="2">
        <f>IFERROR(__xludf.DUMMYFUNCTION("""COMPUTED_VALUE"""),2406957.0)</f>
        <v>2406957</v>
      </c>
    </row>
    <row r="3791">
      <c r="A3791" s="3">
        <f>IFERROR(__xludf.DUMMYFUNCTION("""COMPUTED_VALUE"""),42118.64583333333)</f>
        <v>42118.64583</v>
      </c>
      <c r="B3791" s="2">
        <f>IFERROR(__xludf.DUMMYFUNCTION("""COMPUTED_VALUE"""),509.45)</f>
        <v>509.45</v>
      </c>
      <c r="C3791" s="2">
        <f>IFERROR(__xludf.DUMMYFUNCTION("""COMPUTED_VALUE"""),509.5)</f>
        <v>509.5</v>
      </c>
      <c r="D3791" s="2">
        <f>IFERROR(__xludf.DUMMYFUNCTION("""COMPUTED_VALUE"""),500.18)</f>
        <v>500.18</v>
      </c>
      <c r="E3791" s="2">
        <f>IFERROR(__xludf.DUMMYFUNCTION("""COMPUTED_VALUE"""),503.23)</f>
        <v>503.23</v>
      </c>
      <c r="F3791" s="2">
        <f>IFERROR(__xludf.DUMMYFUNCTION("""COMPUTED_VALUE"""),1801311.0)</f>
        <v>1801311</v>
      </c>
    </row>
    <row r="3792">
      <c r="A3792" s="3">
        <f>IFERROR(__xludf.DUMMYFUNCTION("""COMPUTED_VALUE"""),42121.64583333333)</f>
        <v>42121.64583</v>
      </c>
      <c r="B3792" s="2">
        <f>IFERROR(__xludf.DUMMYFUNCTION("""COMPUTED_VALUE"""),503.48)</f>
        <v>503.48</v>
      </c>
      <c r="C3792" s="2">
        <f>IFERROR(__xludf.DUMMYFUNCTION("""COMPUTED_VALUE"""),506.25)</f>
        <v>506.25</v>
      </c>
      <c r="D3792" s="2">
        <f>IFERROR(__xludf.DUMMYFUNCTION("""COMPUTED_VALUE"""),498.0)</f>
        <v>498</v>
      </c>
      <c r="E3792" s="2">
        <f>IFERROR(__xludf.DUMMYFUNCTION("""COMPUTED_VALUE"""),502.73)</f>
        <v>502.73</v>
      </c>
      <c r="F3792" s="2">
        <f>IFERROR(__xludf.DUMMYFUNCTION("""COMPUTED_VALUE"""),1842676.0)</f>
        <v>1842676</v>
      </c>
    </row>
    <row r="3793">
      <c r="A3793" s="3">
        <f>IFERROR(__xludf.DUMMYFUNCTION("""COMPUTED_VALUE"""),42122.64583333333)</f>
        <v>42122.64583</v>
      </c>
      <c r="B3793" s="2">
        <f>IFERROR(__xludf.DUMMYFUNCTION("""COMPUTED_VALUE"""),499.78)</f>
        <v>499.78</v>
      </c>
      <c r="C3793" s="2">
        <f>IFERROR(__xludf.DUMMYFUNCTION("""COMPUTED_VALUE"""),505.73)</f>
        <v>505.73</v>
      </c>
      <c r="D3793" s="2">
        <f>IFERROR(__xludf.DUMMYFUNCTION("""COMPUTED_VALUE"""),495.05)</f>
        <v>495.05</v>
      </c>
      <c r="E3793" s="2">
        <f>IFERROR(__xludf.DUMMYFUNCTION("""COMPUTED_VALUE"""),502.28)</f>
        <v>502.28</v>
      </c>
      <c r="F3793" s="2">
        <f>IFERROR(__xludf.DUMMYFUNCTION("""COMPUTED_VALUE"""),1985527.0)</f>
        <v>1985527</v>
      </c>
    </row>
    <row r="3794">
      <c r="A3794" s="3">
        <f>IFERROR(__xludf.DUMMYFUNCTION("""COMPUTED_VALUE"""),42123.64583333333)</f>
        <v>42123.64583</v>
      </c>
      <c r="B3794" s="2">
        <f>IFERROR(__xludf.DUMMYFUNCTION("""COMPUTED_VALUE"""),502.0)</f>
        <v>502</v>
      </c>
      <c r="C3794" s="2">
        <f>IFERROR(__xludf.DUMMYFUNCTION("""COMPUTED_VALUE"""),504.75)</f>
        <v>504.75</v>
      </c>
      <c r="D3794" s="2">
        <f>IFERROR(__xludf.DUMMYFUNCTION("""COMPUTED_VALUE"""),494.0)</f>
        <v>494</v>
      </c>
      <c r="E3794" s="2">
        <f>IFERROR(__xludf.DUMMYFUNCTION("""COMPUTED_VALUE"""),496.58)</f>
        <v>496.58</v>
      </c>
      <c r="F3794" s="2">
        <f>IFERROR(__xludf.DUMMYFUNCTION("""COMPUTED_VALUE"""),1965891.0)</f>
        <v>1965891</v>
      </c>
    </row>
    <row r="3795">
      <c r="A3795" s="3">
        <f>IFERROR(__xludf.DUMMYFUNCTION("""COMPUTED_VALUE"""),42124.64583333333)</f>
        <v>42124.64583</v>
      </c>
      <c r="B3795" s="2">
        <f>IFERROR(__xludf.DUMMYFUNCTION("""COMPUTED_VALUE"""),495.5)</f>
        <v>495.5</v>
      </c>
      <c r="C3795" s="2">
        <f>IFERROR(__xludf.DUMMYFUNCTION("""COMPUTED_VALUE"""),497.5)</f>
        <v>497.5</v>
      </c>
      <c r="D3795" s="2">
        <f>IFERROR(__xludf.DUMMYFUNCTION("""COMPUTED_VALUE"""),489.53)</f>
        <v>489.53</v>
      </c>
      <c r="E3795" s="2">
        <f>IFERROR(__xludf.DUMMYFUNCTION("""COMPUTED_VALUE"""),494.4)</f>
        <v>494.4</v>
      </c>
      <c r="F3795" s="2">
        <f>IFERROR(__xludf.DUMMYFUNCTION("""COMPUTED_VALUE"""),3785921.0)</f>
        <v>3785921</v>
      </c>
    </row>
    <row r="3796">
      <c r="A3796" s="3">
        <f>IFERROR(__xludf.DUMMYFUNCTION("""COMPUTED_VALUE"""),42128.64583333333)</f>
        <v>42128.64583</v>
      </c>
      <c r="B3796" s="2">
        <f>IFERROR(__xludf.DUMMYFUNCTION("""COMPUTED_VALUE"""),497.03)</f>
        <v>497.03</v>
      </c>
      <c r="C3796" s="2">
        <f>IFERROR(__xludf.DUMMYFUNCTION("""COMPUTED_VALUE"""),504.75)</f>
        <v>504.75</v>
      </c>
      <c r="D3796" s="2">
        <f>IFERROR(__xludf.DUMMYFUNCTION("""COMPUTED_VALUE"""),496.0)</f>
        <v>496</v>
      </c>
      <c r="E3796" s="2">
        <f>IFERROR(__xludf.DUMMYFUNCTION("""COMPUTED_VALUE"""),500.48)</f>
        <v>500.48</v>
      </c>
      <c r="F3796" s="2">
        <f>IFERROR(__xludf.DUMMYFUNCTION("""COMPUTED_VALUE"""),785362.0)</f>
        <v>785362</v>
      </c>
    </row>
    <row r="3797">
      <c r="A3797" s="3">
        <f>IFERROR(__xludf.DUMMYFUNCTION("""COMPUTED_VALUE"""),42129.64583333333)</f>
        <v>42129.64583</v>
      </c>
      <c r="B3797" s="2">
        <f>IFERROR(__xludf.DUMMYFUNCTION("""COMPUTED_VALUE"""),499.53)</f>
        <v>499.53</v>
      </c>
      <c r="C3797" s="2">
        <f>IFERROR(__xludf.DUMMYFUNCTION("""COMPUTED_VALUE"""),501.95)</f>
        <v>501.95</v>
      </c>
      <c r="D3797" s="2">
        <f>IFERROR(__xludf.DUMMYFUNCTION("""COMPUTED_VALUE"""),492.93)</f>
        <v>492.93</v>
      </c>
      <c r="E3797" s="2">
        <f>IFERROR(__xludf.DUMMYFUNCTION("""COMPUTED_VALUE"""),493.83)</f>
        <v>493.83</v>
      </c>
      <c r="F3797" s="2">
        <f>IFERROR(__xludf.DUMMYFUNCTION("""COMPUTED_VALUE"""),1284501.0)</f>
        <v>1284501</v>
      </c>
    </row>
    <row r="3798">
      <c r="A3798" s="3">
        <f>IFERROR(__xludf.DUMMYFUNCTION("""COMPUTED_VALUE"""),42130.64583333333)</f>
        <v>42130.64583</v>
      </c>
      <c r="B3798" s="2">
        <f>IFERROR(__xludf.DUMMYFUNCTION("""COMPUTED_VALUE"""),493.75)</f>
        <v>493.75</v>
      </c>
      <c r="C3798" s="2">
        <f>IFERROR(__xludf.DUMMYFUNCTION("""COMPUTED_VALUE"""),493.75)</f>
        <v>493.75</v>
      </c>
      <c r="D3798" s="2">
        <f>IFERROR(__xludf.DUMMYFUNCTION("""COMPUTED_VALUE"""),482.75)</f>
        <v>482.75</v>
      </c>
      <c r="E3798" s="2">
        <f>IFERROR(__xludf.DUMMYFUNCTION("""COMPUTED_VALUE"""),485.3)</f>
        <v>485.3</v>
      </c>
      <c r="F3798" s="2">
        <f>IFERROR(__xludf.DUMMYFUNCTION("""COMPUTED_VALUE"""),2751924.0)</f>
        <v>2751924</v>
      </c>
    </row>
    <row r="3799">
      <c r="A3799" s="3">
        <f>IFERROR(__xludf.DUMMYFUNCTION("""COMPUTED_VALUE"""),42131.64583333333)</f>
        <v>42131.64583</v>
      </c>
      <c r="B3799" s="2">
        <f>IFERROR(__xludf.DUMMYFUNCTION("""COMPUTED_VALUE"""),484.0)</f>
        <v>484</v>
      </c>
      <c r="C3799" s="2">
        <f>IFERROR(__xludf.DUMMYFUNCTION("""COMPUTED_VALUE"""),485.0)</f>
        <v>485</v>
      </c>
      <c r="D3799" s="2">
        <f>IFERROR(__xludf.DUMMYFUNCTION("""COMPUTED_VALUE"""),472.1)</f>
        <v>472.1</v>
      </c>
      <c r="E3799" s="2">
        <f>IFERROR(__xludf.DUMMYFUNCTION("""COMPUTED_VALUE"""),475.65)</f>
        <v>475.65</v>
      </c>
      <c r="F3799" s="2">
        <f>IFERROR(__xludf.DUMMYFUNCTION("""COMPUTED_VALUE"""),2934166.0)</f>
        <v>2934166</v>
      </c>
    </row>
    <row r="3800">
      <c r="A3800" s="3">
        <f>IFERROR(__xludf.DUMMYFUNCTION("""COMPUTED_VALUE"""),42132.64583333333)</f>
        <v>42132.64583</v>
      </c>
      <c r="B3800" s="2">
        <f>IFERROR(__xludf.DUMMYFUNCTION("""COMPUTED_VALUE"""),480.75)</f>
        <v>480.75</v>
      </c>
      <c r="C3800" s="2">
        <f>IFERROR(__xludf.DUMMYFUNCTION("""COMPUTED_VALUE"""),493.9)</f>
        <v>493.9</v>
      </c>
      <c r="D3800" s="2">
        <f>IFERROR(__xludf.DUMMYFUNCTION("""COMPUTED_VALUE"""),477.7)</f>
        <v>477.7</v>
      </c>
      <c r="E3800" s="2">
        <f>IFERROR(__xludf.DUMMYFUNCTION("""COMPUTED_VALUE"""),491.0)</f>
        <v>491</v>
      </c>
      <c r="F3800" s="2">
        <f>IFERROR(__xludf.DUMMYFUNCTION("""COMPUTED_VALUE"""),2892983.0)</f>
        <v>2892983</v>
      </c>
    </row>
    <row r="3801">
      <c r="A3801" s="3">
        <f>IFERROR(__xludf.DUMMYFUNCTION("""COMPUTED_VALUE"""),42135.64583333333)</f>
        <v>42135.64583</v>
      </c>
      <c r="B3801" s="2">
        <f>IFERROR(__xludf.DUMMYFUNCTION("""COMPUTED_VALUE"""),493.03)</f>
        <v>493.03</v>
      </c>
      <c r="C3801" s="2">
        <f>IFERROR(__xludf.DUMMYFUNCTION("""COMPUTED_VALUE"""),496.38)</f>
        <v>496.38</v>
      </c>
      <c r="D3801" s="2">
        <f>IFERROR(__xludf.DUMMYFUNCTION("""COMPUTED_VALUE"""),487.03)</f>
        <v>487.03</v>
      </c>
      <c r="E3801" s="2">
        <f>IFERROR(__xludf.DUMMYFUNCTION("""COMPUTED_VALUE"""),495.15)</f>
        <v>495.15</v>
      </c>
      <c r="F3801" s="2">
        <f>IFERROR(__xludf.DUMMYFUNCTION("""COMPUTED_VALUE"""),1682836.0)</f>
        <v>1682836</v>
      </c>
    </row>
    <row r="3802">
      <c r="A3802" s="3">
        <f>IFERROR(__xludf.DUMMYFUNCTION("""COMPUTED_VALUE"""),42136.64583333333)</f>
        <v>42136.64583</v>
      </c>
      <c r="B3802" s="2">
        <f>IFERROR(__xludf.DUMMYFUNCTION("""COMPUTED_VALUE"""),495.0)</f>
        <v>495</v>
      </c>
      <c r="C3802" s="2">
        <f>IFERROR(__xludf.DUMMYFUNCTION("""COMPUTED_VALUE"""),495.0)</f>
        <v>495</v>
      </c>
      <c r="D3802" s="2">
        <f>IFERROR(__xludf.DUMMYFUNCTION("""COMPUTED_VALUE"""),483.5)</f>
        <v>483.5</v>
      </c>
      <c r="E3802" s="2">
        <f>IFERROR(__xludf.DUMMYFUNCTION("""COMPUTED_VALUE"""),485.98)</f>
        <v>485.98</v>
      </c>
      <c r="F3802" s="2">
        <f>IFERROR(__xludf.DUMMYFUNCTION("""COMPUTED_VALUE"""),2776892.0)</f>
        <v>2776892</v>
      </c>
    </row>
    <row r="3803">
      <c r="A3803" s="3">
        <f>IFERROR(__xludf.DUMMYFUNCTION("""COMPUTED_VALUE"""),42137.64583333333)</f>
        <v>42137.64583</v>
      </c>
      <c r="B3803" s="2">
        <f>IFERROR(__xludf.DUMMYFUNCTION("""COMPUTED_VALUE"""),487.93)</f>
        <v>487.93</v>
      </c>
      <c r="C3803" s="2">
        <f>IFERROR(__xludf.DUMMYFUNCTION("""COMPUTED_VALUE"""),496.7)</f>
        <v>496.7</v>
      </c>
      <c r="D3803" s="2">
        <f>IFERROR(__xludf.DUMMYFUNCTION("""COMPUTED_VALUE"""),485.8)</f>
        <v>485.8</v>
      </c>
      <c r="E3803" s="2">
        <f>IFERROR(__xludf.DUMMYFUNCTION("""COMPUTED_VALUE"""),495.13)</f>
        <v>495.13</v>
      </c>
      <c r="F3803" s="2">
        <f>IFERROR(__xludf.DUMMYFUNCTION("""COMPUTED_VALUE"""),1947962.0)</f>
        <v>1947962</v>
      </c>
    </row>
    <row r="3804">
      <c r="A3804" s="3">
        <f>IFERROR(__xludf.DUMMYFUNCTION("""COMPUTED_VALUE"""),42138.64583333333)</f>
        <v>42138.64583</v>
      </c>
      <c r="B3804" s="2">
        <f>IFERROR(__xludf.DUMMYFUNCTION("""COMPUTED_VALUE"""),494.5)</f>
        <v>494.5</v>
      </c>
      <c r="C3804" s="2">
        <f>IFERROR(__xludf.DUMMYFUNCTION("""COMPUTED_VALUE"""),497.43)</f>
        <v>497.43</v>
      </c>
      <c r="D3804" s="2">
        <f>IFERROR(__xludf.DUMMYFUNCTION("""COMPUTED_VALUE"""),487.0)</f>
        <v>487</v>
      </c>
      <c r="E3804" s="2">
        <f>IFERROR(__xludf.DUMMYFUNCTION("""COMPUTED_VALUE"""),495.53)</f>
        <v>495.53</v>
      </c>
      <c r="F3804" s="2">
        <f>IFERROR(__xludf.DUMMYFUNCTION("""COMPUTED_VALUE"""),1113797.0)</f>
        <v>1113797</v>
      </c>
    </row>
    <row r="3805">
      <c r="A3805" s="3">
        <f>IFERROR(__xludf.DUMMYFUNCTION("""COMPUTED_VALUE"""),42139.64583333333)</f>
        <v>42139.64583</v>
      </c>
      <c r="B3805" s="2">
        <f>IFERROR(__xludf.DUMMYFUNCTION("""COMPUTED_VALUE"""),497.45)</f>
        <v>497.45</v>
      </c>
      <c r="C3805" s="2">
        <f>IFERROR(__xludf.DUMMYFUNCTION("""COMPUTED_VALUE"""),498.78)</f>
        <v>498.78</v>
      </c>
      <c r="D3805" s="2">
        <f>IFERROR(__xludf.DUMMYFUNCTION("""COMPUTED_VALUE"""),492.1)</f>
        <v>492.1</v>
      </c>
      <c r="E3805" s="2">
        <f>IFERROR(__xludf.DUMMYFUNCTION("""COMPUTED_VALUE"""),495.05)</f>
        <v>495.05</v>
      </c>
      <c r="F3805" s="2">
        <f>IFERROR(__xludf.DUMMYFUNCTION("""COMPUTED_VALUE"""),2038406.0)</f>
        <v>2038406</v>
      </c>
    </row>
    <row r="3806">
      <c r="A3806" s="3">
        <f>IFERROR(__xludf.DUMMYFUNCTION("""COMPUTED_VALUE"""),42142.64583333333)</f>
        <v>42142.64583</v>
      </c>
      <c r="B3806" s="2">
        <f>IFERROR(__xludf.DUMMYFUNCTION("""COMPUTED_VALUE"""),498.0)</f>
        <v>498</v>
      </c>
      <c r="C3806" s="2">
        <f>IFERROR(__xludf.DUMMYFUNCTION("""COMPUTED_VALUE"""),506.0)</f>
        <v>506</v>
      </c>
      <c r="D3806" s="2">
        <f>IFERROR(__xludf.DUMMYFUNCTION("""COMPUTED_VALUE"""),496.0)</f>
        <v>496</v>
      </c>
      <c r="E3806" s="2">
        <f>IFERROR(__xludf.DUMMYFUNCTION("""COMPUTED_VALUE"""),504.93)</f>
        <v>504.93</v>
      </c>
      <c r="F3806" s="2">
        <f>IFERROR(__xludf.DUMMYFUNCTION("""COMPUTED_VALUE"""),1428326.0)</f>
        <v>1428326</v>
      </c>
    </row>
    <row r="3807">
      <c r="A3807" s="3">
        <f>IFERROR(__xludf.DUMMYFUNCTION("""COMPUTED_VALUE"""),42143.64583333333)</f>
        <v>42143.64583</v>
      </c>
      <c r="B3807" s="2">
        <f>IFERROR(__xludf.DUMMYFUNCTION("""COMPUTED_VALUE"""),503.18)</f>
        <v>503.18</v>
      </c>
      <c r="C3807" s="2">
        <f>IFERROR(__xludf.DUMMYFUNCTION("""COMPUTED_VALUE"""),509.0)</f>
        <v>509</v>
      </c>
      <c r="D3807" s="2">
        <f>IFERROR(__xludf.DUMMYFUNCTION("""COMPUTED_VALUE"""),499.05)</f>
        <v>499.05</v>
      </c>
      <c r="E3807" s="2">
        <f>IFERROR(__xludf.DUMMYFUNCTION("""COMPUTED_VALUE"""),503.78)</f>
        <v>503.78</v>
      </c>
      <c r="F3807" s="2">
        <f>IFERROR(__xludf.DUMMYFUNCTION("""COMPUTED_VALUE"""),1196587.0)</f>
        <v>1196587</v>
      </c>
    </row>
    <row r="3808">
      <c r="A3808" s="3">
        <f>IFERROR(__xludf.DUMMYFUNCTION("""COMPUTED_VALUE"""),42144.64583333333)</f>
        <v>42144.64583</v>
      </c>
      <c r="B3808" s="2">
        <f>IFERROR(__xludf.DUMMYFUNCTION("""COMPUTED_VALUE"""),504.83)</f>
        <v>504.83</v>
      </c>
      <c r="C3808" s="2">
        <f>IFERROR(__xludf.DUMMYFUNCTION("""COMPUTED_VALUE"""),513.4)</f>
        <v>513.4</v>
      </c>
      <c r="D3808" s="2">
        <f>IFERROR(__xludf.DUMMYFUNCTION("""COMPUTED_VALUE"""),504.78)</f>
        <v>504.78</v>
      </c>
      <c r="E3808" s="2">
        <f>IFERROR(__xludf.DUMMYFUNCTION("""COMPUTED_VALUE"""),512.03)</f>
        <v>512.03</v>
      </c>
      <c r="F3808" s="2">
        <f>IFERROR(__xludf.DUMMYFUNCTION("""COMPUTED_VALUE"""),1002210.0)</f>
        <v>1002210</v>
      </c>
    </row>
    <row r="3809">
      <c r="A3809" s="3">
        <f>IFERROR(__xludf.DUMMYFUNCTION("""COMPUTED_VALUE"""),42145.64583333333)</f>
        <v>42145.64583</v>
      </c>
      <c r="B3809" s="2">
        <f>IFERROR(__xludf.DUMMYFUNCTION("""COMPUTED_VALUE"""),512.0)</f>
        <v>512</v>
      </c>
      <c r="C3809" s="2">
        <f>IFERROR(__xludf.DUMMYFUNCTION("""COMPUTED_VALUE"""),515.0)</f>
        <v>515</v>
      </c>
      <c r="D3809" s="2">
        <f>IFERROR(__xludf.DUMMYFUNCTION("""COMPUTED_VALUE"""),507.55)</f>
        <v>507.55</v>
      </c>
      <c r="E3809" s="2">
        <f>IFERROR(__xludf.DUMMYFUNCTION("""COMPUTED_VALUE"""),512.35)</f>
        <v>512.35</v>
      </c>
      <c r="F3809" s="2">
        <f>IFERROR(__xludf.DUMMYFUNCTION("""COMPUTED_VALUE"""),983595.0)</f>
        <v>983595</v>
      </c>
    </row>
    <row r="3810">
      <c r="A3810" s="3">
        <f>IFERROR(__xludf.DUMMYFUNCTION("""COMPUTED_VALUE"""),42146.64583333333)</f>
        <v>42146.64583</v>
      </c>
      <c r="B3810" s="2">
        <f>IFERROR(__xludf.DUMMYFUNCTION("""COMPUTED_VALUE"""),512.35)</f>
        <v>512.35</v>
      </c>
      <c r="C3810" s="2">
        <f>IFERROR(__xludf.DUMMYFUNCTION("""COMPUTED_VALUE"""),514.5)</f>
        <v>514.5</v>
      </c>
      <c r="D3810" s="2">
        <f>IFERROR(__xludf.DUMMYFUNCTION("""COMPUTED_VALUE"""),509.18)</f>
        <v>509.18</v>
      </c>
      <c r="E3810" s="2">
        <f>IFERROR(__xludf.DUMMYFUNCTION("""COMPUTED_VALUE"""),512.15)</f>
        <v>512.15</v>
      </c>
      <c r="F3810" s="2">
        <f>IFERROR(__xludf.DUMMYFUNCTION("""COMPUTED_VALUE"""),1172384.0)</f>
        <v>1172384</v>
      </c>
    </row>
    <row r="3811">
      <c r="A3811" s="3">
        <f>IFERROR(__xludf.DUMMYFUNCTION("""COMPUTED_VALUE"""),42149.64583333333)</f>
        <v>42149.64583</v>
      </c>
      <c r="B3811" s="2">
        <f>IFERROR(__xludf.DUMMYFUNCTION("""COMPUTED_VALUE"""),514.2)</f>
        <v>514.2</v>
      </c>
      <c r="C3811" s="2">
        <f>IFERROR(__xludf.DUMMYFUNCTION("""COMPUTED_VALUE"""),515.5)</f>
        <v>515.5</v>
      </c>
      <c r="D3811" s="2">
        <f>IFERROR(__xludf.DUMMYFUNCTION("""COMPUTED_VALUE"""),508.8)</f>
        <v>508.8</v>
      </c>
      <c r="E3811" s="2">
        <f>IFERROR(__xludf.DUMMYFUNCTION("""COMPUTED_VALUE"""),511.78)</f>
        <v>511.78</v>
      </c>
      <c r="F3811" s="2">
        <f>IFERROR(__xludf.DUMMYFUNCTION("""COMPUTED_VALUE"""),1092265.0)</f>
        <v>1092265</v>
      </c>
    </row>
    <row r="3812">
      <c r="A3812" s="3">
        <f>IFERROR(__xludf.DUMMYFUNCTION("""COMPUTED_VALUE"""),42150.64583333333)</f>
        <v>42150.64583</v>
      </c>
      <c r="B3812" s="2">
        <f>IFERROR(__xludf.DUMMYFUNCTION("""COMPUTED_VALUE"""),512.23)</f>
        <v>512.23</v>
      </c>
      <c r="C3812" s="2">
        <f>IFERROR(__xludf.DUMMYFUNCTION("""COMPUTED_VALUE"""),515.1)</f>
        <v>515.1</v>
      </c>
      <c r="D3812" s="2">
        <f>IFERROR(__xludf.DUMMYFUNCTION("""COMPUTED_VALUE"""),509.03)</f>
        <v>509.03</v>
      </c>
      <c r="E3812" s="2">
        <f>IFERROR(__xludf.DUMMYFUNCTION("""COMPUTED_VALUE"""),513.7)</f>
        <v>513.7</v>
      </c>
      <c r="F3812" s="2">
        <f>IFERROR(__xludf.DUMMYFUNCTION("""COMPUTED_VALUE"""),1226586.0)</f>
        <v>1226586</v>
      </c>
    </row>
    <row r="3813">
      <c r="A3813" s="3">
        <f>IFERROR(__xludf.DUMMYFUNCTION("""COMPUTED_VALUE"""),42151.64583333333)</f>
        <v>42151.64583</v>
      </c>
      <c r="B3813" s="2">
        <f>IFERROR(__xludf.DUMMYFUNCTION("""COMPUTED_VALUE"""),511.9)</f>
        <v>511.9</v>
      </c>
      <c r="C3813" s="2">
        <f>IFERROR(__xludf.DUMMYFUNCTION("""COMPUTED_VALUE"""),520.0)</f>
        <v>520</v>
      </c>
      <c r="D3813" s="2">
        <f>IFERROR(__xludf.DUMMYFUNCTION("""COMPUTED_VALUE"""),510.7)</f>
        <v>510.7</v>
      </c>
      <c r="E3813" s="2">
        <f>IFERROR(__xludf.DUMMYFUNCTION("""COMPUTED_VALUE"""),519.08)</f>
        <v>519.08</v>
      </c>
      <c r="F3813" s="2">
        <f>IFERROR(__xludf.DUMMYFUNCTION("""COMPUTED_VALUE"""),804648.0)</f>
        <v>804648</v>
      </c>
    </row>
    <row r="3814">
      <c r="A3814" s="3">
        <f>IFERROR(__xludf.DUMMYFUNCTION("""COMPUTED_VALUE"""),42152.64583333333)</f>
        <v>42152.64583</v>
      </c>
      <c r="B3814" s="2">
        <f>IFERROR(__xludf.DUMMYFUNCTION("""COMPUTED_VALUE"""),519.53)</f>
        <v>519.53</v>
      </c>
      <c r="C3814" s="2">
        <f>IFERROR(__xludf.DUMMYFUNCTION("""COMPUTED_VALUE"""),521.85)</f>
        <v>521.85</v>
      </c>
      <c r="D3814" s="2">
        <f>IFERROR(__xludf.DUMMYFUNCTION("""COMPUTED_VALUE"""),511.1)</f>
        <v>511.1</v>
      </c>
      <c r="E3814" s="2">
        <f>IFERROR(__xludf.DUMMYFUNCTION("""COMPUTED_VALUE"""),514.7)</f>
        <v>514.7</v>
      </c>
      <c r="F3814" s="2">
        <f>IFERROR(__xludf.DUMMYFUNCTION("""COMPUTED_VALUE"""),2390290.0)</f>
        <v>2390290</v>
      </c>
    </row>
    <row r="3815">
      <c r="A3815" s="3">
        <f>IFERROR(__xludf.DUMMYFUNCTION("""COMPUTED_VALUE"""),42153.64583333333)</f>
        <v>42153.64583</v>
      </c>
      <c r="B3815" s="2">
        <f>IFERROR(__xludf.DUMMYFUNCTION("""COMPUTED_VALUE"""),514.98)</f>
        <v>514.98</v>
      </c>
      <c r="C3815" s="2">
        <f>IFERROR(__xludf.DUMMYFUNCTION("""COMPUTED_VALUE"""),527.0)</f>
        <v>527</v>
      </c>
      <c r="D3815" s="2">
        <f>IFERROR(__xludf.DUMMYFUNCTION("""COMPUTED_VALUE"""),513.58)</f>
        <v>513.58</v>
      </c>
      <c r="E3815" s="2">
        <f>IFERROR(__xludf.DUMMYFUNCTION("""COMPUTED_VALUE"""),525.28)</f>
        <v>525.28</v>
      </c>
      <c r="F3815" s="2">
        <f>IFERROR(__xludf.DUMMYFUNCTION("""COMPUTED_VALUE"""),1264670.0)</f>
        <v>1264670</v>
      </c>
    </row>
    <row r="3816">
      <c r="A3816" s="3">
        <f>IFERROR(__xludf.DUMMYFUNCTION("""COMPUTED_VALUE"""),42156.64583333333)</f>
        <v>42156.64583</v>
      </c>
      <c r="B3816" s="2">
        <f>IFERROR(__xludf.DUMMYFUNCTION("""COMPUTED_VALUE"""),524.48)</f>
        <v>524.48</v>
      </c>
      <c r="C3816" s="2">
        <f>IFERROR(__xludf.DUMMYFUNCTION("""COMPUTED_VALUE"""),528.0)</f>
        <v>528</v>
      </c>
      <c r="D3816" s="2">
        <f>IFERROR(__xludf.DUMMYFUNCTION("""COMPUTED_VALUE"""),515.5)</f>
        <v>515.5</v>
      </c>
      <c r="E3816" s="2">
        <f>IFERROR(__xludf.DUMMYFUNCTION("""COMPUTED_VALUE"""),518.1)</f>
        <v>518.1</v>
      </c>
      <c r="F3816" s="2">
        <f>IFERROR(__xludf.DUMMYFUNCTION("""COMPUTED_VALUE"""),960330.0)</f>
        <v>960330</v>
      </c>
    </row>
    <row r="3817">
      <c r="A3817" s="3">
        <f>IFERROR(__xludf.DUMMYFUNCTION("""COMPUTED_VALUE"""),42157.64583333333)</f>
        <v>42157.64583</v>
      </c>
      <c r="B3817" s="2">
        <f>IFERROR(__xludf.DUMMYFUNCTION("""COMPUTED_VALUE"""),519.2)</f>
        <v>519.2</v>
      </c>
      <c r="C3817" s="2">
        <f>IFERROR(__xludf.DUMMYFUNCTION("""COMPUTED_VALUE"""),520.15)</f>
        <v>520.15</v>
      </c>
      <c r="D3817" s="2">
        <f>IFERROR(__xludf.DUMMYFUNCTION("""COMPUTED_VALUE"""),502.45)</f>
        <v>502.45</v>
      </c>
      <c r="E3817" s="2">
        <f>IFERROR(__xludf.DUMMYFUNCTION("""COMPUTED_VALUE"""),504.4)</f>
        <v>504.4</v>
      </c>
      <c r="F3817" s="2">
        <f>IFERROR(__xludf.DUMMYFUNCTION("""COMPUTED_VALUE"""),1181502.0)</f>
        <v>1181502</v>
      </c>
    </row>
    <row r="3818">
      <c r="A3818" s="3">
        <f>IFERROR(__xludf.DUMMYFUNCTION("""COMPUTED_VALUE"""),42158.64583333333)</f>
        <v>42158.64583</v>
      </c>
      <c r="B3818" s="2">
        <f>IFERROR(__xludf.DUMMYFUNCTION("""COMPUTED_VALUE"""),504.5)</f>
        <v>504.5</v>
      </c>
      <c r="C3818" s="2">
        <f>IFERROR(__xludf.DUMMYFUNCTION("""COMPUTED_VALUE"""),508.5)</f>
        <v>508.5</v>
      </c>
      <c r="D3818" s="2">
        <f>IFERROR(__xludf.DUMMYFUNCTION("""COMPUTED_VALUE"""),499.0)</f>
        <v>499</v>
      </c>
      <c r="E3818" s="2">
        <f>IFERROR(__xludf.DUMMYFUNCTION("""COMPUTED_VALUE"""),502.78)</f>
        <v>502.78</v>
      </c>
      <c r="F3818" s="2">
        <f>IFERROR(__xludf.DUMMYFUNCTION("""COMPUTED_VALUE"""),1456208.0)</f>
        <v>1456208</v>
      </c>
    </row>
    <row r="3819">
      <c r="A3819" s="3">
        <f>IFERROR(__xludf.DUMMYFUNCTION("""COMPUTED_VALUE"""),42159.64583333333)</f>
        <v>42159.64583</v>
      </c>
      <c r="B3819" s="2">
        <f>IFERROR(__xludf.DUMMYFUNCTION("""COMPUTED_VALUE"""),504.43)</f>
        <v>504.43</v>
      </c>
      <c r="C3819" s="2">
        <f>IFERROR(__xludf.DUMMYFUNCTION("""COMPUTED_VALUE"""),508.93)</f>
        <v>508.93</v>
      </c>
      <c r="D3819" s="2">
        <f>IFERROR(__xludf.DUMMYFUNCTION("""COMPUTED_VALUE"""),497.5)</f>
        <v>497.5</v>
      </c>
      <c r="E3819" s="2">
        <f>IFERROR(__xludf.DUMMYFUNCTION("""COMPUTED_VALUE"""),507.48)</f>
        <v>507.48</v>
      </c>
      <c r="F3819" s="2">
        <f>IFERROR(__xludf.DUMMYFUNCTION("""COMPUTED_VALUE"""),1389397.0)</f>
        <v>1389397</v>
      </c>
    </row>
    <row r="3820">
      <c r="A3820" s="3">
        <f>IFERROR(__xludf.DUMMYFUNCTION("""COMPUTED_VALUE"""),42160.64583333333)</f>
        <v>42160.64583</v>
      </c>
      <c r="B3820" s="2">
        <f>IFERROR(__xludf.DUMMYFUNCTION("""COMPUTED_VALUE"""),505.13)</f>
        <v>505.13</v>
      </c>
      <c r="C3820" s="2">
        <f>IFERROR(__xludf.DUMMYFUNCTION("""COMPUTED_VALUE"""),509.25)</f>
        <v>509.25</v>
      </c>
      <c r="D3820" s="2">
        <f>IFERROR(__xludf.DUMMYFUNCTION("""COMPUTED_VALUE"""),501.25)</f>
        <v>501.25</v>
      </c>
      <c r="E3820" s="2">
        <f>IFERROR(__xludf.DUMMYFUNCTION("""COMPUTED_VALUE"""),505.88)</f>
        <v>505.88</v>
      </c>
      <c r="F3820" s="2">
        <f>IFERROR(__xludf.DUMMYFUNCTION("""COMPUTED_VALUE"""),1688465.0)</f>
        <v>1688465</v>
      </c>
    </row>
    <row r="3821">
      <c r="A3821" s="3">
        <f>IFERROR(__xludf.DUMMYFUNCTION("""COMPUTED_VALUE"""),42163.64583333333)</f>
        <v>42163.64583</v>
      </c>
      <c r="B3821" s="2">
        <f>IFERROR(__xludf.DUMMYFUNCTION("""COMPUTED_VALUE"""),502.13)</f>
        <v>502.13</v>
      </c>
      <c r="C3821" s="2">
        <f>IFERROR(__xludf.DUMMYFUNCTION("""COMPUTED_VALUE"""),506.13)</f>
        <v>506.13</v>
      </c>
      <c r="D3821" s="2">
        <f>IFERROR(__xludf.DUMMYFUNCTION("""COMPUTED_VALUE"""),497.78)</f>
        <v>497.78</v>
      </c>
      <c r="E3821" s="2">
        <f>IFERROR(__xludf.DUMMYFUNCTION("""COMPUTED_VALUE"""),501.73)</f>
        <v>501.73</v>
      </c>
      <c r="F3821" s="2">
        <f>IFERROR(__xludf.DUMMYFUNCTION("""COMPUTED_VALUE"""),952999.0)</f>
        <v>952999</v>
      </c>
    </row>
    <row r="3822">
      <c r="A3822" s="3">
        <f>IFERROR(__xludf.DUMMYFUNCTION("""COMPUTED_VALUE"""),42164.64583333333)</f>
        <v>42164.64583</v>
      </c>
      <c r="B3822" s="2">
        <f>IFERROR(__xludf.DUMMYFUNCTION("""COMPUTED_VALUE"""),502.5)</f>
        <v>502.5</v>
      </c>
      <c r="C3822" s="2">
        <f>IFERROR(__xludf.DUMMYFUNCTION("""COMPUTED_VALUE"""),503.0)</f>
        <v>503</v>
      </c>
      <c r="D3822" s="2">
        <f>IFERROR(__xludf.DUMMYFUNCTION("""COMPUTED_VALUE"""),498.55)</f>
        <v>498.55</v>
      </c>
      <c r="E3822" s="2">
        <f>IFERROR(__xludf.DUMMYFUNCTION("""COMPUTED_VALUE"""),500.93)</f>
        <v>500.93</v>
      </c>
      <c r="F3822" s="2">
        <f>IFERROR(__xludf.DUMMYFUNCTION("""COMPUTED_VALUE"""),1510065.0)</f>
        <v>1510065</v>
      </c>
    </row>
    <row r="3823">
      <c r="A3823" s="3">
        <f>IFERROR(__xludf.DUMMYFUNCTION("""COMPUTED_VALUE"""),42165.64583333333)</f>
        <v>42165.64583</v>
      </c>
      <c r="B3823" s="2">
        <f>IFERROR(__xludf.DUMMYFUNCTION("""COMPUTED_VALUE"""),499.0)</f>
        <v>499</v>
      </c>
      <c r="C3823" s="2">
        <f>IFERROR(__xludf.DUMMYFUNCTION("""COMPUTED_VALUE"""),509.5)</f>
        <v>509.5</v>
      </c>
      <c r="D3823" s="2">
        <f>IFERROR(__xludf.DUMMYFUNCTION("""COMPUTED_VALUE"""),498.5)</f>
        <v>498.5</v>
      </c>
      <c r="E3823" s="2">
        <f>IFERROR(__xludf.DUMMYFUNCTION("""COMPUTED_VALUE"""),507.8)</f>
        <v>507.8</v>
      </c>
      <c r="F3823" s="2">
        <f>IFERROR(__xludf.DUMMYFUNCTION("""COMPUTED_VALUE"""),1996562.0)</f>
        <v>1996562</v>
      </c>
    </row>
    <row r="3824">
      <c r="A3824" s="3">
        <f>IFERROR(__xludf.DUMMYFUNCTION("""COMPUTED_VALUE"""),42166.64583333333)</f>
        <v>42166.64583</v>
      </c>
      <c r="B3824" s="2">
        <f>IFERROR(__xludf.DUMMYFUNCTION("""COMPUTED_VALUE"""),508.8)</f>
        <v>508.8</v>
      </c>
      <c r="C3824" s="2">
        <f>IFERROR(__xludf.DUMMYFUNCTION("""COMPUTED_VALUE"""),509.28)</f>
        <v>509.28</v>
      </c>
      <c r="D3824" s="2">
        <f>IFERROR(__xludf.DUMMYFUNCTION("""COMPUTED_VALUE"""),497.35)</f>
        <v>497.35</v>
      </c>
      <c r="E3824" s="2">
        <f>IFERROR(__xludf.DUMMYFUNCTION("""COMPUTED_VALUE"""),500.1)</f>
        <v>500.1</v>
      </c>
      <c r="F3824" s="2">
        <f>IFERROR(__xludf.DUMMYFUNCTION("""COMPUTED_VALUE"""),2273544.0)</f>
        <v>2273544</v>
      </c>
    </row>
    <row r="3825">
      <c r="A3825" s="3">
        <f>IFERROR(__xludf.DUMMYFUNCTION("""COMPUTED_VALUE"""),42167.64583333333)</f>
        <v>42167.64583</v>
      </c>
      <c r="B3825" s="2">
        <f>IFERROR(__xludf.DUMMYFUNCTION("""COMPUTED_VALUE"""),500.5)</f>
        <v>500.5</v>
      </c>
      <c r="C3825" s="2">
        <f>IFERROR(__xludf.DUMMYFUNCTION("""COMPUTED_VALUE"""),505.43)</f>
        <v>505.43</v>
      </c>
      <c r="D3825" s="2">
        <f>IFERROR(__xludf.DUMMYFUNCTION("""COMPUTED_VALUE"""),495.08)</f>
        <v>495.08</v>
      </c>
      <c r="E3825" s="2">
        <f>IFERROR(__xludf.DUMMYFUNCTION("""COMPUTED_VALUE"""),504.58)</f>
        <v>504.58</v>
      </c>
      <c r="F3825" s="2">
        <f>IFERROR(__xludf.DUMMYFUNCTION("""COMPUTED_VALUE"""),1632086.0)</f>
        <v>1632086</v>
      </c>
    </row>
    <row r="3826">
      <c r="A3826" s="3">
        <f>IFERROR(__xludf.DUMMYFUNCTION("""COMPUTED_VALUE"""),42170.64583333333)</f>
        <v>42170.64583</v>
      </c>
      <c r="B3826" s="2">
        <f>IFERROR(__xludf.DUMMYFUNCTION("""COMPUTED_VALUE"""),501.0)</f>
        <v>501</v>
      </c>
      <c r="C3826" s="2">
        <f>IFERROR(__xludf.DUMMYFUNCTION("""COMPUTED_VALUE"""),506.88)</f>
        <v>506.88</v>
      </c>
      <c r="D3826" s="2">
        <f>IFERROR(__xludf.DUMMYFUNCTION("""COMPUTED_VALUE"""),500.0)</f>
        <v>500</v>
      </c>
      <c r="E3826" s="2">
        <f>IFERROR(__xludf.DUMMYFUNCTION("""COMPUTED_VALUE"""),502.6)</f>
        <v>502.6</v>
      </c>
      <c r="F3826" s="2">
        <f>IFERROR(__xludf.DUMMYFUNCTION("""COMPUTED_VALUE"""),1499957.0)</f>
        <v>1499957</v>
      </c>
    </row>
    <row r="3827">
      <c r="A3827" s="3">
        <f>IFERROR(__xludf.DUMMYFUNCTION("""COMPUTED_VALUE"""),42171.64583333333)</f>
        <v>42171.64583</v>
      </c>
      <c r="B3827" s="2">
        <f>IFERROR(__xludf.DUMMYFUNCTION("""COMPUTED_VALUE"""),500.0)</f>
        <v>500</v>
      </c>
      <c r="C3827" s="2">
        <f>IFERROR(__xludf.DUMMYFUNCTION("""COMPUTED_VALUE"""),505.23)</f>
        <v>505.23</v>
      </c>
      <c r="D3827" s="2">
        <f>IFERROR(__xludf.DUMMYFUNCTION("""COMPUTED_VALUE"""),498.53)</f>
        <v>498.53</v>
      </c>
      <c r="E3827" s="2">
        <f>IFERROR(__xludf.DUMMYFUNCTION("""COMPUTED_VALUE"""),504.2)</f>
        <v>504.2</v>
      </c>
      <c r="F3827" s="2">
        <f>IFERROR(__xludf.DUMMYFUNCTION("""COMPUTED_VALUE"""),1502631.0)</f>
        <v>1502631</v>
      </c>
    </row>
    <row r="3828">
      <c r="A3828" s="3">
        <f>IFERROR(__xludf.DUMMYFUNCTION("""COMPUTED_VALUE"""),42172.64583333333)</f>
        <v>42172.64583</v>
      </c>
      <c r="B3828" s="2">
        <f>IFERROR(__xludf.DUMMYFUNCTION("""COMPUTED_VALUE"""),504.5)</f>
        <v>504.5</v>
      </c>
      <c r="C3828" s="2">
        <f>IFERROR(__xludf.DUMMYFUNCTION("""COMPUTED_VALUE"""),506.75)</f>
        <v>506.75</v>
      </c>
      <c r="D3828" s="2">
        <f>IFERROR(__xludf.DUMMYFUNCTION("""COMPUTED_VALUE"""),499.75)</f>
        <v>499.75</v>
      </c>
      <c r="E3828" s="2">
        <f>IFERROR(__xludf.DUMMYFUNCTION("""COMPUTED_VALUE"""),502.35)</f>
        <v>502.35</v>
      </c>
      <c r="F3828" s="2">
        <f>IFERROR(__xludf.DUMMYFUNCTION("""COMPUTED_VALUE"""),2421567.0)</f>
        <v>2421567</v>
      </c>
    </row>
    <row r="3829">
      <c r="A3829" s="3">
        <f>IFERROR(__xludf.DUMMYFUNCTION("""COMPUTED_VALUE"""),42173.64583333333)</f>
        <v>42173.64583</v>
      </c>
      <c r="B3829" s="2">
        <f>IFERROR(__xludf.DUMMYFUNCTION("""COMPUTED_VALUE"""),502.95)</f>
        <v>502.95</v>
      </c>
      <c r="C3829" s="2">
        <f>IFERROR(__xludf.DUMMYFUNCTION("""COMPUTED_VALUE"""),511.9)</f>
        <v>511.9</v>
      </c>
      <c r="D3829" s="2">
        <f>IFERROR(__xludf.DUMMYFUNCTION("""COMPUTED_VALUE"""),501.13)</f>
        <v>501.13</v>
      </c>
      <c r="E3829" s="2">
        <f>IFERROR(__xludf.DUMMYFUNCTION("""COMPUTED_VALUE"""),509.8)</f>
        <v>509.8</v>
      </c>
      <c r="F3829" s="2">
        <f>IFERROR(__xludf.DUMMYFUNCTION("""COMPUTED_VALUE"""),2107929.0)</f>
        <v>2107929</v>
      </c>
    </row>
    <row r="3830">
      <c r="A3830" s="3">
        <f>IFERROR(__xludf.DUMMYFUNCTION("""COMPUTED_VALUE"""),42174.64583333333)</f>
        <v>42174.64583</v>
      </c>
      <c r="B3830" s="2">
        <f>IFERROR(__xludf.DUMMYFUNCTION("""COMPUTED_VALUE"""),512.4)</f>
        <v>512.4</v>
      </c>
      <c r="C3830" s="2">
        <f>IFERROR(__xludf.DUMMYFUNCTION("""COMPUTED_VALUE"""),517.48)</f>
        <v>517.48</v>
      </c>
      <c r="D3830" s="2">
        <f>IFERROR(__xludf.DUMMYFUNCTION("""COMPUTED_VALUE"""),506.58)</f>
        <v>506.58</v>
      </c>
      <c r="E3830" s="2">
        <f>IFERROR(__xludf.DUMMYFUNCTION("""COMPUTED_VALUE"""),515.25)</f>
        <v>515.25</v>
      </c>
      <c r="F3830" s="2">
        <f>IFERROR(__xludf.DUMMYFUNCTION("""COMPUTED_VALUE"""),935581.0)</f>
        <v>935581</v>
      </c>
    </row>
    <row r="3831">
      <c r="A3831" s="3">
        <f>IFERROR(__xludf.DUMMYFUNCTION("""COMPUTED_VALUE"""),42177.64583333333)</f>
        <v>42177.64583</v>
      </c>
      <c r="B3831" s="2">
        <f>IFERROR(__xludf.DUMMYFUNCTION("""COMPUTED_VALUE"""),516.05)</f>
        <v>516.05</v>
      </c>
      <c r="C3831" s="2">
        <f>IFERROR(__xludf.DUMMYFUNCTION("""COMPUTED_VALUE"""),528.45)</f>
        <v>528.45</v>
      </c>
      <c r="D3831" s="2">
        <f>IFERROR(__xludf.DUMMYFUNCTION("""COMPUTED_VALUE"""),514.25)</f>
        <v>514.25</v>
      </c>
      <c r="E3831" s="2">
        <f>IFERROR(__xludf.DUMMYFUNCTION("""COMPUTED_VALUE"""),523.58)</f>
        <v>523.58</v>
      </c>
      <c r="F3831" s="2">
        <f>IFERROR(__xludf.DUMMYFUNCTION("""COMPUTED_VALUE"""),1362413.0)</f>
        <v>1362413</v>
      </c>
    </row>
    <row r="3832">
      <c r="A3832" s="3">
        <f>IFERROR(__xludf.DUMMYFUNCTION("""COMPUTED_VALUE"""),42178.64583333333)</f>
        <v>42178.64583</v>
      </c>
      <c r="B3832" s="2">
        <f>IFERROR(__xludf.DUMMYFUNCTION("""COMPUTED_VALUE"""),526.0)</f>
        <v>526</v>
      </c>
      <c r="C3832" s="2">
        <f>IFERROR(__xludf.DUMMYFUNCTION("""COMPUTED_VALUE"""),530.6)</f>
        <v>530.6</v>
      </c>
      <c r="D3832" s="2">
        <f>IFERROR(__xludf.DUMMYFUNCTION("""COMPUTED_VALUE"""),521.25)</f>
        <v>521.25</v>
      </c>
      <c r="E3832" s="2">
        <f>IFERROR(__xludf.DUMMYFUNCTION("""COMPUTED_VALUE"""),526.05)</f>
        <v>526.05</v>
      </c>
      <c r="F3832" s="2">
        <f>IFERROR(__xludf.DUMMYFUNCTION("""COMPUTED_VALUE"""),1413795.0)</f>
        <v>1413795</v>
      </c>
    </row>
    <row r="3833">
      <c r="A3833" s="3">
        <f>IFERROR(__xludf.DUMMYFUNCTION("""COMPUTED_VALUE"""),42179.64583333333)</f>
        <v>42179.64583</v>
      </c>
      <c r="B3833" s="2">
        <f>IFERROR(__xludf.DUMMYFUNCTION("""COMPUTED_VALUE"""),527.0)</f>
        <v>527</v>
      </c>
      <c r="C3833" s="2">
        <f>IFERROR(__xludf.DUMMYFUNCTION("""COMPUTED_VALUE"""),528.9)</f>
        <v>528.9</v>
      </c>
      <c r="D3833" s="2">
        <f>IFERROR(__xludf.DUMMYFUNCTION("""COMPUTED_VALUE"""),521.35)</f>
        <v>521.35</v>
      </c>
      <c r="E3833" s="2">
        <f>IFERROR(__xludf.DUMMYFUNCTION("""COMPUTED_VALUE"""),522.9)</f>
        <v>522.9</v>
      </c>
      <c r="F3833" s="2">
        <f>IFERROR(__xludf.DUMMYFUNCTION("""COMPUTED_VALUE"""),1566849.0)</f>
        <v>1566849</v>
      </c>
    </row>
    <row r="3834">
      <c r="A3834" s="3">
        <f>IFERROR(__xludf.DUMMYFUNCTION("""COMPUTED_VALUE"""),42180.64583333333)</f>
        <v>42180.64583</v>
      </c>
      <c r="B3834" s="2">
        <f>IFERROR(__xludf.DUMMYFUNCTION("""COMPUTED_VALUE"""),524.13)</f>
        <v>524.13</v>
      </c>
      <c r="C3834" s="2">
        <f>IFERROR(__xludf.DUMMYFUNCTION("""COMPUTED_VALUE"""),535.42)</f>
        <v>535.42</v>
      </c>
      <c r="D3834" s="2">
        <f>IFERROR(__xludf.DUMMYFUNCTION("""COMPUTED_VALUE"""),521.33)</f>
        <v>521.33</v>
      </c>
      <c r="E3834" s="2">
        <f>IFERROR(__xludf.DUMMYFUNCTION("""COMPUTED_VALUE"""),532.5)</f>
        <v>532.5</v>
      </c>
      <c r="F3834" s="2">
        <f>IFERROR(__xludf.DUMMYFUNCTION("""COMPUTED_VALUE"""),4143392.0)</f>
        <v>4143392</v>
      </c>
    </row>
    <row r="3835">
      <c r="A3835" s="3">
        <f>IFERROR(__xludf.DUMMYFUNCTION("""COMPUTED_VALUE"""),42181.64583333333)</f>
        <v>42181.64583</v>
      </c>
      <c r="B3835" s="2">
        <f>IFERROR(__xludf.DUMMYFUNCTION("""COMPUTED_VALUE"""),533.5)</f>
        <v>533.5</v>
      </c>
      <c r="C3835" s="2">
        <f>IFERROR(__xludf.DUMMYFUNCTION("""COMPUTED_VALUE"""),535.48)</f>
        <v>535.48</v>
      </c>
      <c r="D3835" s="2">
        <f>IFERROR(__xludf.DUMMYFUNCTION("""COMPUTED_VALUE"""),525.75)</f>
        <v>525.75</v>
      </c>
      <c r="E3835" s="2">
        <f>IFERROR(__xludf.DUMMYFUNCTION("""COMPUTED_VALUE"""),531.42)</f>
        <v>531.42</v>
      </c>
      <c r="F3835" s="2">
        <f>IFERROR(__xludf.DUMMYFUNCTION("""COMPUTED_VALUE"""),1411876.0)</f>
        <v>1411876</v>
      </c>
    </row>
    <row r="3836">
      <c r="A3836" s="3">
        <f>IFERROR(__xludf.DUMMYFUNCTION("""COMPUTED_VALUE"""),42184.64583333333)</f>
        <v>42184.64583</v>
      </c>
      <c r="B3836" s="2">
        <f>IFERROR(__xludf.DUMMYFUNCTION("""COMPUTED_VALUE"""),522.45)</f>
        <v>522.45</v>
      </c>
      <c r="C3836" s="2">
        <f>IFERROR(__xludf.DUMMYFUNCTION("""COMPUTED_VALUE"""),530.88)</f>
        <v>530.88</v>
      </c>
      <c r="D3836" s="2">
        <f>IFERROR(__xludf.DUMMYFUNCTION("""COMPUTED_VALUE"""),515.25)</f>
        <v>515.25</v>
      </c>
      <c r="E3836" s="2">
        <f>IFERROR(__xludf.DUMMYFUNCTION("""COMPUTED_VALUE"""),528.33)</f>
        <v>528.33</v>
      </c>
      <c r="F3836" s="2">
        <f>IFERROR(__xludf.DUMMYFUNCTION("""COMPUTED_VALUE"""),1621959.0)</f>
        <v>1621959</v>
      </c>
    </row>
    <row r="3837">
      <c r="A3837" s="3">
        <f>IFERROR(__xludf.DUMMYFUNCTION("""COMPUTED_VALUE"""),42185.64583333333)</f>
        <v>42185.64583</v>
      </c>
      <c r="B3837" s="2">
        <f>IFERROR(__xludf.DUMMYFUNCTION("""COMPUTED_VALUE"""),526.13)</f>
        <v>526.13</v>
      </c>
      <c r="C3837" s="2">
        <f>IFERROR(__xludf.DUMMYFUNCTION("""COMPUTED_VALUE"""),536.0)</f>
        <v>536</v>
      </c>
      <c r="D3837" s="2">
        <f>IFERROR(__xludf.DUMMYFUNCTION("""COMPUTED_VALUE"""),524.0)</f>
        <v>524</v>
      </c>
      <c r="E3837" s="2">
        <f>IFERROR(__xludf.DUMMYFUNCTION("""COMPUTED_VALUE"""),533.58)</f>
        <v>533.58</v>
      </c>
      <c r="F3837" s="2">
        <f>IFERROR(__xludf.DUMMYFUNCTION("""COMPUTED_VALUE"""),1822534.0)</f>
        <v>1822534</v>
      </c>
    </row>
    <row r="3838">
      <c r="A3838" s="3">
        <f>IFERROR(__xludf.DUMMYFUNCTION("""COMPUTED_VALUE"""),42186.64583333333)</f>
        <v>42186.64583</v>
      </c>
      <c r="B3838" s="2">
        <f>IFERROR(__xludf.DUMMYFUNCTION("""COMPUTED_VALUE"""),530.67)</f>
        <v>530.67</v>
      </c>
      <c r="C3838" s="2">
        <f>IFERROR(__xludf.DUMMYFUNCTION("""COMPUTED_VALUE"""),538.5)</f>
        <v>538.5</v>
      </c>
      <c r="D3838" s="2">
        <f>IFERROR(__xludf.DUMMYFUNCTION("""COMPUTED_VALUE"""),530.03)</f>
        <v>530.03</v>
      </c>
      <c r="E3838" s="2">
        <f>IFERROR(__xludf.DUMMYFUNCTION("""COMPUTED_VALUE"""),536.17)</f>
        <v>536.17</v>
      </c>
      <c r="F3838" s="2">
        <f>IFERROR(__xludf.DUMMYFUNCTION("""COMPUTED_VALUE"""),1242797.0)</f>
        <v>1242797</v>
      </c>
    </row>
    <row r="3839">
      <c r="A3839" s="3">
        <f>IFERROR(__xludf.DUMMYFUNCTION("""COMPUTED_VALUE"""),42187.64583333333)</f>
        <v>42187.64583</v>
      </c>
      <c r="B3839" s="2">
        <f>IFERROR(__xludf.DUMMYFUNCTION("""COMPUTED_VALUE"""),532.5)</f>
        <v>532.5</v>
      </c>
      <c r="C3839" s="2">
        <f>IFERROR(__xludf.DUMMYFUNCTION("""COMPUTED_VALUE"""),533.85)</f>
        <v>533.85</v>
      </c>
      <c r="D3839" s="2">
        <f>IFERROR(__xludf.DUMMYFUNCTION("""COMPUTED_VALUE"""),527.83)</f>
        <v>527.83</v>
      </c>
      <c r="E3839" s="2">
        <f>IFERROR(__xludf.DUMMYFUNCTION("""COMPUTED_VALUE"""),529.1)</f>
        <v>529.1</v>
      </c>
      <c r="F3839" s="2">
        <f>IFERROR(__xludf.DUMMYFUNCTION("""COMPUTED_VALUE"""),1120861.0)</f>
        <v>1120861</v>
      </c>
    </row>
    <row r="3840">
      <c r="A3840" s="3">
        <f>IFERROR(__xludf.DUMMYFUNCTION("""COMPUTED_VALUE"""),42188.64583333333)</f>
        <v>42188.64583</v>
      </c>
      <c r="B3840" s="2">
        <f>IFERROR(__xludf.DUMMYFUNCTION("""COMPUTED_VALUE"""),527.03)</f>
        <v>527.03</v>
      </c>
      <c r="C3840" s="2">
        <f>IFERROR(__xludf.DUMMYFUNCTION("""COMPUTED_VALUE"""),538.08)</f>
        <v>538.08</v>
      </c>
      <c r="D3840" s="2">
        <f>IFERROR(__xludf.DUMMYFUNCTION("""COMPUTED_VALUE"""),527.03)</f>
        <v>527.03</v>
      </c>
      <c r="E3840" s="2">
        <f>IFERROR(__xludf.DUMMYFUNCTION("""COMPUTED_VALUE"""),537.13)</f>
        <v>537.13</v>
      </c>
      <c r="F3840" s="2">
        <f>IFERROR(__xludf.DUMMYFUNCTION("""COMPUTED_VALUE"""),1009822.0)</f>
        <v>1009822</v>
      </c>
    </row>
    <row r="3841">
      <c r="A3841" s="3">
        <f>IFERROR(__xludf.DUMMYFUNCTION("""COMPUTED_VALUE"""),42191.64583333333)</f>
        <v>42191.64583</v>
      </c>
      <c r="B3841" s="2">
        <f>IFERROR(__xludf.DUMMYFUNCTION("""COMPUTED_VALUE"""),532.03)</f>
        <v>532.03</v>
      </c>
      <c r="C3841" s="2">
        <f>IFERROR(__xludf.DUMMYFUNCTION("""COMPUTED_VALUE"""),542.5)</f>
        <v>542.5</v>
      </c>
      <c r="D3841" s="2">
        <f>IFERROR(__xludf.DUMMYFUNCTION("""COMPUTED_VALUE"""),530.13)</f>
        <v>530.13</v>
      </c>
      <c r="E3841" s="2">
        <f>IFERROR(__xludf.DUMMYFUNCTION("""COMPUTED_VALUE"""),541.75)</f>
        <v>541.75</v>
      </c>
      <c r="F3841" s="2">
        <f>IFERROR(__xludf.DUMMYFUNCTION("""COMPUTED_VALUE"""),816945.0)</f>
        <v>816945</v>
      </c>
    </row>
    <row r="3842">
      <c r="A3842" s="3">
        <f>IFERROR(__xludf.DUMMYFUNCTION("""COMPUTED_VALUE"""),42192.64583333333)</f>
        <v>42192.64583</v>
      </c>
      <c r="B3842" s="2">
        <f>IFERROR(__xludf.DUMMYFUNCTION("""COMPUTED_VALUE"""),539.25)</f>
        <v>539.25</v>
      </c>
      <c r="C3842" s="2">
        <f>IFERROR(__xludf.DUMMYFUNCTION("""COMPUTED_VALUE"""),545.75)</f>
        <v>545.75</v>
      </c>
      <c r="D3842" s="2">
        <f>IFERROR(__xludf.DUMMYFUNCTION("""COMPUTED_VALUE"""),539.25)</f>
        <v>539.25</v>
      </c>
      <c r="E3842" s="2">
        <f>IFERROR(__xludf.DUMMYFUNCTION("""COMPUTED_VALUE"""),543.42)</f>
        <v>543.42</v>
      </c>
      <c r="F3842" s="2">
        <f>IFERROR(__xludf.DUMMYFUNCTION("""COMPUTED_VALUE"""),1035368.0)</f>
        <v>1035368</v>
      </c>
    </row>
    <row r="3843">
      <c r="A3843" s="3">
        <f>IFERROR(__xludf.DUMMYFUNCTION("""COMPUTED_VALUE"""),42193.64583333333)</f>
        <v>42193.64583</v>
      </c>
      <c r="B3843" s="2">
        <f>IFERROR(__xludf.DUMMYFUNCTION("""COMPUTED_VALUE"""),539.55)</f>
        <v>539.55</v>
      </c>
      <c r="C3843" s="2">
        <f>IFERROR(__xludf.DUMMYFUNCTION("""COMPUTED_VALUE"""),540.3)</f>
        <v>540.3</v>
      </c>
      <c r="D3843" s="2">
        <f>IFERROR(__xludf.DUMMYFUNCTION("""COMPUTED_VALUE"""),533.0)</f>
        <v>533</v>
      </c>
      <c r="E3843" s="2">
        <f>IFERROR(__xludf.DUMMYFUNCTION("""COMPUTED_VALUE"""),534.42)</f>
        <v>534.42</v>
      </c>
      <c r="F3843" s="2">
        <f>IFERROR(__xludf.DUMMYFUNCTION("""COMPUTED_VALUE"""),1350169.0)</f>
        <v>1350169</v>
      </c>
    </row>
    <row r="3844">
      <c r="A3844" s="3">
        <f>IFERROR(__xludf.DUMMYFUNCTION("""COMPUTED_VALUE"""),42194.64583333333)</f>
        <v>42194.64583</v>
      </c>
      <c r="B3844" s="2">
        <f>IFERROR(__xludf.DUMMYFUNCTION("""COMPUTED_VALUE"""),531.35)</f>
        <v>531.35</v>
      </c>
      <c r="C3844" s="2">
        <f>IFERROR(__xludf.DUMMYFUNCTION("""COMPUTED_VALUE"""),538.45)</f>
        <v>538.45</v>
      </c>
      <c r="D3844" s="2">
        <f>IFERROR(__xludf.DUMMYFUNCTION("""COMPUTED_VALUE"""),530.05)</f>
        <v>530.05</v>
      </c>
      <c r="E3844" s="2">
        <f>IFERROR(__xludf.DUMMYFUNCTION("""COMPUTED_VALUE"""),537.03)</f>
        <v>537.03</v>
      </c>
      <c r="F3844" s="2">
        <f>IFERROR(__xludf.DUMMYFUNCTION("""COMPUTED_VALUE"""),699491.0)</f>
        <v>699491</v>
      </c>
    </row>
    <row r="3845">
      <c r="A3845" s="3">
        <f>IFERROR(__xludf.DUMMYFUNCTION("""COMPUTED_VALUE"""),42195.64583333333)</f>
        <v>42195.64583</v>
      </c>
      <c r="B3845" s="2">
        <f>IFERROR(__xludf.DUMMYFUNCTION("""COMPUTED_VALUE"""),534.9)</f>
        <v>534.9</v>
      </c>
      <c r="C3845" s="2">
        <f>IFERROR(__xludf.DUMMYFUNCTION("""COMPUTED_VALUE"""),547.5)</f>
        <v>547.5</v>
      </c>
      <c r="D3845" s="2">
        <f>IFERROR(__xludf.DUMMYFUNCTION("""COMPUTED_VALUE"""),534.25)</f>
        <v>534.25</v>
      </c>
      <c r="E3845" s="2">
        <f>IFERROR(__xludf.DUMMYFUNCTION("""COMPUTED_VALUE"""),545.38)</f>
        <v>545.38</v>
      </c>
      <c r="F3845" s="2">
        <f>IFERROR(__xludf.DUMMYFUNCTION("""COMPUTED_VALUE"""),1225022.0)</f>
        <v>1225022</v>
      </c>
    </row>
    <row r="3846">
      <c r="A3846" s="3">
        <f>IFERROR(__xludf.DUMMYFUNCTION("""COMPUTED_VALUE"""),42198.64583333333)</f>
        <v>42198.64583</v>
      </c>
      <c r="B3846" s="2">
        <f>IFERROR(__xludf.DUMMYFUNCTION("""COMPUTED_VALUE"""),542.5)</f>
        <v>542.5</v>
      </c>
      <c r="C3846" s="2">
        <f>IFERROR(__xludf.DUMMYFUNCTION("""COMPUTED_VALUE"""),552.95)</f>
        <v>552.95</v>
      </c>
      <c r="D3846" s="2">
        <f>IFERROR(__xludf.DUMMYFUNCTION("""COMPUTED_VALUE"""),542.5)</f>
        <v>542.5</v>
      </c>
      <c r="E3846" s="2">
        <f>IFERROR(__xludf.DUMMYFUNCTION("""COMPUTED_VALUE"""),548.08)</f>
        <v>548.08</v>
      </c>
      <c r="F3846" s="2">
        <f>IFERROR(__xludf.DUMMYFUNCTION("""COMPUTED_VALUE"""),1769021.0)</f>
        <v>1769021</v>
      </c>
    </row>
    <row r="3847">
      <c r="A3847" s="3">
        <f>IFERROR(__xludf.DUMMYFUNCTION("""COMPUTED_VALUE"""),42199.64583333333)</f>
        <v>42199.64583</v>
      </c>
      <c r="B3847" s="2">
        <f>IFERROR(__xludf.DUMMYFUNCTION("""COMPUTED_VALUE"""),547.75)</f>
        <v>547.75</v>
      </c>
      <c r="C3847" s="2">
        <f>IFERROR(__xludf.DUMMYFUNCTION("""COMPUTED_VALUE"""),550.95)</f>
        <v>550.95</v>
      </c>
      <c r="D3847" s="2">
        <f>IFERROR(__xludf.DUMMYFUNCTION("""COMPUTED_VALUE"""),543.0)</f>
        <v>543</v>
      </c>
      <c r="E3847" s="2">
        <f>IFERROR(__xludf.DUMMYFUNCTION("""COMPUTED_VALUE"""),545.92)</f>
        <v>545.92</v>
      </c>
      <c r="F3847" s="2">
        <f>IFERROR(__xludf.DUMMYFUNCTION("""COMPUTED_VALUE"""),1418529.0)</f>
        <v>1418529</v>
      </c>
    </row>
    <row r="3848">
      <c r="A3848" s="3">
        <f>IFERROR(__xludf.DUMMYFUNCTION("""COMPUTED_VALUE"""),42200.64583333333)</f>
        <v>42200.64583</v>
      </c>
      <c r="B3848" s="2">
        <f>IFERROR(__xludf.DUMMYFUNCTION("""COMPUTED_VALUE"""),546.5)</f>
        <v>546.5</v>
      </c>
      <c r="C3848" s="2">
        <f>IFERROR(__xludf.DUMMYFUNCTION("""COMPUTED_VALUE"""),550.73)</f>
        <v>550.73</v>
      </c>
      <c r="D3848" s="2">
        <f>IFERROR(__xludf.DUMMYFUNCTION("""COMPUTED_VALUE"""),545.4)</f>
        <v>545.4</v>
      </c>
      <c r="E3848" s="2">
        <f>IFERROR(__xludf.DUMMYFUNCTION("""COMPUTED_VALUE"""),548.35)</f>
        <v>548.35</v>
      </c>
      <c r="F3848" s="2">
        <f>IFERROR(__xludf.DUMMYFUNCTION("""COMPUTED_VALUE"""),962351.0)</f>
        <v>962351</v>
      </c>
    </row>
    <row r="3849">
      <c r="A3849" s="3">
        <f>IFERROR(__xludf.DUMMYFUNCTION("""COMPUTED_VALUE"""),42201.64583333333)</f>
        <v>42201.64583</v>
      </c>
      <c r="B3849" s="2">
        <f>IFERROR(__xludf.DUMMYFUNCTION("""COMPUTED_VALUE"""),549.4)</f>
        <v>549.4</v>
      </c>
      <c r="C3849" s="2">
        <f>IFERROR(__xludf.DUMMYFUNCTION("""COMPUTED_VALUE"""),559.5)</f>
        <v>559.5</v>
      </c>
      <c r="D3849" s="2">
        <f>IFERROR(__xludf.DUMMYFUNCTION("""COMPUTED_VALUE"""),549.05)</f>
        <v>549.05</v>
      </c>
      <c r="E3849" s="2">
        <f>IFERROR(__xludf.DUMMYFUNCTION("""COMPUTED_VALUE"""),557.35)</f>
        <v>557.35</v>
      </c>
      <c r="F3849" s="2">
        <f>IFERROR(__xludf.DUMMYFUNCTION("""COMPUTED_VALUE"""),1827606.0)</f>
        <v>1827606</v>
      </c>
    </row>
    <row r="3850">
      <c r="A3850" s="3">
        <f>IFERROR(__xludf.DUMMYFUNCTION("""COMPUTED_VALUE"""),42202.64583333333)</f>
        <v>42202.64583</v>
      </c>
      <c r="B3850" s="2">
        <f>IFERROR(__xludf.DUMMYFUNCTION("""COMPUTED_VALUE"""),559.7)</f>
        <v>559.7</v>
      </c>
      <c r="C3850" s="2">
        <f>IFERROR(__xludf.DUMMYFUNCTION("""COMPUTED_VALUE"""),560.88)</f>
        <v>560.88</v>
      </c>
      <c r="D3850" s="2">
        <f>IFERROR(__xludf.DUMMYFUNCTION("""COMPUTED_VALUE"""),552.8)</f>
        <v>552.8</v>
      </c>
      <c r="E3850" s="2">
        <f>IFERROR(__xludf.DUMMYFUNCTION("""COMPUTED_VALUE"""),555.28)</f>
        <v>555.28</v>
      </c>
      <c r="F3850" s="2">
        <f>IFERROR(__xludf.DUMMYFUNCTION("""COMPUTED_VALUE"""),877747.0)</f>
        <v>877747</v>
      </c>
    </row>
    <row r="3851">
      <c r="A3851" s="3">
        <f>IFERROR(__xludf.DUMMYFUNCTION("""COMPUTED_VALUE"""),42205.64583333333)</f>
        <v>42205.64583</v>
      </c>
      <c r="B3851" s="2">
        <f>IFERROR(__xludf.DUMMYFUNCTION("""COMPUTED_VALUE"""),557.98)</f>
        <v>557.98</v>
      </c>
      <c r="C3851" s="2">
        <f>IFERROR(__xludf.DUMMYFUNCTION("""COMPUTED_VALUE"""),559.5)</f>
        <v>559.5</v>
      </c>
      <c r="D3851" s="2">
        <f>IFERROR(__xludf.DUMMYFUNCTION("""COMPUTED_VALUE"""),553.5)</f>
        <v>553.5</v>
      </c>
      <c r="E3851" s="2">
        <f>IFERROR(__xludf.DUMMYFUNCTION("""COMPUTED_VALUE"""),557.63)</f>
        <v>557.63</v>
      </c>
      <c r="F3851" s="2">
        <f>IFERROR(__xludf.DUMMYFUNCTION("""COMPUTED_VALUE"""),1137817.0)</f>
        <v>1137817</v>
      </c>
    </row>
    <row r="3852">
      <c r="A3852" s="3">
        <f>IFERROR(__xludf.DUMMYFUNCTION("""COMPUTED_VALUE"""),42206.64583333333)</f>
        <v>42206.64583</v>
      </c>
      <c r="B3852" s="2">
        <f>IFERROR(__xludf.DUMMYFUNCTION("""COMPUTED_VALUE"""),558.28)</f>
        <v>558.28</v>
      </c>
      <c r="C3852" s="2">
        <f>IFERROR(__xludf.DUMMYFUNCTION("""COMPUTED_VALUE"""),564.0)</f>
        <v>564</v>
      </c>
      <c r="D3852" s="2">
        <f>IFERROR(__xludf.DUMMYFUNCTION("""COMPUTED_VALUE"""),546.55)</f>
        <v>546.55</v>
      </c>
      <c r="E3852" s="2">
        <f>IFERROR(__xludf.DUMMYFUNCTION("""COMPUTED_VALUE"""),549.03)</f>
        <v>549.03</v>
      </c>
      <c r="F3852" s="2">
        <f>IFERROR(__xludf.DUMMYFUNCTION("""COMPUTED_VALUE"""),2757034.0)</f>
        <v>2757034</v>
      </c>
    </row>
    <row r="3853">
      <c r="A3853" s="3">
        <f>IFERROR(__xludf.DUMMYFUNCTION("""COMPUTED_VALUE"""),42207.64583333333)</f>
        <v>42207.64583</v>
      </c>
      <c r="B3853" s="2">
        <f>IFERROR(__xludf.DUMMYFUNCTION("""COMPUTED_VALUE"""),548.2)</f>
        <v>548.2</v>
      </c>
      <c r="C3853" s="2">
        <f>IFERROR(__xludf.DUMMYFUNCTION("""COMPUTED_VALUE"""),558.53)</f>
        <v>558.53</v>
      </c>
      <c r="D3853" s="2">
        <f>IFERROR(__xludf.DUMMYFUNCTION("""COMPUTED_VALUE"""),544.33)</f>
        <v>544.33</v>
      </c>
      <c r="E3853" s="2">
        <f>IFERROR(__xludf.DUMMYFUNCTION("""COMPUTED_VALUE"""),557.2)</f>
        <v>557.2</v>
      </c>
      <c r="F3853" s="2">
        <f>IFERROR(__xludf.DUMMYFUNCTION("""COMPUTED_VALUE"""),1821600.0)</f>
        <v>1821600</v>
      </c>
    </row>
    <row r="3854">
      <c r="A3854" s="3">
        <f>IFERROR(__xludf.DUMMYFUNCTION("""COMPUTED_VALUE"""),42208.64583333333)</f>
        <v>42208.64583</v>
      </c>
      <c r="B3854" s="2">
        <f>IFERROR(__xludf.DUMMYFUNCTION("""COMPUTED_VALUE"""),556.45)</f>
        <v>556.45</v>
      </c>
      <c r="C3854" s="2">
        <f>IFERROR(__xludf.DUMMYFUNCTION("""COMPUTED_VALUE"""),558.35)</f>
        <v>558.35</v>
      </c>
      <c r="D3854" s="2">
        <f>IFERROR(__xludf.DUMMYFUNCTION("""COMPUTED_VALUE"""),550.05)</f>
        <v>550.05</v>
      </c>
      <c r="E3854" s="2">
        <f>IFERROR(__xludf.DUMMYFUNCTION("""COMPUTED_VALUE"""),553.95)</f>
        <v>553.95</v>
      </c>
      <c r="F3854" s="2">
        <f>IFERROR(__xludf.DUMMYFUNCTION("""COMPUTED_VALUE"""),1270793.0)</f>
        <v>1270793</v>
      </c>
    </row>
    <row r="3855">
      <c r="A3855" s="3">
        <f>IFERROR(__xludf.DUMMYFUNCTION("""COMPUTED_VALUE"""),42209.64583333333)</f>
        <v>42209.64583</v>
      </c>
      <c r="B3855" s="2">
        <f>IFERROR(__xludf.DUMMYFUNCTION("""COMPUTED_VALUE"""),551.58)</f>
        <v>551.58</v>
      </c>
      <c r="C3855" s="2">
        <f>IFERROR(__xludf.DUMMYFUNCTION("""COMPUTED_VALUE"""),557.5)</f>
        <v>557.5</v>
      </c>
      <c r="D3855" s="2">
        <f>IFERROR(__xludf.DUMMYFUNCTION("""COMPUTED_VALUE"""),550.25)</f>
        <v>550.25</v>
      </c>
      <c r="E3855" s="2">
        <f>IFERROR(__xludf.DUMMYFUNCTION("""COMPUTED_VALUE"""),553.92)</f>
        <v>553.92</v>
      </c>
      <c r="F3855" s="2">
        <f>IFERROR(__xludf.DUMMYFUNCTION("""COMPUTED_VALUE"""),1190252.0)</f>
        <v>1190252</v>
      </c>
    </row>
    <row r="3856">
      <c r="A3856" s="3">
        <f>IFERROR(__xludf.DUMMYFUNCTION("""COMPUTED_VALUE"""),42212.64583333333)</f>
        <v>42212.64583</v>
      </c>
      <c r="B3856" s="2">
        <f>IFERROR(__xludf.DUMMYFUNCTION("""COMPUTED_VALUE"""),551.95)</f>
        <v>551.95</v>
      </c>
      <c r="C3856" s="2">
        <f>IFERROR(__xludf.DUMMYFUNCTION("""COMPUTED_VALUE"""),552.25)</f>
        <v>552.25</v>
      </c>
      <c r="D3856" s="2">
        <f>IFERROR(__xludf.DUMMYFUNCTION("""COMPUTED_VALUE"""),535.0)</f>
        <v>535</v>
      </c>
      <c r="E3856" s="2">
        <f>IFERROR(__xludf.DUMMYFUNCTION("""COMPUTED_VALUE"""),547.92)</f>
        <v>547.92</v>
      </c>
      <c r="F3856" s="2">
        <f>IFERROR(__xludf.DUMMYFUNCTION("""COMPUTED_VALUE"""),832143.0)</f>
        <v>832143</v>
      </c>
    </row>
    <row r="3857">
      <c r="A3857" s="3">
        <f>IFERROR(__xludf.DUMMYFUNCTION("""COMPUTED_VALUE"""),42213.64583333333)</f>
        <v>42213.64583</v>
      </c>
      <c r="B3857" s="2">
        <f>IFERROR(__xludf.DUMMYFUNCTION("""COMPUTED_VALUE"""),547.0)</f>
        <v>547</v>
      </c>
      <c r="C3857" s="2">
        <f>IFERROR(__xludf.DUMMYFUNCTION("""COMPUTED_VALUE"""),556.95)</f>
        <v>556.95</v>
      </c>
      <c r="D3857" s="2">
        <f>IFERROR(__xludf.DUMMYFUNCTION("""COMPUTED_VALUE"""),546.23)</f>
        <v>546.23</v>
      </c>
      <c r="E3857" s="2">
        <f>IFERROR(__xludf.DUMMYFUNCTION("""COMPUTED_VALUE"""),554.25)</f>
        <v>554.25</v>
      </c>
      <c r="F3857" s="2">
        <f>IFERROR(__xludf.DUMMYFUNCTION("""COMPUTED_VALUE"""),1586418.0)</f>
        <v>1586418</v>
      </c>
    </row>
    <row r="3858">
      <c r="A3858" s="3">
        <f>IFERROR(__xludf.DUMMYFUNCTION("""COMPUTED_VALUE"""),42214.64583333333)</f>
        <v>42214.64583</v>
      </c>
      <c r="B3858" s="2">
        <f>IFERROR(__xludf.DUMMYFUNCTION("""COMPUTED_VALUE"""),552.55)</f>
        <v>552.55</v>
      </c>
      <c r="C3858" s="2">
        <f>IFERROR(__xludf.DUMMYFUNCTION("""COMPUTED_VALUE"""),558.95)</f>
        <v>558.95</v>
      </c>
      <c r="D3858" s="2">
        <f>IFERROR(__xludf.DUMMYFUNCTION("""COMPUTED_VALUE"""),552.53)</f>
        <v>552.53</v>
      </c>
      <c r="E3858" s="2">
        <f>IFERROR(__xludf.DUMMYFUNCTION("""COMPUTED_VALUE"""),554.17)</f>
        <v>554.17</v>
      </c>
      <c r="F3858" s="2">
        <f>IFERROR(__xludf.DUMMYFUNCTION("""COMPUTED_VALUE"""),985758.0)</f>
        <v>985758</v>
      </c>
    </row>
    <row r="3859">
      <c r="A3859" s="3">
        <f>IFERROR(__xludf.DUMMYFUNCTION("""COMPUTED_VALUE"""),42215.64583333333)</f>
        <v>42215.64583</v>
      </c>
      <c r="B3859" s="2">
        <f>IFERROR(__xludf.DUMMYFUNCTION("""COMPUTED_VALUE"""),553.5)</f>
        <v>553.5</v>
      </c>
      <c r="C3859" s="2">
        <f>IFERROR(__xludf.DUMMYFUNCTION("""COMPUTED_VALUE"""),558.5)</f>
        <v>558.5</v>
      </c>
      <c r="D3859" s="2">
        <f>IFERROR(__xludf.DUMMYFUNCTION("""COMPUTED_VALUE"""),550.55)</f>
        <v>550.55</v>
      </c>
      <c r="E3859" s="2">
        <f>IFERROR(__xludf.DUMMYFUNCTION("""COMPUTED_VALUE"""),555.28)</f>
        <v>555.28</v>
      </c>
      <c r="F3859" s="2">
        <f>IFERROR(__xludf.DUMMYFUNCTION("""COMPUTED_VALUE"""),2365547.0)</f>
        <v>2365547</v>
      </c>
    </row>
    <row r="3860">
      <c r="A3860" s="3">
        <f>IFERROR(__xludf.DUMMYFUNCTION("""COMPUTED_VALUE"""),42216.64583333333)</f>
        <v>42216.64583</v>
      </c>
      <c r="B3860" s="2">
        <f>IFERROR(__xludf.DUMMYFUNCTION("""COMPUTED_VALUE"""),557.8)</f>
        <v>557.8</v>
      </c>
      <c r="C3860" s="2">
        <f>IFERROR(__xludf.DUMMYFUNCTION("""COMPUTED_VALUE"""),560.5)</f>
        <v>560.5</v>
      </c>
      <c r="D3860" s="2">
        <f>IFERROR(__xludf.DUMMYFUNCTION("""COMPUTED_VALUE"""),551.5)</f>
        <v>551.5</v>
      </c>
      <c r="E3860" s="2">
        <f>IFERROR(__xludf.DUMMYFUNCTION("""COMPUTED_VALUE"""),555.83)</f>
        <v>555.83</v>
      </c>
      <c r="F3860" s="2">
        <f>IFERROR(__xludf.DUMMYFUNCTION("""COMPUTED_VALUE"""),1412375.0)</f>
        <v>1412375</v>
      </c>
    </row>
    <row r="3861">
      <c r="A3861" s="3">
        <f>IFERROR(__xludf.DUMMYFUNCTION("""COMPUTED_VALUE"""),42219.64583333333)</f>
        <v>42219.64583</v>
      </c>
      <c r="B3861" s="2">
        <f>IFERROR(__xludf.DUMMYFUNCTION("""COMPUTED_VALUE"""),556.38)</f>
        <v>556.38</v>
      </c>
      <c r="C3861" s="2">
        <f>IFERROR(__xludf.DUMMYFUNCTION("""COMPUTED_VALUE"""),558.75)</f>
        <v>558.75</v>
      </c>
      <c r="D3861" s="2">
        <f>IFERROR(__xludf.DUMMYFUNCTION("""COMPUTED_VALUE"""),546.73)</f>
        <v>546.73</v>
      </c>
      <c r="E3861" s="2">
        <f>IFERROR(__xludf.DUMMYFUNCTION("""COMPUTED_VALUE"""),547.7)</f>
        <v>547.7</v>
      </c>
      <c r="F3861" s="2">
        <f>IFERROR(__xludf.DUMMYFUNCTION("""COMPUTED_VALUE"""),1086432.0)</f>
        <v>1086432</v>
      </c>
    </row>
    <row r="3862">
      <c r="A3862" s="3">
        <f>IFERROR(__xludf.DUMMYFUNCTION("""COMPUTED_VALUE"""),42220.64583333333)</f>
        <v>42220.64583</v>
      </c>
      <c r="B3862" s="2">
        <f>IFERROR(__xludf.DUMMYFUNCTION("""COMPUTED_VALUE"""),549.05)</f>
        <v>549.05</v>
      </c>
      <c r="C3862" s="2">
        <f>IFERROR(__xludf.DUMMYFUNCTION("""COMPUTED_VALUE"""),551.0)</f>
        <v>551</v>
      </c>
      <c r="D3862" s="2">
        <f>IFERROR(__xludf.DUMMYFUNCTION("""COMPUTED_VALUE"""),540.98)</f>
        <v>540.98</v>
      </c>
      <c r="E3862" s="2">
        <f>IFERROR(__xludf.DUMMYFUNCTION("""COMPUTED_VALUE"""),543.23)</f>
        <v>543.23</v>
      </c>
      <c r="F3862" s="2">
        <f>IFERROR(__xludf.DUMMYFUNCTION("""COMPUTED_VALUE"""),1347732.0)</f>
        <v>1347732</v>
      </c>
    </row>
    <row r="3863">
      <c r="A3863" s="3">
        <f>IFERROR(__xludf.DUMMYFUNCTION("""COMPUTED_VALUE"""),42221.64583333333)</f>
        <v>42221.64583</v>
      </c>
      <c r="B3863" s="2">
        <f>IFERROR(__xludf.DUMMYFUNCTION("""COMPUTED_VALUE"""),546.08)</f>
        <v>546.08</v>
      </c>
      <c r="C3863" s="2">
        <f>IFERROR(__xludf.DUMMYFUNCTION("""COMPUTED_VALUE"""),548.85)</f>
        <v>548.85</v>
      </c>
      <c r="D3863" s="2">
        <f>IFERROR(__xludf.DUMMYFUNCTION("""COMPUTED_VALUE"""),542.6)</f>
        <v>542.6</v>
      </c>
      <c r="E3863" s="2">
        <f>IFERROR(__xludf.DUMMYFUNCTION("""COMPUTED_VALUE"""),546.1)</f>
        <v>546.1</v>
      </c>
      <c r="F3863" s="2">
        <f>IFERROR(__xludf.DUMMYFUNCTION("""COMPUTED_VALUE"""),1030695.0)</f>
        <v>1030695</v>
      </c>
    </row>
    <row r="3864">
      <c r="A3864" s="3">
        <f>IFERROR(__xludf.DUMMYFUNCTION("""COMPUTED_VALUE"""),42222.64583333333)</f>
        <v>42222.64583</v>
      </c>
      <c r="B3864" s="2">
        <f>IFERROR(__xludf.DUMMYFUNCTION("""COMPUTED_VALUE"""),545.95)</f>
        <v>545.95</v>
      </c>
      <c r="C3864" s="2">
        <f>IFERROR(__xludf.DUMMYFUNCTION("""COMPUTED_VALUE"""),550.67)</f>
        <v>550.67</v>
      </c>
      <c r="D3864" s="2">
        <f>IFERROR(__xludf.DUMMYFUNCTION("""COMPUTED_VALUE"""),542.73)</f>
        <v>542.73</v>
      </c>
      <c r="E3864" s="2">
        <f>IFERROR(__xludf.DUMMYFUNCTION("""COMPUTED_VALUE"""),547.98)</f>
        <v>547.98</v>
      </c>
      <c r="F3864" s="2">
        <f>IFERROR(__xludf.DUMMYFUNCTION("""COMPUTED_VALUE"""),935928.0)</f>
        <v>935928</v>
      </c>
    </row>
    <row r="3865">
      <c r="A3865" s="3">
        <f>IFERROR(__xludf.DUMMYFUNCTION("""COMPUTED_VALUE"""),42223.64583333333)</f>
        <v>42223.64583</v>
      </c>
      <c r="B3865" s="2">
        <f>IFERROR(__xludf.DUMMYFUNCTION("""COMPUTED_VALUE"""),546.98)</f>
        <v>546.98</v>
      </c>
      <c r="C3865" s="2">
        <f>IFERROR(__xludf.DUMMYFUNCTION("""COMPUTED_VALUE"""),548.75)</f>
        <v>548.75</v>
      </c>
      <c r="D3865" s="2">
        <f>IFERROR(__xludf.DUMMYFUNCTION("""COMPUTED_VALUE"""),544.3)</f>
        <v>544.3</v>
      </c>
      <c r="E3865" s="2">
        <f>IFERROR(__xludf.DUMMYFUNCTION("""COMPUTED_VALUE"""),546.33)</f>
        <v>546.33</v>
      </c>
      <c r="F3865" s="2">
        <f>IFERROR(__xludf.DUMMYFUNCTION("""COMPUTED_VALUE"""),806785.0)</f>
        <v>806785</v>
      </c>
    </row>
    <row r="3866">
      <c r="A3866" s="3">
        <f>IFERROR(__xludf.DUMMYFUNCTION("""COMPUTED_VALUE"""),42226.64583333333)</f>
        <v>42226.64583</v>
      </c>
      <c r="B3866" s="2">
        <f>IFERROR(__xludf.DUMMYFUNCTION("""COMPUTED_VALUE"""),547.5)</f>
        <v>547.5</v>
      </c>
      <c r="C3866" s="2">
        <f>IFERROR(__xludf.DUMMYFUNCTION("""COMPUTED_VALUE"""),552.98)</f>
        <v>552.98</v>
      </c>
      <c r="D3866" s="2">
        <f>IFERROR(__xludf.DUMMYFUNCTION("""COMPUTED_VALUE"""),544.0)</f>
        <v>544</v>
      </c>
      <c r="E3866" s="2">
        <f>IFERROR(__xludf.DUMMYFUNCTION("""COMPUTED_VALUE"""),547.33)</f>
        <v>547.33</v>
      </c>
      <c r="F3866" s="2">
        <f>IFERROR(__xludf.DUMMYFUNCTION("""COMPUTED_VALUE"""),988594.0)</f>
        <v>988594</v>
      </c>
    </row>
    <row r="3867">
      <c r="A3867" s="3">
        <f>IFERROR(__xludf.DUMMYFUNCTION("""COMPUTED_VALUE"""),42227.64583333333)</f>
        <v>42227.64583</v>
      </c>
      <c r="B3867" s="2">
        <f>IFERROR(__xludf.DUMMYFUNCTION("""COMPUTED_VALUE"""),547.53)</f>
        <v>547.53</v>
      </c>
      <c r="C3867" s="2">
        <f>IFERROR(__xludf.DUMMYFUNCTION("""COMPUTED_VALUE"""),549.42)</f>
        <v>549.42</v>
      </c>
      <c r="D3867" s="2">
        <f>IFERROR(__xludf.DUMMYFUNCTION("""COMPUTED_VALUE"""),542.13)</f>
        <v>542.13</v>
      </c>
      <c r="E3867" s="2">
        <f>IFERROR(__xludf.DUMMYFUNCTION("""COMPUTED_VALUE"""),547.35)</f>
        <v>547.35</v>
      </c>
      <c r="F3867" s="2">
        <f>IFERROR(__xludf.DUMMYFUNCTION("""COMPUTED_VALUE"""),681922.0)</f>
        <v>681922</v>
      </c>
    </row>
    <row r="3868">
      <c r="A3868" s="3">
        <f>IFERROR(__xludf.DUMMYFUNCTION("""COMPUTED_VALUE"""),42229.64583333333)</f>
        <v>42229.64583</v>
      </c>
      <c r="B3868" s="2">
        <f>IFERROR(__xludf.DUMMYFUNCTION("""COMPUTED_VALUE"""),538.5)</f>
        <v>538.5</v>
      </c>
      <c r="C3868" s="2">
        <f>IFERROR(__xludf.DUMMYFUNCTION("""COMPUTED_VALUE"""),541.35)</f>
        <v>541.35</v>
      </c>
      <c r="D3868" s="2">
        <f>IFERROR(__xludf.DUMMYFUNCTION("""COMPUTED_VALUE"""),533.3)</f>
        <v>533.3</v>
      </c>
      <c r="E3868" s="2">
        <f>IFERROR(__xludf.DUMMYFUNCTION("""COMPUTED_VALUE"""),538.78)</f>
        <v>538.78</v>
      </c>
      <c r="F3868" s="2">
        <f>IFERROR(__xludf.DUMMYFUNCTION("""COMPUTED_VALUE"""),866263.0)</f>
        <v>866263</v>
      </c>
    </row>
    <row r="3869">
      <c r="A3869" s="3">
        <f>IFERROR(__xludf.DUMMYFUNCTION("""COMPUTED_VALUE"""),42230.64583333333)</f>
        <v>42230.64583</v>
      </c>
      <c r="B3869" s="2">
        <f>IFERROR(__xludf.DUMMYFUNCTION("""COMPUTED_VALUE"""),541.55)</f>
        <v>541.55</v>
      </c>
      <c r="C3869" s="2">
        <f>IFERROR(__xludf.DUMMYFUNCTION("""COMPUTED_VALUE"""),551.83)</f>
        <v>551.83</v>
      </c>
      <c r="D3869" s="2">
        <f>IFERROR(__xludf.DUMMYFUNCTION("""COMPUTED_VALUE"""),539.95)</f>
        <v>539.95</v>
      </c>
      <c r="E3869" s="2">
        <f>IFERROR(__xludf.DUMMYFUNCTION("""COMPUTED_VALUE"""),550.9)</f>
        <v>550.9</v>
      </c>
      <c r="F3869" s="2">
        <f>IFERROR(__xludf.DUMMYFUNCTION("""COMPUTED_VALUE"""),900415.0)</f>
        <v>900415</v>
      </c>
    </row>
    <row r="3870">
      <c r="A3870" s="3">
        <f>IFERROR(__xludf.DUMMYFUNCTION("""COMPUTED_VALUE"""),42233.64583333333)</f>
        <v>42233.64583</v>
      </c>
      <c r="B3870" s="2">
        <f>IFERROR(__xludf.DUMMYFUNCTION("""COMPUTED_VALUE"""),549.53)</f>
        <v>549.53</v>
      </c>
      <c r="C3870" s="2">
        <f>IFERROR(__xludf.DUMMYFUNCTION("""COMPUTED_VALUE"""),550.9)</f>
        <v>550.9</v>
      </c>
      <c r="D3870" s="2">
        <f>IFERROR(__xludf.DUMMYFUNCTION("""COMPUTED_VALUE"""),537.9)</f>
        <v>537.9</v>
      </c>
      <c r="E3870" s="2">
        <f>IFERROR(__xludf.DUMMYFUNCTION("""COMPUTED_VALUE"""),545.75)</f>
        <v>545.75</v>
      </c>
      <c r="F3870" s="2">
        <f>IFERROR(__xludf.DUMMYFUNCTION("""COMPUTED_VALUE"""),625053.0)</f>
        <v>625053</v>
      </c>
    </row>
    <row r="3871">
      <c r="A3871" s="3">
        <f>IFERROR(__xludf.DUMMYFUNCTION("""COMPUTED_VALUE"""),42234.64583333333)</f>
        <v>42234.64583</v>
      </c>
      <c r="B3871" s="2">
        <f>IFERROR(__xludf.DUMMYFUNCTION("""COMPUTED_VALUE"""),545.8)</f>
        <v>545.8</v>
      </c>
      <c r="C3871" s="2">
        <f>IFERROR(__xludf.DUMMYFUNCTION("""COMPUTED_VALUE"""),548.05)</f>
        <v>548.05</v>
      </c>
      <c r="D3871" s="2">
        <f>IFERROR(__xludf.DUMMYFUNCTION("""COMPUTED_VALUE"""),539.23)</f>
        <v>539.23</v>
      </c>
      <c r="E3871" s="2">
        <f>IFERROR(__xludf.DUMMYFUNCTION("""COMPUTED_VALUE"""),543.17)</f>
        <v>543.17</v>
      </c>
      <c r="F3871" s="2">
        <f>IFERROR(__xludf.DUMMYFUNCTION("""COMPUTED_VALUE"""),464329.0)</f>
        <v>464329</v>
      </c>
    </row>
    <row r="3872">
      <c r="A3872" s="3">
        <f>IFERROR(__xludf.DUMMYFUNCTION("""COMPUTED_VALUE"""),42235.64583333333)</f>
        <v>42235.64583</v>
      </c>
      <c r="B3872" s="2">
        <f>IFERROR(__xludf.DUMMYFUNCTION("""COMPUTED_VALUE"""),542.42)</f>
        <v>542.42</v>
      </c>
      <c r="C3872" s="2">
        <f>IFERROR(__xludf.DUMMYFUNCTION("""COMPUTED_VALUE"""),543.5)</f>
        <v>543.5</v>
      </c>
      <c r="D3872" s="2">
        <f>IFERROR(__xludf.DUMMYFUNCTION("""COMPUTED_VALUE"""),537.5)</f>
        <v>537.5</v>
      </c>
      <c r="E3872" s="2">
        <f>IFERROR(__xludf.DUMMYFUNCTION("""COMPUTED_VALUE"""),540.92)</f>
        <v>540.92</v>
      </c>
      <c r="F3872" s="2">
        <f>IFERROR(__xludf.DUMMYFUNCTION("""COMPUTED_VALUE"""),751144.0)</f>
        <v>751144</v>
      </c>
    </row>
    <row r="3873">
      <c r="A3873" s="3">
        <f>IFERROR(__xludf.DUMMYFUNCTION("""COMPUTED_VALUE"""),42236.64583333333)</f>
        <v>42236.64583</v>
      </c>
      <c r="B3873" s="2">
        <f>IFERROR(__xludf.DUMMYFUNCTION("""COMPUTED_VALUE"""),534.0)</f>
        <v>534</v>
      </c>
      <c r="C3873" s="2">
        <f>IFERROR(__xludf.DUMMYFUNCTION("""COMPUTED_VALUE"""),542.38)</f>
        <v>542.38</v>
      </c>
      <c r="D3873" s="2">
        <f>IFERROR(__xludf.DUMMYFUNCTION("""COMPUTED_VALUE"""),534.0)</f>
        <v>534</v>
      </c>
      <c r="E3873" s="2">
        <f>IFERROR(__xludf.DUMMYFUNCTION("""COMPUTED_VALUE"""),537.35)</f>
        <v>537.35</v>
      </c>
      <c r="F3873" s="2">
        <f>IFERROR(__xludf.DUMMYFUNCTION("""COMPUTED_VALUE"""),761213.0)</f>
        <v>761213</v>
      </c>
    </row>
    <row r="3874">
      <c r="A3874" s="3">
        <f>IFERROR(__xludf.DUMMYFUNCTION("""COMPUTED_VALUE"""),42237.64583333333)</f>
        <v>42237.64583</v>
      </c>
      <c r="B3874" s="2">
        <f>IFERROR(__xludf.DUMMYFUNCTION("""COMPUTED_VALUE"""),532.0)</f>
        <v>532</v>
      </c>
      <c r="C3874" s="2">
        <f>IFERROR(__xludf.DUMMYFUNCTION("""COMPUTED_VALUE"""),536.48)</f>
        <v>536.48</v>
      </c>
      <c r="D3874" s="2">
        <f>IFERROR(__xludf.DUMMYFUNCTION("""COMPUTED_VALUE"""),525.5)</f>
        <v>525.5</v>
      </c>
      <c r="E3874" s="2">
        <f>IFERROR(__xludf.DUMMYFUNCTION("""COMPUTED_VALUE"""),530.65)</f>
        <v>530.65</v>
      </c>
      <c r="F3874" s="2">
        <f>IFERROR(__xludf.DUMMYFUNCTION("""COMPUTED_VALUE"""),1939743.0)</f>
        <v>1939743</v>
      </c>
    </row>
    <row r="3875">
      <c r="A3875" s="3">
        <f>IFERROR(__xludf.DUMMYFUNCTION("""COMPUTED_VALUE"""),42240.64583333333)</f>
        <v>42240.64583</v>
      </c>
      <c r="B3875" s="2">
        <f>IFERROR(__xludf.DUMMYFUNCTION("""COMPUTED_VALUE"""),522.35)</f>
        <v>522.35</v>
      </c>
      <c r="C3875" s="2">
        <f>IFERROR(__xludf.DUMMYFUNCTION("""COMPUTED_VALUE"""),522.35)</f>
        <v>522.35</v>
      </c>
      <c r="D3875" s="2">
        <f>IFERROR(__xludf.DUMMYFUNCTION("""COMPUTED_VALUE"""),505.63)</f>
        <v>505.63</v>
      </c>
      <c r="E3875" s="2">
        <f>IFERROR(__xludf.DUMMYFUNCTION("""COMPUTED_VALUE"""),509.53)</f>
        <v>509.53</v>
      </c>
      <c r="F3875" s="2">
        <f>IFERROR(__xludf.DUMMYFUNCTION("""COMPUTED_VALUE"""),3671582.0)</f>
        <v>3671582</v>
      </c>
    </row>
    <row r="3876">
      <c r="A3876" s="3">
        <f>IFERROR(__xludf.DUMMYFUNCTION("""COMPUTED_VALUE"""),42241.64583333333)</f>
        <v>42241.64583</v>
      </c>
      <c r="B3876" s="2">
        <f>IFERROR(__xludf.DUMMYFUNCTION("""COMPUTED_VALUE"""),512.35)</f>
        <v>512.35</v>
      </c>
      <c r="C3876" s="2">
        <f>IFERROR(__xludf.DUMMYFUNCTION("""COMPUTED_VALUE"""),516.15)</f>
        <v>516.15</v>
      </c>
      <c r="D3876" s="2">
        <f>IFERROR(__xludf.DUMMYFUNCTION("""COMPUTED_VALUE"""),502.85)</f>
        <v>502.85</v>
      </c>
      <c r="E3876" s="2">
        <f>IFERROR(__xludf.DUMMYFUNCTION("""COMPUTED_VALUE"""),509.23)</f>
        <v>509.23</v>
      </c>
      <c r="F3876" s="2">
        <f>IFERROR(__xludf.DUMMYFUNCTION("""COMPUTED_VALUE"""),3086980.0)</f>
        <v>3086980</v>
      </c>
    </row>
    <row r="3877">
      <c r="A3877" s="3">
        <f>IFERROR(__xludf.DUMMYFUNCTION("""COMPUTED_VALUE"""),42242.64583333333)</f>
        <v>42242.64583</v>
      </c>
      <c r="B3877" s="2">
        <f>IFERROR(__xludf.DUMMYFUNCTION("""COMPUTED_VALUE"""),508.7)</f>
        <v>508.7</v>
      </c>
      <c r="C3877" s="2">
        <f>IFERROR(__xludf.DUMMYFUNCTION("""COMPUTED_VALUE"""),514.5)</f>
        <v>514.5</v>
      </c>
      <c r="D3877" s="2">
        <f>IFERROR(__xludf.DUMMYFUNCTION("""COMPUTED_VALUE"""),504.5)</f>
        <v>504.5</v>
      </c>
      <c r="E3877" s="2">
        <f>IFERROR(__xludf.DUMMYFUNCTION("""COMPUTED_VALUE"""),506.75)</f>
        <v>506.75</v>
      </c>
      <c r="F3877" s="2">
        <f>IFERROR(__xludf.DUMMYFUNCTION("""COMPUTED_VALUE"""),1393250.0)</f>
        <v>1393250</v>
      </c>
    </row>
    <row r="3878">
      <c r="A3878" s="3">
        <f>IFERROR(__xludf.DUMMYFUNCTION("""COMPUTED_VALUE"""),42243.64583333333)</f>
        <v>42243.64583</v>
      </c>
      <c r="B3878" s="2">
        <f>IFERROR(__xludf.DUMMYFUNCTION("""COMPUTED_VALUE"""),512.5)</f>
        <v>512.5</v>
      </c>
      <c r="C3878" s="2">
        <f>IFERROR(__xludf.DUMMYFUNCTION("""COMPUTED_VALUE"""),517.23)</f>
        <v>517.23</v>
      </c>
      <c r="D3878" s="2">
        <f>IFERROR(__xludf.DUMMYFUNCTION("""COMPUTED_VALUE"""),504.55)</f>
        <v>504.55</v>
      </c>
      <c r="E3878" s="2">
        <f>IFERROR(__xludf.DUMMYFUNCTION("""COMPUTED_VALUE"""),511.05)</f>
        <v>511.05</v>
      </c>
      <c r="F3878" s="2">
        <f>IFERROR(__xludf.DUMMYFUNCTION("""COMPUTED_VALUE"""),3468358.0)</f>
        <v>3468358</v>
      </c>
    </row>
    <row r="3879">
      <c r="A3879" s="3">
        <f>IFERROR(__xludf.DUMMYFUNCTION("""COMPUTED_VALUE"""),42244.64583333333)</f>
        <v>42244.64583</v>
      </c>
      <c r="B3879" s="2">
        <f>IFERROR(__xludf.DUMMYFUNCTION("""COMPUTED_VALUE"""),515.53)</f>
        <v>515.53</v>
      </c>
      <c r="C3879" s="2">
        <f>IFERROR(__xludf.DUMMYFUNCTION("""COMPUTED_VALUE"""),521.38)</f>
        <v>521.38</v>
      </c>
      <c r="D3879" s="2">
        <f>IFERROR(__xludf.DUMMYFUNCTION("""COMPUTED_VALUE"""),509.7)</f>
        <v>509.7</v>
      </c>
      <c r="E3879" s="2">
        <f>IFERROR(__xludf.DUMMYFUNCTION("""COMPUTED_VALUE"""),513.98)</f>
        <v>513.98</v>
      </c>
      <c r="F3879" s="2">
        <f>IFERROR(__xludf.DUMMYFUNCTION("""COMPUTED_VALUE"""),1388284.0)</f>
        <v>1388284</v>
      </c>
    </row>
    <row r="3880">
      <c r="A3880" s="3">
        <f>IFERROR(__xludf.DUMMYFUNCTION("""COMPUTED_VALUE"""),42247.64583333333)</f>
        <v>42247.64583</v>
      </c>
      <c r="B3880" s="2">
        <f>IFERROR(__xludf.DUMMYFUNCTION("""COMPUTED_VALUE"""),510.55)</f>
        <v>510.55</v>
      </c>
      <c r="C3880" s="2">
        <f>IFERROR(__xludf.DUMMYFUNCTION("""COMPUTED_VALUE"""),516.45)</f>
        <v>516.45</v>
      </c>
      <c r="D3880" s="2">
        <f>IFERROR(__xludf.DUMMYFUNCTION("""COMPUTED_VALUE"""),507.78)</f>
        <v>507.78</v>
      </c>
      <c r="E3880" s="2">
        <f>IFERROR(__xludf.DUMMYFUNCTION("""COMPUTED_VALUE"""),513.73)</f>
        <v>513.73</v>
      </c>
      <c r="F3880" s="2">
        <f>IFERROR(__xludf.DUMMYFUNCTION("""COMPUTED_VALUE"""),860365.0)</f>
        <v>860365</v>
      </c>
    </row>
    <row r="3881">
      <c r="A3881" s="3">
        <f>IFERROR(__xludf.DUMMYFUNCTION("""COMPUTED_VALUE"""),42248.64583333333)</f>
        <v>42248.64583</v>
      </c>
      <c r="B3881" s="2">
        <f>IFERROR(__xludf.DUMMYFUNCTION("""COMPUTED_VALUE"""),510.65)</f>
        <v>510.65</v>
      </c>
      <c r="C3881" s="2">
        <f>IFERROR(__xludf.DUMMYFUNCTION("""COMPUTED_VALUE"""),510.65)</f>
        <v>510.65</v>
      </c>
      <c r="D3881" s="2">
        <f>IFERROR(__xludf.DUMMYFUNCTION("""COMPUTED_VALUE"""),496.5)</f>
        <v>496.5</v>
      </c>
      <c r="E3881" s="2">
        <f>IFERROR(__xludf.DUMMYFUNCTION("""COMPUTED_VALUE"""),500.05)</f>
        <v>500.05</v>
      </c>
      <c r="F3881" s="2">
        <f>IFERROR(__xludf.DUMMYFUNCTION("""COMPUTED_VALUE"""),2617286.0)</f>
        <v>2617286</v>
      </c>
    </row>
    <row r="3882">
      <c r="A3882" s="3">
        <f>IFERROR(__xludf.DUMMYFUNCTION("""COMPUTED_VALUE"""),42249.64583333333)</f>
        <v>42249.64583</v>
      </c>
      <c r="B3882" s="2">
        <f>IFERROR(__xludf.DUMMYFUNCTION("""COMPUTED_VALUE"""),502.55)</f>
        <v>502.55</v>
      </c>
      <c r="C3882" s="2">
        <f>IFERROR(__xludf.DUMMYFUNCTION("""COMPUTED_VALUE"""),506.98)</f>
        <v>506.98</v>
      </c>
      <c r="D3882" s="2">
        <f>IFERROR(__xludf.DUMMYFUNCTION("""COMPUTED_VALUE"""),492.5)</f>
        <v>492.5</v>
      </c>
      <c r="E3882" s="2">
        <f>IFERROR(__xludf.DUMMYFUNCTION("""COMPUTED_VALUE"""),497.58)</f>
        <v>497.58</v>
      </c>
      <c r="F3882" s="2">
        <f>IFERROR(__xludf.DUMMYFUNCTION("""COMPUTED_VALUE"""),2170422.0)</f>
        <v>2170422</v>
      </c>
    </row>
    <row r="3883">
      <c r="A3883" s="3">
        <f>IFERROR(__xludf.DUMMYFUNCTION("""COMPUTED_VALUE"""),42250.64583333333)</f>
        <v>42250.64583</v>
      </c>
      <c r="B3883" s="2">
        <f>IFERROR(__xludf.DUMMYFUNCTION("""COMPUTED_VALUE"""),501.15)</f>
        <v>501.15</v>
      </c>
      <c r="C3883" s="2">
        <f>IFERROR(__xludf.DUMMYFUNCTION("""COMPUTED_VALUE"""),507.5)</f>
        <v>507.5</v>
      </c>
      <c r="D3883" s="2">
        <f>IFERROR(__xludf.DUMMYFUNCTION("""COMPUTED_VALUE"""),499.5)</f>
        <v>499.5</v>
      </c>
      <c r="E3883" s="2">
        <f>IFERROR(__xludf.DUMMYFUNCTION("""COMPUTED_VALUE"""),505.15)</f>
        <v>505.15</v>
      </c>
      <c r="F3883" s="2">
        <f>IFERROR(__xludf.DUMMYFUNCTION("""COMPUTED_VALUE"""),1626842.0)</f>
        <v>1626842</v>
      </c>
    </row>
    <row r="3884">
      <c r="A3884" s="3">
        <f>IFERROR(__xludf.DUMMYFUNCTION("""COMPUTED_VALUE"""),42251.64583333333)</f>
        <v>42251.64583</v>
      </c>
      <c r="B3884" s="2">
        <f>IFERROR(__xludf.DUMMYFUNCTION("""COMPUTED_VALUE"""),501.1)</f>
        <v>501.1</v>
      </c>
      <c r="C3884" s="2">
        <f>IFERROR(__xludf.DUMMYFUNCTION("""COMPUTED_VALUE"""),503.0)</f>
        <v>503</v>
      </c>
      <c r="D3884" s="2">
        <f>IFERROR(__xludf.DUMMYFUNCTION("""COMPUTED_VALUE"""),490.0)</f>
        <v>490</v>
      </c>
      <c r="E3884" s="2">
        <f>IFERROR(__xludf.DUMMYFUNCTION("""COMPUTED_VALUE"""),498.03)</f>
        <v>498.03</v>
      </c>
      <c r="F3884" s="2">
        <f>IFERROR(__xludf.DUMMYFUNCTION("""COMPUTED_VALUE"""),2851148.0)</f>
        <v>2851148</v>
      </c>
    </row>
    <row r="3885">
      <c r="A3885" s="3">
        <f>IFERROR(__xludf.DUMMYFUNCTION("""COMPUTED_VALUE"""),42254.64583333333)</f>
        <v>42254.64583</v>
      </c>
      <c r="B3885" s="2">
        <f>IFERROR(__xludf.DUMMYFUNCTION("""COMPUTED_VALUE"""),500.5)</f>
        <v>500.5</v>
      </c>
      <c r="C3885" s="2">
        <f>IFERROR(__xludf.DUMMYFUNCTION("""COMPUTED_VALUE"""),504.9)</f>
        <v>504.9</v>
      </c>
      <c r="D3885" s="2">
        <f>IFERROR(__xludf.DUMMYFUNCTION("""COMPUTED_VALUE"""),490.0)</f>
        <v>490</v>
      </c>
      <c r="E3885" s="2">
        <f>IFERROR(__xludf.DUMMYFUNCTION("""COMPUTED_VALUE"""),492.23)</f>
        <v>492.23</v>
      </c>
      <c r="F3885" s="2">
        <f>IFERROR(__xludf.DUMMYFUNCTION("""COMPUTED_VALUE"""),1345435.0)</f>
        <v>1345435</v>
      </c>
    </row>
    <row r="3886">
      <c r="A3886" s="3">
        <f>IFERROR(__xludf.DUMMYFUNCTION("""COMPUTED_VALUE"""),42255.64583333333)</f>
        <v>42255.64583</v>
      </c>
      <c r="B3886" s="2">
        <f>IFERROR(__xludf.DUMMYFUNCTION("""COMPUTED_VALUE"""),493.35)</f>
        <v>493.35</v>
      </c>
      <c r="C3886" s="2">
        <f>IFERROR(__xludf.DUMMYFUNCTION("""COMPUTED_VALUE"""),505.0)</f>
        <v>505</v>
      </c>
      <c r="D3886" s="2">
        <f>IFERROR(__xludf.DUMMYFUNCTION("""COMPUTED_VALUE"""),488.5)</f>
        <v>488.5</v>
      </c>
      <c r="E3886" s="2">
        <f>IFERROR(__xludf.DUMMYFUNCTION("""COMPUTED_VALUE"""),502.03)</f>
        <v>502.03</v>
      </c>
      <c r="F3886" s="2">
        <f>IFERROR(__xludf.DUMMYFUNCTION("""COMPUTED_VALUE"""),1861122.0)</f>
        <v>1861122</v>
      </c>
    </row>
    <row r="3887">
      <c r="A3887" s="3">
        <f>IFERROR(__xludf.DUMMYFUNCTION("""COMPUTED_VALUE"""),42256.64583333333)</f>
        <v>42256.64583</v>
      </c>
      <c r="B3887" s="2">
        <f>IFERROR(__xludf.DUMMYFUNCTION("""COMPUTED_VALUE"""),507.25)</f>
        <v>507.25</v>
      </c>
      <c r="C3887" s="2">
        <f>IFERROR(__xludf.DUMMYFUNCTION("""COMPUTED_VALUE"""),512.5)</f>
        <v>512.5</v>
      </c>
      <c r="D3887" s="2">
        <f>IFERROR(__xludf.DUMMYFUNCTION("""COMPUTED_VALUE"""),502.5)</f>
        <v>502.5</v>
      </c>
      <c r="E3887" s="2">
        <f>IFERROR(__xludf.DUMMYFUNCTION("""COMPUTED_VALUE"""),508.15)</f>
        <v>508.15</v>
      </c>
      <c r="F3887" s="2">
        <f>IFERROR(__xludf.DUMMYFUNCTION("""COMPUTED_VALUE"""),1638280.0)</f>
        <v>1638280</v>
      </c>
    </row>
    <row r="3888">
      <c r="A3888" s="3">
        <f>IFERROR(__xludf.DUMMYFUNCTION("""COMPUTED_VALUE"""),42257.64583333333)</f>
        <v>42257.64583</v>
      </c>
      <c r="B3888" s="2">
        <f>IFERROR(__xludf.DUMMYFUNCTION("""COMPUTED_VALUE"""),501.5)</f>
        <v>501.5</v>
      </c>
      <c r="C3888" s="2">
        <f>IFERROR(__xludf.DUMMYFUNCTION("""COMPUTED_VALUE"""),508.48)</f>
        <v>508.48</v>
      </c>
      <c r="D3888" s="2">
        <f>IFERROR(__xludf.DUMMYFUNCTION("""COMPUTED_VALUE"""),498.15)</f>
        <v>498.15</v>
      </c>
      <c r="E3888" s="2">
        <f>IFERROR(__xludf.DUMMYFUNCTION("""COMPUTED_VALUE"""),505.5)</f>
        <v>505.5</v>
      </c>
      <c r="F3888" s="2">
        <f>IFERROR(__xludf.DUMMYFUNCTION("""COMPUTED_VALUE"""),1115935.0)</f>
        <v>1115935</v>
      </c>
    </row>
    <row r="3889">
      <c r="A3889" s="3">
        <f>IFERROR(__xludf.DUMMYFUNCTION("""COMPUTED_VALUE"""),42258.64583333333)</f>
        <v>42258.64583</v>
      </c>
      <c r="B3889" s="2">
        <f>IFERROR(__xludf.DUMMYFUNCTION("""COMPUTED_VALUE"""),507.25)</f>
        <v>507.25</v>
      </c>
      <c r="C3889" s="2">
        <f>IFERROR(__xludf.DUMMYFUNCTION("""COMPUTED_VALUE"""),510.0)</f>
        <v>510</v>
      </c>
      <c r="D3889" s="2">
        <f>IFERROR(__xludf.DUMMYFUNCTION("""COMPUTED_VALUE"""),503.4)</f>
        <v>503.4</v>
      </c>
      <c r="E3889" s="2">
        <f>IFERROR(__xludf.DUMMYFUNCTION("""COMPUTED_VALUE"""),505.25)</f>
        <v>505.25</v>
      </c>
      <c r="F3889" s="2">
        <f>IFERROR(__xludf.DUMMYFUNCTION("""COMPUTED_VALUE"""),1075440.0)</f>
        <v>1075440</v>
      </c>
    </row>
    <row r="3890">
      <c r="A3890" s="3">
        <f>IFERROR(__xludf.DUMMYFUNCTION("""COMPUTED_VALUE"""),42261.64583333333)</f>
        <v>42261.64583</v>
      </c>
      <c r="B3890" s="2">
        <f>IFERROR(__xludf.DUMMYFUNCTION("""COMPUTED_VALUE"""),504.43)</f>
        <v>504.43</v>
      </c>
      <c r="C3890" s="2">
        <f>IFERROR(__xludf.DUMMYFUNCTION("""COMPUTED_VALUE"""),511.15)</f>
        <v>511.15</v>
      </c>
      <c r="D3890" s="2">
        <f>IFERROR(__xludf.DUMMYFUNCTION("""COMPUTED_VALUE"""),501.75)</f>
        <v>501.75</v>
      </c>
      <c r="E3890" s="2">
        <f>IFERROR(__xludf.DUMMYFUNCTION("""COMPUTED_VALUE"""),509.85)</f>
        <v>509.85</v>
      </c>
      <c r="F3890" s="2">
        <f>IFERROR(__xludf.DUMMYFUNCTION("""COMPUTED_VALUE"""),1265086.0)</f>
        <v>1265086</v>
      </c>
    </row>
    <row r="3891">
      <c r="A3891" s="3">
        <f>IFERROR(__xludf.DUMMYFUNCTION("""COMPUTED_VALUE"""),42262.64583333333)</f>
        <v>42262.64583</v>
      </c>
      <c r="B3891" s="2">
        <f>IFERROR(__xludf.DUMMYFUNCTION("""COMPUTED_VALUE"""),508.98)</f>
        <v>508.98</v>
      </c>
      <c r="C3891" s="2">
        <f>IFERROR(__xludf.DUMMYFUNCTION("""COMPUTED_VALUE"""),0.0)</f>
        <v>0</v>
      </c>
      <c r="D3891" s="2">
        <f>IFERROR(__xludf.DUMMYFUNCTION("""COMPUTED_VALUE"""),0.0)</f>
        <v>0</v>
      </c>
      <c r="E3891" s="2">
        <f>IFERROR(__xludf.DUMMYFUNCTION("""COMPUTED_VALUE"""),509.5)</f>
        <v>509.5</v>
      </c>
      <c r="F3891" s="2">
        <f>IFERROR(__xludf.DUMMYFUNCTION("""COMPUTED_VALUE"""),0.0)</f>
        <v>0</v>
      </c>
    </row>
    <row r="3892">
      <c r="A3892" s="3">
        <f>IFERROR(__xludf.DUMMYFUNCTION("""COMPUTED_VALUE"""),42263.64583333333)</f>
        <v>42263.64583</v>
      </c>
      <c r="B3892" s="2">
        <f>IFERROR(__xludf.DUMMYFUNCTION("""COMPUTED_VALUE"""),509.45)</f>
        <v>509.45</v>
      </c>
      <c r="C3892" s="2">
        <f>IFERROR(__xludf.DUMMYFUNCTION("""COMPUTED_VALUE"""),514.05)</f>
        <v>514.05</v>
      </c>
      <c r="D3892" s="2">
        <f>IFERROR(__xludf.DUMMYFUNCTION("""COMPUTED_VALUE"""),505.78)</f>
        <v>505.78</v>
      </c>
      <c r="E3892" s="2">
        <f>IFERROR(__xludf.DUMMYFUNCTION("""COMPUTED_VALUE"""),511.68)</f>
        <v>511.68</v>
      </c>
      <c r="F3892" s="2">
        <f>IFERROR(__xludf.DUMMYFUNCTION("""COMPUTED_VALUE"""),1063513.0)</f>
        <v>1063513</v>
      </c>
    </row>
    <row r="3893">
      <c r="A3893" s="3">
        <f>IFERROR(__xludf.DUMMYFUNCTION("""COMPUTED_VALUE"""),42265.64583333333)</f>
        <v>42265.64583</v>
      </c>
      <c r="B3893" s="2">
        <f>IFERROR(__xludf.DUMMYFUNCTION("""COMPUTED_VALUE"""),517.5)</f>
        <v>517.5</v>
      </c>
      <c r="C3893" s="2">
        <f>IFERROR(__xludf.DUMMYFUNCTION("""COMPUTED_VALUE"""),531.0)</f>
        <v>531</v>
      </c>
      <c r="D3893" s="2">
        <f>IFERROR(__xludf.DUMMYFUNCTION("""COMPUTED_VALUE"""),515.58)</f>
        <v>515.58</v>
      </c>
      <c r="E3893" s="2">
        <f>IFERROR(__xludf.DUMMYFUNCTION("""COMPUTED_VALUE"""),524.88)</f>
        <v>524.88</v>
      </c>
      <c r="F3893" s="2">
        <f>IFERROR(__xludf.DUMMYFUNCTION("""COMPUTED_VALUE"""),1960292.0)</f>
        <v>1960292</v>
      </c>
    </row>
    <row r="3894">
      <c r="A3894" s="3">
        <f>IFERROR(__xludf.DUMMYFUNCTION("""COMPUTED_VALUE"""),42268.64583333333)</f>
        <v>42268.64583</v>
      </c>
      <c r="B3894" s="2">
        <f>IFERROR(__xludf.DUMMYFUNCTION("""COMPUTED_VALUE"""),518.98)</f>
        <v>518.98</v>
      </c>
      <c r="C3894" s="2">
        <f>IFERROR(__xludf.DUMMYFUNCTION("""COMPUTED_VALUE"""),527.5)</f>
        <v>527.5</v>
      </c>
      <c r="D3894" s="2">
        <f>IFERROR(__xludf.DUMMYFUNCTION("""COMPUTED_VALUE"""),518.17)</f>
        <v>518.17</v>
      </c>
      <c r="E3894" s="2">
        <f>IFERROR(__xludf.DUMMYFUNCTION("""COMPUTED_VALUE"""),526.48)</f>
        <v>526.48</v>
      </c>
      <c r="F3894" s="2">
        <f>IFERROR(__xludf.DUMMYFUNCTION("""COMPUTED_VALUE"""),1069172.0)</f>
        <v>1069172</v>
      </c>
    </row>
    <row r="3895">
      <c r="A3895" s="3">
        <f>IFERROR(__xludf.DUMMYFUNCTION("""COMPUTED_VALUE"""),42269.64583333333)</f>
        <v>42269.64583</v>
      </c>
      <c r="B3895" s="2">
        <f>IFERROR(__xludf.DUMMYFUNCTION("""COMPUTED_VALUE"""),525.03)</f>
        <v>525.03</v>
      </c>
      <c r="C3895" s="2">
        <f>IFERROR(__xludf.DUMMYFUNCTION("""COMPUTED_VALUE"""),530.0)</f>
        <v>530</v>
      </c>
      <c r="D3895" s="2">
        <f>IFERROR(__xludf.DUMMYFUNCTION("""COMPUTED_VALUE"""),512.65)</f>
        <v>512.65</v>
      </c>
      <c r="E3895" s="2">
        <f>IFERROR(__xludf.DUMMYFUNCTION("""COMPUTED_VALUE"""),515.33)</f>
        <v>515.33</v>
      </c>
      <c r="F3895" s="2">
        <f>IFERROR(__xludf.DUMMYFUNCTION("""COMPUTED_VALUE"""),1506303.0)</f>
        <v>1506303</v>
      </c>
    </row>
    <row r="3896">
      <c r="A3896" s="3">
        <f>IFERROR(__xludf.DUMMYFUNCTION("""COMPUTED_VALUE"""),42270.64583333333)</f>
        <v>42270.64583</v>
      </c>
      <c r="B3896" s="2">
        <f>IFERROR(__xludf.DUMMYFUNCTION("""COMPUTED_VALUE"""),509.6)</f>
        <v>509.6</v>
      </c>
      <c r="C3896" s="2">
        <f>IFERROR(__xludf.DUMMYFUNCTION("""COMPUTED_VALUE"""),526.73)</f>
        <v>526.73</v>
      </c>
      <c r="D3896" s="2">
        <f>IFERROR(__xludf.DUMMYFUNCTION("""COMPUTED_VALUE"""),509.33)</f>
        <v>509.33</v>
      </c>
      <c r="E3896" s="2">
        <f>IFERROR(__xludf.DUMMYFUNCTION("""COMPUTED_VALUE"""),524.6)</f>
        <v>524.6</v>
      </c>
      <c r="F3896" s="2">
        <f>IFERROR(__xludf.DUMMYFUNCTION("""COMPUTED_VALUE"""),1290288.0)</f>
        <v>1290288</v>
      </c>
    </row>
    <row r="3897">
      <c r="A3897" s="3">
        <f>IFERROR(__xludf.DUMMYFUNCTION("""COMPUTED_VALUE"""),42271.64583333333)</f>
        <v>42271.64583</v>
      </c>
      <c r="B3897" s="2">
        <f>IFERROR(__xludf.DUMMYFUNCTION("""COMPUTED_VALUE"""),523.5)</f>
        <v>523.5</v>
      </c>
      <c r="C3897" s="2">
        <f>IFERROR(__xludf.DUMMYFUNCTION("""COMPUTED_VALUE"""),527.0)</f>
        <v>527</v>
      </c>
      <c r="D3897" s="2">
        <f>IFERROR(__xludf.DUMMYFUNCTION("""COMPUTED_VALUE"""),518.0)</f>
        <v>518</v>
      </c>
      <c r="E3897" s="2">
        <f>IFERROR(__xludf.DUMMYFUNCTION("""COMPUTED_VALUE"""),525.7)</f>
        <v>525.7</v>
      </c>
      <c r="F3897" s="2">
        <f>IFERROR(__xludf.DUMMYFUNCTION("""COMPUTED_VALUE"""),2063209.0)</f>
        <v>2063209</v>
      </c>
    </row>
    <row r="3898">
      <c r="A3898" s="3">
        <f>IFERROR(__xludf.DUMMYFUNCTION("""COMPUTED_VALUE"""),42275.64583333333)</f>
        <v>42275.64583</v>
      </c>
      <c r="B3898" s="2">
        <f>IFERROR(__xludf.DUMMYFUNCTION("""COMPUTED_VALUE"""),527.5)</f>
        <v>527.5</v>
      </c>
      <c r="C3898" s="2">
        <f>IFERROR(__xludf.DUMMYFUNCTION("""COMPUTED_VALUE"""),530.0)</f>
        <v>530</v>
      </c>
      <c r="D3898" s="2">
        <f>IFERROR(__xludf.DUMMYFUNCTION("""COMPUTED_VALUE"""),521.55)</f>
        <v>521.55</v>
      </c>
      <c r="E3898" s="2">
        <f>IFERROR(__xludf.DUMMYFUNCTION("""COMPUTED_VALUE"""),523.2)</f>
        <v>523.2</v>
      </c>
      <c r="F3898" s="2">
        <f>IFERROR(__xludf.DUMMYFUNCTION("""COMPUTED_VALUE"""),1444277.0)</f>
        <v>1444277</v>
      </c>
    </row>
    <row r="3899">
      <c r="A3899" s="3">
        <f>IFERROR(__xludf.DUMMYFUNCTION("""COMPUTED_VALUE"""),42276.64583333333)</f>
        <v>42276.64583</v>
      </c>
      <c r="B3899" s="2">
        <f>IFERROR(__xludf.DUMMYFUNCTION("""COMPUTED_VALUE"""),516.0)</f>
        <v>516</v>
      </c>
      <c r="C3899" s="2">
        <f>IFERROR(__xludf.DUMMYFUNCTION("""COMPUTED_VALUE"""),536.95)</f>
        <v>536.95</v>
      </c>
      <c r="D3899" s="2">
        <f>IFERROR(__xludf.DUMMYFUNCTION("""COMPUTED_VALUE"""),512.55)</f>
        <v>512.55</v>
      </c>
      <c r="E3899" s="2">
        <f>IFERROR(__xludf.DUMMYFUNCTION("""COMPUTED_VALUE"""),532.4)</f>
        <v>532.4</v>
      </c>
      <c r="F3899" s="2">
        <f>IFERROR(__xludf.DUMMYFUNCTION("""COMPUTED_VALUE"""),2604710.0)</f>
        <v>2604710</v>
      </c>
    </row>
    <row r="3900">
      <c r="A3900" s="3">
        <f>IFERROR(__xludf.DUMMYFUNCTION("""COMPUTED_VALUE"""),42277.64583333333)</f>
        <v>42277.64583</v>
      </c>
      <c r="B3900" s="2">
        <f>IFERROR(__xludf.DUMMYFUNCTION("""COMPUTED_VALUE"""),534.0)</f>
        <v>534</v>
      </c>
      <c r="C3900" s="2">
        <f>IFERROR(__xludf.DUMMYFUNCTION("""COMPUTED_VALUE"""),536.5)</f>
        <v>536.5</v>
      </c>
      <c r="D3900" s="2">
        <f>IFERROR(__xludf.DUMMYFUNCTION("""COMPUTED_VALUE"""),530.67)</f>
        <v>530.67</v>
      </c>
      <c r="E3900" s="2">
        <f>IFERROR(__xludf.DUMMYFUNCTION("""COMPUTED_VALUE"""),534.4)</f>
        <v>534.4</v>
      </c>
      <c r="F3900" s="2">
        <f>IFERROR(__xludf.DUMMYFUNCTION("""COMPUTED_VALUE"""),2256949.0)</f>
        <v>2256949</v>
      </c>
    </row>
    <row r="3901">
      <c r="A3901" s="3">
        <f>IFERROR(__xludf.DUMMYFUNCTION("""COMPUTED_VALUE"""),42278.64583333333)</f>
        <v>42278.64583</v>
      </c>
      <c r="B3901" s="2">
        <f>IFERROR(__xludf.DUMMYFUNCTION("""COMPUTED_VALUE"""),537.6)</f>
        <v>537.6</v>
      </c>
      <c r="C3901" s="2">
        <f>IFERROR(__xludf.DUMMYFUNCTION("""COMPUTED_VALUE"""),538.45)</f>
        <v>538.45</v>
      </c>
      <c r="D3901" s="2">
        <f>IFERROR(__xludf.DUMMYFUNCTION("""COMPUTED_VALUE"""),529.67)</f>
        <v>529.67</v>
      </c>
      <c r="E3901" s="2">
        <f>IFERROR(__xludf.DUMMYFUNCTION("""COMPUTED_VALUE"""),533.83)</f>
        <v>533.83</v>
      </c>
      <c r="F3901" s="2">
        <f>IFERROR(__xludf.DUMMYFUNCTION("""COMPUTED_VALUE"""),1258697.0)</f>
        <v>1258697</v>
      </c>
    </row>
    <row r="3902">
      <c r="A3902" s="3">
        <f>IFERROR(__xludf.DUMMYFUNCTION("""COMPUTED_VALUE"""),42282.64583333333)</f>
        <v>42282.64583</v>
      </c>
      <c r="B3902" s="2">
        <f>IFERROR(__xludf.DUMMYFUNCTION("""COMPUTED_VALUE"""),538.6)</f>
        <v>538.6</v>
      </c>
      <c r="C3902" s="2">
        <f>IFERROR(__xludf.DUMMYFUNCTION("""COMPUTED_VALUE"""),552.4)</f>
        <v>552.4</v>
      </c>
      <c r="D3902" s="2">
        <f>IFERROR(__xludf.DUMMYFUNCTION("""COMPUTED_VALUE"""),538.6)</f>
        <v>538.6</v>
      </c>
      <c r="E3902" s="2">
        <f>IFERROR(__xludf.DUMMYFUNCTION("""COMPUTED_VALUE"""),549.17)</f>
        <v>549.17</v>
      </c>
      <c r="F3902" s="2">
        <f>IFERROR(__xludf.DUMMYFUNCTION("""COMPUTED_VALUE"""),2013343.0)</f>
        <v>2013343</v>
      </c>
    </row>
    <row r="3903">
      <c r="A3903" s="3">
        <f>IFERROR(__xludf.DUMMYFUNCTION("""COMPUTED_VALUE"""),42283.64583333333)</f>
        <v>42283.64583</v>
      </c>
      <c r="B3903" s="2">
        <f>IFERROR(__xludf.DUMMYFUNCTION("""COMPUTED_VALUE"""),553.5)</f>
        <v>553.5</v>
      </c>
      <c r="C3903" s="2">
        <f>IFERROR(__xludf.DUMMYFUNCTION("""COMPUTED_VALUE"""),553.95)</f>
        <v>553.95</v>
      </c>
      <c r="D3903" s="2">
        <f>IFERROR(__xludf.DUMMYFUNCTION("""COMPUTED_VALUE"""),541.5)</f>
        <v>541.5</v>
      </c>
      <c r="E3903" s="2">
        <f>IFERROR(__xludf.DUMMYFUNCTION("""COMPUTED_VALUE"""),542.98)</f>
        <v>542.98</v>
      </c>
      <c r="F3903" s="2">
        <f>IFERROR(__xludf.DUMMYFUNCTION("""COMPUTED_VALUE"""),1189741.0)</f>
        <v>1189741</v>
      </c>
    </row>
    <row r="3904">
      <c r="A3904" s="3">
        <f>IFERROR(__xludf.DUMMYFUNCTION("""COMPUTED_VALUE"""),42284.64583333333)</f>
        <v>42284.64583</v>
      </c>
      <c r="B3904" s="2">
        <f>IFERROR(__xludf.DUMMYFUNCTION("""COMPUTED_VALUE"""),544.0)</f>
        <v>544</v>
      </c>
      <c r="C3904" s="2">
        <f>IFERROR(__xludf.DUMMYFUNCTION("""COMPUTED_VALUE"""),549.17)</f>
        <v>549.17</v>
      </c>
      <c r="D3904" s="2">
        <f>IFERROR(__xludf.DUMMYFUNCTION("""COMPUTED_VALUE"""),541.67)</f>
        <v>541.67</v>
      </c>
      <c r="E3904" s="2">
        <f>IFERROR(__xludf.DUMMYFUNCTION("""COMPUTED_VALUE"""),543.88)</f>
        <v>543.88</v>
      </c>
      <c r="F3904" s="2">
        <f>IFERROR(__xludf.DUMMYFUNCTION("""COMPUTED_VALUE"""),1096567.0)</f>
        <v>1096567</v>
      </c>
    </row>
    <row r="3905">
      <c r="A3905" s="3">
        <f>IFERROR(__xludf.DUMMYFUNCTION("""COMPUTED_VALUE"""),42285.64583333333)</f>
        <v>42285.64583</v>
      </c>
      <c r="B3905" s="2">
        <f>IFERROR(__xludf.DUMMYFUNCTION("""COMPUTED_VALUE"""),544.05)</f>
        <v>544.05</v>
      </c>
      <c r="C3905" s="2">
        <f>IFERROR(__xludf.DUMMYFUNCTION("""COMPUTED_VALUE"""),545.35)</f>
        <v>545.35</v>
      </c>
      <c r="D3905" s="2">
        <f>IFERROR(__xludf.DUMMYFUNCTION("""COMPUTED_VALUE"""),537.7)</f>
        <v>537.7</v>
      </c>
      <c r="E3905" s="2">
        <f>IFERROR(__xludf.DUMMYFUNCTION("""COMPUTED_VALUE"""),541.55)</f>
        <v>541.55</v>
      </c>
      <c r="F3905" s="2">
        <f>IFERROR(__xludf.DUMMYFUNCTION("""COMPUTED_VALUE"""),970477.0)</f>
        <v>970477</v>
      </c>
    </row>
    <row r="3906">
      <c r="A3906" s="3">
        <f>IFERROR(__xludf.DUMMYFUNCTION("""COMPUTED_VALUE"""),42286.64583333333)</f>
        <v>42286.64583</v>
      </c>
      <c r="B3906" s="2">
        <f>IFERROR(__xludf.DUMMYFUNCTION("""COMPUTED_VALUE"""),547.5)</f>
        <v>547.5</v>
      </c>
      <c r="C3906" s="2">
        <f>IFERROR(__xludf.DUMMYFUNCTION("""COMPUTED_VALUE"""),547.5)</f>
        <v>547.5</v>
      </c>
      <c r="D3906" s="2">
        <f>IFERROR(__xludf.DUMMYFUNCTION("""COMPUTED_VALUE"""),540.1)</f>
        <v>540.1</v>
      </c>
      <c r="E3906" s="2">
        <f>IFERROR(__xludf.DUMMYFUNCTION("""COMPUTED_VALUE"""),543.08)</f>
        <v>543.08</v>
      </c>
      <c r="F3906" s="2">
        <f>IFERROR(__xludf.DUMMYFUNCTION("""COMPUTED_VALUE"""),860807.0)</f>
        <v>860807</v>
      </c>
    </row>
    <row r="3907">
      <c r="A3907" s="3">
        <f>IFERROR(__xludf.DUMMYFUNCTION("""COMPUTED_VALUE"""),42289.64583333333)</f>
        <v>42289.64583</v>
      </c>
      <c r="B3907" s="2">
        <f>IFERROR(__xludf.DUMMYFUNCTION("""COMPUTED_VALUE"""),543.85)</f>
        <v>543.85</v>
      </c>
      <c r="C3907" s="2">
        <f>IFERROR(__xludf.DUMMYFUNCTION("""COMPUTED_VALUE"""),547.75)</f>
        <v>547.75</v>
      </c>
      <c r="D3907" s="2">
        <f>IFERROR(__xludf.DUMMYFUNCTION("""COMPUTED_VALUE"""),538.9)</f>
        <v>538.9</v>
      </c>
      <c r="E3907" s="2">
        <f>IFERROR(__xludf.DUMMYFUNCTION("""COMPUTED_VALUE"""),540.28)</f>
        <v>540.28</v>
      </c>
      <c r="F3907" s="2">
        <f>IFERROR(__xludf.DUMMYFUNCTION("""COMPUTED_VALUE"""),554335.0)</f>
        <v>554335</v>
      </c>
    </row>
    <row r="3908">
      <c r="A3908" s="3">
        <f>IFERROR(__xludf.DUMMYFUNCTION("""COMPUTED_VALUE"""),42290.64583333333)</f>
        <v>42290.64583</v>
      </c>
      <c r="B3908" s="2">
        <f>IFERROR(__xludf.DUMMYFUNCTION("""COMPUTED_VALUE"""),537.78)</f>
        <v>537.78</v>
      </c>
      <c r="C3908" s="2">
        <f>IFERROR(__xludf.DUMMYFUNCTION("""COMPUTED_VALUE"""),541.08)</f>
        <v>541.08</v>
      </c>
      <c r="D3908" s="2">
        <f>IFERROR(__xludf.DUMMYFUNCTION("""COMPUTED_VALUE"""),536.6)</f>
        <v>536.6</v>
      </c>
      <c r="E3908" s="2">
        <f>IFERROR(__xludf.DUMMYFUNCTION("""COMPUTED_VALUE"""),538.17)</f>
        <v>538.17</v>
      </c>
      <c r="F3908" s="2">
        <f>IFERROR(__xludf.DUMMYFUNCTION("""COMPUTED_VALUE"""),455913.0)</f>
        <v>455913</v>
      </c>
    </row>
    <row r="3909">
      <c r="A3909" s="3">
        <f>IFERROR(__xludf.DUMMYFUNCTION("""COMPUTED_VALUE"""),42291.64583333333)</f>
        <v>42291.64583</v>
      </c>
      <c r="B3909" s="2">
        <f>IFERROR(__xludf.DUMMYFUNCTION("""COMPUTED_VALUE"""),534.4)</f>
        <v>534.4</v>
      </c>
      <c r="C3909" s="2">
        <f>IFERROR(__xludf.DUMMYFUNCTION("""COMPUTED_VALUE"""),543.25)</f>
        <v>543.25</v>
      </c>
      <c r="D3909" s="2">
        <f>IFERROR(__xludf.DUMMYFUNCTION("""COMPUTED_VALUE"""),533.53)</f>
        <v>533.53</v>
      </c>
      <c r="E3909" s="2">
        <f>IFERROR(__xludf.DUMMYFUNCTION("""COMPUTED_VALUE"""),542.38)</f>
        <v>542.38</v>
      </c>
      <c r="F3909" s="2">
        <f>IFERROR(__xludf.DUMMYFUNCTION("""COMPUTED_VALUE"""),687287.0)</f>
        <v>687287</v>
      </c>
    </row>
    <row r="3910">
      <c r="A3910" s="3">
        <f>IFERROR(__xludf.DUMMYFUNCTION("""COMPUTED_VALUE"""),42292.64583333333)</f>
        <v>42292.64583</v>
      </c>
      <c r="B3910" s="2">
        <f>IFERROR(__xludf.DUMMYFUNCTION("""COMPUTED_VALUE"""),542.85)</f>
        <v>542.85</v>
      </c>
      <c r="C3910" s="2">
        <f>IFERROR(__xludf.DUMMYFUNCTION("""COMPUTED_VALUE"""),548.25)</f>
        <v>548.25</v>
      </c>
      <c r="D3910" s="2">
        <f>IFERROR(__xludf.DUMMYFUNCTION("""COMPUTED_VALUE"""),540.5)</f>
        <v>540.5</v>
      </c>
      <c r="E3910" s="2">
        <f>IFERROR(__xludf.DUMMYFUNCTION("""COMPUTED_VALUE"""),542.08)</f>
        <v>542.08</v>
      </c>
      <c r="F3910" s="2">
        <f>IFERROR(__xludf.DUMMYFUNCTION("""COMPUTED_VALUE"""),981488.0)</f>
        <v>981488</v>
      </c>
    </row>
    <row r="3911">
      <c r="A3911" s="3">
        <f>IFERROR(__xludf.DUMMYFUNCTION("""COMPUTED_VALUE"""),42293.64583333333)</f>
        <v>42293.64583</v>
      </c>
      <c r="B3911" s="2">
        <f>IFERROR(__xludf.DUMMYFUNCTION("""COMPUTED_VALUE"""),545.0)</f>
        <v>545</v>
      </c>
      <c r="C3911" s="2">
        <f>IFERROR(__xludf.DUMMYFUNCTION("""COMPUTED_VALUE"""),0.0)</f>
        <v>0</v>
      </c>
      <c r="D3911" s="2">
        <f>IFERROR(__xludf.DUMMYFUNCTION("""COMPUTED_VALUE"""),0.0)</f>
        <v>0</v>
      </c>
      <c r="E3911" s="2">
        <f>IFERROR(__xludf.DUMMYFUNCTION("""COMPUTED_VALUE"""),542.55)</f>
        <v>542.55</v>
      </c>
      <c r="F3911" s="2">
        <f>IFERROR(__xludf.DUMMYFUNCTION("""COMPUTED_VALUE"""),0.0)</f>
        <v>0</v>
      </c>
    </row>
    <row r="3912">
      <c r="A3912" s="3">
        <f>IFERROR(__xludf.DUMMYFUNCTION("""COMPUTED_VALUE"""),42296.64583333333)</f>
        <v>42296.64583</v>
      </c>
      <c r="B3912" s="2">
        <f>IFERROR(__xludf.DUMMYFUNCTION("""COMPUTED_VALUE"""),550.0)</f>
        <v>550</v>
      </c>
      <c r="C3912" s="2">
        <f>IFERROR(__xludf.DUMMYFUNCTION("""COMPUTED_VALUE"""),551.05)</f>
        <v>551.05</v>
      </c>
      <c r="D3912" s="2">
        <f>IFERROR(__xludf.DUMMYFUNCTION("""COMPUTED_VALUE"""),547.15)</f>
        <v>547.15</v>
      </c>
      <c r="E3912" s="2">
        <f>IFERROR(__xludf.DUMMYFUNCTION("""COMPUTED_VALUE"""),548.9)</f>
        <v>548.9</v>
      </c>
      <c r="F3912" s="2">
        <f>IFERROR(__xludf.DUMMYFUNCTION("""COMPUTED_VALUE"""),663555.0)</f>
        <v>663555</v>
      </c>
    </row>
    <row r="3913">
      <c r="A3913" s="3">
        <f>IFERROR(__xludf.DUMMYFUNCTION("""COMPUTED_VALUE"""),42297.64583333333)</f>
        <v>42297.64583</v>
      </c>
      <c r="B3913" s="2">
        <f>IFERROR(__xludf.DUMMYFUNCTION("""COMPUTED_VALUE"""),549.0)</f>
        <v>549</v>
      </c>
      <c r="C3913" s="2">
        <f>IFERROR(__xludf.DUMMYFUNCTION("""COMPUTED_VALUE"""),551.45)</f>
        <v>551.45</v>
      </c>
      <c r="D3913" s="2">
        <f>IFERROR(__xludf.DUMMYFUNCTION("""COMPUTED_VALUE"""),545.6)</f>
        <v>545.6</v>
      </c>
      <c r="E3913" s="2">
        <f>IFERROR(__xludf.DUMMYFUNCTION("""COMPUTED_VALUE"""),547.45)</f>
        <v>547.45</v>
      </c>
      <c r="F3913" s="2">
        <f>IFERROR(__xludf.DUMMYFUNCTION("""COMPUTED_VALUE"""),962839.0)</f>
        <v>962839</v>
      </c>
    </row>
    <row r="3914">
      <c r="A3914" s="3">
        <f>IFERROR(__xludf.DUMMYFUNCTION("""COMPUTED_VALUE"""),42298.64583333333)</f>
        <v>42298.64583</v>
      </c>
      <c r="B3914" s="2">
        <f>IFERROR(__xludf.DUMMYFUNCTION("""COMPUTED_VALUE"""),549.45)</f>
        <v>549.45</v>
      </c>
      <c r="C3914" s="2">
        <f>IFERROR(__xludf.DUMMYFUNCTION("""COMPUTED_VALUE"""),552.0)</f>
        <v>552</v>
      </c>
      <c r="D3914" s="2">
        <f>IFERROR(__xludf.DUMMYFUNCTION("""COMPUTED_VALUE"""),542.5)</f>
        <v>542.5</v>
      </c>
      <c r="E3914" s="2">
        <f>IFERROR(__xludf.DUMMYFUNCTION("""COMPUTED_VALUE"""),547.5)</f>
        <v>547.5</v>
      </c>
      <c r="F3914" s="2">
        <f>IFERROR(__xludf.DUMMYFUNCTION("""COMPUTED_VALUE"""),1818301.0)</f>
        <v>1818301</v>
      </c>
    </row>
    <row r="3915">
      <c r="A3915" s="3">
        <f>IFERROR(__xludf.DUMMYFUNCTION("""COMPUTED_VALUE"""),42300.64583333333)</f>
        <v>42300.64583</v>
      </c>
      <c r="B3915" s="2">
        <f>IFERROR(__xludf.DUMMYFUNCTION("""COMPUTED_VALUE"""),549.73)</f>
        <v>549.73</v>
      </c>
      <c r="C3915" s="2">
        <f>IFERROR(__xludf.DUMMYFUNCTION("""COMPUTED_VALUE"""),556.85)</f>
        <v>556.85</v>
      </c>
      <c r="D3915" s="2">
        <f>IFERROR(__xludf.DUMMYFUNCTION("""COMPUTED_VALUE"""),548.0)</f>
        <v>548</v>
      </c>
      <c r="E3915" s="2">
        <f>IFERROR(__xludf.DUMMYFUNCTION("""COMPUTED_VALUE"""),554.25)</f>
        <v>554.25</v>
      </c>
      <c r="F3915" s="2">
        <f>IFERROR(__xludf.DUMMYFUNCTION("""COMPUTED_VALUE"""),1116762.0)</f>
        <v>1116762</v>
      </c>
    </row>
    <row r="3916">
      <c r="A3916" s="3">
        <f>IFERROR(__xludf.DUMMYFUNCTION("""COMPUTED_VALUE"""),42303.64583333333)</f>
        <v>42303.64583</v>
      </c>
      <c r="B3916" s="2">
        <f>IFERROR(__xludf.DUMMYFUNCTION("""COMPUTED_VALUE"""),556.98)</f>
        <v>556.98</v>
      </c>
      <c r="C3916" s="2">
        <f>IFERROR(__xludf.DUMMYFUNCTION("""COMPUTED_VALUE"""),557.1)</f>
        <v>557.1</v>
      </c>
      <c r="D3916" s="2">
        <f>IFERROR(__xludf.DUMMYFUNCTION("""COMPUTED_VALUE"""),548.5)</f>
        <v>548.5</v>
      </c>
      <c r="E3916" s="2">
        <f>IFERROR(__xludf.DUMMYFUNCTION("""COMPUTED_VALUE"""),550.75)</f>
        <v>550.75</v>
      </c>
      <c r="F3916" s="2">
        <f>IFERROR(__xludf.DUMMYFUNCTION("""COMPUTED_VALUE"""),1221996.0)</f>
        <v>1221996</v>
      </c>
    </row>
    <row r="3917">
      <c r="A3917" s="3">
        <f>IFERROR(__xludf.DUMMYFUNCTION("""COMPUTED_VALUE"""),42304.64583333333)</f>
        <v>42304.64583</v>
      </c>
      <c r="B3917" s="2">
        <f>IFERROR(__xludf.DUMMYFUNCTION("""COMPUTED_VALUE"""),547.78)</f>
        <v>547.78</v>
      </c>
      <c r="C3917" s="2">
        <f>IFERROR(__xludf.DUMMYFUNCTION("""COMPUTED_VALUE"""),557.0)</f>
        <v>557</v>
      </c>
      <c r="D3917" s="2">
        <f>IFERROR(__xludf.DUMMYFUNCTION("""COMPUTED_VALUE"""),547.78)</f>
        <v>547.78</v>
      </c>
      <c r="E3917" s="2">
        <f>IFERROR(__xludf.DUMMYFUNCTION("""COMPUTED_VALUE"""),555.45)</f>
        <v>555.45</v>
      </c>
      <c r="F3917" s="2">
        <f>IFERROR(__xludf.DUMMYFUNCTION("""COMPUTED_VALUE"""),2246008.0)</f>
        <v>2246008</v>
      </c>
    </row>
    <row r="3918">
      <c r="A3918" s="3">
        <f>IFERROR(__xludf.DUMMYFUNCTION("""COMPUTED_VALUE"""),42305.64583333333)</f>
        <v>42305.64583</v>
      </c>
      <c r="B3918" s="2">
        <f>IFERROR(__xludf.DUMMYFUNCTION("""COMPUTED_VALUE"""),552.53)</f>
        <v>552.53</v>
      </c>
      <c r="C3918" s="2">
        <f>IFERROR(__xludf.DUMMYFUNCTION("""COMPUTED_VALUE"""),562.0)</f>
        <v>562</v>
      </c>
      <c r="D3918" s="2">
        <f>IFERROR(__xludf.DUMMYFUNCTION("""COMPUTED_VALUE"""),552.53)</f>
        <v>552.53</v>
      </c>
      <c r="E3918" s="2">
        <f>IFERROR(__xludf.DUMMYFUNCTION("""COMPUTED_VALUE"""),555.75)</f>
        <v>555.75</v>
      </c>
      <c r="F3918" s="2">
        <f>IFERROR(__xludf.DUMMYFUNCTION("""COMPUTED_VALUE"""),1923690.0)</f>
        <v>1923690</v>
      </c>
    </row>
    <row r="3919">
      <c r="A3919" s="3">
        <f>IFERROR(__xludf.DUMMYFUNCTION("""COMPUTED_VALUE"""),42306.64583333333)</f>
        <v>42306.64583</v>
      </c>
      <c r="B3919" s="2">
        <f>IFERROR(__xludf.DUMMYFUNCTION("""COMPUTED_VALUE"""),555.0)</f>
        <v>555</v>
      </c>
      <c r="C3919" s="2">
        <f>IFERROR(__xludf.DUMMYFUNCTION("""COMPUTED_VALUE"""),557.25)</f>
        <v>557.25</v>
      </c>
      <c r="D3919" s="2">
        <f>IFERROR(__xludf.DUMMYFUNCTION("""COMPUTED_VALUE"""),550.0)</f>
        <v>550</v>
      </c>
      <c r="E3919" s="2">
        <f>IFERROR(__xludf.DUMMYFUNCTION("""COMPUTED_VALUE"""),551.78)</f>
        <v>551.78</v>
      </c>
      <c r="F3919" s="2">
        <f>IFERROR(__xludf.DUMMYFUNCTION("""COMPUTED_VALUE"""),1675592.0)</f>
        <v>1675592</v>
      </c>
    </row>
    <row r="3920">
      <c r="A3920" s="3">
        <f>IFERROR(__xludf.DUMMYFUNCTION("""COMPUTED_VALUE"""),42307.64583333333)</f>
        <v>42307.64583</v>
      </c>
      <c r="B3920" s="2">
        <f>IFERROR(__xludf.DUMMYFUNCTION("""COMPUTED_VALUE"""),551.0)</f>
        <v>551</v>
      </c>
      <c r="C3920" s="2">
        <f>IFERROR(__xludf.DUMMYFUNCTION("""COMPUTED_VALUE"""),556.0)</f>
        <v>556</v>
      </c>
      <c r="D3920" s="2">
        <f>IFERROR(__xludf.DUMMYFUNCTION("""COMPUTED_VALUE"""),545.23)</f>
        <v>545.23</v>
      </c>
      <c r="E3920" s="2">
        <f>IFERROR(__xludf.DUMMYFUNCTION("""COMPUTED_VALUE"""),549.8)</f>
        <v>549.8</v>
      </c>
      <c r="F3920" s="2">
        <f>IFERROR(__xludf.DUMMYFUNCTION("""COMPUTED_VALUE"""),2024365.0)</f>
        <v>2024365</v>
      </c>
    </row>
    <row r="3921">
      <c r="A3921" s="3">
        <f>IFERROR(__xludf.DUMMYFUNCTION("""COMPUTED_VALUE"""),42310.64583333333)</f>
        <v>42310.64583</v>
      </c>
      <c r="B3921" s="2">
        <f>IFERROR(__xludf.DUMMYFUNCTION("""COMPUTED_VALUE"""),547.53)</f>
        <v>547.53</v>
      </c>
      <c r="C3921" s="2">
        <f>IFERROR(__xludf.DUMMYFUNCTION("""COMPUTED_VALUE"""),547.95)</f>
        <v>547.95</v>
      </c>
      <c r="D3921" s="2">
        <f>IFERROR(__xludf.DUMMYFUNCTION("""COMPUTED_VALUE"""),538.25)</f>
        <v>538.25</v>
      </c>
      <c r="E3921" s="2">
        <f>IFERROR(__xludf.DUMMYFUNCTION("""COMPUTED_VALUE"""),541.55)</f>
        <v>541.55</v>
      </c>
      <c r="F3921" s="2">
        <f>IFERROR(__xludf.DUMMYFUNCTION("""COMPUTED_VALUE"""),789138.0)</f>
        <v>789138</v>
      </c>
    </row>
    <row r="3922">
      <c r="A3922" s="3">
        <f>IFERROR(__xludf.DUMMYFUNCTION("""COMPUTED_VALUE"""),42311.64583333333)</f>
        <v>42311.64583</v>
      </c>
      <c r="B3922" s="2">
        <f>IFERROR(__xludf.DUMMYFUNCTION("""COMPUTED_VALUE"""),545.48)</f>
        <v>545.48</v>
      </c>
      <c r="C3922" s="2">
        <f>IFERROR(__xludf.DUMMYFUNCTION("""COMPUTED_VALUE"""),546.0)</f>
        <v>546</v>
      </c>
      <c r="D3922" s="2">
        <f>IFERROR(__xludf.DUMMYFUNCTION("""COMPUTED_VALUE"""),539.6)</f>
        <v>539.6</v>
      </c>
      <c r="E3922" s="2">
        <f>IFERROR(__xludf.DUMMYFUNCTION("""COMPUTED_VALUE"""),542.45)</f>
        <v>542.45</v>
      </c>
      <c r="F3922" s="2">
        <f>IFERROR(__xludf.DUMMYFUNCTION("""COMPUTED_VALUE"""),637148.0)</f>
        <v>637148</v>
      </c>
    </row>
    <row r="3923">
      <c r="A3923" s="3">
        <f>IFERROR(__xludf.DUMMYFUNCTION("""COMPUTED_VALUE"""),42312.64583333333)</f>
        <v>42312.64583</v>
      </c>
      <c r="B3923" s="2">
        <f>IFERROR(__xludf.DUMMYFUNCTION("""COMPUTED_VALUE"""),545.03)</f>
        <v>545.03</v>
      </c>
      <c r="C3923" s="2">
        <f>IFERROR(__xludf.DUMMYFUNCTION("""COMPUTED_VALUE"""),549.05)</f>
        <v>549.05</v>
      </c>
      <c r="D3923" s="2">
        <f>IFERROR(__xludf.DUMMYFUNCTION("""COMPUTED_VALUE"""),539.13)</f>
        <v>539.13</v>
      </c>
      <c r="E3923" s="2">
        <f>IFERROR(__xludf.DUMMYFUNCTION("""COMPUTED_VALUE"""),540.85)</f>
        <v>540.85</v>
      </c>
      <c r="F3923" s="2">
        <f>IFERROR(__xludf.DUMMYFUNCTION("""COMPUTED_VALUE"""),674111.0)</f>
        <v>674111</v>
      </c>
    </row>
    <row r="3924">
      <c r="A3924" s="3">
        <f>IFERROR(__xludf.DUMMYFUNCTION("""COMPUTED_VALUE"""),42313.64583333333)</f>
        <v>42313.64583</v>
      </c>
      <c r="B3924" s="2">
        <f>IFERROR(__xludf.DUMMYFUNCTION("""COMPUTED_VALUE"""),539.25)</f>
        <v>539.25</v>
      </c>
      <c r="C3924" s="2">
        <f>IFERROR(__xludf.DUMMYFUNCTION("""COMPUTED_VALUE"""),541.5)</f>
        <v>541.5</v>
      </c>
      <c r="D3924" s="2">
        <f>IFERROR(__xludf.DUMMYFUNCTION("""COMPUTED_VALUE"""),534.75)</f>
        <v>534.75</v>
      </c>
      <c r="E3924" s="2">
        <f>IFERROR(__xludf.DUMMYFUNCTION("""COMPUTED_VALUE"""),539.92)</f>
        <v>539.92</v>
      </c>
      <c r="F3924" s="2">
        <f>IFERROR(__xludf.DUMMYFUNCTION("""COMPUTED_VALUE"""),899238.0)</f>
        <v>899238</v>
      </c>
    </row>
    <row r="3925">
      <c r="A3925" s="3">
        <f>IFERROR(__xludf.DUMMYFUNCTION("""COMPUTED_VALUE"""),42314.64583333333)</f>
        <v>42314.64583</v>
      </c>
      <c r="B3925" s="2">
        <f>IFERROR(__xludf.DUMMYFUNCTION("""COMPUTED_VALUE"""),540.35)</f>
        <v>540.35</v>
      </c>
      <c r="C3925" s="2">
        <f>IFERROR(__xludf.DUMMYFUNCTION("""COMPUTED_VALUE"""),544.5)</f>
        <v>544.5</v>
      </c>
      <c r="D3925" s="2">
        <f>IFERROR(__xludf.DUMMYFUNCTION("""COMPUTED_VALUE"""),537.63)</f>
        <v>537.63</v>
      </c>
      <c r="E3925" s="2">
        <f>IFERROR(__xludf.DUMMYFUNCTION("""COMPUTED_VALUE"""),540.45)</f>
        <v>540.45</v>
      </c>
      <c r="F3925" s="2">
        <f>IFERROR(__xludf.DUMMYFUNCTION("""COMPUTED_VALUE"""),1470251.0)</f>
        <v>1470251</v>
      </c>
    </row>
    <row r="3926">
      <c r="A3926" s="3">
        <f>IFERROR(__xludf.DUMMYFUNCTION("""COMPUTED_VALUE"""),42317.64583333333)</f>
        <v>42317.64583</v>
      </c>
      <c r="B3926" s="2">
        <f>IFERROR(__xludf.DUMMYFUNCTION("""COMPUTED_VALUE"""),529.0)</f>
        <v>529</v>
      </c>
      <c r="C3926" s="2">
        <f>IFERROR(__xludf.DUMMYFUNCTION("""COMPUTED_VALUE"""),534.83)</f>
        <v>534.83</v>
      </c>
      <c r="D3926" s="2">
        <f>IFERROR(__xludf.DUMMYFUNCTION("""COMPUTED_VALUE"""),525.5)</f>
        <v>525.5</v>
      </c>
      <c r="E3926" s="2">
        <f>IFERROR(__xludf.DUMMYFUNCTION("""COMPUTED_VALUE"""),532.4)</f>
        <v>532.4</v>
      </c>
      <c r="F3926" s="2">
        <f>IFERROR(__xludf.DUMMYFUNCTION("""COMPUTED_VALUE"""),2857358.0)</f>
        <v>2857358</v>
      </c>
    </row>
    <row r="3927">
      <c r="A3927" s="3">
        <f>IFERROR(__xludf.DUMMYFUNCTION("""COMPUTED_VALUE"""),42318.64583333333)</f>
        <v>42318.64583</v>
      </c>
      <c r="B3927" s="2">
        <f>IFERROR(__xludf.DUMMYFUNCTION("""COMPUTED_VALUE"""),530.03)</f>
        <v>530.03</v>
      </c>
      <c r="C3927" s="2">
        <f>IFERROR(__xludf.DUMMYFUNCTION("""COMPUTED_VALUE"""),532.5)</f>
        <v>532.5</v>
      </c>
      <c r="D3927" s="2">
        <f>IFERROR(__xludf.DUMMYFUNCTION("""COMPUTED_VALUE"""),526.23)</f>
        <v>526.23</v>
      </c>
      <c r="E3927" s="2">
        <f>IFERROR(__xludf.DUMMYFUNCTION("""COMPUTED_VALUE"""),527.3)</f>
        <v>527.3</v>
      </c>
      <c r="F3927" s="2">
        <f>IFERROR(__xludf.DUMMYFUNCTION("""COMPUTED_VALUE"""),1100645.0)</f>
        <v>1100645</v>
      </c>
    </row>
    <row r="3928">
      <c r="A3928" s="3">
        <f>IFERROR(__xludf.DUMMYFUNCTION("""COMPUTED_VALUE"""),42321.64583333333)</f>
        <v>42321.64583</v>
      </c>
      <c r="B3928" s="2">
        <f>IFERROR(__xludf.DUMMYFUNCTION("""COMPUTED_VALUE"""),524.7)</f>
        <v>524.7</v>
      </c>
      <c r="C3928" s="2">
        <f>IFERROR(__xludf.DUMMYFUNCTION("""COMPUTED_VALUE"""),527.5)</f>
        <v>527.5</v>
      </c>
      <c r="D3928" s="2">
        <f>IFERROR(__xludf.DUMMYFUNCTION("""COMPUTED_VALUE"""),520.5)</f>
        <v>520.5</v>
      </c>
      <c r="E3928" s="2">
        <f>IFERROR(__xludf.DUMMYFUNCTION("""COMPUTED_VALUE"""),526.03)</f>
        <v>526.03</v>
      </c>
      <c r="F3928" s="2">
        <f>IFERROR(__xludf.DUMMYFUNCTION("""COMPUTED_VALUE"""),985007.0)</f>
        <v>985007</v>
      </c>
    </row>
    <row r="3929">
      <c r="A3929" s="3">
        <f>IFERROR(__xludf.DUMMYFUNCTION("""COMPUTED_VALUE"""),42324.64583333333)</f>
        <v>42324.64583</v>
      </c>
      <c r="B3929" s="2">
        <f>IFERROR(__xludf.DUMMYFUNCTION("""COMPUTED_VALUE"""),524.38)</f>
        <v>524.38</v>
      </c>
      <c r="C3929" s="2">
        <f>IFERROR(__xludf.DUMMYFUNCTION("""COMPUTED_VALUE"""),532.5)</f>
        <v>532.5</v>
      </c>
      <c r="D3929" s="2">
        <f>IFERROR(__xludf.DUMMYFUNCTION("""COMPUTED_VALUE"""),522.63)</f>
        <v>522.63</v>
      </c>
      <c r="E3929" s="2">
        <f>IFERROR(__xludf.DUMMYFUNCTION("""COMPUTED_VALUE"""),530.48)</f>
        <v>530.48</v>
      </c>
      <c r="F3929" s="2">
        <f>IFERROR(__xludf.DUMMYFUNCTION("""COMPUTED_VALUE"""),1183683.0)</f>
        <v>1183683</v>
      </c>
    </row>
    <row r="3930">
      <c r="A3930" s="3">
        <f>IFERROR(__xludf.DUMMYFUNCTION("""COMPUTED_VALUE"""),42325.64583333333)</f>
        <v>42325.64583</v>
      </c>
      <c r="B3930" s="2">
        <f>IFERROR(__xludf.DUMMYFUNCTION("""COMPUTED_VALUE"""),531.65)</f>
        <v>531.65</v>
      </c>
      <c r="C3930" s="2">
        <f>IFERROR(__xludf.DUMMYFUNCTION("""COMPUTED_VALUE"""),531.9)</f>
        <v>531.9</v>
      </c>
      <c r="D3930" s="2">
        <f>IFERROR(__xludf.DUMMYFUNCTION("""COMPUTED_VALUE"""),525.6)</f>
        <v>525.6</v>
      </c>
      <c r="E3930" s="2">
        <f>IFERROR(__xludf.DUMMYFUNCTION("""COMPUTED_VALUE"""),530.4)</f>
        <v>530.4</v>
      </c>
      <c r="F3930" s="2">
        <f>IFERROR(__xludf.DUMMYFUNCTION("""COMPUTED_VALUE"""),641851.0)</f>
        <v>641851</v>
      </c>
    </row>
    <row r="3931">
      <c r="A3931" s="3">
        <f>IFERROR(__xludf.DUMMYFUNCTION("""COMPUTED_VALUE"""),42326.64583333333)</f>
        <v>42326.64583</v>
      </c>
      <c r="B3931" s="2">
        <f>IFERROR(__xludf.DUMMYFUNCTION("""COMPUTED_VALUE"""),530.85)</f>
        <v>530.85</v>
      </c>
      <c r="C3931" s="2">
        <f>IFERROR(__xludf.DUMMYFUNCTION("""COMPUTED_VALUE"""),532.92)</f>
        <v>532.92</v>
      </c>
      <c r="D3931" s="2">
        <f>IFERROR(__xludf.DUMMYFUNCTION("""COMPUTED_VALUE"""),523.15)</f>
        <v>523.15</v>
      </c>
      <c r="E3931" s="2">
        <f>IFERROR(__xludf.DUMMYFUNCTION("""COMPUTED_VALUE"""),524.3)</f>
        <v>524.3</v>
      </c>
      <c r="F3931" s="2">
        <f>IFERROR(__xludf.DUMMYFUNCTION("""COMPUTED_VALUE"""),611680.0)</f>
        <v>611680</v>
      </c>
    </row>
    <row r="3932">
      <c r="A3932" s="3">
        <f>IFERROR(__xludf.DUMMYFUNCTION("""COMPUTED_VALUE"""),42327.64583333333)</f>
        <v>42327.64583</v>
      </c>
      <c r="B3932" s="2">
        <f>IFERROR(__xludf.DUMMYFUNCTION("""COMPUTED_VALUE"""),527.5)</f>
        <v>527.5</v>
      </c>
      <c r="C3932" s="2">
        <f>IFERROR(__xludf.DUMMYFUNCTION("""COMPUTED_VALUE"""),535.48)</f>
        <v>535.48</v>
      </c>
      <c r="D3932" s="2">
        <f>IFERROR(__xludf.DUMMYFUNCTION("""COMPUTED_VALUE"""),524.8)</f>
        <v>524.8</v>
      </c>
      <c r="E3932" s="2">
        <f>IFERROR(__xludf.DUMMYFUNCTION("""COMPUTED_VALUE"""),534.45)</f>
        <v>534.45</v>
      </c>
      <c r="F3932" s="2">
        <f>IFERROR(__xludf.DUMMYFUNCTION("""COMPUTED_VALUE"""),819420.0)</f>
        <v>819420</v>
      </c>
    </row>
    <row r="3933">
      <c r="A3933" s="3">
        <f>IFERROR(__xludf.DUMMYFUNCTION("""COMPUTED_VALUE"""),42328.64583333333)</f>
        <v>42328.64583</v>
      </c>
      <c r="B3933" s="2">
        <f>IFERROR(__xludf.DUMMYFUNCTION("""COMPUTED_VALUE"""),532.45)</f>
        <v>532.45</v>
      </c>
      <c r="C3933" s="2">
        <f>IFERROR(__xludf.DUMMYFUNCTION("""COMPUTED_VALUE"""),540.13)</f>
        <v>540.13</v>
      </c>
      <c r="D3933" s="2">
        <f>IFERROR(__xludf.DUMMYFUNCTION("""COMPUTED_VALUE"""),530.0)</f>
        <v>530</v>
      </c>
      <c r="E3933" s="2">
        <f>IFERROR(__xludf.DUMMYFUNCTION("""COMPUTED_VALUE"""),535.42)</f>
        <v>535.42</v>
      </c>
      <c r="F3933" s="2">
        <f>IFERROR(__xludf.DUMMYFUNCTION("""COMPUTED_VALUE"""),1162040.0)</f>
        <v>1162040</v>
      </c>
    </row>
    <row r="3934">
      <c r="A3934" s="3">
        <f>IFERROR(__xludf.DUMMYFUNCTION("""COMPUTED_VALUE"""),42331.64583333333)</f>
        <v>42331.64583</v>
      </c>
      <c r="B3934" s="2">
        <f>IFERROR(__xludf.DUMMYFUNCTION("""COMPUTED_VALUE"""),537.0)</f>
        <v>537</v>
      </c>
      <c r="C3934" s="2">
        <f>IFERROR(__xludf.DUMMYFUNCTION("""COMPUTED_VALUE"""),537.75)</f>
        <v>537.75</v>
      </c>
      <c r="D3934" s="2">
        <f>IFERROR(__xludf.DUMMYFUNCTION("""COMPUTED_VALUE"""),529.53)</f>
        <v>529.53</v>
      </c>
      <c r="E3934" s="2">
        <f>IFERROR(__xludf.DUMMYFUNCTION("""COMPUTED_VALUE"""),533.03)</f>
        <v>533.03</v>
      </c>
      <c r="F3934" s="2">
        <f>IFERROR(__xludf.DUMMYFUNCTION("""COMPUTED_VALUE"""),852070.0)</f>
        <v>852070</v>
      </c>
    </row>
    <row r="3935">
      <c r="A3935" s="3">
        <f>IFERROR(__xludf.DUMMYFUNCTION("""COMPUTED_VALUE"""),42332.64583333333)</f>
        <v>42332.64583</v>
      </c>
      <c r="B3935" s="2">
        <f>IFERROR(__xludf.DUMMYFUNCTION("""COMPUTED_VALUE"""),532.63)</f>
        <v>532.63</v>
      </c>
      <c r="C3935" s="2">
        <f>IFERROR(__xludf.DUMMYFUNCTION("""COMPUTED_VALUE"""),536.75)</f>
        <v>536.75</v>
      </c>
      <c r="D3935" s="2">
        <f>IFERROR(__xludf.DUMMYFUNCTION("""COMPUTED_VALUE"""),531.05)</f>
        <v>531.05</v>
      </c>
      <c r="E3935" s="2">
        <f>IFERROR(__xludf.DUMMYFUNCTION("""COMPUTED_VALUE"""),532.17)</f>
        <v>532.17</v>
      </c>
      <c r="F3935" s="2">
        <f>IFERROR(__xludf.DUMMYFUNCTION("""COMPUTED_VALUE"""),1000563.0)</f>
        <v>1000563</v>
      </c>
    </row>
    <row r="3936">
      <c r="A3936" s="3">
        <f>IFERROR(__xludf.DUMMYFUNCTION("""COMPUTED_VALUE"""),42334.64583333333)</f>
        <v>42334.64583</v>
      </c>
      <c r="B3936" s="2">
        <f>IFERROR(__xludf.DUMMYFUNCTION("""COMPUTED_VALUE"""),529.5)</f>
        <v>529.5</v>
      </c>
      <c r="C3936" s="2">
        <f>IFERROR(__xludf.DUMMYFUNCTION("""COMPUTED_VALUE"""),533.5)</f>
        <v>533.5</v>
      </c>
      <c r="D3936" s="2">
        <f>IFERROR(__xludf.DUMMYFUNCTION("""COMPUTED_VALUE"""),525.55)</f>
        <v>525.55</v>
      </c>
      <c r="E3936" s="2">
        <f>IFERROR(__xludf.DUMMYFUNCTION("""COMPUTED_VALUE"""),531.98)</f>
        <v>531.98</v>
      </c>
      <c r="F3936" s="2">
        <f>IFERROR(__xludf.DUMMYFUNCTION("""COMPUTED_VALUE"""),2197871.0)</f>
        <v>2197871</v>
      </c>
    </row>
    <row r="3937">
      <c r="A3937" s="3">
        <f>IFERROR(__xludf.DUMMYFUNCTION("""COMPUTED_VALUE"""),42335.64583333333)</f>
        <v>42335.64583</v>
      </c>
      <c r="B3937" s="2">
        <f>IFERROR(__xludf.DUMMYFUNCTION("""COMPUTED_VALUE"""),532.42)</f>
        <v>532.42</v>
      </c>
      <c r="C3937" s="2">
        <f>IFERROR(__xludf.DUMMYFUNCTION("""COMPUTED_VALUE"""),541.1)</f>
        <v>541.1</v>
      </c>
      <c r="D3937" s="2">
        <f>IFERROR(__xludf.DUMMYFUNCTION("""COMPUTED_VALUE"""),530.48)</f>
        <v>530.48</v>
      </c>
      <c r="E3937" s="2">
        <f>IFERROR(__xludf.DUMMYFUNCTION("""COMPUTED_VALUE"""),539.7)</f>
        <v>539.7</v>
      </c>
      <c r="F3937" s="2">
        <f>IFERROR(__xludf.DUMMYFUNCTION("""COMPUTED_VALUE"""),1731268.0)</f>
        <v>1731268</v>
      </c>
    </row>
    <row r="3938">
      <c r="A3938" s="3">
        <f>IFERROR(__xludf.DUMMYFUNCTION("""COMPUTED_VALUE"""),42338.64583333333)</f>
        <v>42338.64583</v>
      </c>
      <c r="B3938" s="2">
        <f>IFERROR(__xludf.DUMMYFUNCTION("""COMPUTED_VALUE"""),539.6)</f>
        <v>539.6</v>
      </c>
      <c r="C3938" s="2">
        <f>IFERROR(__xludf.DUMMYFUNCTION("""COMPUTED_VALUE"""),0.0)</f>
        <v>0</v>
      </c>
      <c r="D3938" s="2">
        <f>IFERROR(__xludf.DUMMYFUNCTION("""COMPUTED_VALUE"""),0.0)</f>
        <v>0</v>
      </c>
      <c r="E3938" s="2">
        <f>IFERROR(__xludf.DUMMYFUNCTION("""COMPUTED_VALUE"""),539.17)</f>
        <v>539.17</v>
      </c>
      <c r="F3938" s="2">
        <f>IFERROR(__xludf.DUMMYFUNCTION("""COMPUTED_VALUE"""),0.0)</f>
        <v>0</v>
      </c>
    </row>
    <row r="3939">
      <c r="A3939" s="3">
        <f>IFERROR(__xludf.DUMMYFUNCTION("""COMPUTED_VALUE"""),42339.64583333333)</f>
        <v>42339.64583</v>
      </c>
      <c r="B3939" s="2">
        <f>IFERROR(__xludf.DUMMYFUNCTION("""COMPUTED_VALUE"""),538.53)</f>
        <v>538.53</v>
      </c>
      <c r="C3939" s="2">
        <f>IFERROR(__xludf.DUMMYFUNCTION("""COMPUTED_VALUE"""),542.45)</f>
        <v>542.45</v>
      </c>
      <c r="D3939" s="2">
        <f>IFERROR(__xludf.DUMMYFUNCTION("""COMPUTED_VALUE"""),536.75)</f>
        <v>536.75</v>
      </c>
      <c r="E3939" s="2">
        <f>IFERROR(__xludf.DUMMYFUNCTION("""COMPUTED_VALUE"""),541.5)</f>
        <v>541.5</v>
      </c>
      <c r="F3939" s="2">
        <f>IFERROR(__xludf.DUMMYFUNCTION("""COMPUTED_VALUE"""),473833.0)</f>
        <v>473833</v>
      </c>
    </row>
    <row r="3940">
      <c r="A3940" s="3">
        <f>IFERROR(__xludf.DUMMYFUNCTION("""COMPUTED_VALUE"""),42340.64583333333)</f>
        <v>42340.64583</v>
      </c>
      <c r="B3940" s="2">
        <f>IFERROR(__xludf.DUMMYFUNCTION("""COMPUTED_VALUE"""),545.0)</f>
        <v>545</v>
      </c>
      <c r="C3940" s="2">
        <f>IFERROR(__xludf.DUMMYFUNCTION("""COMPUTED_VALUE"""),546.35)</f>
        <v>546.35</v>
      </c>
      <c r="D3940" s="2">
        <f>IFERROR(__xludf.DUMMYFUNCTION("""COMPUTED_VALUE"""),535.92)</f>
        <v>535.92</v>
      </c>
      <c r="E3940" s="2">
        <f>IFERROR(__xludf.DUMMYFUNCTION("""COMPUTED_VALUE"""),538.9)</f>
        <v>538.9</v>
      </c>
      <c r="F3940" s="2">
        <f>IFERROR(__xludf.DUMMYFUNCTION("""COMPUTED_VALUE"""),640571.0)</f>
        <v>640571</v>
      </c>
    </row>
    <row r="3941">
      <c r="A3941" s="3">
        <f>IFERROR(__xludf.DUMMYFUNCTION("""COMPUTED_VALUE"""),42341.64583333333)</f>
        <v>42341.64583</v>
      </c>
      <c r="B3941" s="2">
        <f>IFERROR(__xludf.DUMMYFUNCTION("""COMPUTED_VALUE"""),536.25)</f>
        <v>536.25</v>
      </c>
      <c r="C3941" s="2">
        <f>IFERROR(__xludf.DUMMYFUNCTION("""COMPUTED_VALUE"""),540.5)</f>
        <v>540.5</v>
      </c>
      <c r="D3941" s="2">
        <f>IFERROR(__xludf.DUMMYFUNCTION("""COMPUTED_VALUE"""),533.65)</f>
        <v>533.65</v>
      </c>
      <c r="E3941" s="2">
        <f>IFERROR(__xludf.DUMMYFUNCTION("""COMPUTED_VALUE"""),538.38)</f>
        <v>538.38</v>
      </c>
      <c r="F3941" s="2">
        <f>IFERROR(__xludf.DUMMYFUNCTION("""COMPUTED_VALUE"""),951928.0)</f>
        <v>951928</v>
      </c>
    </row>
    <row r="3942">
      <c r="A3942" s="3">
        <f>IFERROR(__xludf.DUMMYFUNCTION("""COMPUTED_VALUE"""),42342.64583333333)</f>
        <v>42342.64583</v>
      </c>
      <c r="B3942" s="2">
        <f>IFERROR(__xludf.DUMMYFUNCTION("""COMPUTED_VALUE"""),536.8)</f>
        <v>536.8</v>
      </c>
      <c r="C3942" s="2">
        <f>IFERROR(__xludf.DUMMYFUNCTION("""COMPUTED_VALUE"""),536.8)</f>
        <v>536.8</v>
      </c>
      <c r="D3942" s="2">
        <f>IFERROR(__xludf.DUMMYFUNCTION("""COMPUTED_VALUE"""),528.0)</f>
        <v>528</v>
      </c>
      <c r="E3942" s="2">
        <f>IFERROR(__xludf.DUMMYFUNCTION("""COMPUTED_VALUE"""),529.45)</f>
        <v>529.45</v>
      </c>
      <c r="F3942" s="2">
        <f>IFERROR(__xludf.DUMMYFUNCTION("""COMPUTED_VALUE"""),1464957.0)</f>
        <v>1464957</v>
      </c>
    </row>
    <row r="3943">
      <c r="A3943" s="3">
        <f>IFERROR(__xludf.DUMMYFUNCTION("""COMPUTED_VALUE"""),42345.64583333333)</f>
        <v>42345.64583</v>
      </c>
      <c r="B3943" s="2">
        <f>IFERROR(__xludf.DUMMYFUNCTION("""COMPUTED_VALUE"""),534.1)</f>
        <v>534.1</v>
      </c>
      <c r="C3943" s="2">
        <f>IFERROR(__xludf.DUMMYFUNCTION("""COMPUTED_VALUE"""),535.55)</f>
        <v>535.55</v>
      </c>
      <c r="D3943" s="2">
        <f>IFERROR(__xludf.DUMMYFUNCTION("""COMPUTED_VALUE"""),530.55)</f>
        <v>530.55</v>
      </c>
      <c r="E3943" s="2">
        <f>IFERROR(__xludf.DUMMYFUNCTION("""COMPUTED_VALUE"""),530.98)</f>
        <v>530.98</v>
      </c>
      <c r="F3943" s="2">
        <f>IFERROR(__xludf.DUMMYFUNCTION("""COMPUTED_VALUE"""),1453702.0)</f>
        <v>1453702</v>
      </c>
    </row>
    <row r="3944">
      <c r="A3944" s="3">
        <f>IFERROR(__xludf.DUMMYFUNCTION("""COMPUTED_VALUE"""),42346.64583333333)</f>
        <v>42346.64583</v>
      </c>
      <c r="B3944" s="2">
        <f>IFERROR(__xludf.DUMMYFUNCTION("""COMPUTED_VALUE"""),530.5)</f>
        <v>530.5</v>
      </c>
      <c r="C3944" s="2">
        <f>IFERROR(__xludf.DUMMYFUNCTION("""COMPUTED_VALUE"""),530.95)</f>
        <v>530.95</v>
      </c>
      <c r="D3944" s="2">
        <f>IFERROR(__xludf.DUMMYFUNCTION("""COMPUTED_VALUE"""),523.5)</f>
        <v>523.5</v>
      </c>
      <c r="E3944" s="2">
        <f>IFERROR(__xludf.DUMMYFUNCTION("""COMPUTED_VALUE"""),524.63)</f>
        <v>524.63</v>
      </c>
      <c r="F3944" s="2">
        <f>IFERROR(__xludf.DUMMYFUNCTION("""COMPUTED_VALUE"""),1225665.0)</f>
        <v>1225665</v>
      </c>
    </row>
    <row r="3945">
      <c r="A3945" s="3">
        <f>IFERROR(__xludf.DUMMYFUNCTION("""COMPUTED_VALUE"""),42347.64583333333)</f>
        <v>42347.64583</v>
      </c>
      <c r="B3945" s="2">
        <f>IFERROR(__xludf.DUMMYFUNCTION("""COMPUTED_VALUE"""),523.55)</f>
        <v>523.55</v>
      </c>
      <c r="C3945" s="2">
        <f>IFERROR(__xludf.DUMMYFUNCTION("""COMPUTED_VALUE"""),528.5)</f>
        <v>528.5</v>
      </c>
      <c r="D3945" s="2">
        <f>IFERROR(__xludf.DUMMYFUNCTION("""COMPUTED_VALUE"""),522.42)</f>
        <v>522.42</v>
      </c>
      <c r="E3945" s="2">
        <f>IFERROR(__xludf.DUMMYFUNCTION("""COMPUTED_VALUE"""),523.73)</f>
        <v>523.73</v>
      </c>
      <c r="F3945" s="2">
        <f>IFERROR(__xludf.DUMMYFUNCTION("""COMPUTED_VALUE"""),972654.0)</f>
        <v>972654</v>
      </c>
    </row>
    <row r="3946">
      <c r="A3946" s="3">
        <f>IFERROR(__xludf.DUMMYFUNCTION("""COMPUTED_VALUE"""),42348.64583333333)</f>
        <v>42348.64583</v>
      </c>
      <c r="B3946" s="2">
        <f>IFERROR(__xludf.DUMMYFUNCTION("""COMPUTED_VALUE"""),522.5)</f>
        <v>522.5</v>
      </c>
      <c r="C3946" s="2">
        <f>IFERROR(__xludf.DUMMYFUNCTION("""COMPUTED_VALUE"""),531.6)</f>
        <v>531.6</v>
      </c>
      <c r="D3946" s="2">
        <f>IFERROR(__xludf.DUMMYFUNCTION("""COMPUTED_VALUE"""),521.15)</f>
        <v>521.15</v>
      </c>
      <c r="E3946" s="2">
        <f>IFERROR(__xludf.DUMMYFUNCTION("""COMPUTED_VALUE"""),530.3)</f>
        <v>530.3</v>
      </c>
      <c r="F3946" s="2">
        <f>IFERROR(__xludf.DUMMYFUNCTION("""COMPUTED_VALUE"""),1628585.0)</f>
        <v>1628585</v>
      </c>
    </row>
    <row r="3947">
      <c r="A3947" s="3">
        <f>IFERROR(__xludf.DUMMYFUNCTION("""COMPUTED_VALUE"""),42349.64583333333)</f>
        <v>42349.64583</v>
      </c>
      <c r="B3947" s="2">
        <f>IFERROR(__xludf.DUMMYFUNCTION("""COMPUTED_VALUE"""),530.0)</f>
        <v>530</v>
      </c>
      <c r="C3947" s="2">
        <f>IFERROR(__xludf.DUMMYFUNCTION("""COMPUTED_VALUE"""),530.3)</f>
        <v>530.3</v>
      </c>
      <c r="D3947" s="2">
        <f>IFERROR(__xludf.DUMMYFUNCTION("""COMPUTED_VALUE"""),521.0)</f>
        <v>521</v>
      </c>
      <c r="E3947" s="2">
        <f>IFERROR(__xludf.DUMMYFUNCTION("""COMPUTED_VALUE"""),523.17)</f>
        <v>523.17</v>
      </c>
      <c r="F3947" s="2">
        <f>IFERROR(__xludf.DUMMYFUNCTION("""COMPUTED_VALUE"""),758480.0)</f>
        <v>758480</v>
      </c>
    </row>
    <row r="3948">
      <c r="A3948" s="3">
        <f>IFERROR(__xludf.DUMMYFUNCTION("""COMPUTED_VALUE"""),42352.64583333333)</f>
        <v>42352.64583</v>
      </c>
      <c r="B3948" s="2">
        <f>IFERROR(__xludf.DUMMYFUNCTION("""COMPUTED_VALUE"""),520.5)</f>
        <v>520.5</v>
      </c>
      <c r="C3948" s="2">
        <f>IFERROR(__xludf.DUMMYFUNCTION("""COMPUTED_VALUE"""),529.92)</f>
        <v>529.92</v>
      </c>
      <c r="D3948" s="2">
        <f>IFERROR(__xludf.DUMMYFUNCTION("""COMPUTED_VALUE"""),520.05)</f>
        <v>520.05</v>
      </c>
      <c r="E3948" s="2">
        <f>IFERROR(__xludf.DUMMYFUNCTION("""COMPUTED_VALUE"""),527.53)</f>
        <v>527.53</v>
      </c>
      <c r="F3948" s="2">
        <f>IFERROR(__xludf.DUMMYFUNCTION("""COMPUTED_VALUE"""),1469504.0)</f>
        <v>1469504</v>
      </c>
    </row>
    <row r="3949">
      <c r="A3949" s="3">
        <f>IFERROR(__xludf.DUMMYFUNCTION("""COMPUTED_VALUE"""),42353.64583333333)</f>
        <v>42353.64583</v>
      </c>
      <c r="B3949" s="2">
        <f>IFERROR(__xludf.DUMMYFUNCTION("""COMPUTED_VALUE"""),526.5)</f>
        <v>526.5</v>
      </c>
      <c r="C3949" s="2">
        <f>IFERROR(__xludf.DUMMYFUNCTION("""COMPUTED_VALUE"""),531.23)</f>
        <v>531.23</v>
      </c>
      <c r="D3949" s="2">
        <f>IFERROR(__xludf.DUMMYFUNCTION("""COMPUTED_VALUE"""),522.65)</f>
        <v>522.65</v>
      </c>
      <c r="E3949" s="2">
        <f>IFERROR(__xludf.DUMMYFUNCTION("""COMPUTED_VALUE"""),529.73)</f>
        <v>529.73</v>
      </c>
      <c r="F3949" s="2">
        <f>IFERROR(__xludf.DUMMYFUNCTION("""COMPUTED_VALUE"""),1139354.0)</f>
        <v>1139354</v>
      </c>
    </row>
    <row r="3950">
      <c r="A3950" s="3">
        <f>IFERROR(__xludf.DUMMYFUNCTION("""COMPUTED_VALUE"""),42354.64583333333)</f>
        <v>42354.64583</v>
      </c>
      <c r="B3950" s="2">
        <f>IFERROR(__xludf.DUMMYFUNCTION("""COMPUTED_VALUE"""),531.5)</f>
        <v>531.5</v>
      </c>
      <c r="C3950" s="2">
        <f>IFERROR(__xludf.DUMMYFUNCTION("""COMPUTED_VALUE"""),536.67)</f>
        <v>536.67</v>
      </c>
      <c r="D3950" s="2">
        <f>IFERROR(__xludf.DUMMYFUNCTION("""COMPUTED_VALUE"""),529.67)</f>
        <v>529.67</v>
      </c>
      <c r="E3950" s="2">
        <f>IFERROR(__xludf.DUMMYFUNCTION("""COMPUTED_VALUE"""),533.65)</f>
        <v>533.65</v>
      </c>
      <c r="F3950" s="2">
        <f>IFERROR(__xludf.DUMMYFUNCTION("""COMPUTED_VALUE"""),1710692.0)</f>
        <v>1710692</v>
      </c>
    </row>
    <row r="3951">
      <c r="A3951" s="3">
        <f>IFERROR(__xludf.DUMMYFUNCTION("""COMPUTED_VALUE"""),42355.64583333333)</f>
        <v>42355.64583</v>
      </c>
      <c r="B3951" s="2">
        <f>IFERROR(__xludf.DUMMYFUNCTION("""COMPUTED_VALUE"""),536.95)</f>
        <v>536.95</v>
      </c>
      <c r="C3951" s="2">
        <f>IFERROR(__xludf.DUMMYFUNCTION("""COMPUTED_VALUE"""),542.0)</f>
        <v>542</v>
      </c>
      <c r="D3951" s="2">
        <f>IFERROR(__xludf.DUMMYFUNCTION("""COMPUTED_VALUE"""),532.5)</f>
        <v>532.5</v>
      </c>
      <c r="E3951" s="2">
        <f>IFERROR(__xludf.DUMMYFUNCTION("""COMPUTED_VALUE"""),540.13)</f>
        <v>540.13</v>
      </c>
      <c r="F3951" s="2">
        <f>IFERROR(__xludf.DUMMYFUNCTION("""COMPUTED_VALUE"""),1219503.0)</f>
        <v>1219503</v>
      </c>
    </row>
    <row r="3952">
      <c r="A3952" s="3">
        <f>IFERROR(__xludf.DUMMYFUNCTION("""COMPUTED_VALUE"""),42356.64583333333)</f>
        <v>42356.64583</v>
      </c>
      <c r="B3952" s="2">
        <f>IFERROR(__xludf.DUMMYFUNCTION("""COMPUTED_VALUE"""),542.5)</f>
        <v>542.5</v>
      </c>
      <c r="C3952" s="2">
        <f>IFERROR(__xludf.DUMMYFUNCTION("""COMPUTED_VALUE"""),542.5)</f>
        <v>542.5</v>
      </c>
      <c r="D3952" s="2">
        <f>IFERROR(__xludf.DUMMYFUNCTION("""COMPUTED_VALUE"""),534.25)</f>
        <v>534.25</v>
      </c>
      <c r="E3952" s="2">
        <f>IFERROR(__xludf.DUMMYFUNCTION("""COMPUTED_VALUE"""),536.5)</f>
        <v>536.5</v>
      </c>
      <c r="F3952" s="2">
        <f>IFERROR(__xludf.DUMMYFUNCTION("""COMPUTED_VALUE"""),793032.0)</f>
        <v>793032</v>
      </c>
    </row>
    <row r="3953">
      <c r="A3953" s="3">
        <f>IFERROR(__xludf.DUMMYFUNCTION("""COMPUTED_VALUE"""),42359.64583333333)</f>
        <v>42359.64583</v>
      </c>
      <c r="B3953" s="2">
        <f>IFERROR(__xludf.DUMMYFUNCTION("""COMPUTED_VALUE"""),535.88)</f>
        <v>535.88</v>
      </c>
      <c r="C3953" s="2">
        <f>IFERROR(__xludf.DUMMYFUNCTION("""COMPUTED_VALUE"""),539.95)</f>
        <v>539.95</v>
      </c>
      <c r="D3953" s="2">
        <f>IFERROR(__xludf.DUMMYFUNCTION("""COMPUTED_VALUE"""),534.53)</f>
        <v>534.53</v>
      </c>
      <c r="E3953" s="2">
        <f>IFERROR(__xludf.DUMMYFUNCTION("""COMPUTED_VALUE"""),537.7)</f>
        <v>537.7</v>
      </c>
      <c r="F3953" s="2">
        <f>IFERROR(__xludf.DUMMYFUNCTION("""COMPUTED_VALUE"""),774375.0)</f>
        <v>774375</v>
      </c>
    </row>
    <row r="3954">
      <c r="A3954" s="3">
        <f>IFERROR(__xludf.DUMMYFUNCTION("""COMPUTED_VALUE"""),42360.64583333333)</f>
        <v>42360.64583</v>
      </c>
      <c r="B3954" s="2">
        <f>IFERROR(__xludf.DUMMYFUNCTION("""COMPUTED_VALUE"""),537.25)</f>
        <v>537.25</v>
      </c>
      <c r="C3954" s="2">
        <f>IFERROR(__xludf.DUMMYFUNCTION("""COMPUTED_VALUE"""),538.25)</f>
        <v>538.25</v>
      </c>
      <c r="D3954" s="2">
        <f>IFERROR(__xludf.DUMMYFUNCTION("""COMPUTED_VALUE"""),532.0)</f>
        <v>532</v>
      </c>
      <c r="E3954" s="2">
        <f>IFERROR(__xludf.DUMMYFUNCTION("""COMPUTED_VALUE"""),533.23)</f>
        <v>533.23</v>
      </c>
      <c r="F3954" s="2">
        <f>IFERROR(__xludf.DUMMYFUNCTION("""COMPUTED_VALUE"""),607384.0)</f>
        <v>607384</v>
      </c>
    </row>
    <row r="3955">
      <c r="A3955" s="3">
        <f>IFERROR(__xludf.DUMMYFUNCTION("""COMPUTED_VALUE"""),42361.64583333333)</f>
        <v>42361.64583</v>
      </c>
      <c r="B3955" s="2">
        <f>IFERROR(__xludf.DUMMYFUNCTION("""COMPUTED_VALUE"""),536.3)</f>
        <v>536.3</v>
      </c>
      <c r="C3955" s="2">
        <f>IFERROR(__xludf.DUMMYFUNCTION("""COMPUTED_VALUE"""),538.98)</f>
        <v>538.98</v>
      </c>
      <c r="D3955" s="2">
        <f>IFERROR(__xludf.DUMMYFUNCTION("""COMPUTED_VALUE"""),534.58)</f>
        <v>534.58</v>
      </c>
      <c r="E3955" s="2">
        <f>IFERROR(__xludf.DUMMYFUNCTION("""COMPUTED_VALUE"""),537.05)</f>
        <v>537.05</v>
      </c>
      <c r="F3955" s="2">
        <f>IFERROR(__xludf.DUMMYFUNCTION("""COMPUTED_VALUE"""),753492.0)</f>
        <v>753492</v>
      </c>
    </row>
    <row r="3956">
      <c r="A3956" s="3">
        <f>IFERROR(__xludf.DUMMYFUNCTION("""COMPUTED_VALUE"""),42362.64583333333)</f>
        <v>42362.64583</v>
      </c>
      <c r="B3956" s="2">
        <f>IFERROR(__xludf.DUMMYFUNCTION("""COMPUTED_VALUE"""),538.1)</f>
        <v>538.1</v>
      </c>
      <c r="C3956" s="2">
        <f>IFERROR(__xludf.DUMMYFUNCTION("""COMPUTED_VALUE"""),538.2)</f>
        <v>538.2</v>
      </c>
      <c r="D3956" s="2">
        <f>IFERROR(__xludf.DUMMYFUNCTION("""COMPUTED_VALUE"""),534.15)</f>
        <v>534.15</v>
      </c>
      <c r="E3956" s="2">
        <f>IFERROR(__xludf.DUMMYFUNCTION("""COMPUTED_VALUE"""),537.0)</f>
        <v>537</v>
      </c>
      <c r="F3956" s="2">
        <f>IFERROR(__xludf.DUMMYFUNCTION("""COMPUTED_VALUE"""),536588.0)</f>
        <v>536588</v>
      </c>
    </row>
    <row r="3957">
      <c r="A3957" s="3">
        <f>IFERROR(__xludf.DUMMYFUNCTION("""COMPUTED_VALUE"""),42366.64583333333)</f>
        <v>42366.64583</v>
      </c>
      <c r="B3957" s="2">
        <f>IFERROR(__xludf.DUMMYFUNCTION("""COMPUTED_VALUE"""),537.0)</f>
        <v>537</v>
      </c>
      <c r="C3957" s="2">
        <f>IFERROR(__xludf.DUMMYFUNCTION("""COMPUTED_VALUE"""),539.95)</f>
        <v>539.95</v>
      </c>
      <c r="D3957" s="2">
        <f>IFERROR(__xludf.DUMMYFUNCTION("""COMPUTED_VALUE"""),533.88)</f>
        <v>533.88</v>
      </c>
      <c r="E3957" s="2">
        <f>IFERROR(__xludf.DUMMYFUNCTION("""COMPUTED_VALUE"""),538.63)</f>
        <v>538.63</v>
      </c>
      <c r="F3957" s="2">
        <f>IFERROR(__xludf.DUMMYFUNCTION("""COMPUTED_VALUE"""),1938857.0)</f>
        <v>1938857</v>
      </c>
    </row>
    <row r="3958">
      <c r="A3958" s="3">
        <f>IFERROR(__xludf.DUMMYFUNCTION("""COMPUTED_VALUE"""),42367.64583333333)</f>
        <v>42367.64583</v>
      </c>
      <c r="B3958" s="2">
        <f>IFERROR(__xludf.DUMMYFUNCTION("""COMPUTED_VALUE"""),539.48)</f>
        <v>539.48</v>
      </c>
      <c r="C3958" s="2">
        <f>IFERROR(__xludf.DUMMYFUNCTION("""COMPUTED_VALUE"""),539.92)</f>
        <v>539.92</v>
      </c>
      <c r="D3958" s="2">
        <f>IFERROR(__xludf.DUMMYFUNCTION("""COMPUTED_VALUE"""),535.65)</f>
        <v>535.65</v>
      </c>
      <c r="E3958" s="2">
        <f>IFERROR(__xludf.DUMMYFUNCTION("""COMPUTED_VALUE"""),538.98)</f>
        <v>538.98</v>
      </c>
      <c r="F3958" s="2">
        <f>IFERROR(__xludf.DUMMYFUNCTION("""COMPUTED_VALUE"""),1057903.0)</f>
        <v>1057903</v>
      </c>
    </row>
    <row r="3959">
      <c r="A3959" s="3">
        <f>IFERROR(__xludf.DUMMYFUNCTION("""COMPUTED_VALUE"""),42368.64583333333)</f>
        <v>42368.64583</v>
      </c>
      <c r="B3959" s="2">
        <f>IFERROR(__xludf.DUMMYFUNCTION("""COMPUTED_VALUE"""),540.0)</f>
        <v>540</v>
      </c>
      <c r="C3959" s="2">
        <f>IFERROR(__xludf.DUMMYFUNCTION("""COMPUTED_VALUE"""),540.98)</f>
        <v>540.98</v>
      </c>
      <c r="D3959" s="2">
        <f>IFERROR(__xludf.DUMMYFUNCTION("""COMPUTED_VALUE"""),536.28)</f>
        <v>536.28</v>
      </c>
      <c r="E3959" s="2">
        <f>IFERROR(__xludf.DUMMYFUNCTION("""COMPUTED_VALUE"""),537.15)</f>
        <v>537.15</v>
      </c>
      <c r="F3959" s="2">
        <f>IFERROR(__xludf.DUMMYFUNCTION("""COMPUTED_VALUE"""),528140.0)</f>
        <v>528140</v>
      </c>
    </row>
    <row r="3960">
      <c r="A3960" s="3">
        <f>IFERROR(__xludf.DUMMYFUNCTION("""COMPUTED_VALUE"""),42369.64583333333)</f>
        <v>42369.64583</v>
      </c>
      <c r="B3960" s="2">
        <f>IFERROR(__xludf.DUMMYFUNCTION("""COMPUTED_VALUE"""),537.5)</f>
        <v>537.5</v>
      </c>
      <c r="C3960" s="2">
        <f>IFERROR(__xludf.DUMMYFUNCTION("""COMPUTED_VALUE"""),542.45)</f>
        <v>542.45</v>
      </c>
      <c r="D3960" s="2">
        <f>IFERROR(__xludf.DUMMYFUNCTION("""COMPUTED_VALUE"""),537.5)</f>
        <v>537.5</v>
      </c>
      <c r="E3960" s="2">
        <f>IFERROR(__xludf.DUMMYFUNCTION("""COMPUTED_VALUE"""),541.08)</f>
        <v>541.08</v>
      </c>
      <c r="F3960" s="2">
        <f>IFERROR(__xludf.DUMMYFUNCTION("""COMPUTED_VALUE"""),2322502.0)</f>
        <v>2322502</v>
      </c>
    </row>
    <row r="3961">
      <c r="A3961" s="3">
        <f>IFERROR(__xludf.DUMMYFUNCTION("""COMPUTED_VALUE"""),42370.64583333333)</f>
        <v>42370.64583</v>
      </c>
      <c r="B3961" s="2">
        <f>IFERROR(__xludf.DUMMYFUNCTION("""COMPUTED_VALUE"""),541.2)</f>
        <v>541.2</v>
      </c>
      <c r="C3961" s="2">
        <f>IFERROR(__xludf.DUMMYFUNCTION("""COMPUTED_VALUE"""),545.13)</f>
        <v>545.13</v>
      </c>
      <c r="D3961" s="2">
        <f>IFERROR(__xludf.DUMMYFUNCTION("""COMPUTED_VALUE"""),538.08)</f>
        <v>538.08</v>
      </c>
      <c r="E3961" s="2">
        <f>IFERROR(__xludf.DUMMYFUNCTION("""COMPUTED_VALUE"""),544.38)</f>
        <v>544.38</v>
      </c>
      <c r="F3961" s="2">
        <f>IFERROR(__xludf.DUMMYFUNCTION("""COMPUTED_VALUE"""),798769.0)</f>
        <v>798769</v>
      </c>
    </row>
    <row r="3962">
      <c r="A3962" s="3">
        <f>IFERROR(__xludf.DUMMYFUNCTION("""COMPUTED_VALUE"""),42373.64583333333)</f>
        <v>42373.64583</v>
      </c>
      <c r="B3962" s="2">
        <f>IFERROR(__xludf.DUMMYFUNCTION("""COMPUTED_VALUE"""),542.0)</f>
        <v>542</v>
      </c>
      <c r="C3962" s="2">
        <f>IFERROR(__xludf.DUMMYFUNCTION("""COMPUTED_VALUE"""),542.0)</f>
        <v>542</v>
      </c>
      <c r="D3962" s="2">
        <f>IFERROR(__xludf.DUMMYFUNCTION("""COMPUTED_VALUE"""),534.05)</f>
        <v>534.05</v>
      </c>
      <c r="E3962" s="2">
        <f>IFERROR(__xludf.DUMMYFUNCTION("""COMPUTED_VALUE"""),535.25)</f>
        <v>535.25</v>
      </c>
      <c r="F3962" s="2">
        <f>IFERROR(__xludf.DUMMYFUNCTION("""COMPUTED_VALUE"""),1296884.0)</f>
        <v>1296884</v>
      </c>
    </row>
    <row r="3963">
      <c r="A3963" s="3">
        <f>IFERROR(__xludf.DUMMYFUNCTION("""COMPUTED_VALUE"""),42374.64583333333)</f>
        <v>42374.64583</v>
      </c>
      <c r="B3963" s="2">
        <f>IFERROR(__xludf.DUMMYFUNCTION("""COMPUTED_VALUE"""),535.1)</f>
        <v>535.1</v>
      </c>
      <c r="C3963" s="2">
        <f>IFERROR(__xludf.DUMMYFUNCTION("""COMPUTED_VALUE"""),537.4)</f>
        <v>537.4</v>
      </c>
      <c r="D3963" s="2">
        <f>IFERROR(__xludf.DUMMYFUNCTION("""COMPUTED_VALUE"""),530.67)</f>
        <v>530.67</v>
      </c>
      <c r="E3963" s="2">
        <f>IFERROR(__xludf.DUMMYFUNCTION("""COMPUTED_VALUE"""),531.2)</f>
        <v>531.2</v>
      </c>
      <c r="F3963" s="2">
        <f>IFERROR(__xludf.DUMMYFUNCTION("""COMPUTED_VALUE"""),790218.0)</f>
        <v>790218</v>
      </c>
    </row>
    <row r="3964">
      <c r="A3964" s="3">
        <f>IFERROR(__xludf.DUMMYFUNCTION("""COMPUTED_VALUE"""),42375.64583333333)</f>
        <v>42375.64583</v>
      </c>
      <c r="B3964" s="2">
        <f>IFERROR(__xludf.DUMMYFUNCTION("""COMPUTED_VALUE"""),528.33)</f>
        <v>528.33</v>
      </c>
      <c r="C3964" s="2">
        <f>IFERROR(__xludf.DUMMYFUNCTION("""COMPUTED_VALUE"""),538.38)</f>
        <v>538.38</v>
      </c>
      <c r="D3964" s="2">
        <f>IFERROR(__xludf.DUMMYFUNCTION("""COMPUTED_VALUE"""),528.33)</f>
        <v>528.33</v>
      </c>
      <c r="E3964" s="2">
        <f>IFERROR(__xludf.DUMMYFUNCTION("""COMPUTED_VALUE"""),533.55)</f>
        <v>533.55</v>
      </c>
      <c r="F3964" s="2">
        <f>IFERROR(__xludf.DUMMYFUNCTION("""COMPUTED_VALUE"""),1041384.0)</f>
        <v>1041384</v>
      </c>
    </row>
    <row r="3965">
      <c r="A3965" s="3">
        <f>IFERROR(__xludf.DUMMYFUNCTION("""COMPUTED_VALUE"""),42376.64583333333)</f>
        <v>42376.64583</v>
      </c>
      <c r="B3965" s="2">
        <f>IFERROR(__xludf.DUMMYFUNCTION("""COMPUTED_VALUE"""),530.05)</f>
        <v>530.05</v>
      </c>
      <c r="C3965" s="2">
        <f>IFERROR(__xludf.DUMMYFUNCTION("""COMPUTED_VALUE"""),532.45)</f>
        <v>532.45</v>
      </c>
      <c r="D3965" s="2">
        <f>IFERROR(__xludf.DUMMYFUNCTION("""COMPUTED_VALUE"""),524.85)</f>
        <v>524.85</v>
      </c>
      <c r="E3965" s="2">
        <f>IFERROR(__xludf.DUMMYFUNCTION("""COMPUTED_VALUE"""),528.1)</f>
        <v>528.1</v>
      </c>
      <c r="F3965" s="2">
        <f>IFERROR(__xludf.DUMMYFUNCTION("""COMPUTED_VALUE"""),1513857.0)</f>
        <v>1513857</v>
      </c>
    </row>
    <row r="3966">
      <c r="A3966" s="3">
        <f>IFERROR(__xludf.DUMMYFUNCTION("""COMPUTED_VALUE"""),42377.64583333333)</f>
        <v>42377.64583</v>
      </c>
      <c r="B3966" s="2">
        <f>IFERROR(__xludf.DUMMYFUNCTION("""COMPUTED_VALUE"""),530.98)</f>
        <v>530.98</v>
      </c>
      <c r="C3966" s="2">
        <f>IFERROR(__xludf.DUMMYFUNCTION("""COMPUTED_VALUE"""),532.25)</f>
        <v>532.25</v>
      </c>
      <c r="D3966" s="2">
        <f>IFERROR(__xludf.DUMMYFUNCTION("""COMPUTED_VALUE"""),528.63)</f>
        <v>528.63</v>
      </c>
      <c r="E3966" s="2">
        <f>IFERROR(__xludf.DUMMYFUNCTION("""COMPUTED_VALUE"""),531.17)</f>
        <v>531.17</v>
      </c>
      <c r="F3966" s="2">
        <f>IFERROR(__xludf.DUMMYFUNCTION("""COMPUTED_VALUE"""),872089.0)</f>
        <v>872089</v>
      </c>
    </row>
    <row r="3967">
      <c r="A3967" s="3">
        <f>IFERROR(__xludf.DUMMYFUNCTION("""COMPUTED_VALUE"""),42380.64583333333)</f>
        <v>42380.64583</v>
      </c>
      <c r="B3967" s="2">
        <f>IFERROR(__xludf.DUMMYFUNCTION("""COMPUTED_VALUE"""),526.03)</f>
        <v>526.03</v>
      </c>
      <c r="C3967" s="2">
        <f>IFERROR(__xludf.DUMMYFUNCTION("""COMPUTED_VALUE"""),530.5)</f>
        <v>530.5</v>
      </c>
      <c r="D3967" s="2">
        <f>IFERROR(__xludf.DUMMYFUNCTION("""COMPUTED_VALUE"""),522.65)</f>
        <v>522.65</v>
      </c>
      <c r="E3967" s="2">
        <f>IFERROR(__xludf.DUMMYFUNCTION("""COMPUTED_VALUE"""),529.3)</f>
        <v>529.3</v>
      </c>
      <c r="F3967" s="2">
        <f>IFERROR(__xludf.DUMMYFUNCTION("""COMPUTED_VALUE"""),822228.0)</f>
        <v>822228</v>
      </c>
    </row>
    <row r="3968">
      <c r="A3968" s="3">
        <f>IFERROR(__xludf.DUMMYFUNCTION("""COMPUTED_VALUE"""),42381.64583333333)</f>
        <v>42381.64583</v>
      </c>
      <c r="B3968" s="2">
        <f>IFERROR(__xludf.DUMMYFUNCTION("""COMPUTED_VALUE"""),531.95)</f>
        <v>531.95</v>
      </c>
      <c r="C3968" s="2">
        <f>IFERROR(__xludf.DUMMYFUNCTION("""COMPUTED_VALUE"""),531.95)</f>
        <v>531.95</v>
      </c>
      <c r="D3968" s="2">
        <f>IFERROR(__xludf.DUMMYFUNCTION("""COMPUTED_VALUE"""),521.75)</f>
        <v>521.75</v>
      </c>
      <c r="E3968" s="2">
        <f>IFERROR(__xludf.DUMMYFUNCTION("""COMPUTED_VALUE"""),523.0)</f>
        <v>523</v>
      </c>
      <c r="F3968" s="2">
        <f>IFERROR(__xludf.DUMMYFUNCTION("""COMPUTED_VALUE"""),1064684.0)</f>
        <v>1064684</v>
      </c>
    </row>
    <row r="3969">
      <c r="A3969" s="3">
        <f>IFERROR(__xludf.DUMMYFUNCTION("""COMPUTED_VALUE"""),42382.64583333333)</f>
        <v>42382.64583</v>
      </c>
      <c r="B3969" s="2">
        <f>IFERROR(__xludf.DUMMYFUNCTION("""COMPUTED_VALUE"""),526.0)</f>
        <v>526</v>
      </c>
      <c r="C3969" s="2">
        <f>IFERROR(__xludf.DUMMYFUNCTION("""COMPUTED_VALUE"""),531.38)</f>
        <v>531.38</v>
      </c>
      <c r="D3969" s="2">
        <f>IFERROR(__xludf.DUMMYFUNCTION("""COMPUTED_VALUE"""),518.5)</f>
        <v>518.5</v>
      </c>
      <c r="E3969" s="2">
        <f>IFERROR(__xludf.DUMMYFUNCTION("""COMPUTED_VALUE"""),530.08)</f>
        <v>530.08</v>
      </c>
      <c r="F3969" s="2">
        <f>IFERROR(__xludf.DUMMYFUNCTION("""COMPUTED_VALUE"""),1128787.0)</f>
        <v>1128787</v>
      </c>
    </row>
    <row r="3970">
      <c r="A3970" s="3">
        <f>IFERROR(__xludf.DUMMYFUNCTION("""COMPUTED_VALUE"""),42383.64583333333)</f>
        <v>42383.64583</v>
      </c>
      <c r="B3970" s="2">
        <f>IFERROR(__xludf.DUMMYFUNCTION("""COMPUTED_VALUE"""),525.08)</f>
        <v>525.08</v>
      </c>
      <c r="C3970" s="2">
        <f>IFERROR(__xludf.DUMMYFUNCTION("""COMPUTED_VALUE"""),528.7)</f>
        <v>528.7</v>
      </c>
      <c r="D3970" s="2">
        <f>IFERROR(__xludf.DUMMYFUNCTION("""COMPUTED_VALUE"""),519.75)</f>
        <v>519.75</v>
      </c>
      <c r="E3970" s="2">
        <f>IFERROR(__xludf.DUMMYFUNCTION("""COMPUTED_VALUE"""),524.88)</f>
        <v>524.88</v>
      </c>
      <c r="F3970" s="2">
        <f>IFERROR(__xludf.DUMMYFUNCTION("""COMPUTED_VALUE"""),1569796.0)</f>
        <v>1569796</v>
      </c>
    </row>
    <row r="3971">
      <c r="A3971" s="3">
        <f>IFERROR(__xludf.DUMMYFUNCTION("""COMPUTED_VALUE"""),42384.64583333333)</f>
        <v>42384.64583</v>
      </c>
      <c r="B3971" s="2">
        <f>IFERROR(__xludf.DUMMYFUNCTION("""COMPUTED_VALUE"""),524.0)</f>
        <v>524</v>
      </c>
      <c r="C3971" s="2">
        <f>IFERROR(__xludf.DUMMYFUNCTION("""COMPUTED_VALUE"""),527.73)</f>
        <v>527.73</v>
      </c>
      <c r="D3971" s="2">
        <f>IFERROR(__xludf.DUMMYFUNCTION("""COMPUTED_VALUE"""),519.05)</f>
        <v>519.05</v>
      </c>
      <c r="E3971" s="2">
        <f>IFERROR(__xludf.DUMMYFUNCTION("""COMPUTED_VALUE"""),521.08)</f>
        <v>521.08</v>
      </c>
      <c r="F3971" s="2">
        <f>IFERROR(__xludf.DUMMYFUNCTION("""COMPUTED_VALUE"""),1354315.0)</f>
        <v>1354315</v>
      </c>
    </row>
    <row r="3972">
      <c r="A3972" s="3">
        <f>IFERROR(__xludf.DUMMYFUNCTION("""COMPUTED_VALUE"""),42387.64583333333)</f>
        <v>42387.64583</v>
      </c>
      <c r="B3972" s="2">
        <f>IFERROR(__xludf.DUMMYFUNCTION("""COMPUTED_VALUE"""),517.83)</f>
        <v>517.83</v>
      </c>
      <c r="C3972" s="2">
        <f>IFERROR(__xludf.DUMMYFUNCTION("""COMPUTED_VALUE"""),520.73)</f>
        <v>520.73</v>
      </c>
      <c r="D3972" s="2">
        <f>IFERROR(__xludf.DUMMYFUNCTION("""COMPUTED_VALUE"""),510.5)</f>
        <v>510.5</v>
      </c>
      <c r="E3972" s="2">
        <f>IFERROR(__xludf.DUMMYFUNCTION("""COMPUTED_VALUE"""),512.92)</f>
        <v>512.92</v>
      </c>
      <c r="F3972" s="2">
        <f>IFERROR(__xludf.DUMMYFUNCTION("""COMPUTED_VALUE"""),1623847.0)</f>
        <v>1623847</v>
      </c>
    </row>
    <row r="3973">
      <c r="A3973" s="3">
        <f>IFERROR(__xludf.DUMMYFUNCTION("""COMPUTED_VALUE"""),42388.64583333333)</f>
        <v>42388.64583</v>
      </c>
      <c r="B3973" s="2">
        <f>IFERROR(__xludf.DUMMYFUNCTION("""COMPUTED_VALUE"""),513.6)</f>
        <v>513.6</v>
      </c>
      <c r="C3973" s="2">
        <f>IFERROR(__xludf.DUMMYFUNCTION("""COMPUTED_VALUE"""),518.78)</f>
        <v>518.78</v>
      </c>
      <c r="D3973" s="2">
        <f>IFERROR(__xludf.DUMMYFUNCTION("""COMPUTED_VALUE"""),513.15)</f>
        <v>513.15</v>
      </c>
      <c r="E3973" s="2">
        <f>IFERROR(__xludf.DUMMYFUNCTION("""COMPUTED_VALUE"""),517.9)</f>
        <v>517.9</v>
      </c>
      <c r="F3973" s="2">
        <f>IFERROR(__xludf.DUMMYFUNCTION("""COMPUTED_VALUE"""),1601303.0)</f>
        <v>1601303</v>
      </c>
    </row>
    <row r="3974">
      <c r="A3974" s="3">
        <f>IFERROR(__xludf.DUMMYFUNCTION("""COMPUTED_VALUE"""),42389.64583333333)</f>
        <v>42389.64583</v>
      </c>
      <c r="B3974" s="2">
        <f>IFERROR(__xludf.DUMMYFUNCTION("""COMPUTED_VALUE"""),512.5)</f>
        <v>512.5</v>
      </c>
      <c r="C3974" s="2">
        <f>IFERROR(__xludf.DUMMYFUNCTION("""COMPUTED_VALUE"""),554.0)</f>
        <v>554</v>
      </c>
      <c r="D3974" s="2">
        <f>IFERROR(__xludf.DUMMYFUNCTION("""COMPUTED_VALUE"""),503.95)</f>
        <v>503.95</v>
      </c>
      <c r="E3974" s="2">
        <f>IFERROR(__xludf.DUMMYFUNCTION("""COMPUTED_VALUE"""),509.15)</f>
        <v>509.15</v>
      </c>
      <c r="F3974" s="2">
        <f>IFERROR(__xludf.DUMMYFUNCTION("""COMPUTED_VALUE"""),2390897.0)</f>
        <v>2390897</v>
      </c>
    </row>
    <row r="3975">
      <c r="A3975" s="3">
        <f>IFERROR(__xludf.DUMMYFUNCTION("""COMPUTED_VALUE"""),42390.64583333333)</f>
        <v>42390.64583</v>
      </c>
      <c r="B3975" s="2">
        <f>IFERROR(__xludf.DUMMYFUNCTION("""COMPUTED_VALUE"""),510.5)</f>
        <v>510.5</v>
      </c>
      <c r="C3975" s="2">
        <f>IFERROR(__xludf.DUMMYFUNCTION("""COMPUTED_VALUE"""),516.63)</f>
        <v>516.63</v>
      </c>
      <c r="D3975" s="2">
        <f>IFERROR(__xludf.DUMMYFUNCTION("""COMPUTED_VALUE"""),506.7)</f>
        <v>506.7</v>
      </c>
      <c r="E3975" s="2">
        <f>IFERROR(__xludf.DUMMYFUNCTION("""COMPUTED_VALUE"""),511.5)</f>
        <v>511.5</v>
      </c>
      <c r="F3975" s="2">
        <f>IFERROR(__xludf.DUMMYFUNCTION("""COMPUTED_VALUE"""),1575201.0)</f>
        <v>1575201</v>
      </c>
    </row>
    <row r="3976">
      <c r="A3976" s="3">
        <f>IFERROR(__xludf.DUMMYFUNCTION("""COMPUTED_VALUE"""),42391.64583333333)</f>
        <v>42391.64583</v>
      </c>
      <c r="B3976" s="2">
        <f>IFERROR(__xludf.DUMMYFUNCTION("""COMPUTED_VALUE"""),512.85)</f>
        <v>512.85</v>
      </c>
      <c r="C3976" s="2">
        <f>IFERROR(__xludf.DUMMYFUNCTION("""COMPUTED_VALUE"""),522.13)</f>
        <v>522.13</v>
      </c>
      <c r="D3976" s="2">
        <f>IFERROR(__xludf.DUMMYFUNCTION("""COMPUTED_VALUE"""),511.03)</f>
        <v>511.03</v>
      </c>
      <c r="E3976" s="2">
        <f>IFERROR(__xludf.DUMMYFUNCTION("""COMPUTED_VALUE"""),515.15)</f>
        <v>515.15</v>
      </c>
      <c r="F3976" s="2">
        <f>IFERROR(__xludf.DUMMYFUNCTION("""COMPUTED_VALUE"""),1059071.0)</f>
        <v>1059071</v>
      </c>
    </row>
    <row r="3977">
      <c r="A3977" s="3">
        <f>IFERROR(__xludf.DUMMYFUNCTION("""COMPUTED_VALUE"""),42394.64583333333)</f>
        <v>42394.64583</v>
      </c>
      <c r="B3977" s="2">
        <f>IFERROR(__xludf.DUMMYFUNCTION("""COMPUTED_VALUE"""),519.98)</f>
        <v>519.98</v>
      </c>
      <c r="C3977" s="2">
        <f>IFERROR(__xludf.DUMMYFUNCTION("""COMPUTED_VALUE"""),523.35)</f>
        <v>523.35</v>
      </c>
      <c r="D3977" s="2">
        <f>IFERROR(__xludf.DUMMYFUNCTION("""COMPUTED_VALUE"""),516.53)</f>
        <v>516.53</v>
      </c>
      <c r="E3977" s="2">
        <f>IFERROR(__xludf.DUMMYFUNCTION("""COMPUTED_VALUE"""),520.58)</f>
        <v>520.58</v>
      </c>
      <c r="F3977" s="2">
        <f>IFERROR(__xludf.DUMMYFUNCTION("""COMPUTED_VALUE"""),2535971.0)</f>
        <v>2535971</v>
      </c>
    </row>
    <row r="3978">
      <c r="A3978" s="3">
        <f>IFERROR(__xludf.DUMMYFUNCTION("""COMPUTED_VALUE"""),42396.64583333333)</f>
        <v>42396.64583</v>
      </c>
      <c r="B3978" s="2">
        <f>IFERROR(__xludf.DUMMYFUNCTION("""COMPUTED_VALUE"""),524.23)</f>
        <v>524.23</v>
      </c>
      <c r="C3978" s="2">
        <f>IFERROR(__xludf.DUMMYFUNCTION("""COMPUTED_VALUE"""),524.35)</f>
        <v>524.35</v>
      </c>
      <c r="D3978" s="2">
        <f>IFERROR(__xludf.DUMMYFUNCTION("""COMPUTED_VALUE"""),516.5)</f>
        <v>516.5</v>
      </c>
      <c r="E3978" s="2">
        <f>IFERROR(__xludf.DUMMYFUNCTION("""COMPUTED_VALUE"""),517.83)</f>
        <v>517.83</v>
      </c>
      <c r="F3978" s="2">
        <f>IFERROR(__xludf.DUMMYFUNCTION("""COMPUTED_VALUE"""),1009867.0)</f>
        <v>1009867</v>
      </c>
    </row>
    <row r="3979">
      <c r="A3979" s="3">
        <f>IFERROR(__xludf.DUMMYFUNCTION("""COMPUTED_VALUE"""),42397.64583333333)</f>
        <v>42397.64583</v>
      </c>
      <c r="B3979" s="2">
        <f>IFERROR(__xludf.DUMMYFUNCTION("""COMPUTED_VALUE"""),519.5)</f>
        <v>519.5</v>
      </c>
      <c r="C3979" s="2">
        <f>IFERROR(__xludf.DUMMYFUNCTION("""COMPUTED_VALUE"""),523.45)</f>
        <v>523.45</v>
      </c>
      <c r="D3979" s="2">
        <f>IFERROR(__xludf.DUMMYFUNCTION("""COMPUTED_VALUE"""),515.0)</f>
        <v>515</v>
      </c>
      <c r="E3979" s="2">
        <f>IFERROR(__xludf.DUMMYFUNCTION("""COMPUTED_VALUE"""),515.85)</f>
        <v>515.85</v>
      </c>
      <c r="F3979" s="2">
        <f>IFERROR(__xludf.DUMMYFUNCTION("""COMPUTED_VALUE"""),2487993.0)</f>
        <v>2487993</v>
      </c>
    </row>
    <row r="3980">
      <c r="A3980" s="3">
        <f>IFERROR(__xludf.DUMMYFUNCTION("""COMPUTED_VALUE"""),42398.64583333333)</f>
        <v>42398.64583</v>
      </c>
      <c r="B3980" s="2">
        <f>IFERROR(__xludf.DUMMYFUNCTION("""COMPUTED_VALUE"""),517.6)</f>
        <v>517.6</v>
      </c>
      <c r="C3980" s="2">
        <f>IFERROR(__xludf.DUMMYFUNCTION("""COMPUTED_VALUE"""),527.48)</f>
        <v>527.48</v>
      </c>
      <c r="D3980" s="2">
        <f>IFERROR(__xludf.DUMMYFUNCTION("""COMPUTED_VALUE"""),517.6)</f>
        <v>517.6</v>
      </c>
      <c r="E3980" s="2">
        <f>IFERROR(__xludf.DUMMYFUNCTION("""COMPUTED_VALUE"""),524.92)</f>
        <v>524.92</v>
      </c>
      <c r="F3980" s="2">
        <f>IFERROR(__xludf.DUMMYFUNCTION("""COMPUTED_VALUE"""),1340046.0)</f>
        <v>1340046</v>
      </c>
    </row>
    <row r="3981">
      <c r="A3981" s="3">
        <f>IFERROR(__xludf.DUMMYFUNCTION("""COMPUTED_VALUE"""),42401.64583333333)</f>
        <v>42401.64583</v>
      </c>
      <c r="B3981" s="2">
        <f>IFERROR(__xludf.DUMMYFUNCTION("""COMPUTED_VALUE"""),529.0)</f>
        <v>529</v>
      </c>
      <c r="C3981" s="2">
        <f>IFERROR(__xludf.DUMMYFUNCTION("""COMPUTED_VALUE"""),533.5)</f>
        <v>533.5</v>
      </c>
      <c r="D3981" s="2">
        <f>IFERROR(__xludf.DUMMYFUNCTION("""COMPUTED_VALUE"""),526.85)</f>
        <v>526.85</v>
      </c>
      <c r="E3981" s="2">
        <f>IFERROR(__xludf.DUMMYFUNCTION("""COMPUTED_VALUE"""),529.88)</f>
        <v>529.88</v>
      </c>
      <c r="F3981" s="2">
        <f>IFERROR(__xludf.DUMMYFUNCTION("""COMPUTED_VALUE"""),1152371.0)</f>
        <v>1152371</v>
      </c>
    </row>
    <row r="3982">
      <c r="A3982" s="3">
        <f>IFERROR(__xludf.DUMMYFUNCTION("""COMPUTED_VALUE"""),42402.64583333333)</f>
        <v>42402.64583</v>
      </c>
      <c r="B3982" s="2">
        <f>IFERROR(__xludf.DUMMYFUNCTION("""COMPUTED_VALUE"""),532.5)</f>
        <v>532.5</v>
      </c>
      <c r="C3982" s="2">
        <f>IFERROR(__xludf.DUMMYFUNCTION("""COMPUTED_VALUE"""),532.63)</f>
        <v>532.63</v>
      </c>
      <c r="D3982" s="2">
        <f>IFERROR(__xludf.DUMMYFUNCTION("""COMPUTED_VALUE"""),525.1)</f>
        <v>525.1</v>
      </c>
      <c r="E3982" s="2">
        <f>IFERROR(__xludf.DUMMYFUNCTION("""COMPUTED_VALUE"""),526.9)</f>
        <v>526.9</v>
      </c>
      <c r="F3982" s="2">
        <f>IFERROR(__xludf.DUMMYFUNCTION("""COMPUTED_VALUE"""),1632157.0)</f>
        <v>1632157</v>
      </c>
    </row>
    <row r="3983">
      <c r="A3983" s="3">
        <f>IFERROR(__xludf.DUMMYFUNCTION("""COMPUTED_VALUE"""),42403.64583333333)</f>
        <v>42403.64583</v>
      </c>
      <c r="B3983" s="2">
        <f>IFERROR(__xludf.DUMMYFUNCTION("""COMPUTED_VALUE"""),522.25)</f>
        <v>522.25</v>
      </c>
      <c r="C3983" s="2">
        <f>IFERROR(__xludf.DUMMYFUNCTION("""COMPUTED_VALUE"""),525.7)</f>
        <v>525.7</v>
      </c>
      <c r="D3983" s="2">
        <f>IFERROR(__xludf.DUMMYFUNCTION("""COMPUTED_VALUE"""),521.0)</f>
        <v>521</v>
      </c>
      <c r="E3983" s="2">
        <f>IFERROR(__xludf.DUMMYFUNCTION("""COMPUTED_VALUE"""),521.92)</f>
        <v>521.92</v>
      </c>
      <c r="F3983" s="2">
        <f>IFERROR(__xludf.DUMMYFUNCTION("""COMPUTED_VALUE"""),1212561.0)</f>
        <v>1212561</v>
      </c>
    </row>
    <row r="3984">
      <c r="A3984" s="3">
        <f>IFERROR(__xludf.DUMMYFUNCTION("""COMPUTED_VALUE"""),42404.64583333333)</f>
        <v>42404.64583</v>
      </c>
      <c r="B3984" s="2">
        <f>IFERROR(__xludf.DUMMYFUNCTION("""COMPUTED_VALUE"""),524.0)</f>
        <v>524</v>
      </c>
      <c r="C3984" s="2">
        <f>IFERROR(__xludf.DUMMYFUNCTION("""COMPUTED_VALUE"""),527.45)</f>
        <v>527.45</v>
      </c>
      <c r="D3984" s="2">
        <f>IFERROR(__xludf.DUMMYFUNCTION("""COMPUTED_VALUE"""),522.78)</f>
        <v>522.78</v>
      </c>
      <c r="E3984" s="2">
        <f>IFERROR(__xludf.DUMMYFUNCTION("""COMPUTED_VALUE"""),524.6)</f>
        <v>524.6</v>
      </c>
      <c r="F3984" s="2">
        <f>IFERROR(__xludf.DUMMYFUNCTION("""COMPUTED_VALUE"""),1418998.0)</f>
        <v>1418998</v>
      </c>
    </row>
    <row r="3985">
      <c r="A3985" s="3">
        <f>IFERROR(__xludf.DUMMYFUNCTION("""COMPUTED_VALUE"""),42405.64583333333)</f>
        <v>42405.64583</v>
      </c>
      <c r="B3985" s="2">
        <f>IFERROR(__xludf.DUMMYFUNCTION("""COMPUTED_VALUE"""),526.4)</f>
        <v>526.4</v>
      </c>
      <c r="C3985" s="2">
        <f>IFERROR(__xludf.DUMMYFUNCTION("""COMPUTED_VALUE"""),531.9)</f>
        <v>531.9</v>
      </c>
      <c r="D3985" s="2">
        <f>IFERROR(__xludf.DUMMYFUNCTION("""COMPUTED_VALUE"""),522.8)</f>
        <v>522.8</v>
      </c>
      <c r="E3985" s="2">
        <f>IFERROR(__xludf.DUMMYFUNCTION("""COMPUTED_VALUE"""),527.63)</f>
        <v>527.63</v>
      </c>
      <c r="F3985" s="2">
        <f>IFERROR(__xludf.DUMMYFUNCTION("""COMPUTED_VALUE"""),1880976.0)</f>
        <v>1880976</v>
      </c>
    </row>
    <row r="3986">
      <c r="A3986" s="3">
        <f>IFERROR(__xludf.DUMMYFUNCTION("""COMPUTED_VALUE"""),42408.64583333333)</f>
        <v>42408.64583</v>
      </c>
      <c r="B3986" s="2">
        <f>IFERROR(__xludf.DUMMYFUNCTION("""COMPUTED_VALUE"""),527.5)</f>
        <v>527.5</v>
      </c>
      <c r="C3986" s="2">
        <f>IFERROR(__xludf.DUMMYFUNCTION("""COMPUTED_VALUE"""),529.0)</f>
        <v>529</v>
      </c>
      <c r="D3986" s="2">
        <f>IFERROR(__xludf.DUMMYFUNCTION("""COMPUTED_VALUE"""),515.15)</f>
        <v>515.15</v>
      </c>
      <c r="E3986" s="2">
        <f>IFERROR(__xludf.DUMMYFUNCTION("""COMPUTED_VALUE"""),515.85)</f>
        <v>515.85</v>
      </c>
      <c r="F3986" s="2">
        <f>IFERROR(__xludf.DUMMYFUNCTION("""COMPUTED_VALUE"""),870481.0)</f>
        <v>870481</v>
      </c>
    </row>
    <row r="3987">
      <c r="A3987" s="3">
        <f>IFERROR(__xludf.DUMMYFUNCTION("""COMPUTED_VALUE"""),42409.64583333333)</f>
        <v>42409.64583</v>
      </c>
      <c r="B3987" s="2">
        <f>IFERROR(__xludf.DUMMYFUNCTION("""COMPUTED_VALUE"""),513.35)</f>
        <v>513.35</v>
      </c>
      <c r="C3987" s="2">
        <f>IFERROR(__xludf.DUMMYFUNCTION("""COMPUTED_VALUE"""),515.78)</f>
        <v>515.78</v>
      </c>
      <c r="D3987" s="2">
        <f>IFERROR(__xludf.DUMMYFUNCTION("""COMPUTED_VALUE"""),510.33)</f>
        <v>510.33</v>
      </c>
      <c r="E3987" s="2">
        <f>IFERROR(__xludf.DUMMYFUNCTION("""COMPUTED_VALUE"""),513.03)</f>
        <v>513.03</v>
      </c>
      <c r="F3987" s="2">
        <f>IFERROR(__xludf.DUMMYFUNCTION("""COMPUTED_VALUE"""),1383865.0)</f>
        <v>1383865</v>
      </c>
    </row>
    <row r="3988">
      <c r="A3988" s="3">
        <f>IFERROR(__xludf.DUMMYFUNCTION("""COMPUTED_VALUE"""),42410.64583333333)</f>
        <v>42410.64583</v>
      </c>
      <c r="B3988" s="2">
        <f>IFERROR(__xludf.DUMMYFUNCTION("""COMPUTED_VALUE"""),511.95)</f>
        <v>511.95</v>
      </c>
      <c r="C3988" s="2">
        <f>IFERROR(__xludf.DUMMYFUNCTION("""COMPUTED_VALUE"""),515.08)</f>
        <v>515.08</v>
      </c>
      <c r="D3988" s="2">
        <f>IFERROR(__xludf.DUMMYFUNCTION("""COMPUTED_VALUE"""),505.05)</f>
        <v>505.05</v>
      </c>
      <c r="E3988" s="2">
        <f>IFERROR(__xludf.DUMMYFUNCTION("""COMPUTED_VALUE"""),506.48)</f>
        <v>506.48</v>
      </c>
      <c r="F3988" s="2">
        <f>IFERROR(__xludf.DUMMYFUNCTION("""COMPUTED_VALUE"""),1920570.0)</f>
        <v>1920570</v>
      </c>
    </row>
    <row r="3989">
      <c r="A3989" s="3">
        <f>IFERROR(__xludf.DUMMYFUNCTION("""COMPUTED_VALUE"""),42411.64583333333)</f>
        <v>42411.64583</v>
      </c>
      <c r="B3989" s="2">
        <f>IFERROR(__xludf.DUMMYFUNCTION("""COMPUTED_VALUE"""),505.0)</f>
        <v>505</v>
      </c>
      <c r="C3989" s="2">
        <f>IFERROR(__xludf.DUMMYFUNCTION("""COMPUTED_VALUE"""),506.5)</f>
        <v>506.5</v>
      </c>
      <c r="D3989" s="2">
        <f>IFERROR(__xludf.DUMMYFUNCTION("""COMPUTED_VALUE"""),484.1)</f>
        <v>484.1</v>
      </c>
      <c r="E3989" s="2">
        <f>IFERROR(__xludf.DUMMYFUNCTION("""COMPUTED_VALUE"""),487.65)</f>
        <v>487.65</v>
      </c>
      <c r="F3989" s="2">
        <f>IFERROR(__xludf.DUMMYFUNCTION("""COMPUTED_VALUE"""),2200900.0)</f>
        <v>2200900</v>
      </c>
    </row>
    <row r="3990">
      <c r="A3990" s="3">
        <f>IFERROR(__xludf.DUMMYFUNCTION("""COMPUTED_VALUE"""),42412.64583333333)</f>
        <v>42412.64583</v>
      </c>
      <c r="B3990" s="2">
        <f>IFERROR(__xludf.DUMMYFUNCTION("""COMPUTED_VALUE"""),489.5)</f>
        <v>489.5</v>
      </c>
      <c r="C3990" s="2">
        <f>IFERROR(__xludf.DUMMYFUNCTION("""COMPUTED_VALUE"""),0.0)</f>
        <v>0</v>
      </c>
      <c r="D3990" s="2">
        <f>IFERROR(__xludf.DUMMYFUNCTION("""COMPUTED_VALUE"""),0.0)</f>
        <v>0</v>
      </c>
      <c r="E3990" s="2">
        <f>IFERROR(__xludf.DUMMYFUNCTION("""COMPUTED_VALUE"""),489.0)</f>
        <v>489</v>
      </c>
      <c r="F3990" s="2">
        <f>IFERROR(__xludf.DUMMYFUNCTION("""COMPUTED_VALUE"""),0.0)</f>
        <v>0</v>
      </c>
    </row>
    <row r="3991">
      <c r="A3991" s="3">
        <f>IFERROR(__xludf.DUMMYFUNCTION("""COMPUTED_VALUE"""),42415.64583333333)</f>
        <v>42415.64583</v>
      </c>
      <c r="B3991" s="2">
        <f>IFERROR(__xludf.DUMMYFUNCTION("""COMPUTED_VALUE"""),490.0)</f>
        <v>490</v>
      </c>
      <c r="C3991" s="2">
        <f>IFERROR(__xludf.DUMMYFUNCTION("""COMPUTED_VALUE"""),494.13)</f>
        <v>494.13</v>
      </c>
      <c r="D3991" s="2">
        <f>IFERROR(__xludf.DUMMYFUNCTION("""COMPUTED_VALUE"""),485.55)</f>
        <v>485.55</v>
      </c>
      <c r="E3991" s="2">
        <f>IFERROR(__xludf.DUMMYFUNCTION("""COMPUTED_VALUE"""),486.8)</f>
        <v>486.8</v>
      </c>
      <c r="F3991" s="2">
        <f>IFERROR(__xludf.DUMMYFUNCTION("""COMPUTED_VALUE"""),2728240.0)</f>
        <v>2728240</v>
      </c>
    </row>
    <row r="3992">
      <c r="A3992" s="3">
        <f>IFERROR(__xludf.DUMMYFUNCTION("""COMPUTED_VALUE"""),42416.64583333333)</f>
        <v>42416.64583</v>
      </c>
      <c r="B3992" s="2">
        <f>IFERROR(__xludf.DUMMYFUNCTION("""COMPUTED_VALUE"""),490.75)</f>
        <v>490.75</v>
      </c>
      <c r="C3992" s="2">
        <f>IFERROR(__xludf.DUMMYFUNCTION("""COMPUTED_VALUE"""),491.0)</f>
        <v>491</v>
      </c>
      <c r="D3992" s="2">
        <f>IFERROR(__xludf.DUMMYFUNCTION("""COMPUTED_VALUE"""),481.0)</f>
        <v>481</v>
      </c>
      <c r="E3992" s="2">
        <f>IFERROR(__xludf.DUMMYFUNCTION("""COMPUTED_VALUE"""),486.73)</f>
        <v>486.73</v>
      </c>
      <c r="F3992" s="2">
        <f>IFERROR(__xludf.DUMMYFUNCTION("""COMPUTED_VALUE"""),1784024.0)</f>
        <v>1784024</v>
      </c>
    </row>
    <row r="3993">
      <c r="A3993" s="3">
        <f>IFERROR(__xludf.DUMMYFUNCTION("""COMPUTED_VALUE"""),42417.64583333333)</f>
        <v>42417.64583</v>
      </c>
      <c r="B3993" s="2">
        <f>IFERROR(__xludf.DUMMYFUNCTION("""COMPUTED_VALUE"""),488.45)</f>
        <v>488.45</v>
      </c>
      <c r="C3993" s="2">
        <f>IFERROR(__xludf.DUMMYFUNCTION("""COMPUTED_VALUE"""),489.95)</f>
        <v>489.95</v>
      </c>
      <c r="D3993" s="2">
        <f>IFERROR(__xludf.DUMMYFUNCTION("""COMPUTED_VALUE"""),479.5)</f>
        <v>479.5</v>
      </c>
      <c r="E3993" s="2">
        <f>IFERROR(__xludf.DUMMYFUNCTION("""COMPUTED_VALUE"""),487.45)</f>
        <v>487.45</v>
      </c>
      <c r="F3993" s="2">
        <f>IFERROR(__xludf.DUMMYFUNCTION("""COMPUTED_VALUE"""),1875981.0)</f>
        <v>1875981</v>
      </c>
    </row>
    <row r="3994">
      <c r="A3994" s="3">
        <f>IFERROR(__xludf.DUMMYFUNCTION("""COMPUTED_VALUE"""),42418.64583333333)</f>
        <v>42418.64583</v>
      </c>
      <c r="B3994" s="2">
        <f>IFERROR(__xludf.DUMMYFUNCTION("""COMPUTED_VALUE"""),493.0)</f>
        <v>493</v>
      </c>
      <c r="C3994" s="2">
        <f>IFERROR(__xludf.DUMMYFUNCTION("""COMPUTED_VALUE"""),495.63)</f>
        <v>495.63</v>
      </c>
      <c r="D3994" s="2">
        <f>IFERROR(__xludf.DUMMYFUNCTION("""COMPUTED_VALUE"""),488.5)</f>
        <v>488.5</v>
      </c>
      <c r="E3994" s="2">
        <f>IFERROR(__xludf.DUMMYFUNCTION("""COMPUTED_VALUE"""),494.73)</f>
        <v>494.73</v>
      </c>
      <c r="F3994" s="2">
        <f>IFERROR(__xludf.DUMMYFUNCTION("""COMPUTED_VALUE"""),1699964.0)</f>
        <v>1699964</v>
      </c>
    </row>
    <row r="3995">
      <c r="A3995" s="3">
        <f>IFERROR(__xludf.DUMMYFUNCTION("""COMPUTED_VALUE"""),42419.64583333333)</f>
        <v>42419.64583</v>
      </c>
      <c r="B3995" s="2">
        <f>IFERROR(__xludf.DUMMYFUNCTION("""COMPUTED_VALUE"""),494.38)</f>
        <v>494.38</v>
      </c>
      <c r="C3995" s="2">
        <f>IFERROR(__xludf.DUMMYFUNCTION("""COMPUTED_VALUE"""),496.3)</f>
        <v>496.3</v>
      </c>
      <c r="D3995" s="2">
        <f>IFERROR(__xludf.DUMMYFUNCTION("""COMPUTED_VALUE"""),486.75)</f>
        <v>486.75</v>
      </c>
      <c r="E3995" s="2">
        <f>IFERROR(__xludf.DUMMYFUNCTION("""COMPUTED_VALUE"""),494.65)</f>
        <v>494.65</v>
      </c>
      <c r="F3995" s="2">
        <f>IFERROR(__xludf.DUMMYFUNCTION("""COMPUTED_VALUE"""),832165.0)</f>
        <v>832165</v>
      </c>
    </row>
    <row r="3996">
      <c r="A3996" s="3">
        <f>IFERROR(__xludf.DUMMYFUNCTION("""COMPUTED_VALUE"""),42422.64583333333)</f>
        <v>42422.64583</v>
      </c>
      <c r="B3996" s="2">
        <f>IFERROR(__xludf.DUMMYFUNCTION("""COMPUTED_VALUE"""),491.5)</f>
        <v>491.5</v>
      </c>
      <c r="C3996" s="2">
        <f>IFERROR(__xludf.DUMMYFUNCTION("""COMPUTED_VALUE"""),498.0)</f>
        <v>498</v>
      </c>
      <c r="D3996" s="2">
        <f>IFERROR(__xludf.DUMMYFUNCTION("""COMPUTED_VALUE"""),491.5)</f>
        <v>491.5</v>
      </c>
      <c r="E3996" s="2">
        <f>IFERROR(__xludf.DUMMYFUNCTION("""COMPUTED_VALUE"""),494.38)</f>
        <v>494.38</v>
      </c>
      <c r="F3996" s="2">
        <f>IFERROR(__xludf.DUMMYFUNCTION("""COMPUTED_VALUE"""),1000599.0)</f>
        <v>1000599</v>
      </c>
    </row>
    <row r="3997">
      <c r="A3997" s="3">
        <f>IFERROR(__xludf.DUMMYFUNCTION("""COMPUTED_VALUE"""),42423.64583333333)</f>
        <v>42423.64583</v>
      </c>
      <c r="B3997" s="2">
        <f>IFERROR(__xludf.DUMMYFUNCTION("""COMPUTED_VALUE"""),492.45)</f>
        <v>492.45</v>
      </c>
      <c r="C3997" s="2">
        <f>IFERROR(__xludf.DUMMYFUNCTION("""COMPUTED_VALUE"""),492.75)</f>
        <v>492.75</v>
      </c>
      <c r="D3997" s="2">
        <f>IFERROR(__xludf.DUMMYFUNCTION("""COMPUTED_VALUE"""),483.0)</f>
        <v>483</v>
      </c>
      <c r="E3997" s="2">
        <f>IFERROR(__xludf.DUMMYFUNCTION("""COMPUTED_VALUE"""),485.03)</f>
        <v>485.03</v>
      </c>
      <c r="F3997" s="2">
        <f>IFERROR(__xludf.DUMMYFUNCTION("""COMPUTED_VALUE"""),1519580.0)</f>
        <v>1519580</v>
      </c>
    </row>
    <row r="3998">
      <c r="A3998" s="3">
        <f>IFERROR(__xludf.DUMMYFUNCTION("""COMPUTED_VALUE"""),42424.64583333333)</f>
        <v>42424.64583</v>
      </c>
      <c r="B3998" s="2">
        <f>IFERROR(__xludf.DUMMYFUNCTION("""COMPUTED_VALUE"""),480.0)</f>
        <v>480</v>
      </c>
      <c r="C3998" s="2">
        <f>IFERROR(__xludf.DUMMYFUNCTION("""COMPUTED_VALUE"""),481.45)</f>
        <v>481.45</v>
      </c>
      <c r="D3998" s="2">
        <f>IFERROR(__xludf.DUMMYFUNCTION("""COMPUTED_VALUE"""),473.2)</f>
        <v>473.2</v>
      </c>
      <c r="E3998" s="2">
        <f>IFERROR(__xludf.DUMMYFUNCTION("""COMPUTED_VALUE"""),474.8)</f>
        <v>474.8</v>
      </c>
      <c r="F3998" s="2">
        <f>IFERROR(__xludf.DUMMYFUNCTION("""COMPUTED_VALUE"""),1615867.0)</f>
        <v>1615867</v>
      </c>
    </row>
    <row r="3999">
      <c r="A3999" s="3">
        <f>IFERROR(__xludf.DUMMYFUNCTION("""COMPUTED_VALUE"""),42425.64583333333)</f>
        <v>42425.64583</v>
      </c>
      <c r="B3999" s="2">
        <f>IFERROR(__xludf.DUMMYFUNCTION("""COMPUTED_VALUE"""),477.0)</f>
        <v>477</v>
      </c>
      <c r="C3999" s="2">
        <f>IFERROR(__xludf.DUMMYFUNCTION("""COMPUTED_VALUE"""),478.63)</f>
        <v>478.63</v>
      </c>
      <c r="D3999" s="2">
        <f>IFERROR(__xludf.DUMMYFUNCTION("""COMPUTED_VALUE"""),469.1)</f>
        <v>469.1</v>
      </c>
      <c r="E3999" s="2">
        <f>IFERROR(__xludf.DUMMYFUNCTION("""COMPUTED_VALUE"""),471.33)</f>
        <v>471.33</v>
      </c>
      <c r="F3999" s="2">
        <f>IFERROR(__xludf.DUMMYFUNCTION("""COMPUTED_VALUE"""),2115799.0)</f>
        <v>2115799</v>
      </c>
    </row>
    <row r="4000">
      <c r="A4000" s="3">
        <f>IFERROR(__xludf.DUMMYFUNCTION("""COMPUTED_VALUE"""),42426.64583333333)</f>
        <v>42426.64583</v>
      </c>
      <c r="B4000" s="2">
        <f>IFERROR(__xludf.DUMMYFUNCTION("""COMPUTED_VALUE"""),475.0)</f>
        <v>475</v>
      </c>
      <c r="C4000" s="2">
        <f>IFERROR(__xludf.DUMMYFUNCTION("""COMPUTED_VALUE"""),485.5)</f>
        <v>485.5</v>
      </c>
      <c r="D4000" s="2">
        <f>IFERROR(__xludf.DUMMYFUNCTION("""COMPUTED_VALUE"""),472.5)</f>
        <v>472.5</v>
      </c>
      <c r="E4000" s="2">
        <f>IFERROR(__xludf.DUMMYFUNCTION("""COMPUTED_VALUE"""),480.5)</f>
        <v>480.5</v>
      </c>
      <c r="F4000" s="2">
        <f>IFERROR(__xludf.DUMMYFUNCTION("""COMPUTED_VALUE"""),1552347.0)</f>
        <v>1552347</v>
      </c>
    </row>
    <row r="4001">
      <c r="A4001" s="3">
        <f>IFERROR(__xludf.DUMMYFUNCTION("""COMPUTED_VALUE"""),42429.64583333333)</f>
        <v>42429.64583</v>
      </c>
      <c r="B4001" s="2">
        <f>IFERROR(__xludf.DUMMYFUNCTION("""COMPUTED_VALUE"""),480.55)</f>
        <v>480.55</v>
      </c>
      <c r="C4001" s="2">
        <f>IFERROR(__xludf.DUMMYFUNCTION("""COMPUTED_VALUE"""),491.3)</f>
        <v>491.3</v>
      </c>
      <c r="D4001" s="2">
        <f>IFERROR(__xludf.DUMMYFUNCTION("""COMPUTED_VALUE"""),464.0)</f>
        <v>464</v>
      </c>
      <c r="E4001" s="2">
        <f>IFERROR(__xludf.DUMMYFUNCTION("""COMPUTED_VALUE"""),485.93)</f>
        <v>485.93</v>
      </c>
      <c r="F4001" s="2">
        <f>IFERROR(__xludf.DUMMYFUNCTION("""COMPUTED_VALUE"""),2203188.0)</f>
        <v>2203188</v>
      </c>
    </row>
    <row r="4002">
      <c r="A4002" s="3">
        <f>IFERROR(__xludf.DUMMYFUNCTION("""COMPUTED_VALUE"""),42430.64583333333)</f>
        <v>42430.64583</v>
      </c>
      <c r="B4002" s="2">
        <f>IFERROR(__xludf.DUMMYFUNCTION("""COMPUTED_VALUE"""),487.48)</f>
        <v>487.48</v>
      </c>
      <c r="C4002" s="2">
        <f>IFERROR(__xludf.DUMMYFUNCTION("""COMPUTED_VALUE"""),493.38)</f>
        <v>493.38</v>
      </c>
      <c r="D4002" s="2">
        <f>IFERROR(__xludf.DUMMYFUNCTION("""COMPUTED_VALUE"""),485.93)</f>
        <v>485.93</v>
      </c>
      <c r="E4002" s="2">
        <f>IFERROR(__xludf.DUMMYFUNCTION("""COMPUTED_VALUE"""),492.08)</f>
        <v>492.08</v>
      </c>
      <c r="F4002" s="2">
        <f>IFERROR(__xludf.DUMMYFUNCTION("""COMPUTED_VALUE"""),1080640.0)</f>
        <v>1080640</v>
      </c>
    </row>
    <row r="4003">
      <c r="A4003" s="3">
        <f>IFERROR(__xludf.DUMMYFUNCTION("""COMPUTED_VALUE"""),42431.64583333333)</f>
        <v>42431.64583</v>
      </c>
      <c r="B4003" s="2">
        <f>IFERROR(__xludf.DUMMYFUNCTION("""COMPUTED_VALUE"""),499.0)</f>
        <v>499</v>
      </c>
      <c r="C4003" s="2">
        <f>IFERROR(__xludf.DUMMYFUNCTION("""COMPUTED_VALUE"""),505.45)</f>
        <v>505.45</v>
      </c>
      <c r="D4003" s="2">
        <f>IFERROR(__xludf.DUMMYFUNCTION("""COMPUTED_VALUE"""),497.5)</f>
        <v>497.5</v>
      </c>
      <c r="E4003" s="2">
        <f>IFERROR(__xludf.DUMMYFUNCTION("""COMPUTED_VALUE"""),503.6)</f>
        <v>503.6</v>
      </c>
      <c r="F4003" s="2">
        <f>IFERROR(__xludf.DUMMYFUNCTION("""COMPUTED_VALUE"""),1589744.0)</f>
        <v>1589744</v>
      </c>
    </row>
    <row r="4004">
      <c r="A4004" s="3">
        <f>IFERROR(__xludf.DUMMYFUNCTION("""COMPUTED_VALUE"""),42432.64583333333)</f>
        <v>42432.64583</v>
      </c>
      <c r="B4004" s="2">
        <f>IFERROR(__xludf.DUMMYFUNCTION("""COMPUTED_VALUE"""),505.38)</f>
        <v>505.38</v>
      </c>
      <c r="C4004" s="2">
        <f>IFERROR(__xludf.DUMMYFUNCTION("""COMPUTED_VALUE"""),510.0)</f>
        <v>510</v>
      </c>
      <c r="D4004" s="2">
        <f>IFERROR(__xludf.DUMMYFUNCTION("""COMPUTED_VALUE"""),505.0)</f>
        <v>505</v>
      </c>
      <c r="E4004" s="2">
        <f>IFERROR(__xludf.DUMMYFUNCTION("""COMPUTED_VALUE"""),507.93)</f>
        <v>507.93</v>
      </c>
      <c r="F4004" s="2">
        <f>IFERROR(__xludf.DUMMYFUNCTION("""COMPUTED_VALUE"""),1152600.0)</f>
        <v>1152600</v>
      </c>
    </row>
    <row r="4005">
      <c r="A4005" s="3">
        <f>IFERROR(__xludf.DUMMYFUNCTION("""COMPUTED_VALUE"""),42433.64583333333)</f>
        <v>42433.64583</v>
      </c>
      <c r="B4005" s="2">
        <f>IFERROR(__xludf.DUMMYFUNCTION("""COMPUTED_VALUE"""),507.73)</f>
        <v>507.73</v>
      </c>
      <c r="C4005" s="2">
        <f>IFERROR(__xludf.DUMMYFUNCTION("""COMPUTED_VALUE"""),512.45)</f>
        <v>512.45</v>
      </c>
      <c r="D4005" s="2">
        <f>IFERROR(__xludf.DUMMYFUNCTION("""COMPUTED_VALUE"""),496.55)</f>
        <v>496.55</v>
      </c>
      <c r="E4005" s="2">
        <f>IFERROR(__xludf.DUMMYFUNCTION("""COMPUTED_VALUE"""),510.28)</f>
        <v>510.28</v>
      </c>
      <c r="F4005" s="2">
        <f>IFERROR(__xludf.DUMMYFUNCTION("""COMPUTED_VALUE"""),1426156.0)</f>
        <v>1426156</v>
      </c>
    </row>
    <row r="4006">
      <c r="A4006" s="3">
        <f>IFERROR(__xludf.DUMMYFUNCTION("""COMPUTED_VALUE"""),42437.64583333333)</f>
        <v>42437.64583</v>
      </c>
      <c r="B4006" s="2">
        <f>IFERROR(__xludf.DUMMYFUNCTION("""COMPUTED_VALUE"""),512.0)</f>
        <v>512</v>
      </c>
      <c r="C4006" s="2">
        <f>IFERROR(__xludf.DUMMYFUNCTION("""COMPUTED_VALUE"""),512.0)</f>
        <v>512</v>
      </c>
      <c r="D4006" s="2">
        <f>IFERROR(__xludf.DUMMYFUNCTION("""COMPUTED_VALUE"""),504.75)</f>
        <v>504.75</v>
      </c>
      <c r="E4006" s="2">
        <f>IFERROR(__xludf.DUMMYFUNCTION("""COMPUTED_VALUE"""),507.08)</f>
        <v>507.08</v>
      </c>
      <c r="F4006" s="2">
        <f>IFERROR(__xludf.DUMMYFUNCTION("""COMPUTED_VALUE"""),478422.0)</f>
        <v>478422</v>
      </c>
    </row>
    <row r="4007">
      <c r="A4007" s="3">
        <f>IFERROR(__xludf.DUMMYFUNCTION("""COMPUTED_VALUE"""),42438.64583333333)</f>
        <v>42438.64583</v>
      </c>
      <c r="B4007" s="2">
        <f>IFERROR(__xludf.DUMMYFUNCTION("""COMPUTED_VALUE"""),506.5)</f>
        <v>506.5</v>
      </c>
      <c r="C4007" s="2">
        <f>IFERROR(__xludf.DUMMYFUNCTION("""COMPUTED_VALUE"""),514.95)</f>
        <v>514.95</v>
      </c>
      <c r="D4007" s="2">
        <f>IFERROR(__xludf.DUMMYFUNCTION("""COMPUTED_VALUE"""),503.38)</f>
        <v>503.38</v>
      </c>
      <c r="E4007" s="2">
        <f>IFERROR(__xludf.DUMMYFUNCTION("""COMPUTED_VALUE"""),512.4)</f>
        <v>512.4</v>
      </c>
      <c r="F4007" s="2">
        <f>IFERROR(__xludf.DUMMYFUNCTION("""COMPUTED_VALUE"""),1632043.0)</f>
        <v>1632043</v>
      </c>
    </row>
    <row r="4008">
      <c r="A4008" s="3">
        <f>IFERROR(__xludf.DUMMYFUNCTION("""COMPUTED_VALUE"""),42439.64583333333)</f>
        <v>42439.64583</v>
      </c>
      <c r="B4008" s="2">
        <f>IFERROR(__xludf.DUMMYFUNCTION("""COMPUTED_VALUE"""),512.4)</f>
        <v>512.4</v>
      </c>
      <c r="C4008" s="2">
        <f>IFERROR(__xludf.DUMMYFUNCTION("""COMPUTED_VALUE"""),512.88)</f>
        <v>512.88</v>
      </c>
      <c r="D4008" s="2">
        <f>IFERROR(__xludf.DUMMYFUNCTION("""COMPUTED_VALUE"""),505.05)</f>
        <v>505.05</v>
      </c>
      <c r="E4008" s="2">
        <f>IFERROR(__xludf.DUMMYFUNCTION("""COMPUTED_VALUE"""),510.63)</f>
        <v>510.63</v>
      </c>
      <c r="F4008" s="2">
        <f>IFERROR(__xludf.DUMMYFUNCTION("""COMPUTED_VALUE"""),667848.0)</f>
        <v>667848</v>
      </c>
    </row>
    <row r="4009">
      <c r="A4009" s="3">
        <f>IFERROR(__xludf.DUMMYFUNCTION("""COMPUTED_VALUE"""),42440.64583333333)</f>
        <v>42440.64583</v>
      </c>
      <c r="B4009" s="2">
        <f>IFERROR(__xludf.DUMMYFUNCTION("""COMPUTED_VALUE"""),509.95)</f>
        <v>509.95</v>
      </c>
      <c r="C4009" s="2">
        <f>IFERROR(__xludf.DUMMYFUNCTION("""COMPUTED_VALUE"""),515.4)</f>
        <v>515.4</v>
      </c>
      <c r="D4009" s="2">
        <f>IFERROR(__xludf.DUMMYFUNCTION("""COMPUTED_VALUE"""),506.5)</f>
        <v>506.5</v>
      </c>
      <c r="E4009" s="2">
        <f>IFERROR(__xludf.DUMMYFUNCTION("""COMPUTED_VALUE"""),514.35)</f>
        <v>514.35</v>
      </c>
      <c r="F4009" s="2">
        <f>IFERROR(__xludf.DUMMYFUNCTION("""COMPUTED_VALUE"""),1182714.0)</f>
        <v>1182714</v>
      </c>
    </row>
    <row r="4010">
      <c r="A4010" s="3">
        <f>IFERROR(__xludf.DUMMYFUNCTION("""COMPUTED_VALUE"""),42443.64583333333)</f>
        <v>42443.64583</v>
      </c>
      <c r="B4010" s="2">
        <f>IFERROR(__xludf.DUMMYFUNCTION("""COMPUTED_VALUE"""),514.0)</f>
        <v>514</v>
      </c>
      <c r="C4010" s="2">
        <f>IFERROR(__xludf.DUMMYFUNCTION("""COMPUTED_VALUE"""),518.98)</f>
        <v>518.98</v>
      </c>
      <c r="D4010" s="2">
        <f>IFERROR(__xludf.DUMMYFUNCTION("""COMPUTED_VALUE"""),512.63)</f>
        <v>512.63</v>
      </c>
      <c r="E4010" s="2">
        <f>IFERROR(__xludf.DUMMYFUNCTION("""COMPUTED_VALUE"""),513.78)</f>
        <v>513.78</v>
      </c>
      <c r="F4010" s="2">
        <f>IFERROR(__xludf.DUMMYFUNCTION("""COMPUTED_VALUE"""),752164.0)</f>
        <v>752164</v>
      </c>
    </row>
    <row r="4011">
      <c r="A4011" s="3">
        <f>IFERROR(__xludf.DUMMYFUNCTION("""COMPUTED_VALUE"""),42444.64583333333)</f>
        <v>42444.64583</v>
      </c>
      <c r="B4011" s="2">
        <f>IFERROR(__xludf.DUMMYFUNCTION("""COMPUTED_VALUE"""),513.95)</f>
        <v>513.95</v>
      </c>
      <c r="C4011" s="2">
        <f>IFERROR(__xludf.DUMMYFUNCTION("""COMPUTED_VALUE"""),516.7)</f>
        <v>516.7</v>
      </c>
      <c r="D4011" s="2">
        <f>IFERROR(__xludf.DUMMYFUNCTION("""COMPUTED_VALUE"""),510.83)</f>
        <v>510.83</v>
      </c>
      <c r="E4011" s="2">
        <f>IFERROR(__xludf.DUMMYFUNCTION("""COMPUTED_VALUE"""),513.35)</f>
        <v>513.35</v>
      </c>
      <c r="F4011" s="2">
        <f>IFERROR(__xludf.DUMMYFUNCTION("""COMPUTED_VALUE"""),1922509.0)</f>
        <v>1922509</v>
      </c>
    </row>
    <row r="4012">
      <c r="A4012" s="3">
        <f>IFERROR(__xludf.DUMMYFUNCTION("""COMPUTED_VALUE"""),42445.64583333333)</f>
        <v>42445.64583</v>
      </c>
      <c r="B4012" s="2">
        <f>IFERROR(__xludf.DUMMYFUNCTION("""COMPUTED_VALUE"""),513.5)</f>
        <v>513.5</v>
      </c>
      <c r="C4012" s="2">
        <f>IFERROR(__xludf.DUMMYFUNCTION("""COMPUTED_VALUE"""),517.13)</f>
        <v>517.13</v>
      </c>
      <c r="D4012" s="2">
        <f>IFERROR(__xludf.DUMMYFUNCTION("""COMPUTED_VALUE"""),509.48)</f>
        <v>509.48</v>
      </c>
      <c r="E4012" s="2">
        <f>IFERROR(__xludf.DUMMYFUNCTION("""COMPUTED_VALUE"""),515.23)</f>
        <v>515.23</v>
      </c>
      <c r="F4012" s="2">
        <f>IFERROR(__xludf.DUMMYFUNCTION("""COMPUTED_VALUE"""),1200887.0)</f>
        <v>1200887</v>
      </c>
    </row>
    <row r="4013">
      <c r="A4013" s="3">
        <f>IFERROR(__xludf.DUMMYFUNCTION("""COMPUTED_VALUE"""),42446.64583333333)</f>
        <v>42446.64583</v>
      </c>
      <c r="B4013" s="2">
        <f>IFERROR(__xludf.DUMMYFUNCTION("""COMPUTED_VALUE"""),517.48)</f>
        <v>517.48</v>
      </c>
      <c r="C4013" s="2">
        <f>IFERROR(__xludf.DUMMYFUNCTION("""COMPUTED_VALUE"""),519.5)</f>
        <v>519.5</v>
      </c>
      <c r="D4013" s="2">
        <f>IFERROR(__xludf.DUMMYFUNCTION("""COMPUTED_VALUE"""),505.58)</f>
        <v>505.58</v>
      </c>
      <c r="E4013" s="2">
        <f>IFERROR(__xludf.DUMMYFUNCTION("""COMPUTED_VALUE"""),509.2)</f>
        <v>509.2</v>
      </c>
      <c r="F4013" s="2">
        <f>IFERROR(__xludf.DUMMYFUNCTION("""COMPUTED_VALUE"""),1278371.0)</f>
        <v>1278371</v>
      </c>
    </row>
    <row r="4014">
      <c r="A4014" s="3">
        <f>IFERROR(__xludf.DUMMYFUNCTION("""COMPUTED_VALUE"""),42447.64583333333)</f>
        <v>42447.64583</v>
      </c>
      <c r="B4014" s="2">
        <f>IFERROR(__xludf.DUMMYFUNCTION("""COMPUTED_VALUE"""),511.48)</f>
        <v>511.48</v>
      </c>
      <c r="C4014" s="2">
        <f>IFERROR(__xludf.DUMMYFUNCTION("""COMPUTED_VALUE"""),516.0)</f>
        <v>516</v>
      </c>
      <c r="D4014" s="2">
        <f>IFERROR(__xludf.DUMMYFUNCTION("""COMPUTED_VALUE"""),507.68)</f>
        <v>507.68</v>
      </c>
      <c r="E4014" s="2">
        <f>IFERROR(__xludf.DUMMYFUNCTION("""COMPUTED_VALUE"""),514.2)</f>
        <v>514.2</v>
      </c>
      <c r="F4014" s="2">
        <f>IFERROR(__xludf.DUMMYFUNCTION("""COMPUTED_VALUE"""),1033767.0)</f>
        <v>1033767</v>
      </c>
    </row>
    <row r="4015">
      <c r="A4015" s="3">
        <f>IFERROR(__xludf.DUMMYFUNCTION("""COMPUTED_VALUE"""),42450.64583333333)</f>
        <v>42450.64583</v>
      </c>
      <c r="B4015" s="2">
        <f>IFERROR(__xludf.DUMMYFUNCTION("""COMPUTED_VALUE"""),516.5)</f>
        <v>516.5</v>
      </c>
      <c r="C4015" s="2">
        <f>IFERROR(__xludf.DUMMYFUNCTION("""COMPUTED_VALUE"""),523.67)</f>
        <v>523.67</v>
      </c>
      <c r="D4015" s="2">
        <f>IFERROR(__xludf.DUMMYFUNCTION("""COMPUTED_VALUE"""),516.13)</f>
        <v>516.13</v>
      </c>
      <c r="E4015" s="2">
        <f>IFERROR(__xludf.DUMMYFUNCTION("""COMPUTED_VALUE"""),522.8)</f>
        <v>522.8</v>
      </c>
      <c r="F4015" s="2">
        <f>IFERROR(__xludf.DUMMYFUNCTION("""COMPUTED_VALUE"""),1329699.0)</f>
        <v>1329699</v>
      </c>
    </row>
    <row r="4016">
      <c r="A4016" s="3">
        <f>IFERROR(__xludf.DUMMYFUNCTION("""COMPUTED_VALUE"""),42451.64583333333)</f>
        <v>42451.64583</v>
      </c>
      <c r="B4016" s="2">
        <f>IFERROR(__xludf.DUMMYFUNCTION("""COMPUTED_VALUE"""),523.25)</f>
        <v>523.25</v>
      </c>
      <c r="C4016" s="2">
        <f>IFERROR(__xludf.DUMMYFUNCTION("""COMPUTED_VALUE"""),528.3)</f>
        <v>528.3</v>
      </c>
      <c r="D4016" s="2">
        <f>IFERROR(__xludf.DUMMYFUNCTION("""COMPUTED_VALUE"""),520.35)</f>
        <v>520.35</v>
      </c>
      <c r="E4016" s="2">
        <f>IFERROR(__xludf.DUMMYFUNCTION("""COMPUTED_VALUE"""),526.92)</f>
        <v>526.92</v>
      </c>
      <c r="F4016" s="2">
        <f>IFERROR(__xludf.DUMMYFUNCTION("""COMPUTED_VALUE"""),1030066.0)</f>
        <v>1030066</v>
      </c>
    </row>
    <row r="4017">
      <c r="A4017" s="3">
        <f>IFERROR(__xludf.DUMMYFUNCTION("""COMPUTED_VALUE"""),42452.64583333333)</f>
        <v>42452.64583</v>
      </c>
      <c r="B4017" s="2">
        <f>IFERROR(__xludf.DUMMYFUNCTION("""COMPUTED_VALUE"""),526.53)</f>
        <v>526.53</v>
      </c>
      <c r="C4017" s="2">
        <f>IFERROR(__xludf.DUMMYFUNCTION("""COMPUTED_VALUE"""),526.53)</f>
        <v>526.53</v>
      </c>
      <c r="D4017" s="2">
        <f>IFERROR(__xludf.DUMMYFUNCTION("""COMPUTED_VALUE"""),520.28)</f>
        <v>520.28</v>
      </c>
      <c r="E4017" s="2">
        <f>IFERROR(__xludf.DUMMYFUNCTION("""COMPUTED_VALUE"""),524.67)</f>
        <v>524.67</v>
      </c>
      <c r="F4017" s="2">
        <f>IFERROR(__xludf.DUMMYFUNCTION("""COMPUTED_VALUE"""),2116075.0)</f>
        <v>2116075</v>
      </c>
    </row>
    <row r="4018">
      <c r="A4018" s="3">
        <f>IFERROR(__xludf.DUMMYFUNCTION("""COMPUTED_VALUE"""),42457.64583333333)</f>
        <v>42457.64583</v>
      </c>
      <c r="B4018" s="2">
        <f>IFERROR(__xludf.DUMMYFUNCTION("""COMPUTED_VALUE"""),522.5)</f>
        <v>522.5</v>
      </c>
      <c r="C4018" s="2">
        <f>IFERROR(__xludf.DUMMYFUNCTION("""COMPUTED_VALUE"""),526.5)</f>
        <v>526.5</v>
      </c>
      <c r="D4018" s="2">
        <f>IFERROR(__xludf.DUMMYFUNCTION("""COMPUTED_VALUE"""),520.83)</f>
        <v>520.83</v>
      </c>
      <c r="E4018" s="2">
        <f>IFERROR(__xludf.DUMMYFUNCTION("""COMPUTED_VALUE"""),523.75)</f>
        <v>523.75</v>
      </c>
      <c r="F4018" s="2">
        <f>IFERROR(__xludf.DUMMYFUNCTION("""COMPUTED_VALUE"""),2817717.0)</f>
        <v>2817717</v>
      </c>
    </row>
    <row r="4019">
      <c r="A4019" s="3">
        <f>IFERROR(__xludf.DUMMYFUNCTION("""COMPUTED_VALUE"""),42458.64583333333)</f>
        <v>42458.64583</v>
      </c>
      <c r="B4019" s="2">
        <f>IFERROR(__xludf.DUMMYFUNCTION("""COMPUTED_VALUE"""),523.75)</f>
        <v>523.75</v>
      </c>
      <c r="C4019" s="2">
        <f>IFERROR(__xludf.DUMMYFUNCTION("""COMPUTED_VALUE"""),529.75)</f>
        <v>529.75</v>
      </c>
      <c r="D4019" s="2">
        <f>IFERROR(__xludf.DUMMYFUNCTION("""COMPUTED_VALUE"""),522.13)</f>
        <v>522.13</v>
      </c>
      <c r="E4019" s="2">
        <f>IFERROR(__xludf.DUMMYFUNCTION("""COMPUTED_VALUE"""),526.9)</f>
        <v>526.9</v>
      </c>
      <c r="F4019" s="2">
        <f>IFERROR(__xludf.DUMMYFUNCTION("""COMPUTED_VALUE"""),1683488.0)</f>
        <v>1683488</v>
      </c>
    </row>
    <row r="4020">
      <c r="A4020" s="3">
        <f>IFERROR(__xludf.DUMMYFUNCTION("""COMPUTED_VALUE"""),42459.64583333333)</f>
        <v>42459.64583</v>
      </c>
      <c r="B4020" s="2">
        <f>IFERROR(__xludf.DUMMYFUNCTION("""COMPUTED_VALUE"""),529.0)</f>
        <v>529</v>
      </c>
      <c r="C4020" s="2">
        <f>IFERROR(__xludf.DUMMYFUNCTION("""COMPUTED_VALUE"""),534.95)</f>
        <v>534.95</v>
      </c>
      <c r="D4020" s="2">
        <f>IFERROR(__xludf.DUMMYFUNCTION("""COMPUTED_VALUE"""),526.95)</f>
        <v>526.95</v>
      </c>
      <c r="E4020" s="2">
        <f>IFERROR(__xludf.DUMMYFUNCTION("""COMPUTED_VALUE"""),532.48)</f>
        <v>532.48</v>
      </c>
      <c r="F4020" s="2">
        <f>IFERROR(__xludf.DUMMYFUNCTION("""COMPUTED_VALUE"""),1953595.0)</f>
        <v>1953595</v>
      </c>
    </row>
    <row r="4021">
      <c r="A4021" s="3">
        <f>IFERROR(__xludf.DUMMYFUNCTION("""COMPUTED_VALUE"""),42460.64583333333)</f>
        <v>42460.64583</v>
      </c>
      <c r="B4021" s="2">
        <f>IFERROR(__xludf.DUMMYFUNCTION("""COMPUTED_VALUE"""),533.42)</f>
        <v>533.42</v>
      </c>
      <c r="C4021" s="2">
        <f>IFERROR(__xludf.DUMMYFUNCTION("""COMPUTED_VALUE"""),539.45)</f>
        <v>539.45</v>
      </c>
      <c r="D4021" s="2">
        <f>IFERROR(__xludf.DUMMYFUNCTION("""COMPUTED_VALUE"""),532.53)</f>
        <v>532.53</v>
      </c>
      <c r="E4021" s="2">
        <f>IFERROR(__xludf.DUMMYFUNCTION("""COMPUTED_VALUE"""),535.58)</f>
        <v>535.58</v>
      </c>
      <c r="F4021" s="2">
        <f>IFERROR(__xludf.DUMMYFUNCTION("""COMPUTED_VALUE"""),5020098.0)</f>
        <v>5020098</v>
      </c>
    </row>
    <row r="4022">
      <c r="A4022" s="3">
        <f>IFERROR(__xludf.DUMMYFUNCTION("""COMPUTED_VALUE"""),42461.64583333333)</f>
        <v>42461.64583</v>
      </c>
      <c r="B4022" s="2">
        <f>IFERROR(__xludf.DUMMYFUNCTION("""COMPUTED_VALUE"""),534.4)</f>
        <v>534.4</v>
      </c>
      <c r="C4022" s="2">
        <f>IFERROR(__xludf.DUMMYFUNCTION("""COMPUTED_VALUE"""),538.2)</f>
        <v>538.2</v>
      </c>
      <c r="D4022" s="2">
        <f>IFERROR(__xludf.DUMMYFUNCTION("""COMPUTED_VALUE"""),528.4)</f>
        <v>528.4</v>
      </c>
      <c r="E4022" s="2">
        <f>IFERROR(__xludf.DUMMYFUNCTION("""COMPUTED_VALUE"""),532.23)</f>
        <v>532.23</v>
      </c>
      <c r="F4022" s="2">
        <f>IFERROR(__xludf.DUMMYFUNCTION("""COMPUTED_VALUE"""),1289662.0)</f>
        <v>1289662</v>
      </c>
    </row>
    <row r="4023">
      <c r="A4023" s="3">
        <f>IFERROR(__xludf.DUMMYFUNCTION("""COMPUTED_VALUE"""),42464.64583333333)</f>
        <v>42464.64583</v>
      </c>
      <c r="B4023" s="2">
        <f>IFERROR(__xludf.DUMMYFUNCTION("""COMPUTED_VALUE"""),532.6)</f>
        <v>532.6</v>
      </c>
      <c r="C4023" s="2">
        <f>IFERROR(__xludf.DUMMYFUNCTION("""COMPUTED_VALUE"""),536.4)</f>
        <v>536.4</v>
      </c>
      <c r="D4023" s="2">
        <f>IFERROR(__xludf.DUMMYFUNCTION("""COMPUTED_VALUE"""),532.0)</f>
        <v>532</v>
      </c>
      <c r="E4023" s="2">
        <f>IFERROR(__xludf.DUMMYFUNCTION("""COMPUTED_VALUE"""),534.53)</f>
        <v>534.53</v>
      </c>
      <c r="F4023" s="2">
        <f>IFERROR(__xludf.DUMMYFUNCTION("""COMPUTED_VALUE"""),1544990.0)</f>
        <v>1544990</v>
      </c>
    </row>
    <row r="4024">
      <c r="A4024" s="3">
        <f>IFERROR(__xludf.DUMMYFUNCTION("""COMPUTED_VALUE"""),42465.64583333333)</f>
        <v>42465.64583</v>
      </c>
      <c r="B4024" s="2">
        <f>IFERROR(__xludf.DUMMYFUNCTION("""COMPUTED_VALUE"""),534.5)</f>
        <v>534.5</v>
      </c>
      <c r="C4024" s="2">
        <f>IFERROR(__xludf.DUMMYFUNCTION("""COMPUTED_VALUE"""),538.45)</f>
        <v>538.45</v>
      </c>
      <c r="D4024" s="2">
        <f>IFERROR(__xludf.DUMMYFUNCTION("""COMPUTED_VALUE"""),527.83)</f>
        <v>527.83</v>
      </c>
      <c r="E4024" s="2">
        <f>IFERROR(__xludf.DUMMYFUNCTION("""COMPUTED_VALUE"""),528.73)</f>
        <v>528.73</v>
      </c>
      <c r="F4024" s="2">
        <f>IFERROR(__xludf.DUMMYFUNCTION("""COMPUTED_VALUE"""),1665757.0)</f>
        <v>1665757</v>
      </c>
    </row>
    <row r="4025">
      <c r="A4025" s="3">
        <f>IFERROR(__xludf.DUMMYFUNCTION("""COMPUTED_VALUE"""),42466.64583333333)</f>
        <v>42466.64583</v>
      </c>
      <c r="B4025" s="2">
        <f>IFERROR(__xludf.DUMMYFUNCTION("""COMPUTED_VALUE"""),530.5)</f>
        <v>530.5</v>
      </c>
      <c r="C4025" s="2">
        <f>IFERROR(__xludf.DUMMYFUNCTION("""COMPUTED_VALUE"""),533.48)</f>
        <v>533.48</v>
      </c>
      <c r="D4025" s="2">
        <f>IFERROR(__xludf.DUMMYFUNCTION("""COMPUTED_VALUE"""),528.38)</f>
        <v>528.38</v>
      </c>
      <c r="E4025" s="2">
        <f>IFERROR(__xludf.DUMMYFUNCTION("""COMPUTED_VALUE"""),530.75)</f>
        <v>530.75</v>
      </c>
      <c r="F4025" s="2">
        <f>IFERROR(__xludf.DUMMYFUNCTION("""COMPUTED_VALUE"""),1073844.0)</f>
        <v>1073844</v>
      </c>
    </row>
    <row r="4026">
      <c r="A4026" s="3">
        <f>IFERROR(__xludf.DUMMYFUNCTION("""COMPUTED_VALUE"""),42467.64583333333)</f>
        <v>42467.64583</v>
      </c>
      <c r="B4026" s="2">
        <f>IFERROR(__xludf.DUMMYFUNCTION("""COMPUTED_VALUE"""),532.0)</f>
        <v>532</v>
      </c>
      <c r="C4026" s="2">
        <f>IFERROR(__xludf.DUMMYFUNCTION("""COMPUTED_VALUE"""),532.38)</f>
        <v>532.38</v>
      </c>
      <c r="D4026" s="2">
        <f>IFERROR(__xludf.DUMMYFUNCTION("""COMPUTED_VALUE"""),523.53)</f>
        <v>523.53</v>
      </c>
      <c r="E4026" s="2">
        <f>IFERROR(__xludf.DUMMYFUNCTION("""COMPUTED_VALUE"""),527.75)</f>
        <v>527.75</v>
      </c>
      <c r="F4026" s="2">
        <f>IFERROR(__xludf.DUMMYFUNCTION("""COMPUTED_VALUE"""),977923.0)</f>
        <v>977923</v>
      </c>
    </row>
    <row r="4027">
      <c r="A4027" s="3">
        <f>IFERROR(__xludf.DUMMYFUNCTION("""COMPUTED_VALUE"""),42468.64583333333)</f>
        <v>42468.64583</v>
      </c>
      <c r="B4027" s="2">
        <f>IFERROR(__xludf.DUMMYFUNCTION("""COMPUTED_VALUE"""),527.5)</f>
        <v>527.5</v>
      </c>
      <c r="C4027" s="2">
        <f>IFERROR(__xludf.DUMMYFUNCTION("""COMPUTED_VALUE"""),531.67)</f>
        <v>531.67</v>
      </c>
      <c r="D4027" s="2">
        <f>IFERROR(__xludf.DUMMYFUNCTION("""COMPUTED_VALUE"""),527.13)</f>
        <v>527.13</v>
      </c>
      <c r="E4027" s="2">
        <f>IFERROR(__xludf.DUMMYFUNCTION("""COMPUTED_VALUE"""),529.67)</f>
        <v>529.67</v>
      </c>
      <c r="F4027" s="2">
        <f>IFERROR(__xludf.DUMMYFUNCTION("""COMPUTED_VALUE"""),740699.0)</f>
        <v>740699</v>
      </c>
    </row>
    <row r="4028">
      <c r="A4028" s="3">
        <f>IFERROR(__xludf.DUMMYFUNCTION("""COMPUTED_VALUE"""),42471.64583333333)</f>
        <v>42471.64583</v>
      </c>
      <c r="B4028" s="2">
        <f>IFERROR(__xludf.DUMMYFUNCTION("""COMPUTED_VALUE"""),530.15)</f>
        <v>530.15</v>
      </c>
      <c r="C4028" s="2">
        <f>IFERROR(__xludf.DUMMYFUNCTION("""COMPUTED_VALUE"""),537.05)</f>
        <v>537.05</v>
      </c>
      <c r="D4028" s="2">
        <f>IFERROR(__xludf.DUMMYFUNCTION("""COMPUTED_VALUE"""),521.42)</f>
        <v>521.42</v>
      </c>
      <c r="E4028" s="2">
        <f>IFERROR(__xludf.DUMMYFUNCTION("""COMPUTED_VALUE"""),535.48)</f>
        <v>535.48</v>
      </c>
      <c r="F4028" s="2">
        <f>IFERROR(__xludf.DUMMYFUNCTION("""COMPUTED_VALUE"""),1012405.0)</f>
        <v>1012405</v>
      </c>
    </row>
    <row r="4029">
      <c r="A4029" s="3">
        <f>IFERROR(__xludf.DUMMYFUNCTION("""COMPUTED_VALUE"""),42472.64583333333)</f>
        <v>42472.64583</v>
      </c>
      <c r="B4029" s="2">
        <f>IFERROR(__xludf.DUMMYFUNCTION("""COMPUTED_VALUE"""),534.8)</f>
        <v>534.8</v>
      </c>
      <c r="C4029" s="2">
        <f>IFERROR(__xludf.DUMMYFUNCTION("""COMPUTED_VALUE"""),535.5)</f>
        <v>535.5</v>
      </c>
      <c r="D4029" s="2">
        <f>IFERROR(__xludf.DUMMYFUNCTION("""COMPUTED_VALUE"""),529.63)</f>
        <v>529.63</v>
      </c>
      <c r="E4029" s="2">
        <f>IFERROR(__xludf.DUMMYFUNCTION("""COMPUTED_VALUE"""),531.5)</f>
        <v>531.5</v>
      </c>
      <c r="F4029" s="2">
        <f>IFERROR(__xludf.DUMMYFUNCTION("""COMPUTED_VALUE"""),1235370.0)</f>
        <v>1235370</v>
      </c>
    </row>
    <row r="4030">
      <c r="A4030" s="3">
        <f>IFERROR(__xludf.DUMMYFUNCTION("""COMPUTED_VALUE"""),42473.64583333333)</f>
        <v>42473.64583</v>
      </c>
      <c r="B4030" s="2">
        <f>IFERROR(__xludf.DUMMYFUNCTION("""COMPUTED_VALUE"""),536.0)</f>
        <v>536</v>
      </c>
      <c r="C4030" s="2">
        <f>IFERROR(__xludf.DUMMYFUNCTION("""COMPUTED_VALUE"""),542.48)</f>
        <v>542.48</v>
      </c>
      <c r="D4030" s="2">
        <f>IFERROR(__xludf.DUMMYFUNCTION("""COMPUTED_VALUE"""),534.75)</f>
        <v>534.75</v>
      </c>
      <c r="E4030" s="2">
        <f>IFERROR(__xludf.DUMMYFUNCTION("""COMPUTED_VALUE"""),540.88)</f>
        <v>540.88</v>
      </c>
      <c r="F4030" s="2">
        <f>IFERROR(__xludf.DUMMYFUNCTION("""COMPUTED_VALUE"""),1243651.0)</f>
        <v>1243651</v>
      </c>
    </row>
    <row r="4031">
      <c r="A4031" s="3">
        <f>IFERROR(__xludf.DUMMYFUNCTION("""COMPUTED_VALUE"""),42478.64583333333)</f>
        <v>42478.64583</v>
      </c>
      <c r="B4031" s="2">
        <f>IFERROR(__xludf.DUMMYFUNCTION("""COMPUTED_VALUE"""),541.75)</f>
        <v>541.75</v>
      </c>
      <c r="C4031" s="2">
        <f>IFERROR(__xludf.DUMMYFUNCTION("""COMPUTED_VALUE"""),546.0)</f>
        <v>546</v>
      </c>
      <c r="D4031" s="2">
        <f>IFERROR(__xludf.DUMMYFUNCTION("""COMPUTED_VALUE"""),535.8)</f>
        <v>535.8</v>
      </c>
      <c r="E4031" s="2">
        <f>IFERROR(__xludf.DUMMYFUNCTION("""COMPUTED_VALUE"""),543.9)</f>
        <v>543.9</v>
      </c>
      <c r="F4031" s="2">
        <f>IFERROR(__xludf.DUMMYFUNCTION("""COMPUTED_VALUE"""),1029267.0)</f>
        <v>1029267</v>
      </c>
    </row>
    <row r="4032">
      <c r="A4032" s="3">
        <f>IFERROR(__xludf.DUMMYFUNCTION("""COMPUTED_VALUE"""),42480.64583333333)</f>
        <v>42480.64583</v>
      </c>
      <c r="B4032" s="2">
        <f>IFERROR(__xludf.DUMMYFUNCTION("""COMPUTED_VALUE"""),545.95)</f>
        <v>545.95</v>
      </c>
      <c r="C4032" s="2">
        <f>IFERROR(__xludf.DUMMYFUNCTION("""COMPUTED_VALUE"""),550.0)</f>
        <v>550</v>
      </c>
      <c r="D4032" s="2">
        <f>IFERROR(__xludf.DUMMYFUNCTION("""COMPUTED_VALUE"""),541.78)</f>
        <v>541.78</v>
      </c>
      <c r="E4032" s="2">
        <f>IFERROR(__xludf.DUMMYFUNCTION("""COMPUTED_VALUE"""),548.92)</f>
        <v>548.92</v>
      </c>
      <c r="F4032" s="2">
        <f>IFERROR(__xludf.DUMMYFUNCTION("""COMPUTED_VALUE"""),955338.0)</f>
        <v>955338</v>
      </c>
    </row>
    <row r="4033">
      <c r="A4033" s="3">
        <f>IFERROR(__xludf.DUMMYFUNCTION("""COMPUTED_VALUE"""),42481.64583333333)</f>
        <v>42481.64583</v>
      </c>
      <c r="B4033" s="2">
        <f>IFERROR(__xludf.DUMMYFUNCTION("""COMPUTED_VALUE"""),547.5)</f>
        <v>547.5</v>
      </c>
      <c r="C4033" s="2">
        <f>IFERROR(__xludf.DUMMYFUNCTION("""COMPUTED_VALUE"""),552.58)</f>
        <v>552.58</v>
      </c>
      <c r="D4033" s="2">
        <f>IFERROR(__xludf.DUMMYFUNCTION("""COMPUTED_VALUE"""),544.5)</f>
        <v>544.5</v>
      </c>
      <c r="E4033" s="2">
        <f>IFERROR(__xludf.DUMMYFUNCTION("""COMPUTED_VALUE"""),545.58)</f>
        <v>545.58</v>
      </c>
      <c r="F4033" s="2">
        <f>IFERROR(__xludf.DUMMYFUNCTION("""COMPUTED_VALUE"""),2047932.0)</f>
        <v>2047932</v>
      </c>
    </row>
    <row r="4034">
      <c r="A4034" s="3">
        <f>IFERROR(__xludf.DUMMYFUNCTION("""COMPUTED_VALUE"""),42482.64583333333)</f>
        <v>42482.64583</v>
      </c>
      <c r="B4034" s="2">
        <f>IFERROR(__xludf.DUMMYFUNCTION("""COMPUTED_VALUE"""),544.75)</f>
        <v>544.75</v>
      </c>
      <c r="C4034" s="2">
        <f>IFERROR(__xludf.DUMMYFUNCTION("""COMPUTED_VALUE"""),550.42)</f>
        <v>550.42</v>
      </c>
      <c r="D4034" s="2">
        <f>IFERROR(__xludf.DUMMYFUNCTION("""COMPUTED_VALUE"""),542.6)</f>
        <v>542.6</v>
      </c>
      <c r="E4034" s="2">
        <f>IFERROR(__xludf.DUMMYFUNCTION("""COMPUTED_VALUE"""),546.08)</f>
        <v>546.08</v>
      </c>
      <c r="F4034" s="2">
        <f>IFERROR(__xludf.DUMMYFUNCTION("""COMPUTED_VALUE"""),1952330.0)</f>
        <v>1952330</v>
      </c>
    </row>
    <row r="4035">
      <c r="A4035" s="3">
        <f>IFERROR(__xludf.DUMMYFUNCTION("""COMPUTED_VALUE"""),42485.64583333333)</f>
        <v>42485.64583</v>
      </c>
      <c r="B4035" s="2">
        <f>IFERROR(__xludf.DUMMYFUNCTION("""COMPUTED_VALUE"""),550.0)</f>
        <v>550</v>
      </c>
      <c r="C4035" s="2">
        <f>IFERROR(__xludf.DUMMYFUNCTION("""COMPUTED_VALUE"""),550.0)</f>
        <v>550</v>
      </c>
      <c r="D4035" s="2">
        <f>IFERROR(__xludf.DUMMYFUNCTION("""COMPUTED_VALUE"""),542.25)</f>
        <v>542.25</v>
      </c>
      <c r="E4035" s="2">
        <f>IFERROR(__xludf.DUMMYFUNCTION("""COMPUTED_VALUE"""),546.63)</f>
        <v>546.63</v>
      </c>
      <c r="F4035" s="2">
        <f>IFERROR(__xludf.DUMMYFUNCTION("""COMPUTED_VALUE"""),1390490.0)</f>
        <v>1390490</v>
      </c>
    </row>
    <row r="4036">
      <c r="A4036" s="3">
        <f>IFERROR(__xludf.DUMMYFUNCTION("""COMPUTED_VALUE"""),42486.64583333333)</f>
        <v>42486.64583</v>
      </c>
      <c r="B4036" s="2">
        <f>IFERROR(__xludf.DUMMYFUNCTION("""COMPUTED_VALUE"""),547.5)</f>
        <v>547.5</v>
      </c>
      <c r="C4036" s="2">
        <f>IFERROR(__xludf.DUMMYFUNCTION("""COMPUTED_VALUE"""),557.5)</f>
        <v>557.5</v>
      </c>
      <c r="D4036" s="2">
        <f>IFERROR(__xludf.DUMMYFUNCTION("""COMPUTED_VALUE"""),546.25)</f>
        <v>546.25</v>
      </c>
      <c r="E4036" s="2">
        <f>IFERROR(__xludf.DUMMYFUNCTION("""COMPUTED_VALUE"""),556.92)</f>
        <v>556.92</v>
      </c>
      <c r="F4036" s="2">
        <f>IFERROR(__xludf.DUMMYFUNCTION("""COMPUTED_VALUE"""),1763449.0)</f>
        <v>1763449</v>
      </c>
    </row>
    <row r="4037">
      <c r="A4037" s="3">
        <f>IFERROR(__xludf.DUMMYFUNCTION("""COMPUTED_VALUE"""),42487.64583333333)</f>
        <v>42487.64583</v>
      </c>
      <c r="B4037" s="2">
        <f>IFERROR(__xludf.DUMMYFUNCTION("""COMPUTED_VALUE"""),554.92)</f>
        <v>554.92</v>
      </c>
      <c r="C4037" s="2">
        <f>IFERROR(__xludf.DUMMYFUNCTION("""COMPUTED_VALUE"""),562.5)</f>
        <v>562.5</v>
      </c>
      <c r="D4037" s="2">
        <f>IFERROR(__xludf.DUMMYFUNCTION("""COMPUTED_VALUE"""),554.5)</f>
        <v>554.5</v>
      </c>
      <c r="E4037" s="2">
        <f>IFERROR(__xludf.DUMMYFUNCTION("""COMPUTED_VALUE"""),562.1)</f>
        <v>562.1</v>
      </c>
      <c r="F4037" s="2">
        <f>IFERROR(__xludf.DUMMYFUNCTION("""COMPUTED_VALUE"""),1440909.0)</f>
        <v>1440909</v>
      </c>
    </row>
    <row r="4038">
      <c r="A4038" s="3">
        <f>IFERROR(__xludf.DUMMYFUNCTION("""COMPUTED_VALUE"""),42488.64583333333)</f>
        <v>42488.64583</v>
      </c>
      <c r="B4038" s="2">
        <f>IFERROR(__xludf.DUMMYFUNCTION("""COMPUTED_VALUE"""),562.1)</f>
        <v>562.1</v>
      </c>
      <c r="C4038" s="2">
        <f>IFERROR(__xludf.DUMMYFUNCTION("""COMPUTED_VALUE"""),568.35)</f>
        <v>568.35</v>
      </c>
      <c r="D4038" s="2">
        <f>IFERROR(__xludf.DUMMYFUNCTION("""COMPUTED_VALUE"""),555.17)</f>
        <v>555.17</v>
      </c>
      <c r="E4038" s="2">
        <f>IFERROR(__xludf.DUMMYFUNCTION("""COMPUTED_VALUE"""),556.98)</f>
        <v>556.98</v>
      </c>
      <c r="F4038" s="2">
        <f>IFERROR(__xludf.DUMMYFUNCTION("""COMPUTED_VALUE"""),2022396.0)</f>
        <v>2022396</v>
      </c>
    </row>
    <row r="4039">
      <c r="A4039" s="3">
        <f>IFERROR(__xludf.DUMMYFUNCTION("""COMPUTED_VALUE"""),42489.64583333333)</f>
        <v>42489.64583</v>
      </c>
      <c r="B4039" s="2">
        <f>IFERROR(__xludf.DUMMYFUNCTION("""COMPUTED_VALUE"""),556.9)</f>
        <v>556.9</v>
      </c>
      <c r="C4039" s="2">
        <f>IFERROR(__xludf.DUMMYFUNCTION("""COMPUTED_VALUE"""),568.0)</f>
        <v>568</v>
      </c>
      <c r="D4039" s="2">
        <f>IFERROR(__xludf.DUMMYFUNCTION("""COMPUTED_VALUE"""),553.1)</f>
        <v>553.1</v>
      </c>
      <c r="E4039" s="2">
        <f>IFERROR(__xludf.DUMMYFUNCTION("""COMPUTED_VALUE"""),566.17)</f>
        <v>566.17</v>
      </c>
      <c r="F4039" s="2">
        <f>IFERROR(__xludf.DUMMYFUNCTION("""COMPUTED_VALUE"""),1402985.0)</f>
        <v>1402985</v>
      </c>
    </row>
    <row r="4040">
      <c r="A4040" s="3">
        <f>IFERROR(__xludf.DUMMYFUNCTION("""COMPUTED_VALUE"""),42492.64583333333)</f>
        <v>42492.64583</v>
      </c>
      <c r="B4040" s="2">
        <f>IFERROR(__xludf.DUMMYFUNCTION("""COMPUTED_VALUE"""),563.88)</f>
        <v>563.88</v>
      </c>
      <c r="C4040" s="2">
        <f>IFERROR(__xludf.DUMMYFUNCTION("""COMPUTED_VALUE"""),565.0)</f>
        <v>565</v>
      </c>
      <c r="D4040" s="2">
        <f>IFERROR(__xludf.DUMMYFUNCTION("""COMPUTED_VALUE"""),558.0)</f>
        <v>558</v>
      </c>
      <c r="E4040" s="2">
        <f>IFERROR(__xludf.DUMMYFUNCTION("""COMPUTED_VALUE"""),558.83)</f>
        <v>558.83</v>
      </c>
      <c r="F4040" s="2">
        <f>IFERROR(__xludf.DUMMYFUNCTION("""COMPUTED_VALUE"""),965679.0)</f>
        <v>965679</v>
      </c>
    </row>
    <row r="4041">
      <c r="A4041" s="3">
        <f>IFERROR(__xludf.DUMMYFUNCTION("""COMPUTED_VALUE"""),42493.64583333333)</f>
        <v>42493.64583</v>
      </c>
      <c r="B4041" s="2">
        <f>IFERROR(__xludf.DUMMYFUNCTION("""COMPUTED_VALUE"""),560.95)</f>
        <v>560.95</v>
      </c>
      <c r="C4041" s="2">
        <f>IFERROR(__xludf.DUMMYFUNCTION("""COMPUTED_VALUE"""),567.5)</f>
        <v>567.5</v>
      </c>
      <c r="D4041" s="2">
        <f>IFERROR(__xludf.DUMMYFUNCTION("""COMPUTED_VALUE"""),556.58)</f>
        <v>556.58</v>
      </c>
      <c r="E4041" s="2">
        <f>IFERROR(__xludf.DUMMYFUNCTION("""COMPUTED_VALUE"""),559.0)</f>
        <v>559</v>
      </c>
      <c r="F4041" s="2">
        <f>IFERROR(__xludf.DUMMYFUNCTION("""COMPUTED_VALUE"""),1173824.0)</f>
        <v>1173824</v>
      </c>
    </row>
    <row r="4042">
      <c r="A4042" s="3">
        <f>IFERROR(__xludf.DUMMYFUNCTION("""COMPUTED_VALUE"""),42494.64583333333)</f>
        <v>42494.64583</v>
      </c>
      <c r="B4042" s="2">
        <f>IFERROR(__xludf.DUMMYFUNCTION("""COMPUTED_VALUE"""),558.75)</f>
        <v>558.75</v>
      </c>
      <c r="C4042" s="2">
        <f>IFERROR(__xludf.DUMMYFUNCTION("""COMPUTED_VALUE"""),567.25)</f>
        <v>567.25</v>
      </c>
      <c r="D4042" s="2">
        <f>IFERROR(__xludf.DUMMYFUNCTION("""COMPUTED_VALUE"""),557.13)</f>
        <v>557.13</v>
      </c>
      <c r="E4042" s="2">
        <f>IFERROR(__xludf.DUMMYFUNCTION("""COMPUTED_VALUE"""),563.67)</f>
        <v>563.67</v>
      </c>
      <c r="F4042" s="2">
        <f>IFERROR(__xludf.DUMMYFUNCTION("""COMPUTED_VALUE"""),1323082.0)</f>
        <v>1323082</v>
      </c>
    </row>
    <row r="4043">
      <c r="A4043" s="3">
        <f>IFERROR(__xludf.DUMMYFUNCTION("""COMPUTED_VALUE"""),42495.64583333333)</f>
        <v>42495.64583</v>
      </c>
      <c r="B4043" s="2">
        <f>IFERROR(__xludf.DUMMYFUNCTION("""COMPUTED_VALUE"""),564.0)</f>
        <v>564</v>
      </c>
      <c r="C4043" s="2">
        <f>IFERROR(__xludf.DUMMYFUNCTION("""COMPUTED_VALUE"""),567.38)</f>
        <v>567.38</v>
      </c>
      <c r="D4043" s="2">
        <f>IFERROR(__xludf.DUMMYFUNCTION("""COMPUTED_VALUE"""),561.35)</f>
        <v>561.35</v>
      </c>
      <c r="E4043" s="2">
        <f>IFERROR(__xludf.DUMMYFUNCTION("""COMPUTED_VALUE"""),566.15)</f>
        <v>566.15</v>
      </c>
      <c r="F4043" s="2">
        <f>IFERROR(__xludf.DUMMYFUNCTION("""COMPUTED_VALUE"""),1303562.0)</f>
        <v>1303562</v>
      </c>
    </row>
    <row r="4044">
      <c r="A4044" s="3">
        <f>IFERROR(__xludf.DUMMYFUNCTION("""COMPUTED_VALUE"""),42496.64583333333)</f>
        <v>42496.64583</v>
      </c>
      <c r="B4044" s="2">
        <f>IFERROR(__xludf.DUMMYFUNCTION("""COMPUTED_VALUE"""),566.0)</f>
        <v>566</v>
      </c>
      <c r="C4044" s="2">
        <f>IFERROR(__xludf.DUMMYFUNCTION("""COMPUTED_VALUE"""),566.13)</f>
        <v>566.13</v>
      </c>
      <c r="D4044" s="2">
        <f>IFERROR(__xludf.DUMMYFUNCTION("""COMPUTED_VALUE"""),558.63)</f>
        <v>558.63</v>
      </c>
      <c r="E4044" s="2">
        <f>IFERROR(__xludf.DUMMYFUNCTION("""COMPUTED_VALUE"""),559.83)</f>
        <v>559.83</v>
      </c>
      <c r="F4044" s="2">
        <f>IFERROR(__xludf.DUMMYFUNCTION("""COMPUTED_VALUE"""),683288.0)</f>
        <v>683288</v>
      </c>
    </row>
    <row r="4045">
      <c r="A4045" s="3">
        <f>IFERROR(__xludf.DUMMYFUNCTION("""COMPUTED_VALUE"""),42499.64583333333)</f>
        <v>42499.64583</v>
      </c>
      <c r="B4045" s="2">
        <f>IFERROR(__xludf.DUMMYFUNCTION("""COMPUTED_VALUE"""),560.0)</f>
        <v>560</v>
      </c>
      <c r="C4045" s="2">
        <f>IFERROR(__xludf.DUMMYFUNCTION("""COMPUTED_VALUE"""),572.48)</f>
        <v>572.48</v>
      </c>
      <c r="D4045" s="2">
        <f>IFERROR(__xludf.DUMMYFUNCTION("""COMPUTED_VALUE"""),559.5)</f>
        <v>559.5</v>
      </c>
      <c r="E4045" s="2">
        <f>IFERROR(__xludf.DUMMYFUNCTION("""COMPUTED_VALUE"""),570.7)</f>
        <v>570.7</v>
      </c>
      <c r="F4045" s="2">
        <f>IFERROR(__xludf.DUMMYFUNCTION("""COMPUTED_VALUE"""),1738295.0)</f>
        <v>1738295</v>
      </c>
    </row>
    <row r="4046">
      <c r="A4046" s="3">
        <f>IFERROR(__xludf.DUMMYFUNCTION("""COMPUTED_VALUE"""),42500.64583333333)</f>
        <v>42500.64583</v>
      </c>
      <c r="B4046" s="2">
        <f>IFERROR(__xludf.DUMMYFUNCTION("""COMPUTED_VALUE"""),571.75)</f>
        <v>571.75</v>
      </c>
      <c r="C4046" s="2">
        <f>IFERROR(__xludf.DUMMYFUNCTION("""COMPUTED_VALUE"""),573.75)</f>
        <v>573.75</v>
      </c>
      <c r="D4046" s="2">
        <f>IFERROR(__xludf.DUMMYFUNCTION("""COMPUTED_VALUE"""),568.05)</f>
        <v>568.05</v>
      </c>
      <c r="E4046" s="2">
        <f>IFERROR(__xludf.DUMMYFUNCTION("""COMPUTED_VALUE"""),572.45)</f>
        <v>572.45</v>
      </c>
      <c r="F4046" s="2">
        <f>IFERROR(__xludf.DUMMYFUNCTION("""COMPUTED_VALUE"""),1363250.0)</f>
        <v>1363250</v>
      </c>
    </row>
    <row r="4047">
      <c r="A4047" s="3">
        <f>IFERROR(__xludf.DUMMYFUNCTION("""COMPUTED_VALUE"""),42501.64583333333)</f>
        <v>42501.64583</v>
      </c>
      <c r="B4047" s="2">
        <f>IFERROR(__xludf.DUMMYFUNCTION("""COMPUTED_VALUE"""),567.35)</f>
        <v>567.35</v>
      </c>
      <c r="C4047" s="2">
        <f>IFERROR(__xludf.DUMMYFUNCTION("""COMPUTED_VALUE"""),572.5)</f>
        <v>572.5</v>
      </c>
      <c r="D4047" s="2">
        <f>IFERROR(__xludf.DUMMYFUNCTION("""COMPUTED_VALUE"""),564.85)</f>
        <v>564.85</v>
      </c>
      <c r="E4047" s="2">
        <f>IFERROR(__xludf.DUMMYFUNCTION("""COMPUTED_VALUE"""),569.4)</f>
        <v>569.4</v>
      </c>
      <c r="F4047" s="2">
        <f>IFERROR(__xludf.DUMMYFUNCTION("""COMPUTED_VALUE"""),1536843.0)</f>
        <v>1536843</v>
      </c>
    </row>
    <row r="4048">
      <c r="A4048" s="3">
        <f>IFERROR(__xludf.DUMMYFUNCTION("""COMPUTED_VALUE"""),42502.64583333333)</f>
        <v>42502.64583</v>
      </c>
      <c r="B4048" s="2">
        <f>IFERROR(__xludf.DUMMYFUNCTION("""COMPUTED_VALUE"""),572.0)</f>
        <v>572</v>
      </c>
      <c r="C4048" s="2">
        <f>IFERROR(__xludf.DUMMYFUNCTION("""COMPUTED_VALUE"""),576.0)</f>
        <v>576</v>
      </c>
      <c r="D4048" s="2">
        <f>IFERROR(__xludf.DUMMYFUNCTION("""COMPUTED_VALUE"""),566.25)</f>
        <v>566.25</v>
      </c>
      <c r="E4048" s="2">
        <f>IFERROR(__xludf.DUMMYFUNCTION("""COMPUTED_VALUE"""),574.55)</f>
        <v>574.55</v>
      </c>
      <c r="F4048" s="2">
        <f>IFERROR(__xludf.DUMMYFUNCTION("""COMPUTED_VALUE"""),1055422.0)</f>
        <v>1055422</v>
      </c>
    </row>
    <row r="4049">
      <c r="A4049" s="3">
        <f>IFERROR(__xludf.DUMMYFUNCTION("""COMPUTED_VALUE"""),42503.64583333333)</f>
        <v>42503.64583</v>
      </c>
      <c r="B4049" s="2">
        <f>IFERROR(__xludf.DUMMYFUNCTION("""COMPUTED_VALUE"""),574.0)</f>
        <v>574</v>
      </c>
      <c r="C4049" s="2">
        <f>IFERROR(__xludf.DUMMYFUNCTION("""COMPUTED_VALUE"""),574.0)</f>
        <v>574</v>
      </c>
      <c r="D4049" s="2">
        <f>IFERROR(__xludf.DUMMYFUNCTION("""COMPUTED_VALUE"""),565.0)</f>
        <v>565</v>
      </c>
      <c r="E4049" s="2">
        <f>IFERROR(__xludf.DUMMYFUNCTION("""COMPUTED_VALUE"""),570.45)</f>
        <v>570.45</v>
      </c>
      <c r="F4049" s="2">
        <f>IFERROR(__xludf.DUMMYFUNCTION("""COMPUTED_VALUE"""),1261329.0)</f>
        <v>1261329</v>
      </c>
    </row>
    <row r="4050">
      <c r="A4050" s="3">
        <f>IFERROR(__xludf.DUMMYFUNCTION("""COMPUTED_VALUE"""),42506.64583333333)</f>
        <v>42506.64583</v>
      </c>
      <c r="B4050" s="2">
        <f>IFERROR(__xludf.DUMMYFUNCTION("""COMPUTED_VALUE"""),572.5)</f>
        <v>572.5</v>
      </c>
      <c r="C4050" s="2">
        <f>IFERROR(__xludf.DUMMYFUNCTION("""COMPUTED_VALUE"""),582.95)</f>
        <v>582.95</v>
      </c>
      <c r="D4050" s="2">
        <f>IFERROR(__xludf.DUMMYFUNCTION("""COMPUTED_VALUE"""),566.28)</f>
        <v>566.28</v>
      </c>
      <c r="E4050" s="2">
        <f>IFERROR(__xludf.DUMMYFUNCTION("""COMPUTED_VALUE"""),581.4)</f>
        <v>581.4</v>
      </c>
      <c r="F4050" s="2">
        <f>IFERROR(__xludf.DUMMYFUNCTION("""COMPUTED_VALUE"""),1129692.0)</f>
        <v>1129692</v>
      </c>
    </row>
    <row r="4051">
      <c r="A4051" s="3">
        <f>IFERROR(__xludf.DUMMYFUNCTION("""COMPUTED_VALUE"""),42507.64583333333)</f>
        <v>42507.64583</v>
      </c>
      <c r="B4051" s="2">
        <f>IFERROR(__xludf.DUMMYFUNCTION("""COMPUTED_VALUE"""),582.53)</f>
        <v>582.53</v>
      </c>
      <c r="C4051" s="2">
        <f>IFERROR(__xludf.DUMMYFUNCTION("""COMPUTED_VALUE"""),584.63)</f>
        <v>584.63</v>
      </c>
      <c r="D4051" s="2">
        <f>IFERROR(__xludf.DUMMYFUNCTION("""COMPUTED_VALUE"""),575.65)</f>
        <v>575.65</v>
      </c>
      <c r="E4051" s="2">
        <f>IFERROR(__xludf.DUMMYFUNCTION("""COMPUTED_VALUE"""),576.73)</f>
        <v>576.73</v>
      </c>
      <c r="F4051" s="2">
        <f>IFERROR(__xludf.DUMMYFUNCTION("""COMPUTED_VALUE"""),1073856.0)</f>
        <v>1073856</v>
      </c>
    </row>
    <row r="4052">
      <c r="A4052" s="3">
        <f>IFERROR(__xludf.DUMMYFUNCTION("""COMPUTED_VALUE"""),42508.64583333333)</f>
        <v>42508.64583</v>
      </c>
      <c r="B4052" s="2">
        <f>IFERROR(__xludf.DUMMYFUNCTION("""COMPUTED_VALUE"""),575.5)</f>
        <v>575.5</v>
      </c>
      <c r="C4052" s="2">
        <f>IFERROR(__xludf.DUMMYFUNCTION("""COMPUTED_VALUE"""),575.5)</f>
        <v>575.5</v>
      </c>
      <c r="D4052" s="2">
        <f>IFERROR(__xludf.DUMMYFUNCTION("""COMPUTED_VALUE"""),565.75)</f>
        <v>565.75</v>
      </c>
      <c r="E4052" s="2">
        <f>IFERROR(__xludf.DUMMYFUNCTION("""COMPUTED_VALUE"""),570.33)</f>
        <v>570.33</v>
      </c>
      <c r="F4052" s="2">
        <f>IFERROR(__xludf.DUMMYFUNCTION("""COMPUTED_VALUE"""),1040661.0)</f>
        <v>1040661</v>
      </c>
    </row>
    <row r="4053">
      <c r="A4053" s="3">
        <f>IFERROR(__xludf.DUMMYFUNCTION("""COMPUTED_VALUE"""),42509.64583333333)</f>
        <v>42509.64583</v>
      </c>
      <c r="B4053" s="2">
        <f>IFERROR(__xludf.DUMMYFUNCTION("""COMPUTED_VALUE"""),570.05)</f>
        <v>570.05</v>
      </c>
      <c r="C4053" s="2">
        <f>IFERROR(__xludf.DUMMYFUNCTION("""COMPUTED_VALUE"""),571.35)</f>
        <v>571.35</v>
      </c>
      <c r="D4053" s="2">
        <f>IFERROR(__xludf.DUMMYFUNCTION("""COMPUTED_VALUE"""),566.0)</f>
        <v>566</v>
      </c>
      <c r="E4053" s="2">
        <f>IFERROR(__xludf.DUMMYFUNCTION("""COMPUTED_VALUE"""),569.65)</f>
        <v>569.65</v>
      </c>
      <c r="F4053" s="2">
        <f>IFERROR(__xludf.DUMMYFUNCTION("""COMPUTED_VALUE"""),963949.0)</f>
        <v>963949</v>
      </c>
    </row>
    <row r="4054">
      <c r="A4054" s="3">
        <f>IFERROR(__xludf.DUMMYFUNCTION("""COMPUTED_VALUE"""),42510.64583333333)</f>
        <v>42510.64583</v>
      </c>
      <c r="B4054" s="2">
        <f>IFERROR(__xludf.DUMMYFUNCTION("""COMPUTED_VALUE"""),569.98)</f>
        <v>569.98</v>
      </c>
      <c r="C4054" s="2">
        <f>IFERROR(__xludf.DUMMYFUNCTION("""COMPUTED_VALUE"""),574.25)</f>
        <v>574.25</v>
      </c>
      <c r="D4054" s="2">
        <f>IFERROR(__xludf.DUMMYFUNCTION("""COMPUTED_VALUE"""),566.8)</f>
        <v>566.8</v>
      </c>
      <c r="E4054" s="2">
        <f>IFERROR(__xludf.DUMMYFUNCTION("""COMPUTED_VALUE"""),570.45)</f>
        <v>570.45</v>
      </c>
      <c r="F4054" s="2">
        <f>IFERROR(__xludf.DUMMYFUNCTION("""COMPUTED_VALUE"""),504158.0)</f>
        <v>504158</v>
      </c>
    </row>
    <row r="4055">
      <c r="A4055" s="3">
        <f>IFERROR(__xludf.DUMMYFUNCTION("""COMPUTED_VALUE"""),42513.64583333333)</f>
        <v>42513.64583</v>
      </c>
      <c r="B4055" s="2">
        <f>IFERROR(__xludf.DUMMYFUNCTION("""COMPUTED_VALUE"""),570.98)</f>
        <v>570.98</v>
      </c>
      <c r="C4055" s="2">
        <f>IFERROR(__xludf.DUMMYFUNCTION("""COMPUTED_VALUE"""),574.98)</f>
        <v>574.98</v>
      </c>
      <c r="D4055" s="2">
        <f>IFERROR(__xludf.DUMMYFUNCTION("""COMPUTED_VALUE"""),566.6)</f>
        <v>566.6</v>
      </c>
      <c r="E4055" s="2">
        <f>IFERROR(__xludf.DUMMYFUNCTION("""COMPUTED_VALUE"""),568.38)</f>
        <v>568.38</v>
      </c>
      <c r="F4055" s="2">
        <f>IFERROR(__xludf.DUMMYFUNCTION("""COMPUTED_VALUE"""),865883.0)</f>
        <v>865883</v>
      </c>
    </row>
    <row r="4056">
      <c r="A4056" s="3">
        <f>IFERROR(__xludf.DUMMYFUNCTION("""COMPUTED_VALUE"""),42514.64583333333)</f>
        <v>42514.64583</v>
      </c>
      <c r="B4056" s="2">
        <f>IFERROR(__xludf.DUMMYFUNCTION("""COMPUTED_VALUE"""),569.2)</f>
        <v>569.2</v>
      </c>
      <c r="C4056" s="2">
        <f>IFERROR(__xludf.DUMMYFUNCTION("""COMPUTED_VALUE"""),571.83)</f>
        <v>571.83</v>
      </c>
      <c r="D4056" s="2">
        <f>IFERROR(__xludf.DUMMYFUNCTION("""COMPUTED_VALUE"""),567.78)</f>
        <v>567.78</v>
      </c>
      <c r="E4056" s="2">
        <f>IFERROR(__xludf.DUMMYFUNCTION("""COMPUTED_VALUE"""),569.98)</f>
        <v>569.98</v>
      </c>
      <c r="F4056" s="2">
        <f>IFERROR(__xludf.DUMMYFUNCTION("""COMPUTED_VALUE"""),814867.0)</f>
        <v>814867</v>
      </c>
    </row>
    <row r="4057">
      <c r="A4057" s="3">
        <f>IFERROR(__xludf.DUMMYFUNCTION("""COMPUTED_VALUE"""),42515.64583333333)</f>
        <v>42515.64583</v>
      </c>
      <c r="B4057" s="2">
        <f>IFERROR(__xludf.DUMMYFUNCTION("""COMPUTED_VALUE"""),573.15)</f>
        <v>573.15</v>
      </c>
      <c r="C4057" s="2">
        <f>IFERROR(__xludf.DUMMYFUNCTION("""COMPUTED_VALUE"""),587.98)</f>
        <v>587.98</v>
      </c>
      <c r="D4057" s="2">
        <f>IFERROR(__xludf.DUMMYFUNCTION("""COMPUTED_VALUE"""),573.15)</f>
        <v>573.15</v>
      </c>
      <c r="E4057" s="2">
        <f>IFERROR(__xludf.DUMMYFUNCTION("""COMPUTED_VALUE"""),586.65)</f>
        <v>586.65</v>
      </c>
      <c r="F4057" s="2">
        <f>IFERROR(__xludf.DUMMYFUNCTION("""COMPUTED_VALUE"""),1441837.0)</f>
        <v>1441837</v>
      </c>
    </row>
    <row r="4058">
      <c r="A4058" s="3">
        <f>IFERROR(__xludf.DUMMYFUNCTION("""COMPUTED_VALUE"""),42516.64583333333)</f>
        <v>42516.64583</v>
      </c>
      <c r="B4058" s="2">
        <f>IFERROR(__xludf.DUMMYFUNCTION("""COMPUTED_VALUE"""),588.05)</f>
        <v>588.05</v>
      </c>
      <c r="C4058" s="2">
        <f>IFERROR(__xludf.DUMMYFUNCTION("""COMPUTED_VALUE"""),594.45)</f>
        <v>594.45</v>
      </c>
      <c r="D4058" s="2">
        <f>IFERROR(__xludf.DUMMYFUNCTION("""COMPUTED_VALUE"""),583.13)</f>
        <v>583.13</v>
      </c>
      <c r="E4058" s="2">
        <f>IFERROR(__xludf.DUMMYFUNCTION("""COMPUTED_VALUE"""),591.63)</f>
        <v>591.63</v>
      </c>
      <c r="F4058" s="2">
        <f>IFERROR(__xludf.DUMMYFUNCTION("""COMPUTED_VALUE"""),3426390.0)</f>
        <v>3426390</v>
      </c>
    </row>
    <row r="4059">
      <c r="A4059" s="3">
        <f>IFERROR(__xludf.DUMMYFUNCTION("""COMPUTED_VALUE"""),42517.64583333333)</f>
        <v>42517.64583</v>
      </c>
      <c r="B4059" s="2">
        <f>IFERROR(__xludf.DUMMYFUNCTION("""COMPUTED_VALUE"""),591.63)</f>
        <v>591.63</v>
      </c>
      <c r="C4059" s="2">
        <f>IFERROR(__xludf.DUMMYFUNCTION("""COMPUTED_VALUE"""),595.0)</f>
        <v>595</v>
      </c>
      <c r="D4059" s="2">
        <f>IFERROR(__xludf.DUMMYFUNCTION("""COMPUTED_VALUE"""),588.35)</f>
        <v>588.35</v>
      </c>
      <c r="E4059" s="2">
        <f>IFERROR(__xludf.DUMMYFUNCTION("""COMPUTED_VALUE"""),593.4)</f>
        <v>593.4</v>
      </c>
      <c r="F4059" s="2">
        <f>IFERROR(__xludf.DUMMYFUNCTION("""COMPUTED_VALUE"""),1443796.0)</f>
        <v>1443796</v>
      </c>
    </row>
    <row r="4060">
      <c r="A4060" s="3">
        <f>IFERROR(__xludf.DUMMYFUNCTION("""COMPUTED_VALUE"""),42520.64583333333)</f>
        <v>42520.64583</v>
      </c>
      <c r="B4060" s="2">
        <f>IFERROR(__xludf.DUMMYFUNCTION("""COMPUTED_VALUE"""),593.5)</f>
        <v>593.5</v>
      </c>
      <c r="C4060" s="2">
        <f>IFERROR(__xludf.DUMMYFUNCTION("""COMPUTED_VALUE"""),597.5)</f>
        <v>597.5</v>
      </c>
      <c r="D4060" s="2">
        <f>IFERROR(__xludf.DUMMYFUNCTION("""COMPUTED_VALUE"""),589.05)</f>
        <v>589.05</v>
      </c>
      <c r="E4060" s="2">
        <f>IFERROR(__xludf.DUMMYFUNCTION("""COMPUTED_VALUE"""),589.88)</f>
        <v>589.88</v>
      </c>
      <c r="F4060" s="2">
        <f>IFERROR(__xludf.DUMMYFUNCTION("""COMPUTED_VALUE"""),953633.0)</f>
        <v>953633</v>
      </c>
    </row>
    <row r="4061">
      <c r="A4061" s="3">
        <f>IFERROR(__xludf.DUMMYFUNCTION("""COMPUTED_VALUE"""),42521.64583333333)</f>
        <v>42521.64583</v>
      </c>
      <c r="B4061" s="2">
        <f>IFERROR(__xludf.DUMMYFUNCTION("""COMPUTED_VALUE"""),592.95)</f>
        <v>592.95</v>
      </c>
      <c r="C4061" s="2">
        <f>IFERROR(__xludf.DUMMYFUNCTION("""COMPUTED_VALUE"""),592.95)</f>
        <v>592.95</v>
      </c>
      <c r="D4061" s="2">
        <f>IFERROR(__xludf.DUMMYFUNCTION("""COMPUTED_VALUE"""),588.7)</f>
        <v>588.7</v>
      </c>
      <c r="E4061" s="2">
        <f>IFERROR(__xludf.DUMMYFUNCTION("""COMPUTED_VALUE"""),590.95)</f>
        <v>590.95</v>
      </c>
      <c r="F4061" s="2">
        <f>IFERROR(__xludf.DUMMYFUNCTION("""COMPUTED_VALUE"""),1378910.0)</f>
        <v>1378910</v>
      </c>
    </row>
    <row r="4062">
      <c r="A4062" s="3">
        <f>IFERROR(__xludf.DUMMYFUNCTION("""COMPUTED_VALUE"""),42522.64583333333)</f>
        <v>42522.64583</v>
      </c>
      <c r="B4062" s="2">
        <f>IFERROR(__xludf.DUMMYFUNCTION("""COMPUTED_VALUE"""),591.48)</f>
        <v>591.48</v>
      </c>
      <c r="C4062" s="2">
        <f>IFERROR(__xludf.DUMMYFUNCTION("""COMPUTED_VALUE"""),591.48)</f>
        <v>591.48</v>
      </c>
      <c r="D4062" s="2">
        <f>IFERROR(__xludf.DUMMYFUNCTION("""COMPUTED_VALUE"""),585.5)</f>
        <v>585.5</v>
      </c>
      <c r="E4062" s="2">
        <f>IFERROR(__xludf.DUMMYFUNCTION("""COMPUTED_VALUE"""),587.58)</f>
        <v>587.58</v>
      </c>
      <c r="F4062" s="2">
        <f>IFERROR(__xludf.DUMMYFUNCTION("""COMPUTED_VALUE"""),1418908.0)</f>
        <v>1418908</v>
      </c>
    </row>
    <row r="4063">
      <c r="A4063" s="3">
        <f>IFERROR(__xludf.DUMMYFUNCTION("""COMPUTED_VALUE"""),42523.64583333333)</f>
        <v>42523.64583</v>
      </c>
      <c r="B4063" s="2">
        <f>IFERROR(__xludf.DUMMYFUNCTION("""COMPUTED_VALUE"""),587.35)</f>
        <v>587.35</v>
      </c>
      <c r="C4063" s="2">
        <f>IFERROR(__xludf.DUMMYFUNCTION("""COMPUTED_VALUE"""),590.3)</f>
        <v>590.3</v>
      </c>
      <c r="D4063" s="2">
        <f>IFERROR(__xludf.DUMMYFUNCTION("""COMPUTED_VALUE"""),585.5)</f>
        <v>585.5</v>
      </c>
      <c r="E4063" s="2">
        <f>IFERROR(__xludf.DUMMYFUNCTION("""COMPUTED_VALUE"""),587.48)</f>
        <v>587.48</v>
      </c>
      <c r="F4063" s="2">
        <f>IFERROR(__xludf.DUMMYFUNCTION("""COMPUTED_VALUE"""),1977654.0)</f>
        <v>1977654</v>
      </c>
    </row>
    <row r="4064">
      <c r="A4064" s="3">
        <f>IFERROR(__xludf.DUMMYFUNCTION("""COMPUTED_VALUE"""),42524.64583333333)</f>
        <v>42524.64583</v>
      </c>
      <c r="B4064" s="2">
        <f>IFERROR(__xludf.DUMMYFUNCTION("""COMPUTED_VALUE"""),590.05)</f>
        <v>590.05</v>
      </c>
      <c r="C4064" s="2">
        <f>IFERROR(__xludf.DUMMYFUNCTION("""COMPUTED_VALUE"""),592.5)</f>
        <v>592.5</v>
      </c>
      <c r="D4064" s="2">
        <f>IFERROR(__xludf.DUMMYFUNCTION("""COMPUTED_VALUE"""),584.53)</f>
        <v>584.53</v>
      </c>
      <c r="E4064" s="2">
        <f>IFERROR(__xludf.DUMMYFUNCTION("""COMPUTED_VALUE"""),585.88)</f>
        <v>585.88</v>
      </c>
      <c r="F4064" s="2">
        <f>IFERROR(__xludf.DUMMYFUNCTION("""COMPUTED_VALUE"""),1131105.0)</f>
        <v>1131105</v>
      </c>
    </row>
    <row r="4065">
      <c r="A4065" s="3">
        <f>IFERROR(__xludf.DUMMYFUNCTION("""COMPUTED_VALUE"""),42527.64583333333)</f>
        <v>42527.64583</v>
      </c>
      <c r="B4065" s="2">
        <f>IFERROR(__xludf.DUMMYFUNCTION("""COMPUTED_VALUE"""),588.0)</f>
        <v>588</v>
      </c>
      <c r="C4065" s="2">
        <f>IFERROR(__xludf.DUMMYFUNCTION("""COMPUTED_VALUE"""),591.2)</f>
        <v>591.2</v>
      </c>
      <c r="D4065" s="2">
        <f>IFERROR(__xludf.DUMMYFUNCTION("""COMPUTED_VALUE"""),585.03)</f>
        <v>585.03</v>
      </c>
      <c r="E4065" s="2">
        <f>IFERROR(__xludf.DUMMYFUNCTION("""COMPUTED_VALUE"""),585.55)</f>
        <v>585.55</v>
      </c>
      <c r="F4065" s="2">
        <f>IFERROR(__xludf.DUMMYFUNCTION("""COMPUTED_VALUE"""),1386827.0)</f>
        <v>1386827</v>
      </c>
    </row>
    <row r="4066">
      <c r="A4066" s="3">
        <f>IFERROR(__xludf.DUMMYFUNCTION("""COMPUTED_VALUE"""),42528.64583333333)</f>
        <v>42528.64583</v>
      </c>
      <c r="B4066" s="2">
        <f>IFERROR(__xludf.DUMMYFUNCTION("""COMPUTED_VALUE"""),588.48)</f>
        <v>588.48</v>
      </c>
      <c r="C4066" s="2">
        <f>IFERROR(__xludf.DUMMYFUNCTION("""COMPUTED_VALUE"""),590.0)</f>
        <v>590</v>
      </c>
      <c r="D4066" s="2">
        <f>IFERROR(__xludf.DUMMYFUNCTION("""COMPUTED_VALUE"""),583.83)</f>
        <v>583.83</v>
      </c>
      <c r="E4066" s="2">
        <f>IFERROR(__xludf.DUMMYFUNCTION("""COMPUTED_VALUE"""),586.85)</f>
        <v>586.85</v>
      </c>
      <c r="F4066" s="2">
        <f>IFERROR(__xludf.DUMMYFUNCTION("""COMPUTED_VALUE"""),1407126.0)</f>
        <v>1407126</v>
      </c>
    </row>
    <row r="4067">
      <c r="A4067" s="3">
        <f>IFERROR(__xludf.DUMMYFUNCTION("""COMPUTED_VALUE"""),42529.64583333333)</f>
        <v>42529.64583</v>
      </c>
      <c r="B4067" s="2">
        <f>IFERROR(__xludf.DUMMYFUNCTION("""COMPUTED_VALUE"""),587.9)</f>
        <v>587.9</v>
      </c>
      <c r="C4067" s="2">
        <f>IFERROR(__xludf.DUMMYFUNCTION("""COMPUTED_VALUE"""),589.0)</f>
        <v>589</v>
      </c>
      <c r="D4067" s="2">
        <f>IFERROR(__xludf.DUMMYFUNCTION("""COMPUTED_VALUE"""),580.5)</f>
        <v>580.5</v>
      </c>
      <c r="E4067" s="2">
        <f>IFERROR(__xludf.DUMMYFUNCTION("""COMPUTED_VALUE"""),581.3)</f>
        <v>581.3</v>
      </c>
      <c r="F4067" s="2">
        <f>IFERROR(__xludf.DUMMYFUNCTION("""COMPUTED_VALUE"""),1185703.0)</f>
        <v>1185703</v>
      </c>
    </row>
    <row r="4068">
      <c r="A4068" s="3">
        <f>IFERROR(__xludf.DUMMYFUNCTION("""COMPUTED_VALUE"""),42530.64583333333)</f>
        <v>42530.64583</v>
      </c>
      <c r="B4068" s="2">
        <f>IFERROR(__xludf.DUMMYFUNCTION("""COMPUTED_VALUE"""),581.25)</f>
        <v>581.25</v>
      </c>
      <c r="C4068" s="2">
        <f>IFERROR(__xludf.DUMMYFUNCTION("""COMPUTED_VALUE"""),582.1)</f>
        <v>582.1</v>
      </c>
      <c r="D4068" s="2">
        <f>IFERROR(__xludf.DUMMYFUNCTION("""COMPUTED_VALUE"""),576.25)</f>
        <v>576.25</v>
      </c>
      <c r="E4068" s="2">
        <f>IFERROR(__xludf.DUMMYFUNCTION("""COMPUTED_VALUE"""),579.7)</f>
        <v>579.7</v>
      </c>
      <c r="F4068" s="2">
        <f>IFERROR(__xludf.DUMMYFUNCTION("""COMPUTED_VALUE"""),1162046.0)</f>
        <v>1162046</v>
      </c>
    </row>
    <row r="4069">
      <c r="A4069" s="3">
        <f>IFERROR(__xludf.DUMMYFUNCTION("""COMPUTED_VALUE"""),42531.64583333333)</f>
        <v>42531.64583</v>
      </c>
      <c r="B4069" s="2">
        <f>IFERROR(__xludf.DUMMYFUNCTION("""COMPUTED_VALUE"""),579.2)</f>
        <v>579.2</v>
      </c>
      <c r="C4069" s="2">
        <f>IFERROR(__xludf.DUMMYFUNCTION("""COMPUTED_VALUE"""),586.35)</f>
        <v>586.35</v>
      </c>
      <c r="D4069" s="2">
        <f>IFERROR(__xludf.DUMMYFUNCTION("""COMPUTED_VALUE"""),578.1)</f>
        <v>578.1</v>
      </c>
      <c r="E4069" s="2">
        <f>IFERROR(__xludf.DUMMYFUNCTION("""COMPUTED_VALUE"""),580.67)</f>
        <v>580.67</v>
      </c>
      <c r="F4069" s="2">
        <f>IFERROR(__xludf.DUMMYFUNCTION("""COMPUTED_VALUE"""),1580578.0)</f>
        <v>1580578</v>
      </c>
    </row>
    <row r="4070">
      <c r="A4070" s="3">
        <f>IFERROR(__xludf.DUMMYFUNCTION("""COMPUTED_VALUE"""),42534.64583333333)</f>
        <v>42534.64583</v>
      </c>
      <c r="B4070" s="2">
        <f>IFERROR(__xludf.DUMMYFUNCTION("""COMPUTED_VALUE"""),577.38)</f>
        <v>577.38</v>
      </c>
      <c r="C4070" s="2">
        <f>IFERROR(__xludf.DUMMYFUNCTION("""COMPUTED_VALUE"""),582.48)</f>
        <v>582.48</v>
      </c>
      <c r="D4070" s="2">
        <f>IFERROR(__xludf.DUMMYFUNCTION("""COMPUTED_VALUE"""),575.53)</f>
        <v>575.53</v>
      </c>
      <c r="E4070" s="2">
        <f>IFERROR(__xludf.DUMMYFUNCTION("""COMPUTED_VALUE"""),576.45)</f>
        <v>576.45</v>
      </c>
      <c r="F4070" s="2">
        <f>IFERROR(__xludf.DUMMYFUNCTION("""COMPUTED_VALUE"""),830809.0)</f>
        <v>830809</v>
      </c>
    </row>
    <row r="4071">
      <c r="A4071" s="3">
        <f>IFERROR(__xludf.DUMMYFUNCTION("""COMPUTED_VALUE"""),42535.64583333333)</f>
        <v>42535.64583</v>
      </c>
      <c r="B4071" s="2">
        <f>IFERROR(__xludf.DUMMYFUNCTION("""COMPUTED_VALUE"""),577.5)</f>
        <v>577.5</v>
      </c>
      <c r="C4071" s="2">
        <f>IFERROR(__xludf.DUMMYFUNCTION("""COMPUTED_VALUE"""),578.5)</f>
        <v>578.5</v>
      </c>
      <c r="D4071" s="2">
        <f>IFERROR(__xludf.DUMMYFUNCTION("""COMPUTED_VALUE"""),572.13)</f>
        <v>572.13</v>
      </c>
      <c r="E4071" s="2">
        <f>IFERROR(__xludf.DUMMYFUNCTION("""COMPUTED_VALUE"""),575.92)</f>
        <v>575.92</v>
      </c>
      <c r="F4071" s="2">
        <f>IFERROR(__xludf.DUMMYFUNCTION("""COMPUTED_VALUE"""),957192.0)</f>
        <v>957192</v>
      </c>
    </row>
    <row r="4072">
      <c r="A4072" s="3">
        <f>IFERROR(__xludf.DUMMYFUNCTION("""COMPUTED_VALUE"""),42536.64583333333)</f>
        <v>42536.64583</v>
      </c>
      <c r="B4072" s="2">
        <f>IFERROR(__xludf.DUMMYFUNCTION("""COMPUTED_VALUE"""),577.5)</f>
        <v>577.5</v>
      </c>
      <c r="C4072" s="2">
        <f>IFERROR(__xludf.DUMMYFUNCTION("""COMPUTED_VALUE"""),585.45)</f>
        <v>585.45</v>
      </c>
      <c r="D4072" s="2">
        <f>IFERROR(__xludf.DUMMYFUNCTION("""COMPUTED_VALUE"""),576.6)</f>
        <v>576.6</v>
      </c>
      <c r="E4072" s="2">
        <f>IFERROR(__xludf.DUMMYFUNCTION("""COMPUTED_VALUE"""),584.78)</f>
        <v>584.78</v>
      </c>
      <c r="F4072" s="2">
        <f>IFERROR(__xludf.DUMMYFUNCTION("""COMPUTED_VALUE"""),761456.0)</f>
        <v>761456</v>
      </c>
    </row>
    <row r="4073">
      <c r="A4073" s="3">
        <f>IFERROR(__xludf.DUMMYFUNCTION("""COMPUTED_VALUE"""),42537.64583333333)</f>
        <v>42537.64583</v>
      </c>
      <c r="B4073" s="2">
        <f>IFERROR(__xludf.DUMMYFUNCTION("""COMPUTED_VALUE"""),583.28)</f>
        <v>583.28</v>
      </c>
      <c r="C4073" s="2">
        <f>IFERROR(__xludf.DUMMYFUNCTION("""COMPUTED_VALUE"""),584.42)</f>
        <v>584.42</v>
      </c>
      <c r="D4073" s="2">
        <f>IFERROR(__xludf.DUMMYFUNCTION("""COMPUTED_VALUE"""),577.67)</f>
        <v>577.67</v>
      </c>
      <c r="E4073" s="2">
        <f>IFERROR(__xludf.DUMMYFUNCTION("""COMPUTED_VALUE"""),581.08)</f>
        <v>581.08</v>
      </c>
      <c r="F4073" s="2">
        <f>IFERROR(__xludf.DUMMYFUNCTION("""COMPUTED_VALUE"""),1181942.0)</f>
        <v>1181942</v>
      </c>
    </row>
    <row r="4074">
      <c r="A4074" s="3">
        <f>IFERROR(__xludf.DUMMYFUNCTION("""COMPUTED_VALUE"""),42538.64583333333)</f>
        <v>42538.64583</v>
      </c>
      <c r="B4074" s="2">
        <f>IFERROR(__xludf.DUMMYFUNCTION("""COMPUTED_VALUE"""),583.5)</f>
        <v>583.5</v>
      </c>
      <c r="C4074" s="2">
        <f>IFERROR(__xludf.DUMMYFUNCTION("""COMPUTED_VALUE"""),589.0)</f>
        <v>589</v>
      </c>
      <c r="D4074" s="2">
        <f>IFERROR(__xludf.DUMMYFUNCTION("""COMPUTED_VALUE"""),582.78)</f>
        <v>582.78</v>
      </c>
      <c r="E4074" s="2">
        <f>IFERROR(__xludf.DUMMYFUNCTION("""COMPUTED_VALUE"""),585.0)</f>
        <v>585</v>
      </c>
      <c r="F4074" s="2">
        <f>IFERROR(__xludf.DUMMYFUNCTION("""COMPUTED_VALUE"""),940413.0)</f>
        <v>940413</v>
      </c>
    </row>
    <row r="4075">
      <c r="A4075" s="3">
        <f>IFERROR(__xludf.DUMMYFUNCTION("""COMPUTED_VALUE"""),42541.64583333333)</f>
        <v>42541.64583</v>
      </c>
      <c r="B4075" s="2">
        <f>IFERROR(__xludf.DUMMYFUNCTION("""COMPUTED_VALUE"""),579.5)</f>
        <v>579.5</v>
      </c>
      <c r="C4075" s="2">
        <f>IFERROR(__xludf.DUMMYFUNCTION("""COMPUTED_VALUE"""),589.63)</f>
        <v>589.63</v>
      </c>
      <c r="D4075" s="2">
        <f>IFERROR(__xludf.DUMMYFUNCTION("""COMPUTED_VALUE"""),579.4)</f>
        <v>579.4</v>
      </c>
      <c r="E4075" s="2">
        <f>IFERROR(__xludf.DUMMYFUNCTION("""COMPUTED_VALUE"""),586.03)</f>
        <v>586.03</v>
      </c>
      <c r="F4075" s="2">
        <f>IFERROR(__xludf.DUMMYFUNCTION("""COMPUTED_VALUE"""),685691.0)</f>
        <v>685691</v>
      </c>
    </row>
    <row r="4076">
      <c r="A4076" s="3">
        <f>IFERROR(__xludf.DUMMYFUNCTION("""COMPUTED_VALUE"""),42542.64583333333)</f>
        <v>42542.64583</v>
      </c>
      <c r="B4076" s="2">
        <f>IFERROR(__xludf.DUMMYFUNCTION("""COMPUTED_VALUE"""),587.5)</f>
        <v>587.5</v>
      </c>
      <c r="C4076" s="2">
        <f>IFERROR(__xludf.DUMMYFUNCTION("""COMPUTED_VALUE"""),587.73)</f>
        <v>587.73</v>
      </c>
      <c r="D4076" s="2">
        <f>IFERROR(__xludf.DUMMYFUNCTION("""COMPUTED_VALUE"""),580.6)</f>
        <v>580.6</v>
      </c>
      <c r="E4076" s="2">
        <f>IFERROR(__xludf.DUMMYFUNCTION("""COMPUTED_VALUE"""),583.33)</f>
        <v>583.33</v>
      </c>
      <c r="F4076" s="2">
        <f>IFERROR(__xludf.DUMMYFUNCTION("""COMPUTED_VALUE"""),667742.0)</f>
        <v>667742</v>
      </c>
    </row>
    <row r="4077">
      <c r="A4077" s="3">
        <f>IFERROR(__xludf.DUMMYFUNCTION("""COMPUTED_VALUE"""),42543.64583333333)</f>
        <v>42543.64583</v>
      </c>
      <c r="B4077" s="2">
        <f>IFERROR(__xludf.DUMMYFUNCTION("""COMPUTED_VALUE"""),583.0)</f>
        <v>583</v>
      </c>
      <c r="C4077" s="2">
        <f>IFERROR(__xludf.DUMMYFUNCTION("""COMPUTED_VALUE"""),587.5)</f>
        <v>587.5</v>
      </c>
      <c r="D4077" s="2">
        <f>IFERROR(__xludf.DUMMYFUNCTION("""COMPUTED_VALUE"""),583.0)</f>
        <v>583</v>
      </c>
      <c r="E4077" s="2">
        <f>IFERROR(__xludf.DUMMYFUNCTION("""COMPUTED_VALUE"""),585.75)</f>
        <v>585.75</v>
      </c>
      <c r="F4077" s="2">
        <f>IFERROR(__xludf.DUMMYFUNCTION("""COMPUTED_VALUE"""),950960.0)</f>
        <v>950960</v>
      </c>
    </row>
    <row r="4078">
      <c r="A4078" s="3">
        <f>IFERROR(__xludf.DUMMYFUNCTION("""COMPUTED_VALUE"""),42544.64583333333)</f>
        <v>42544.64583</v>
      </c>
      <c r="B4078" s="2">
        <f>IFERROR(__xludf.DUMMYFUNCTION("""COMPUTED_VALUE"""),584.9)</f>
        <v>584.9</v>
      </c>
      <c r="C4078" s="2">
        <f>IFERROR(__xludf.DUMMYFUNCTION("""COMPUTED_VALUE"""),595.92)</f>
        <v>595.92</v>
      </c>
      <c r="D4078" s="2">
        <f>IFERROR(__xludf.DUMMYFUNCTION("""COMPUTED_VALUE"""),583.75)</f>
        <v>583.75</v>
      </c>
      <c r="E4078" s="2">
        <f>IFERROR(__xludf.DUMMYFUNCTION("""COMPUTED_VALUE"""),595.05)</f>
        <v>595.05</v>
      </c>
      <c r="F4078" s="2">
        <f>IFERROR(__xludf.DUMMYFUNCTION("""COMPUTED_VALUE"""),981683.0)</f>
        <v>981683</v>
      </c>
    </row>
    <row r="4079">
      <c r="A4079" s="3">
        <f>IFERROR(__xludf.DUMMYFUNCTION("""COMPUTED_VALUE"""),42545.64583333333)</f>
        <v>42545.64583</v>
      </c>
      <c r="B4079" s="2">
        <f>IFERROR(__xludf.DUMMYFUNCTION("""COMPUTED_VALUE"""),579.92)</f>
        <v>579.92</v>
      </c>
      <c r="C4079" s="2">
        <f>IFERROR(__xludf.DUMMYFUNCTION("""COMPUTED_VALUE"""),585.95)</f>
        <v>585.95</v>
      </c>
      <c r="D4079" s="2">
        <f>IFERROR(__xludf.DUMMYFUNCTION("""COMPUTED_VALUE"""),573.5)</f>
        <v>573.5</v>
      </c>
      <c r="E4079" s="2">
        <f>IFERROR(__xludf.DUMMYFUNCTION("""COMPUTED_VALUE"""),580.95)</f>
        <v>580.95</v>
      </c>
      <c r="F4079" s="2">
        <f>IFERROR(__xludf.DUMMYFUNCTION("""COMPUTED_VALUE"""),2793491.0)</f>
        <v>2793491</v>
      </c>
    </row>
    <row r="4080">
      <c r="A4080" s="3">
        <f>IFERROR(__xludf.DUMMYFUNCTION("""COMPUTED_VALUE"""),42548.64583333333)</f>
        <v>42548.64583</v>
      </c>
      <c r="B4080" s="2">
        <f>IFERROR(__xludf.DUMMYFUNCTION("""COMPUTED_VALUE"""),581.0)</f>
        <v>581</v>
      </c>
      <c r="C4080" s="2">
        <f>IFERROR(__xludf.DUMMYFUNCTION("""COMPUTED_VALUE"""),584.5)</f>
        <v>584.5</v>
      </c>
      <c r="D4080" s="2">
        <f>IFERROR(__xludf.DUMMYFUNCTION("""COMPUTED_VALUE"""),576.53)</f>
        <v>576.53</v>
      </c>
      <c r="E4080" s="2">
        <f>IFERROR(__xludf.DUMMYFUNCTION("""COMPUTED_VALUE"""),579.98)</f>
        <v>579.98</v>
      </c>
      <c r="F4080" s="2">
        <f>IFERROR(__xludf.DUMMYFUNCTION("""COMPUTED_VALUE"""),1040947.0)</f>
        <v>1040947</v>
      </c>
    </row>
    <row r="4081">
      <c r="A4081" s="3">
        <f>IFERROR(__xludf.DUMMYFUNCTION("""COMPUTED_VALUE"""),42549.64583333333)</f>
        <v>42549.64583</v>
      </c>
      <c r="B4081" s="2">
        <f>IFERROR(__xludf.DUMMYFUNCTION("""COMPUTED_VALUE"""),580.63)</f>
        <v>580.63</v>
      </c>
      <c r="C4081" s="2">
        <f>IFERROR(__xludf.DUMMYFUNCTION("""COMPUTED_VALUE"""),586.55)</f>
        <v>586.55</v>
      </c>
      <c r="D4081" s="2">
        <f>IFERROR(__xludf.DUMMYFUNCTION("""COMPUTED_VALUE"""),575.0)</f>
        <v>575</v>
      </c>
      <c r="E4081" s="2">
        <f>IFERROR(__xludf.DUMMYFUNCTION("""COMPUTED_VALUE"""),583.48)</f>
        <v>583.48</v>
      </c>
      <c r="F4081" s="2">
        <f>IFERROR(__xludf.DUMMYFUNCTION("""COMPUTED_VALUE"""),1008745.0)</f>
        <v>1008745</v>
      </c>
    </row>
    <row r="4082">
      <c r="A4082" s="3">
        <f>IFERROR(__xludf.DUMMYFUNCTION("""COMPUTED_VALUE"""),42550.64583333333)</f>
        <v>42550.64583</v>
      </c>
      <c r="B4082" s="2">
        <f>IFERROR(__xludf.DUMMYFUNCTION("""COMPUTED_VALUE"""),582.5)</f>
        <v>582.5</v>
      </c>
      <c r="C4082" s="2">
        <f>IFERROR(__xludf.DUMMYFUNCTION("""COMPUTED_VALUE"""),584.75)</f>
        <v>584.75</v>
      </c>
      <c r="D4082" s="2">
        <f>IFERROR(__xludf.DUMMYFUNCTION("""COMPUTED_VALUE"""),579.85)</f>
        <v>579.85</v>
      </c>
      <c r="E4082" s="2">
        <f>IFERROR(__xludf.DUMMYFUNCTION("""COMPUTED_VALUE"""),584.15)</f>
        <v>584.15</v>
      </c>
      <c r="F4082" s="2">
        <f>IFERROR(__xludf.DUMMYFUNCTION("""COMPUTED_VALUE"""),1355167.0)</f>
        <v>1355167</v>
      </c>
    </row>
    <row r="4083">
      <c r="A4083" s="3">
        <f>IFERROR(__xludf.DUMMYFUNCTION("""COMPUTED_VALUE"""),42551.64583333333)</f>
        <v>42551.64583</v>
      </c>
      <c r="B4083" s="2">
        <f>IFERROR(__xludf.DUMMYFUNCTION("""COMPUTED_VALUE"""),585.5)</f>
        <v>585.5</v>
      </c>
      <c r="C4083" s="2">
        <f>IFERROR(__xludf.DUMMYFUNCTION("""COMPUTED_VALUE"""),590.0)</f>
        <v>590</v>
      </c>
      <c r="D4083" s="2">
        <f>IFERROR(__xludf.DUMMYFUNCTION("""COMPUTED_VALUE"""),581.08)</f>
        <v>581.08</v>
      </c>
      <c r="E4083" s="2">
        <f>IFERROR(__xludf.DUMMYFUNCTION("""COMPUTED_VALUE"""),588.23)</f>
        <v>588.23</v>
      </c>
      <c r="F4083" s="2">
        <f>IFERROR(__xludf.DUMMYFUNCTION("""COMPUTED_VALUE"""),4069723.0)</f>
        <v>4069723</v>
      </c>
    </row>
    <row r="4084">
      <c r="A4084" s="3">
        <f>IFERROR(__xludf.DUMMYFUNCTION("""COMPUTED_VALUE"""),42552.64583333333)</f>
        <v>42552.64583</v>
      </c>
      <c r="B4084" s="2">
        <f>IFERROR(__xludf.DUMMYFUNCTION("""COMPUTED_VALUE"""),590.0)</f>
        <v>590</v>
      </c>
      <c r="C4084" s="2">
        <f>IFERROR(__xludf.DUMMYFUNCTION("""COMPUTED_VALUE"""),592.5)</f>
        <v>592.5</v>
      </c>
      <c r="D4084" s="2">
        <f>IFERROR(__xludf.DUMMYFUNCTION("""COMPUTED_VALUE"""),585.9)</f>
        <v>585.9</v>
      </c>
      <c r="E4084" s="2">
        <f>IFERROR(__xludf.DUMMYFUNCTION("""COMPUTED_VALUE"""),587.25)</f>
        <v>587.25</v>
      </c>
      <c r="F4084" s="2">
        <f>IFERROR(__xludf.DUMMYFUNCTION("""COMPUTED_VALUE"""),1076219.0)</f>
        <v>1076219</v>
      </c>
    </row>
    <row r="4085">
      <c r="A4085" s="3">
        <f>IFERROR(__xludf.DUMMYFUNCTION("""COMPUTED_VALUE"""),42555.64583333333)</f>
        <v>42555.64583</v>
      </c>
      <c r="B4085" s="2">
        <f>IFERROR(__xludf.DUMMYFUNCTION("""COMPUTED_VALUE"""),589.1)</f>
        <v>589.1</v>
      </c>
      <c r="C4085" s="2">
        <f>IFERROR(__xludf.DUMMYFUNCTION("""COMPUTED_VALUE"""),589.75)</f>
        <v>589.75</v>
      </c>
      <c r="D4085" s="2">
        <f>IFERROR(__xludf.DUMMYFUNCTION("""COMPUTED_VALUE"""),585.7)</f>
        <v>585.7</v>
      </c>
      <c r="E4085" s="2">
        <f>IFERROR(__xludf.DUMMYFUNCTION("""COMPUTED_VALUE"""),586.4)</f>
        <v>586.4</v>
      </c>
      <c r="F4085" s="2">
        <f>IFERROR(__xludf.DUMMYFUNCTION("""COMPUTED_VALUE"""),1812463.0)</f>
        <v>1812463</v>
      </c>
    </row>
    <row r="4086">
      <c r="A4086" s="3">
        <f>IFERROR(__xludf.DUMMYFUNCTION("""COMPUTED_VALUE"""),42556.64583333333)</f>
        <v>42556.64583</v>
      </c>
      <c r="B4086" s="2">
        <f>IFERROR(__xludf.DUMMYFUNCTION("""COMPUTED_VALUE"""),586.4)</f>
        <v>586.4</v>
      </c>
      <c r="C4086" s="2">
        <f>IFERROR(__xludf.DUMMYFUNCTION("""COMPUTED_VALUE"""),587.15)</f>
        <v>587.15</v>
      </c>
      <c r="D4086" s="2">
        <f>IFERROR(__xludf.DUMMYFUNCTION("""COMPUTED_VALUE"""),581.0)</f>
        <v>581</v>
      </c>
      <c r="E4086" s="2">
        <f>IFERROR(__xludf.DUMMYFUNCTION("""COMPUTED_VALUE"""),582.8)</f>
        <v>582.8</v>
      </c>
      <c r="F4086" s="2">
        <f>IFERROR(__xludf.DUMMYFUNCTION("""COMPUTED_VALUE"""),534082.0)</f>
        <v>534082</v>
      </c>
    </row>
    <row r="4087">
      <c r="A4087" s="3">
        <f>IFERROR(__xludf.DUMMYFUNCTION("""COMPUTED_VALUE"""),42558.64583333333)</f>
        <v>42558.64583</v>
      </c>
      <c r="B4087" s="2">
        <f>IFERROR(__xludf.DUMMYFUNCTION("""COMPUTED_VALUE"""),583.95)</f>
        <v>583.95</v>
      </c>
      <c r="C4087" s="2">
        <f>IFERROR(__xludf.DUMMYFUNCTION("""COMPUTED_VALUE"""),594.38)</f>
        <v>594.38</v>
      </c>
      <c r="D4087" s="2">
        <f>IFERROR(__xludf.DUMMYFUNCTION("""COMPUTED_VALUE"""),580.45)</f>
        <v>580.45</v>
      </c>
      <c r="E4087" s="2">
        <f>IFERROR(__xludf.DUMMYFUNCTION("""COMPUTED_VALUE"""),592.83)</f>
        <v>592.83</v>
      </c>
      <c r="F4087" s="2">
        <f>IFERROR(__xludf.DUMMYFUNCTION("""COMPUTED_VALUE"""),1208154.0)</f>
        <v>1208154</v>
      </c>
    </row>
    <row r="4088">
      <c r="A4088" s="3">
        <f>IFERROR(__xludf.DUMMYFUNCTION("""COMPUTED_VALUE"""),42559.64583333333)</f>
        <v>42559.64583</v>
      </c>
      <c r="B4088" s="2">
        <f>IFERROR(__xludf.DUMMYFUNCTION("""COMPUTED_VALUE"""),592.55)</f>
        <v>592.55</v>
      </c>
      <c r="C4088" s="2">
        <f>IFERROR(__xludf.DUMMYFUNCTION("""COMPUTED_VALUE"""),592.8)</f>
        <v>592.8</v>
      </c>
      <c r="D4088" s="2">
        <f>IFERROR(__xludf.DUMMYFUNCTION("""COMPUTED_VALUE"""),585.63)</f>
        <v>585.63</v>
      </c>
      <c r="E4088" s="2">
        <f>IFERROR(__xludf.DUMMYFUNCTION("""COMPUTED_VALUE"""),587.42)</f>
        <v>587.42</v>
      </c>
      <c r="F4088" s="2">
        <f>IFERROR(__xludf.DUMMYFUNCTION("""COMPUTED_VALUE"""),779717.0)</f>
        <v>779717</v>
      </c>
    </row>
    <row r="4089">
      <c r="A4089" s="3">
        <f>IFERROR(__xludf.DUMMYFUNCTION("""COMPUTED_VALUE"""),42562.64583333333)</f>
        <v>42562.64583</v>
      </c>
      <c r="B4089" s="2">
        <f>IFERROR(__xludf.DUMMYFUNCTION("""COMPUTED_VALUE"""),593.0)</f>
        <v>593</v>
      </c>
      <c r="C4089" s="2">
        <f>IFERROR(__xludf.DUMMYFUNCTION("""COMPUTED_VALUE"""),600.95)</f>
        <v>600.95</v>
      </c>
      <c r="D4089" s="2">
        <f>IFERROR(__xludf.DUMMYFUNCTION("""COMPUTED_VALUE"""),590.53)</f>
        <v>590.53</v>
      </c>
      <c r="E4089" s="2">
        <f>IFERROR(__xludf.DUMMYFUNCTION("""COMPUTED_VALUE"""),599.88)</f>
        <v>599.88</v>
      </c>
      <c r="F4089" s="2">
        <f>IFERROR(__xludf.DUMMYFUNCTION("""COMPUTED_VALUE"""),1275633.0)</f>
        <v>1275633</v>
      </c>
    </row>
    <row r="4090">
      <c r="A4090" s="3">
        <f>IFERROR(__xludf.DUMMYFUNCTION("""COMPUTED_VALUE"""),42563.64583333333)</f>
        <v>42563.64583</v>
      </c>
      <c r="B4090" s="2">
        <f>IFERROR(__xludf.DUMMYFUNCTION("""COMPUTED_VALUE"""),604.95)</f>
        <v>604.95</v>
      </c>
      <c r="C4090" s="2">
        <f>IFERROR(__xludf.DUMMYFUNCTION("""COMPUTED_VALUE"""),604.95)</f>
        <v>604.95</v>
      </c>
      <c r="D4090" s="2">
        <f>IFERROR(__xludf.DUMMYFUNCTION("""COMPUTED_VALUE"""),597.78)</f>
        <v>597.78</v>
      </c>
      <c r="E4090" s="2">
        <f>IFERROR(__xludf.DUMMYFUNCTION("""COMPUTED_VALUE"""),601.08)</f>
        <v>601.08</v>
      </c>
      <c r="F4090" s="2">
        <f>IFERROR(__xludf.DUMMYFUNCTION("""COMPUTED_VALUE"""),1761508.0)</f>
        <v>1761508</v>
      </c>
    </row>
    <row r="4091">
      <c r="A4091" s="3">
        <f>IFERROR(__xludf.DUMMYFUNCTION("""COMPUTED_VALUE"""),42564.64583333333)</f>
        <v>42564.64583</v>
      </c>
      <c r="B4091" s="2">
        <f>IFERROR(__xludf.DUMMYFUNCTION("""COMPUTED_VALUE"""),599.9)</f>
        <v>599.9</v>
      </c>
      <c r="C4091" s="2">
        <f>IFERROR(__xludf.DUMMYFUNCTION("""COMPUTED_VALUE"""),600.98)</f>
        <v>600.98</v>
      </c>
      <c r="D4091" s="2">
        <f>IFERROR(__xludf.DUMMYFUNCTION("""COMPUTED_VALUE"""),596.65)</f>
        <v>596.65</v>
      </c>
      <c r="E4091" s="2">
        <f>IFERROR(__xludf.DUMMYFUNCTION("""COMPUTED_VALUE"""),598.88)</f>
        <v>598.88</v>
      </c>
      <c r="F4091" s="2">
        <f>IFERROR(__xludf.DUMMYFUNCTION("""COMPUTED_VALUE"""),1671768.0)</f>
        <v>1671768</v>
      </c>
    </row>
    <row r="4092">
      <c r="A4092" s="3">
        <f>IFERROR(__xludf.DUMMYFUNCTION("""COMPUTED_VALUE"""),42565.64583333333)</f>
        <v>42565.64583</v>
      </c>
      <c r="B4092" s="2">
        <f>IFERROR(__xludf.DUMMYFUNCTION("""COMPUTED_VALUE"""),600.5)</f>
        <v>600.5</v>
      </c>
      <c r="C4092" s="2">
        <f>IFERROR(__xludf.DUMMYFUNCTION("""COMPUTED_VALUE"""),601.08)</f>
        <v>601.08</v>
      </c>
      <c r="D4092" s="2">
        <f>IFERROR(__xludf.DUMMYFUNCTION("""COMPUTED_VALUE"""),596.1)</f>
        <v>596.1</v>
      </c>
      <c r="E4092" s="2">
        <f>IFERROR(__xludf.DUMMYFUNCTION("""COMPUTED_VALUE"""),600.17)</f>
        <v>600.17</v>
      </c>
      <c r="F4092" s="2">
        <f>IFERROR(__xludf.DUMMYFUNCTION("""COMPUTED_VALUE"""),864917.0)</f>
        <v>864917</v>
      </c>
    </row>
    <row r="4093">
      <c r="A4093" s="3">
        <f>IFERROR(__xludf.DUMMYFUNCTION("""COMPUTED_VALUE"""),42566.64583333333)</f>
        <v>42566.64583</v>
      </c>
      <c r="B4093" s="2">
        <f>IFERROR(__xludf.DUMMYFUNCTION("""COMPUTED_VALUE"""),601.9)</f>
        <v>601.9</v>
      </c>
      <c r="C4093" s="2">
        <f>IFERROR(__xludf.DUMMYFUNCTION("""COMPUTED_VALUE"""),613.0)</f>
        <v>613</v>
      </c>
      <c r="D4093" s="2">
        <f>IFERROR(__xludf.DUMMYFUNCTION("""COMPUTED_VALUE"""),597.55)</f>
        <v>597.55</v>
      </c>
      <c r="E4093" s="2">
        <f>IFERROR(__xludf.DUMMYFUNCTION("""COMPUTED_VALUE"""),611.85)</f>
        <v>611.85</v>
      </c>
      <c r="F4093" s="2">
        <f>IFERROR(__xludf.DUMMYFUNCTION("""COMPUTED_VALUE"""),1443554.0)</f>
        <v>1443554</v>
      </c>
    </row>
    <row r="4094">
      <c r="A4094" s="3">
        <f>IFERROR(__xludf.DUMMYFUNCTION("""COMPUTED_VALUE"""),42569.64583333333)</f>
        <v>42569.64583</v>
      </c>
      <c r="B4094" s="2">
        <f>IFERROR(__xludf.DUMMYFUNCTION("""COMPUTED_VALUE"""),612.5)</f>
        <v>612.5</v>
      </c>
      <c r="C4094" s="2">
        <f>IFERROR(__xludf.DUMMYFUNCTION("""COMPUTED_VALUE"""),619.25)</f>
        <v>619.25</v>
      </c>
      <c r="D4094" s="2">
        <f>IFERROR(__xludf.DUMMYFUNCTION("""COMPUTED_VALUE"""),611.33)</f>
        <v>611.33</v>
      </c>
      <c r="E4094" s="2">
        <f>IFERROR(__xludf.DUMMYFUNCTION("""COMPUTED_VALUE"""),613.73)</f>
        <v>613.73</v>
      </c>
      <c r="F4094" s="2">
        <f>IFERROR(__xludf.DUMMYFUNCTION("""COMPUTED_VALUE"""),1109621.0)</f>
        <v>1109621</v>
      </c>
    </row>
    <row r="4095">
      <c r="A4095" s="3">
        <f>IFERROR(__xludf.DUMMYFUNCTION("""COMPUTED_VALUE"""),42570.64583333333)</f>
        <v>42570.64583</v>
      </c>
      <c r="B4095" s="2">
        <f>IFERROR(__xludf.DUMMYFUNCTION("""COMPUTED_VALUE"""),614.5)</f>
        <v>614.5</v>
      </c>
      <c r="C4095" s="2">
        <f>IFERROR(__xludf.DUMMYFUNCTION("""COMPUTED_VALUE"""),615.38)</f>
        <v>615.38</v>
      </c>
      <c r="D4095" s="2">
        <f>IFERROR(__xludf.DUMMYFUNCTION("""COMPUTED_VALUE"""),606.92)</f>
        <v>606.92</v>
      </c>
      <c r="E4095" s="2">
        <f>IFERROR(__xludf.DUMMYFUNCTION("""COMPUTED_VALUE"""),609.17)</f>
        <v>609.17</v>
      </c>
      <c r="F4095" s="2">
        <f>IFERROR(__xludf.DUMMYFUNCTION("""COMPUTED_VALUE"""),646501.0)</f>
        <v>646501</v>
      </c>
    </row>
    <row r="4096">
      <c r="A4096" s="3">
        <f>IFERROR(__xludf.DUMMYFUNCTION("""COMPUTED_VALUE"""),42571.64583333333)</f>
        <v>42571.64583</v>
      </c>
      <c r="B4096" s="2">
        <f>IFERROR(__xludf.DUMMYFUNCTION("""COMPUTED_VALUE"""),611.5)</f>
        <v>611.5</v>
      </c>
      <c r="C4096" s="2">
        <f>IFERROR(__xludf.DUMMYFUNCTION("""COMPUTED_VALUE"""),619.25)</f>
        <v>619.25</v>
      </c>
      <c r="D4096" s="2">
        <f>IFERROR(__xludf.DUMMYFUNCTION("""COMPUTED_VALUE"""),610.88)</f>
        <v>610.88</v>
      </c>
      <c r="E4096" s="2">
        <f>IFERROR(__xludf.DUMMYFUNCTION("""COMPUTED_VALUE"""),616.1)</f>
        <v>616.1</v>
      </c>
      <c r="F4096" s="2">
        <f>IFERROR(__xludf.DUMMYFUNCTION("""COMPUTED_VALUE"""),1172583.0)</f>
        <v>1172583</v>
      </c>
    </row>
    <row r="4097">
      <c r="A4097" s="3">
        <f>IFERROR(__xludf.DUMMYFUNCTION("""COMPUTED_VALUE"""),42572.64583333333)</f>
        <v>42572.64583</v>
      </c>
      <c r="B4097" s="2">
        <f>IFERROR(__xludf.DUMMYFUNCTION("""COMPUTED_VALUE"""),615.35)</f>
        <v>615.35</v>
      </c>
      <c r="C4097" s="2">
        <f>IFERROR(__xludf.DUMMYFUNCTION("""COMPUTED_VALUE"""),619.95)</f>
        <v>619.95</v>
      </c>
      <c r="D4097" s="2">
        <f>IFERROR(__xludf.DUMMYFUNCTION("""COMPUTED_VALUE"""),611.25)</f>
        <v>611.25</v>
      </c>
      <c r="E4097" s="2">
        <f>IFERROR(__xludf.DUMMYFUNCTION("""COMPUTED_VALUE"""),614.3)</f>
        <v>614.3</v>
      </c>
      <c r="F4097" s="2">
        <f>IFERROR(__xludf.DUMMYFUNCTION("""COMPUTED_VALUE"""),2278226.0)</f>
        <v>2278226</v>
      </c>
    </row>
    <row r="4098">
      <c r="A4098" s="3">
        <f>IFERROR(__xludf.DUMMYFUNCTION("""COMPUTED_VALUE"""),42573.64583333333)</f>
        <v>42573.64583</v>
      </c>
      <c r="B4098" s="2">
        <f>IFERROR(__xludf.DUMMYFUNCTION("""COMPUTED_VALUE"""),616.67)</f>
        <v>616.67</v>
      </c>
      <c r="C4098" s="2">
        <f>IFERROR(__xludf.DUMMYFUNCTION("""COMPUTED_VALUE"""),617.33)</f>
        <v>617.33</v>
      </c>
      <c r="D4098" s="2">
        <f>IFERROR(__xludf.DUMMYFUNCTION("""COMPUTED_VALUE"""),610.75)</f>
        <v>610.75</v>
      </c>
      <c r="E4098" s="2">
        <f>IFERROR(__xludf.DUMMYFUNCTION("""COMPUTED_VALUE"""),615.4)</f>
        <v>615.4</v>
      </c>
      <c r="F4098" s="2">
        <f>IFERROR(__xludf.DUMMYFUNCTION("""COMPUTED_VALUE"""),1405068.0)</f>
        <v>1405068</v>
      </c>
    </row>
    <row r="4099">
      <c r="A4099" s="3">
        <f>IFERROR(__xludf.DUMMYFUNCTION("""COMPUTED_VALUE"""),42576.64583333333)</f>
        <v>42576.64583</v>
      </c>
      <c r="B4099" s="2">
        <f>IFERROR(__xludf.DUMMYFUNCTION("""COMPUTED_VALUE"""),616.5)</f>
        <v>616.5</v>
      </c>
      <c r="C4099" s="2">
        <f>IFERROR(__xludf.DUMMYFUNCTION("""COMPUTED_VALUE"""),624.73)</f>
        <v>624.73</v>
      </c>
      <c r="D4099" s="2">
        <f>IFERROR(__xludf.DUMMYFUNCTION("""COMPUTED_VALUE"""),613.5)</f>
        <v>613.5</v>
      </c>
      <c r="E4099" s="2">
        <f>IFERROR(__xludf.DUMMYFUNCTION("""COMPUTED_VALUE"""),623.48)</f>
        <v>623.48</v>
      </c>
      <c r="F4099" s="2">
        <f>IFERROR(__xludf.DUMMYFUNCTION("""COMPUTED_VALUE"""),2468221.0)</f>
        <v>2468221</v>
      </c>
    </row>
    <row r="4100">
      <c r="A4100" s="3">
        <f>IFERROR(__xludf.DUMMYFUNCTION("""COMPUTED_VALUE"""),42577.64583333333)</f>
        <v>42577.64583</v>
      </c>
      <c r="B4100" s="2">
        <f>IFERROR(__xludf.DUMMYFUNCTION("""COMPUTED_VALUE"""),621.2)</f>
        <v>621.2</v>
      </c>
      <c r="C4100" s="2">
        <f>IFERROR(__xludf.DUMMYFUNCTION("""COMPUTED_VALUE"""),622.83)</f>
        <v>622.83</v>
      </c>
      <c r="D4100" s="2">
        <f>IFERROR(__xludf.DUMMYFUNCTION("""COMPUTED_VALUE"""),617.58)</f>
        <v>617.58</v>
      </c>
      <c r="E4100" s="2">
        <f>IFERROR(__xludf.DUMMYFUNCTION("""COMPUTED_VALUE"""),619.4)</f>
        <v>619.4</v>
      </c>
      <c r="F4100" s="2">
        <f>IFERROR(__xludf.DUMMYFUNCTION("""COMPUTED_VALUE"""),1416498.0)</f>
        <v>1416498</v>
      </c>
    </row>
    <row r="4101">
      <c r="A4101" s="3">
        <f>IFERROR(__xludf.DUMMYFUNCTION("""COMPUTED_VALUE"""),42578.64583333333)</f>
        <v>42578.64583</v>
      </c>
      <c r="B4101" s="2">
        <f>IFERROR(__xludf.DUMMYFUNCTION("""COMPUTED_VALUE"""),620.5)</f>
        <v>620.5</v>
      </c>
      <c r="C4101" s="2">
        <f>IFERROR(__xludf.DUMMYFUNCTION("""COMPUTED_VALUE"""),623.78)</f>
        <v>623.78</v>
      </c>
      <c r="D4101" s="2">
        <f>IFERROR(__xludf.DUMMYFUNCTION("""COMPUTED_VALUE"""),615.0)</f>
        <v>615</v>
      </c>
      <c r="E4101" s="2">
        <f>IFERROR(__xludf.DUMMYFUNCTION("""COMPUTED_VALUE"""),618.48)</f>
        <v>618.48</v>
      </c>
      <c r="F4101" s="2">
        <f>IFERROR(__xludf.DUMMYFUNCTION("""COMPUTED_VALUE"""),2683684.0)</f>
        <v>2683684</v>
      </c>
    </row>
    <row r="4102">
      <c r="A4102" s="3">
        <f>IFERROR(__xludf.DUMMYFUNCTION("""COMPUTED_VALUE"""),42579.64583333333)</f>
        <v>42579.64583</v>
      </c>
      <c r="B4102" s="2">
        <f>IFERROR(__xludf.DUMMYFUNCTION("""COMPUTED_VALUE"""),619.0)</f>
        <v>619</v>
      </c>
      <c r="C4102" s="2">
        <f>IFERROR(__xludf.DUMMYFUNCTION("""COMPUTED_VALUE"""),625.63)</f>
        <v>625.63</v>
      </c>
      <c r="D4102" s="2">
        <f>IFERROR(__xludf.DUMMYFUNCTION("""COMPUTED_VALUE"""),617.78)</f>
        <v>617.78</v>
      </c>
      <c r="E4102" s="2">
        <f>IFERROR(__xludf.DUMMYFUNCTION("""COMPUTED_VALUE"""),624.23)</f>
        <v>624.23</v>
      </c>
      <c r="F4102" s="2">
        <f>IFERROR(__xludf.DUMMYFUNCTION("""COMPUTED_VALUE"""),2661632.0)</f>
        <v>2661632</v>
      </c>
    </row>
    <row r="4103">
      <c r="A4103" s="3">
        <f>IFERROR(__xludf.DUMMYFUNCTION("""COMPUTED_VALUE"""),42580.64583333333)</f>
        <v>42580.64583</v>
      </c>
      <c r="B4103" s="2">
        <f>IFERROR(__xludf.DUMMYFUNCTION("""COMPUTED_VALUE"""),624.0)</f>
        <v>624</v>
      </c>
      <c r="C4103" s="2">
        <f>IFERROR(__xludf.DUMMYFUNCTION("""COMPUTED_VALUE"""),625.0)</f>
        <v>625</v>
      </c>
      <c r="D4103" s="2">
        <f>IFERROR(__xludf.DUMMYFUNCTION("""COMPUTED_VALUE"""),617.5)</f>
        <v>617.5</v>
      </c>
      <c r="E4103" s="2">
        <f>IFERROR(__xludf.DUMMYFUNCTION("""COMPUTED_VALUE"""),623.1)</f>
        <v>623.1</v>
      </c>
      <c r="F4103" s="2">
        <f>IFERROR(__xludf.DUMMYFUNCTION("""COMPUTED_VALUE"""),848919.0)</f>
        <v>848919</v>
      </c>
    </row>
    <row r="4104">
      <c r="A4104" s="3">
        <f>IFERROR(__xludf.DUMMYFUNCTION("""COMPUTED_VALUE"""),42583.64583333333)</f>
        <v>42583.64583</v>
      </c>
      <c r="B4104" s="2">
        <f>IFERROR(__xludf.DUMMYFUNCTION("""COMPUTED_VALUE"""),624.5)</f>
        <v>624.5</v>
      </c>
      <c r="C4104" s="2">
        <f>IFERROR(__xludf.DUMMYFUNCTION("""COMPUTED_VALUE"""),629.48)</f>
        <v>629.48</v>
      </c>
      <c r="D4104" s="2">
        <f>IFERROR(__xludf.DUMMYFUNCTION("""COMPUTED_VALUE"""),613.83)</f>
        <v>613.83</v>
      </c>
      <c r="E4104" s="2">
        <f>IFERROR(__xludf.DUMMYFUNCTION("""COMPUTED_VALUE"""),621.15)</f>
        <v>621.15</v>
      </c>
      <c r="F4104" s="2">
        <f>IFERROR(__xludf.DUMMYFUNCTION("""COMPUTED_VALUE"""),1390216.0)</f>
        <v>1390216</v>
      </c>
    </row>
    <row r="4105">
      <c r="A4105" s="3">
        <f>IFERROR(__xludf.DUMMYFUNCTION("""COMPUTED_VALUE"""),42584.64583333333)</f>
        <v>42584.64583</v>
      </c>
      <c r="B4105" s="2">
        <f>IFERROR(__xludf.DUMMYFUNCTION("""COMPUTED_VALUE"""),623.5)</f>
        <v>623.5</v>
      </c>
      <c r="C4105" s="2">
        <f>IFERROR(__xludf.DUMMYFUNCTION("""COMPUTED_VALUE"""),628.23)</f>
        <v>628.23</v>
      </c>
      <c r="D4105" s="2">
        <f>IFERROR(__xludf.DUMMYFUNCTION("""COMPUTED_VALUE"""),620.2)</f>
        <v>620.2</v>
      </c>
      <c r="E4105" s="2">
        <f>IFERROR(__xludf.DUMMYFUNCTION("""COMPUTED_VALUE"""),621.65)</f>
        <v>621.65</v>
      </c>
      <c r="F4105" s="2">
        <f>IFERROR(__xludf.DUMMYFUNCTION("""COMPUTED_VALUE"""),1332349.0)</f>
        <v>1332349</v>
      </c>
    </row>
    <row r="4106">
      <c r="A4106" s="3">
        <f>IFERROR(__xludf.DUMMYFUNCTION("""COMPUTED_VALUE"""),42585.64583333333)</f>
        <v>42585.64583</v>
      </c>
      <c r="B4106" s="2">
        <f>IFERROR(__xludf.DUMMYFUNCTION("""COMPUTED_VALUE"""),620.55)</f>
        <v>620.55</v>
      </c>
      <c r="C4106" s="2">
        <f>IFERROR(__xludf.DUMMYFUNCTION("""COMPUTED_VALUE"""),624.98)</f>
        <v>624.98</v>
      </c>
      <c r="D4106" s="2">
        <f>IFERROR(__xludf.DUMMYFUNCTION("""COMPUTED_VALUE"""),615.5)</f>
        <v>615.5</v>
      </c>
      <c r="E4106" s="2">
        <f>IFERROR(__xludf.DUMMYFUNCTION("""COMPUTED_VALUE"""),620.23)</f>
        <v>620.23</v>
      </c>
      <c r="F4106" s="2">
        <f>IFERROR(__xludf.DUMMYFUNCTION("""COMPUTED_VALUE"""),1183469.0)</f>
        <v>1183469</v>
      </c>
    </row>
    <row r="4107">
      <c r="A4107" s="3">
        <f>IFERROR(__xludf.DUMMYFUNCTION("""COMPUTED_VALUE"""),42586.64583333333)</f>
        <v>42586.64583</v>
      </c>
      <c r="B4107" s="2">
        <f>IFERROR(__xludf.DUMMYFUNCTION("""COMPUTED_VALUE"""),623.3)</f>
        <v>623.3</v>
      </c>
      <c r="C4107" s="2">
        <f>IFERROR(__xludf.DUMMYFUNCTION("""COMPUTED_VALUE"""),623.35)</f>
        <v>623.35</v>
      </c>
      <c r="D4107" s="2">
        <f>IFERROR(__xludf.DUMMYFUNCTION("""COMPUTED_VALUE"""),616.8)</f>
        <v>616.8</v>
      </c>
      <c r="E4107" s="2">
        <f>IFERROR(__xludf.DUMMYFUNCTION("""COMPUTED_VALUE"""),620.5)</f>
        <v>620.5</v>
      </c>
      <c r="F4107" s="2">
        <f>IFERROR(__xludf.DUMMYFUNCTION("""COMPUTED_VALUE"""),1165720.0)</f>
        <v>1165720</v>
      </c>
    </row>
    <row r="4108">
      <c r="A4108" s="3">
        <f>IFERROR(__xludf.DUMMYFUNCTION("""COMPUTED_VALUE"""),42587.64583333333)</f>
        <v>42587.64583</v>
      </c>
      <c r="B4108" s="2">
        <f>IFERROR(__xludf.DUMMYFUNCTION("""COMPUTED_VALUE"""),623.7)</f>
        <v>623.7</v>
      </c>
      <c r="C4108" s="2">
        <f>IFERROR(__xludf.DUMMYFUNCTION("""COMPUTED_VALUE"""),627.83)</f>
        <v>627.83</v>
      </c>
      <c r="D4108" s="2">
        <f>IFERROR(__xludf.DUMMYFUNCTION("""COMPUTED_VALUE"""),620.88)</f>
        <v>620.88</v>
      </c>
      <c r="E4108" s="2">
        <f>IFERROR(__xludf.DUMMYFUNCTION("""COMPUTED_VALUE"""),624.63)</f>
        <v>624.63</v>
      </c>
      <c r="F4108" s="2">
        <f>IFERROR(__xludf.DUMMYFUNCTION("""COMPUTED_VALUE"""),1446228.0)</f>
        <v>1446228</v>
      </c>
    </row>
    <row r="4109">
      <c r="A4109" s="3">
        <f>IFERROR(__xludf.DUMMYFUNCTION("""COMPUTED_VALUE"""),42590.64583333333)</f>
        <v>42590.64583</v>
      </c>
      <c r="B4109" s="2">
        <f>IFERROR(__xludf.DUMMYFUNCTION("""COMPUTED_VALUE"""),626.45)</f>
        <v>626.45</v>
      </c>
      <c r="C4109" s="2">
        <f>IFERROR(__xludf.DUMMYFUNCTION("""COMPUTED_VALUE"""),627.5)</f>
        <v>627.5</v>
      </c>
      <c r="D4109" s="2">
        <f>IFERROR(__xludf.DUMMYFUNCTION("""COMPUTED_VALUE"""),622.28)</f>
        <v>622.28</v>
      </c>
      <c r="E4109" s="2">
        <f>IFERROR(__xludf.DUMMYFUNCTION("""COMPUTED_VALUE"""),624.8)</f>
        <v>624.8</v>
      </c>
      <c r="F4109" s="2">
        <f>IFERROR(__xludf.DUMMYFUNCTION("""COMPUTED_VALUE"""),1182194.0)</f>
        <v>1182194</v>
      </c>
    </row>
    <row r="4110">
      <c r="A4110" s="3">
        <f>IFERROR(__xludf.DUMMYFUNCTION("""COMPUTED_VALUE"""),42591.64583333333)</f>
        <v>42591.64583</v>
      </c>
      <c r="B4110" s="2">
        <f>IFERROR(__xludf.DUMMYFUNCTION("""COMPUTED_VALUE"""),626.45)</f>
        <v>626.45</v>
      </c>
      <c r="C4110" s="2">
        <f>IFERROR(__xludf.DUMMYFUNCTION("""COMPUTED_VALUE"""),626.45)</f>
        <v>626.45</v>
      </c>
      <c r="D4110" s="2">
        <f>IFERROR(__xludf.DUMMYFUNCTION("""COMPUTED_VALUE"""),618.85)</f>
        <v>618.85</v>
      </c>
      <c r="E4110" s="2">
        <f>IFERROR(__xludf.DUMMYFUNCTION("""COMPUTED_VALUE"""),623.6)</f>
        <v>623.6</v>
      </c>
      <c r="F4110" s="2">
        <f>IFERROR(__xludf.DUMMYFUNCTION("""COMPUTED_VALUE"""),1052714.0)</f>
        <v>1052714</v>
      </c>
    </row>
    <row r="4111">
      <c r="A4111" s="3">
        <f>IFERROR(__xludf.DUMMYFUNCTION("""COMPUTED_VALUE"""),42592.64583333333)</f>
        <v>42592.64583</v>
      </c>
      <c r="B4111" s="2">
        <f>IFERROR(__xludf.DUMMYFUNCTION("""COMPUTED_VALUE"""),622.5)</f>
        <v>622.5</v>
      </c>
      <c r="C4111" s="2">
        <f>IFERROR(__xludf.DUMMYFUNCTION("""COMPUTED_VALUE"""),625.48)</f>
        <v>625.48</v>
      </c>
      <c r="D4111" s="2">
        <f>IFERROR(__xludf.DUMMYFUNCTION("""COMPUTED_VALUE"""),609.88)</f>
        <v>609.88</v>
      </c>
      <c r="E4111" s="2">
        <f>IFERROR(__xludf.DUMMYFUNCTION("""COMPUTED_VALUE"""),613.45)</f>
        <v>613.45</v>
      </c>
      <c r="F4111" s="2">
        <f>IFERROR(__xludf.DUMMYFUNCTION("""COMPUTED_VALUE"""),904930.0)</f>
        <v>904930</v>
      </c>
    </row>
    <row r="4112">
      <c r="A4112" s="3">
        <f>IFERROR(__xludf.DUMMYFUNCTION("""COMPUTED_VALUE"""),42593.64583333333)</f>
        <v>42593.64583</v>
      </c>
      <c r="B4112" s="2">
        <f>IFERROR(__xludf.DUMMYFUNCTION("""COMPUTED_VALUE"""),613.4)</f>
        <v>613.4</v>
      </c>
      <c r="C4112" s="2">
        <f>IFERROR(__xludf.DUMMYFUNCTION("""COMPUTED_VALUE"""),617.5)</f>
        <v>617.5</v>
      </c>
      <c r="D4112" s="2">
        <f>IFERROR(__xludf.DUMMYFUNCTION("""COMPUTED_VALUE"""),611.0)</f>
        <v>611</v>
      </c>
      <c r="E4112" s="2">
        <f>IFERROR(__xludf.DUMMYFUNCTION("""COMPUTED_VALUE"""),614.13)</f>
        <v>614.13</v>
      </c>
      <c r="F4112" s="2">
        <f>IFERROR(__xludf.DUMMYFUNCTION("""COMPUTED_VALUE"""),714018.0)</f>
        <v>714018</v>
      </c>
    </row>
    <row r="4113">
      <c r="A4113" s="3">
        <f>IFERROR(__xludf.DUMMYFUNCTION("""COMPUTED_VALUE"""),42594.64583333333)</f>
        <v>42594.64583</v>
      </c>
      <c r="B4113" s="2">
        <f>IFERROR(__xludf.DUMMYFUNCTION("""COMPUTED_VALUE"""),615.53)</f>
        <v>615.53</v>
      </c>
      <c r="C4113" s="2">
        <f>IFERROR(__xludf.DUMMYFUNCTION("""COMPUTED_VALUE"""),617.5)</f>
        <v>617.5</v>
      </c>
      <c r="D4113" s="2">
        <f>IFERROR(__xludf.DUMMYFUNCTION("""COMPUTED_VALUE"""),609.7)</f>
        <v>609.7</v>
      </c>
      <c r="E4113" s="2">
        <f>IFERROR(__xludf.DUMMYFUNCTION("""COMPUTED_VALUE"""),614.35)</f>
        <v>614.35</v>
      </c>
      <c r="F4113" s="2">
        <f>IFERROR(__xludf.DUMMYFUNCTION("""COMPUTED_VALUE"""),1160374.0)</f>
        <v>1160374</v>
      </c>
    </row>
    <row r="4114">
      <c r="A4114" s="3">
        <f>IFERROR(__xludf.DUMMYFUNCTION("""COMPUTED_VALUE"""),42598.64583333333)</f>
        <v>42598.64583</v>
      </c>
      <c r="B4114" s="2">
        <f>IFERROR(__xludf.DUMMYFUNCTION("""COMPUTED_VALUE"""),616.5)</f>
        <v>616.5</v>
      </c>
      <c r="C4114" s="2">
        <f>IFERROR(__xludf.DUMMYFUNCTION("""COMPUTED_VALUE"""),619.23)</f>
        <v>619.23</v>
      </c>
      <c r="D4114" s="2">
        <f>IFERROR(__xludf.DUMMYFUNCTION("""COMPUTED_VALUE"""),606.9)</f>
        <v>606.9</v>
      </c>
      <c r="E4114" s="2">
        <f>IFERROR(__xludf.DUMMYFUNCTION("""COMPUTED_VALUE"""),613.65)</f>
        <v>613.65</v>
      </c>
      <c r="F4114" s="2">
        <f>IFERROR(__xludf.DUMMYFUNCTION("""COMPUTED_VALUE"""),867142.0)</f>
        <v>867142</v>
      </c>
    </row>
    <row r="4115">
      <c r="A4115" s="3">
        <f>IFERROR(__xludf.DUMMYFUNCTION("""COMPUTED_VALUE"""),42599.64583333333)</f>
        <v>42599.64583</v>
      </c>
      <c r="B4115" s="2">
        <f>IFERROR(__xludf.DUMMYFUNCTION("""COMPUTED_VALUE"""),616.7)</f>
        <v>616.7</v>
      </c>
      <c r="C4115" s="2">
        <f>IFERROR(__xludf.DUMMYFUNCTION("""COMPUTED_VALUE"""),618.75)</f>
        <v>618.75</v>
      </c>
      <c r="D4115" s="2">
        <f>IFERROR(__xludf.DUMMYFUNCTION("""COMPUTED_VALUE"""),613.0)</f>
        <v>613</v>
      </c>
      <c r="E4115" s="2">
        <f>IFERROR(__xludf.DUMMYFUNCTION("""COMPUTED_VALUE"""),617.45)</f>
        <v>617.45</v>
      </c>
      <c r="F4115" s="2">
        <f>IFERROR(__xludf.DUMMYFUNCTION("""COMPUTED_VALUE"""),1377759.0)</f>
        <v>1377759</v>
      </c>
    </row>
    <row r="4116">
      <c r="A4116" s="3">
        <f>IFERROR(__xludf.DUMMYFUNCTION("""COMPUTED_VALUE"""),42600.64583333333)</f>
        <v>42600.64583</v>
      </c>
      <c r="B4116" s="2">
        <f>IFERROR(__xludf.DUMMYFUNCTION("""COMPUTED_VALUE"""),619.0)</f>
        <v>619</v>
      </c>
      <c r="C4116" s="2">
        <f>IFERROR(__xludf.DUMMYFUNCTION("""COMPUTED_VALUE"""),627.45)</f>
        <v>627.45</v>
      </c>
      <c r="D4116" s="2">
        <f>IFERROR(__xludf.DUMMYFUNCTION("""COMPUTED_VALUE"""),617.28)</f>
        <v>617.28</v>
      </c>
      <c r="E4116" s="2">
        <f>IFERROR(__xludf.DUMMYFUNCTION("""COMPUTED_VALUE"""),626.25)</f>
        <v>626.25</v>
      </c>
      <c r="F4116" s="2">
        <f>IFERROR(__xludf.DUMMYFUNCTION("""COMPUTED_VALUE"""),1527914.0)</f>
        <v>1527914</v>
      </c>
    </row>
    <row r="4117">
      <c r="A4117" s="3">
        <f>IFERROR(__xludf.DUMMYFUNCTION("""COMPUTED_VALUE"""),42601.64583333333)</f>
        <v>42601.64583</v>
      </c>
      <c r="B4117" s="2">
        <f>IFERROR(__xludf.DUMMYFUNCTION("""COMPUTED_VALUE"""),625.0)</f>
        <v>625</v>
      </c>
      <c r="C4117" s="2">
        <f>IFERROR(__xludf.DUMMYFUNCTION("""COMPUTED_VALUE"""),625.0)</f>
        <v>625</v>
      </c>
      <c r="D4117" s="2">
        <f>IFERROR(__xludf.DUMMYFUNCTION("""COMPUTED_VALUE"""),620.73)</f>
        <v>620.73</v>
      </c>
      <c r="E4117" s="2">
        <f>IFERROR(__xludf.DUMMYFUNCTION("""COMPUTED_VALUE"""),623.55)</f>
        <v>623.55</v>
      </c>
      <c r="F4117" s="2">
        <f>IFERROR(__xludf.DUMMYFUNCTION("""COMPUTED_VALUE"""),1027659.0)</f>
        <v>1027659</v>
      </c>
    </row>
    <row r="4118">
      <c r="A4118" s="3">
        <f>IFERROR(__xludf.DUMMYFUNCTION("""COMPUTED_VALUE"""),42604.64583333333)</f>
        <v>42604.64583</v>
      </c>
      <c r="B4118" s="2">
        <f>IFERROR(__xludf.DUMMYFUNCTION("""COMPUTED_VALUE"""),622.53)</f>
        <v>622.53</v>
      </c>
      <c r="C4118" s="2">
        <f>IFERROR(__xludf.DUMMYFUNCTION("""COMPUTED_VALUE"""),627.23)</f>
        <v>627.23</v>
      </c>
      <c r="D4118" s="2">
        <f>IFERROR(__xludf.DUMMYFUNCTION("""COMPUTED_VALUE"""),620.5)</f>
        <v>620.5</v>
      </c>
      <c r="E4118" s="2">
        <f>IFERROR(__xludf.DUMMYFUNCTION("""COMPUTED_VALUE"""),625.15)</f>
        <v>625.15</v>
      </c>
      <c r="F4118" s="2">
        <f>IFERROR(__xludf.DUMMYFUNCTION("""COMPUTED_VALUE"""),1375323.0)</f>
        <v>1375323</v>
      </c>
    </row>
    <row r="4119">
      <c r="A4119" s="3">
        <f>IFERROR(__xludf.DUMMYFUNCTION("""COMPUTED_VALUE"""),42605.64583333333)</f>
        <v>42605.64583</v>
      </c>
      <c r="B4119" s="2">
        <f>IFERROR(__xludf.DUMMYFUNCTION("""COMPUTED_VALUE"""),625.5)</f>
        <v>625.5</v>
      </c>
      <c r="C4119" s="2">
        <f>IFERROR(__xludf.DUMMYFUNCTION("""COMPUTED_VALUE"""),627.0)</f>
        <v>627</v>
      </c>
      <c r="D4119" s="2">
        <f>IFERROR(__xludf.DUMMYFUNCTION("""COMPUTED_VALUE"""),623.03)</f>
        <v>623.03</v>
      </c>
      <c r="E4119" s="2">
        <f>IFERROR(__xludf.DUMMYFUNCTION("""COMPUTED_VALUE"""),625.73)</f>
        <v>625.73</v>
      </c>
      <c r="F4119" s="2">
        <f>IFERROR(__xludf.DUMMYFUNCTION("""COMPUTED_VALUE"""),1328631.0)</f>
        <v>1328631</v>
      </c>
    </row>
    <row r="4120">
      <c r="A4120" s="3">
        <f>IFERROR(__xludf.DUMMYFUNCTION("""COMPUTED_VALUE"""),42606.64583333333)</f>
        <v>42606.64583</v>
      </c>
      <c r="B4120" s="2">
        <f>IFERROR(__xludf.DUMMYFUNCTION("""COMPUTED_VALUE"""),626.03)</f>
        <v>626.03</v>
      </c>
      <c r="C4120" s="2">
        <f>IFERROR(__xludf.DUMMYFUNCTION("""COMPUTED_VALUE"""),632.1)</f>
        <v>632.1</v>
      </c>
      <c r="D4120" s="2">
        <f>IFERROR(__xludf.DUMMYFUNCTION("""COMPUTED_VALUE"""),623.53)</f>
        <v>623.53</v>
      </c>
      <c r="E4120" s="2">
        <f>IFERROR(__xludf.DUMMYFUNCTION("""COMPUTED_VALUE"""),630.9)</f>
        <v>630.9</v>
      </c>
      <c r="F4120" s="2">
        <f>IFERROR(__xludf.DUMMYFUNCTION("""COMPUTED_VALUE"""),1392734.0)</f>
        <v>1392734</v>
      </c>
    </row>
    <row r="4121">
      <c r="A4121" s="3">
        <f>IFERROR(__xludf.DUMMYFUNCTION("""COMPUTED_VALUE"""),42607.64583333333)</f>
        <v>42607.64583</v>
      </c>
      <c r="B4121" s="2">
        <f>IFERROR(__xludf.DUMMYFUNCTION("""COMPUTED_VALUE"""),632.0)</f>
        <v>632</v>
      </c>
      <c r="C4121" s="2">
        <f>IFERROR(__xludf.DUMMYFUNCTION("""COMPUTED_VALUE"""),633.4)</f>
        <v>633.4</v>
      </c>
      <c r="D4121" s="2">
        <f>IFERROR(__xludf.DUMMYFUNCTION("""COMPUTED_VALUE"""),627.15)</f>
        <v>627.15</v>
      </c>
      <c r="E4121" s="2">
        <f>IFERROR(__xludf.DUMMYFUNCTION("""COMPUTED_VALUE"""),629.28)</f>
        <v>629.28</v>
      </c>
      <c r="F4121" s="2">
        <f>IFERROR(__xludf.DUMMYFUNCTION("""COMPUTED_VALUE"""),2182472.0)</f>
        <v>2182472</v>
      </c>
    </row>
    <row r="4122">
      <c r="A4122" s="3">
        <f>IFERROR(__xludf.DUMMYFUNCTION("""COMPUTED_VALUE"""),42608.64583333333)</f>
        <v>42608.64583</v>
      </c>
      <c r="B4122" s="2">
        <f>IFERROR(__xludf.DUMMYFUNCTION("""COMPUTED_VALUE"""),630.0)</f>
        <v>630</v>
      </c>
      <c r="C4122" s="2">
        <f>IFERROR(__xludf.DUMMYFUNCTION("""COMPUTED_VALUE"""),630.95)</f>
        <v>630.95</v>
      </c>
      <c r="D4122" s="2">
        <f>IFERROR(__xludf.DUMMYFUNCTION("""COMPUTED_VALUE"""),626.95)</f>
        <v>626.95</v>
      </c>
      <c r="E4122" s="2">
        <f>IFERROR(__xludf.DUMMYFUNCTION("""COMPUTED_VALUE"""),628.55)</f>
        <v>628.55</v>
      </c>
      <c r="F4122" s="2">
        <f>IFERROR(__xludf.DUMMYFUNCTION("""COMPUTED_VALUE"""),630284.0)</f>
        <v>630284</v>
      </c>
    </row>
    <row r="4123">
      <c r="A4123" s="3">
        <f>IFERROR(__xludf.DUMMYFUNCTION("""COMPUTED_VALUE"""),42611.64583333333)</f>
        <v>42611.64583</v>
      </c>
      <c r="B4123" s="2">
        <f>IFERROR(__xludf.DUMMYFUNCTION("""COMPUTED_VALUE"""),627.75)</f>
        <v>627.75</v>
      </c>
      <c r="C4123" s="2">
        <f>IFERROR(__xludf.DUMMYFUNCTION("""COMPUTED_VALUE"""),627.75)</f>
        <v>627.75</v>
      </c>
      <c r="D4123" s="2">
        <f>IFERROR(__xludf.DUMMYFUNCTION("""COMPUTED_VALUE"""),618.1)</f>
        <v>618.1</v>
      </c>
      <c r="E4123" s="2">
        <f>IFERROR(__xludf.DUMMYFUNCTION("""COMPUTED_VALUE"""),619.05)</f>
        <v>619.05</v>
      </c>
      <c r="F4123" s="2">
        <f>IFERROR(__xludf.DUMMYFUNCTION("""COMPUTED_VALUE"""),736046.0)</f>
        <v>736046</v>
      </c>
    </row>
    <row r="4124">
      <c r="A4124" s="3">
        <f>IFERROR(__xludf.DUMMYFUNCTION("""COMPUTED_VALUE"""),42612.64583333333)</f>
        <v>42612.64583</v>
      </c>
      <c r="B4124" s="2">
        <f>IFERROR(__xludf.DUMMYFUNCTION("""COMPUTED_VALUE"""),622.55)</f>
        <v>622.55</v>
      </c>
      <c r="C4124" s="2">
        <f>IFERROR(__xludf.DUMMYFUNCTION("""COMPUTED_VALUE"""),635.25)</f>
        <v>635.25</v>
      </c>
      <c r="D4124" s="2">
        <f>IFERROR(__xludf.DUMMYFUNCTION("""COMPUTED_VALUE"""),621.98)</f>
        <v>621.98</v>
      </c>
      <c r="E4124" s="2">
        <f>IFERROR(__xludf.DUMMYFUNCTION("""COMPUTED_VALUE"""),634.33)</f>
        <v>634.33</v>
      </c>
      <c r="F4124" s="2">
        <f>IFERROR(__xludf.DUMMYFUNCTION("""COMPUTED_VALUE"""),2466902.0)</f>
        <v>2466902</v>
      </c>
    </row>
    <row r="4125">
      <c r="A4125" s="3">
        <f>IFERROR(__xludf.DUMMYFUNCTION("""COMPUTED_VALUE"""),42613.64583333333)</f>
        <v>42613.64583</v>
      </c>
      <c r="B4125" s="2">
        <f>IFERROR(__xludf.DUMMYFUNCTION("""COMPUTED_VALUE"""),634.5)</f>
        <v>634.5</v>
      </c>
      <c r="C4125" s="2">
        <f>IFERROR(__xludf.DUMMYFUNCTION("""COMPUTED_VALUE"""),647.5)</f>
        <v>647.5</v>
      </c>
      <c r="D4125" s="2">
        <f>IFERROR(__xludf.DUMMYFUNCTION("""COMPUTED_VALUE"""),632.75)</f>
        <v>632.75</v>
      </c>
      <c r="E4125" s="2">
        <f>IFERROR(__xludf.DUMMYFUNCTION("""COMPUTED_VALUE"""),645.6)</f>
        <v>645.6</v>
      </c>
      <c r="F4125" s="2">
        <f>IFERROR(__xludf.DUMMYFUNCTION("""COMPUTED_VALUE"""),2790341.0)</f>
        <v>2790341</v>
      </c>
    </row>
    <row r="4126">
      <c r="A4126" s="3">
        <f>IFERROR(__xludf.DUMMYFUNCTION("""COMPUTED_VALUE"""),42614.64583333333)</f>
        <v>42614.64583</v>
      </c>
      <c r="B4126" s="2">
        <f>IFERROR(__xludf.DUMMYFUNCTION("""COMPUTED_VALUE"""),644.0)</f>
        <v>644</v>
      </c>
      <c r="C4126" s="2">
        <f>IFERROR(__xludf.DUMMYFUNCTION("""COMPUTED_VALUE"""),645.0)</f>
        <v>645</v>
      </c>
      <c r="D4126" s="2">
        <f>IFERROR(__xludf.DUMMYFUNCTION("""COMPUTED_VALUE"""),637.7)</f>
        <v>637.7</v>
      </c>
      <c r="E4126" s="2">
        <f>IFERROR(__xludf.DUMMYFUNCTION("""COMPUTED_VALUE"""),641.85)</f>
        <v>641.85</v>
      </c>
      <c r="F4126" s="2">
        <f>IFERROR(__xludf.DUMMYFUNCTION("""COMPUTED_VALUE"""),1306169.0)</f>
        <v>1306169</v>
      </c>
    </row>
    <row r="4127">
      <c r="A4127" s="3">
        <f>IFERROR(__xludf.DUMMYFUNCTION("""COMPUTED_VALUE"""),42615.64583333333)</f>
        <v>42615.64583</v>
      </c>
      <c r="B4127" s="2">
        <f>IFERROR(__xludf.DUMMYFUNCTION("""COMPUTED_VALUE"""),642.75)</f>
        <v>642.75</v>
      </c>
      <c r="C4127" s="2">
        <f>IFERROR(__xludf.DUMMYFUNCTION("""COMPUTED_VALUE"""),644.5)</f>
        <v>644.5</v>
      </c>
      <c r="D4127" s="2">
        <f>IFERROR(__xludf.DUMMYFUNCTION("""COMPUTED_VALUE"""),640.58)</f>
        <v>640.58</v>
      </c>
      <c r="E4127" s="2">
        <f>IFERROR(__xludf.DUMMYFUNCTION("""COMPUTED_VALUE"""),642.55)</f>
        <v>642.55</v>
      </c>
      <c r="F4127" s="2">
        <f>IFERROR(__xludf.DUMMYFUNCTION("""COMPUTED_VALUE"""),988797.0)</f>
        <v>988797</v>
      </c>
    </row>
    <row r="4128">
      <c r="A4128" s="3">
        <f>IFERROR(__xludf.DUMMYFUNCTION("""COMPUTED_VALUE"""),42619.64583333333)</f>
        <v>42619.64583</v>
      </c>
      <c r="B4128" s="2">
        <f>IFERROR(__xludf.DUMMYFUNCTION("""COMPUTED_VALUE"""),645.03)</f>
        <v>645.03</v>
      </c>
      <c r="C4128" s="2">
        <f>IFERROR(__xludf.DUMMYFUNCTION("""COMPUTED_VALUE"""),651.95)</f>
        <v>651.95</v>
      </c>
      <c r="D4128" s="2">
        <f>IFERROR(__xludf.DUMMYFUNCTION("""COMPUTED_VALUE"""),645.03)</f>
        <v>645.03</v>
      </c>
      <c r="E4128" s="2">
        <f>IFERROR(__xludf.DUMMYFUNCTION("""COMPUTED_VALUE"""),650.2)</f>
        <v>650.2</v>
      </c>
      <c r="F4128" s="2">
        <f>IFERROR(__xludf.DUMMYFUNCTION("""COMPUTED_VALUE"""),1377221.0)</f>
        <v>1377221</v>
      </c>
    </row>
    <row r="4129">
      <c r="A4129" s="3">
        <f>IFERROR(__xludf.DUMMYFUNCTION("""COMPUTED_VALUE"""),42620.64583333333)</f>
        <v>42620.64583</v>
      </c>
      <c r="B4129" s="2">
        <f>IFERROR(__xludf.DUMMYFUNCTION("""COMPUTED_VALUE"""),650.5)</f>
        <v>650.5</v>
      </c>
      <c r="C4129" s="2">
        <f>IFERROR(__xludf.DUMMYFUNCTION("""COMPUTED_VALUE"""),652.5)</f>
        <v>652.5</v>
      </c>
      <c r="D4129" s="2">
        <f>IFERROR(__xludf.DUMMYFUNCTION("""COMPUTED_VALUE"""),641.55)</f>
        <v>641.55</v>
      </c>
      <c r="E4129" s="2">
        <f>IFERROR(__xludf.DUMMYFUNCTION("""COMPUTED_VALUE"""),643.38)</f>
        <v>643.38</v>
      </c>
      <c r="F4129" s="2">
        <f>IFERROR(__xludf.DUMMYFUNCTION("""COMPUTED_VALUE"""),1004111.0)</f>
        <v>1004111</v>
      </c>
    </row>
    <row r="4130">
      <c r="A4130" s="3">
        <f>IFERROR(__xludf.DUMMYFUNCTION("""COMPUTED_VALUE"""),42621.64583333333)</f>
        <v>42621.64583</v>
      </c>
      <c r="B4130" s="2">
        <f>IFERROR(__xludf.DUMMYFUNCTION("""COMPUTED_VALUE"""),645.0)</f>
        <v>645</v>
      </c>
      <c r="C4130" s="2">
        <f>IFERROR(__xludf.DUMMYFUNCTION("""COMPUTED_VALUE"""),647.63)</f>
        <v>647.63</v>
      </c>
      <c r="D4130" s="2">
        <f>IFERROR(__xludf.DUMMYFUNCTION("""COMPUTED_VALUE"""),641.8)</f>
        <v>641.8</v>
      </c>
      <c r="E4130" s="2">
        <f>IFERROR(__xludf.DUMMYFUNCTION("""COMPUTED_VALUE"""),644.7)</f>
        <v>644.7</v>
      </c>
      <c r="F4130" s="2">
        <f>IFERROR(__xludf.DUMMYFUNCTION("""COMPUTED_VALUE"""),726345.0)</f>
        <v>726345</v>
      </c>
    </row>
    <row r="4131">
      <c r="A4131" s="3">
        <f>IFERROR(__xludf.DUMMYFUNCTION("""COMPUTED_VALUE"""),42622.64583333333)</f>
        <v>42622.64583</v>
      </c>
      <c r="B4131" s="2">
        <f>IFERROR(__xludf.DUMMYFUNCTION("""COMPUTED_VALUE"""),645.0)</f>
        <v>645</v>
      </c>
      <c r="C4131" s="2">
        <f>IFERROR(__xludf.DUMMYFUNCTION("""COMPUTED_VALUE"""),647.25)</f>
        <v>647.25</v>
      </c>
      <c r="D4131" s="2">
        <f>IFERROR(__xludf.DUMMYFUNCTION("""COMPUTED_VALUE"""),639.15)</f>
        <v>639.15</v>
      </c>
      <c r="E4131" s="2">
        <f>IFERROR(__xludf.DUMMYFUNCTION("""COMPUTED_VALUE"""),645.2)</f>
        <v>645.2</v>
      </c>
      <c r="F4131" s="2">
        <f>IFERROR(__xludf.DUMMYFUNCTION("""COMPUTED_VALUE"""),1003442.0)</f>
        <v>1003442</v>
      </c>
    </row>
    <row r="4132">
      <c r="A4132" s="3">
        <f>IFERROR(__xludf.DUMMYFUNCTION("""COMPUTED_VALUE"""),42625.64583333333)</f>
        <v>42625.64583</v>
      </c>
      <c r="B4132" s="2">
        <f>IFERROR(__xludf.DUMMYFUNCTION("""COMPUTED_VALUE"""),637.35)</f>
        <v>637.35</v>
      </c>
      <c r="C4132" s="2">
        <f>IFERROR(__xludf.DUMMYFUNCTION("""COMPUTED_VALUE"""),642.2)</f>
        <v>642.2</v>
      </c>
      <c r="D4132" s="2">
        <f>IFERROR(__xludf.DUMMYFUNCTION("""COMPUTED_VALUE"""),635.75)</f>
        <v>635.75</v>
      </c>
      <c r="E4132" s="2">
        <f>IFERROR(__xludf.DUMMYFUNCTION("""COMPUTED_VALUE"""),639.95)</f>
        <v>639.95</v>
      </c>
      <c r="F4132" s="2">
        <f>IFERROR(__xludf.DUMMYFUNCTION("""COMPUTED_VALUE"""),996432.0)</f>
        <v>996432</v>
      </c>
    </row>
    <row r="4133">
      <c r="A4133" s="3">
        <f>IFERROR(__xludf.DUMMYFUNCTION("""COMPUTED_VALUE"""),42627.64583333333)</f>
        <v>42627.64583</v>
      </c>
      <c r="B4133" s="2">
        <f>IFERROR(__xludf.DUMMYFUNCTION("""COMPUTED_VALUE"""),637.5)</f>
        <v>637.5</v>
      </c>
      <c r="C4133" s="2">
        <f>IFERROR(__xludf.DUMMYFUNCTION("""COMPUTED_VALUE"""),638.5)</f>
        <v>638.5</v>
      </c>
      <c r="D4133" s="2">
        <f>IFERROR(__xludf.DUMMYFUNCTION("""COMPUTED_VALUE"""),632.7)</f>
        <v>632.7</v>
      </c>
      <c r="E4133" s="2">
        <f>IFERROR(__xludf.DUMMYFUNCTION("""COMPUTED_VALUE"""),634.73)</f>
        <v>634.73</v>
      </c>
      <c r="F4133" s="2">
        <f>IFERROR(__xludf.DUMMYFUNCTION("""COMPUTED_VALUE"""),962377.0)</f>
        <v>962377</v>
      </c>
    </row>
    <row r="4134">
      <c r="A4134" s="3">
        <f>IFERROR(__xludf.DUMMYFUNCTION("""COMPUTED_VALUE"""),42628.64583333333)</f>
        <v>42628.64583</v>
      </c>
      <c r="B4134" s="2">
        <f>IFERROR(__xludf.DUMMYFUNCTION("""COMPUTED_VALUE"""),636.0)</f>
        <v>636</v>
      </c>
      <c r="C4134" s="2">
        <f>IFERROR(__xludf.DUMMYFUNCTION("""COMPUTED_VALUE"""),641.95)</f>
        <v>641.95</v>
      </c>
      <c r="D4134" s="2">
        <f>IFERROR(__xludf.DUMMYFUNCTION("""COMPUTED_VALUE"""),634.92)</f>
        <v>634.92</v>
      </c>
      <c r="E4134" s="2">
        <f>IFERROR(__xludf.DUMMYFUNCTION("""COMPUTED_VALUE"""),639.8)</f>
        <v>639.8</v>
      </c>
      <c r="F4134" s="2">
        <f>IFERROR(__xludf.DUMMYFUNCTION("""COMPUTED_VALUE"""),875453.0)</f>
        <v>875453</v>
      </c>
    </row>
    <row r="4135">
      <c r="A4135" s="3">
        <f>IFERROR(__xludf.DUMMYFUNCTION("""COMPUTED_VALUE"""),42629.64583333333)</f>
        <v>42629.64583</v>
      </c>
      <c r="B4135" s="2">
        <f>IFERROR(__xludf.DUMMYFUNCTION("""COMPUTED_VALUE"""),641.9)</f>
        <v>641.9</v>
      </c>
      <c r="C4135" s="2">
        <f>IFERROR(__xludf.DUMMYFUNCTION("""COMPUTED_VALUE"""),652.25)</f>
        <v>652.25</v>
      </c>
      <c r="D4135" s="2">
        <f>IFERROR(__xludf.DUMMYFUNCTION("""COMPUTED_VALUE"""),641.9)</f>
        <v>641.9</v>
      </c>
      <c r="E4135" s="2">
        <f>IFERROR(__xludf.DUMMYFUNCTION("""COMPUTED_VALUE"""),648.92)</f>
        <v>648.92</v>
      </c>
      <c r="F4135" s="2">
        <f>IFERROR(__xludf.DUMMYFUNCTION("""COMPUTED_VALUE"""),1631454.0)</f>
        <v>1631454</v>
      </c>
    </row>
    <row r="4136">
      <c r="A4136" s="3">
        <f>IFERROR(__xludf.DUMMYFUNCTION("""COMPUTED_VALUE"""),42632.64583333333)</f>
        <v>42632.64583</v>
      </c>
      <c r="B4136" s="2">
        <f>IFERROR(__xludf.DUMMYFUNCTION("""COMPUTED_VALUE"""),648.5)</f>
        <v>648.5</v>
      </c>
      <c r="C4136" s="2">
        <f>IFERROR(__xludf.DUMMYFUNCTION("""COMPUTED_VALUE"""),651.25)</f>
        <v>651.25</v>
      </c>
      <c r="D4136" s="2">
        <f>IFERROR(__xludf.DUMMYFUNCTION("""COMPUTED_VALUE"""),644.0)</f>
        <v>644</v>
      </c>
      <c r="E4136" s="2">
        <f>IFERROR(__xludf.DUMMYFUNCTION("""COMPUTED_VALUE"""),645.08)</f>
        <v>645.08</v>
      </c>
      <c r="F4136" s="2">
        <f>IFERROR(__xludf.DUMMYFUNCTION("""COMPUTED_VALUE"""),1473708.0)</f>
        <v>1473708</v>
      </c>
    </row>
    <row r="4137">
      <c r="A4137" s="3">
        <f>IFERROR(__xludf.DUMMYFUNCTION("""COMPUTED_VALUE"""),42633.64583333333)</f>
        <v>42633.64583</v>
      </c>
      <c r="B4137" s="2">
        <f>IFERROR(__xludf.DUMMYFUNCTION("""COMPUTED_VALUE"""),646.33)</f>
        <v>646.33</v>
      </c>
      <c r="C4137" s="2">
        <f>IFERROR(__xludf.DUMMYFUNCTION("""COMPUTED_VALUE"""),647.5)</f>
        <v>647.5</v>
      </c>
      <c r="D4137" s="2">
        <f>IFERROR(__xludf.DUMMYFUNCTION("""COMPUTED_VALUE"""),642.03)</f>
        <v>642.03</v>
      </c>
      <c r="E4137" s="2">
        <f>IFERROR(__xludf.DUMMYFUNCTION("""COMPUTED_VALUE"""),644.23)</f>
        <v>644.23</v>
      </c>
      <c r="F4137" s="2">
        <f>IFERROR(__xludf.DUMMYFUNCTION("""COMPUTED_VALUE"""),944562.0)</f>
        <v>944562</v>
      </c>
    </row>
    <row r="4138">
      <c r="A4138" s="3">
        <f>IFERROR(__xludf.DUMMYFUNCTION("""COMPUTED_VALUE"""),42634.64583333333)</f>
        <v>42634.64583</v>
      </c>
      <c r="B4138" s="2">
        <f>IFERROR(__xludf.DUMMYFUNCTION("""COMPUTED_VALUE"""),646.0)</f>
        <v>646</v>
      </c>
      <c r="C4138" s="2">
        <f>IFERROR(__xludf.DUMMYFUNCTION("""COMPUTED_VALUE"""),649.0)</f>
        <v>649</v>
      </c>
      <c r="D4138" s="2">
        <f>IFERROR(__xludf.DUMMYFUNCTION("""COMPUTED_VALUE"""),643.95)</f>
        <v>643.95</v>
      </c>
      <c r="E4138" s="2">
        <f>IFERROR(__xludf.DUMMYFUNCTION("""COMPUTED_VALUE"""),646.5)</f>
        <v>646.5</v>
      </c>
      <c r="F4138" s="2">
        <f>IFERROR(__xludf.DUMMYFUNCTION("""COMPUTED_VALUE"""),1064100.0)</f>
        <v>1064100</v>
      </c>
    </row>
    <row r="4139">
      <c r="A4139" s="3">
        <f>IFERROR(__xludf.DUMMYFUNCTION("""COMPUTED_VALUE"""),42635.64583333333)</f>
        <v>42635.64583</v>
      </c>
      <c r="B4139" s="2">
        <f>IFERROR(__xludf.DUMMYFUNCTION("""COMPUTED_VALUE"""),652.5)</f>
        <v>652.5</v>
      </c>
      <c r="C4139" s="2">
        <f>IFERROR(__xludf.DUMMYFUNCTION("""COMPUTED_VALUE"""),658.48)</f>
        <v>658.48</v>
      </c>
      <c r="D4139" s="2">
        <f>IFERROR(__xludf.DUMMYFUNCTION("""COMPUTED_VALUE"""),650.28)</f>
        <v>650.28</v>
      </c>
      <c r="E4139" s="2">
        <f>IFERROR(__xludf.DUMMYFUNCTION("""COMPUTED_VALUE"""),653.45)</f>
        <v>653.45</v>
      </c>
      <c r="F4139" s="2">
        <f>IFERROR(__xludf.DUMMYFUNCTION("""COMPUTED_VALUE"""),1638950.0)</f>
        <v>1638950</v>
      </c>
    </row>
    <row r="4140">
      <c r="A4140" s="3">
        <f>IFERROR(__xludf.DUMMYFUNCTION("""COMPUTED_VALUE"""),42636.64583333333)</f>
        <v>42636.64583</v>
      </c>
      <c r="B4140" s="2">
        <f>IFERROR(__xludf.DUMMYFUNCTION("""COMPUTED_VALUE"""),653.03)</f>
        <v>653.03</v>
      </c>
      <c r="C4140" s="2">
        <f>IFERROR(__xludf.DUMMYFUNCTION("""COMPUTED_VALUE"""),659.23)</f>
        <v>659.23</v>
      </c>
      <c r="D4140" s="2">
        <f>IFERROR(__xludf.DUMMYFUNCTION("""COMPUTED_VALUE"""),650.75)</f>
        <v>650.75</v>
      </c>
      <c r="E4140" s="2">
        <f>IFERROR(__xludf.DUMMYFUNCTION("""COMPUTED_VALUE"""),656.35)</f>
        <v>656.35</v>
      </c>
      <c r="F4140" s="2">
        <f>IFERROR(__xludf.DUMMYFUNCTION("""COMPUTED_VALUE"""),1219202.0)</f>
        <v>1219202</v>
      </c>
    </row>
    <row r="4141">
      <c r="A4141" s="3">
        <f>IFERROR(__xludf.DUMMYFUNCTION("""COMPUTED_VALUE"""),42639.64583333333)</f>
        <v>42639.64583</v>
      </c>
      <c r="B4141" s="2">
        <f>IFERROR(__xludf.DUMMYFUNCTION("""COMPUTED_VALUE"""),653.05)</f>
        <v>653.05</v>
      </c>
      <c r="C4141" s="2">
        <f>IFERROR(__xludf.DUMMYFUNCTION("""COMPUTED_VALUE"""),654.45)</f>
        <v>654.45</v>
      </c>
      <c r="D4141" s="2">
        <f>IFERROR(__xludf.DUMMYFUNCTION("""COMPUTED_VALUE"""),646.85)</f>
        <v>646.85</v>
      </c>
      <c r="E4141" s="2">
        <f>IFERROR(__xludf.DUMMYFUNCTION("""COMPUTED_VALUE"""),648.08)</f>
        <v>648.08</v>
      </c>
      <c r="F4141" s="2">
        <f>IFERROR(__xludf.DUMMYFUNCTION("""COMPUTED_VALUE"""),1394193.0)</f>
        <v>1394193</v>
      </c>
    </row>
    <row r="4142">
      <c r="A4142" s="3">
        <f>IFERROR(__xludf.DUMMYFUNCTION("""COMPUTED_VALUE"""),42640.64583333333)</f>
        <v>42640.64583</v>
      </c>
      <c r="B4142" s="2">
        <f>IFERROR(__xludf.DUMMYFUNCTION("""COMPUTED_VALUE"""),649.5)</f>
        <v>649.5</v>
      </c>
      <c r="C4142" s="2">
        <f>IFERROR(__xludf.DUMMYFUNCTION("""COMPUTED_VALUE"""),653.08)</f>
        <v>653.08</v>
      </c>
      <c r="D4142" s="2">
        <f>IFERROR(__xludf.DUMMYFUNCTION("""COMPUTED_VALUE"""),647.42)</f>
        <v>647.42</v>
      </c>
      <c r="E4142" s="2">
        <f>IFERROR(__xludf.DUMMYFUNCTION("""COMPUTED_VALUE"""),649.03)</f>
        <v>649.03</v>
      </c>
      <c r="F4142" s="2">
        <f>IFERROR(__xludf.DUMMYFUNCTION("""COMPUTED_VALUE"""),1014203.0)</f>
        <v>1014203</v>
      </c>
    </row>
    <row r="4143">
      <c r="A4143" s="3">
        <f>IFERROR(__xludf.DUMMYFUNCTION("""COMPUTED_VALUE"""),42641.64583333333)</f>
        <v>42641.64583</v>
      </c>
      <c r="B4143" s="2">
        <f>IFERROR(__xludf.DUMMYFUNCTION("""COMPUTED_VALUE"""),649.95)</f>
        <v>649.95</v>
      </c>
      <c r="C4143" s="2">
        <f>IFERROR(__xludf.DUMMYFUNCTION("""COMPUTED_VALUE"""),650.0)</f>
        <v>650</v>
      </c>
      <c r="D4143" s="2">
        <f>IFERROR(__xludf.DUMMYFUNCTION("""COMPUTED_VALUE"""),644.5)</f>
        <v>644.5</v>
      </c>
      <c r="E4143" s="2">
        <f>IFERROR(__xludf.DUMMYFUNCTION("""COMPUTED_VALUE"""),647.63)</f>
        <v>647.63</v>
      </c>
      <c r="F4143" s="2">
        <f>IFERROR(__xludf.DUMMYFUNCTION("""COMPUTED_VALUE"""),1247413.0)</f>
        <v>1247413</v>
      </c>
    </row>
    <row r="4144">
      <c r="A4144" s="3">
        <f>IFERROR(__xludf.DUMMYFUNCTION("""COMPUTED_VALUE"""),42642.64583333333)</f>
        <v>42642.64583</v>
      </c>
      <c r="B4144" s="2">
        <f>IFERROR(__xludf.DUMMYFUNCTION("""COMPUTED_VALUE"""),648.98)</f>
        <v>648.98</v>
      </c>
      <c r="C4144" s="2">
        <f>IFERROR(__xludf.DUMMYFUNCTION("""COMPUTED_VALUE"""),653.0)</f>
        <v>653</v>
      </c>
      <c r="D4144" s="2">
        <f>IFERROR(__xludf.DUMMYFUNCTION("""COMPUTED_VALUE"""),633.98)</f>
        <v>633.98</v>
      </c>
      <c r="E4144" s="2">
        <f>IFERROR(__xludf.DUMMYFUNCTION("""COMPUTED_VALUE"""),638.75)</f>
        <v>638.75</v>
      </c>
      <c r="F4144" s="2">
        <f>IFERROR(__xludf.DUMMYFUNCTION("""COMPUTED_VALUE"""),4112503.0)</f>
        <v>4112503</v>
      </c>
    </row>
    <row r="4145">
      <c r="A4145" s="3">
        <f>IFERROR(__xludf.DUMMYFUNCTION("""COMPUTED_VALUE"""),42643.64583333333)</f>
        <v>42643.64583</v>
      </c>
      <c r="B4145" s="2">
        <f>IFERROR(__xludf.DUMMYFUNCTION("""COMPUTED_VALUE"""),638.55)</f>
        <v>638.55</v>
      </c>
      <c r="C4145" s="2">
        <f>IFERROR(__xludf.DUMMYFUNCTION("""COMPUTED_VALUE"""),640.5)</f>
        <v>640.5</v>
      </c>
      <c r="D4145" s="2">
        <f>IFERROR(__xludf.DUMMYFUNCTION("""COMPUTED_VALUE"""),633.7)</f>
        <v>633.7</v>
      </c>
      <c r="E4145" s="2">
        <f>IFERROR(__xludf.DUMMYFUNCTION("""COMPUTED_VALUE"""),636.42)</f>
        <v>636.42</v>
      </c>
      <c r="F4145" s="2">
        <f>IFERROR(__xludf.DUMMYFUNCTION("""COMPUTED_VALUE"""),1034607.0)</f>
        <v>1034607</v>
      </c>
    </row>
    <row r="4146">
      <c r="A4146" s="3">
        <f>IFERROR(__xludf.DUMMYFUNCTION("""COMPUTED_VALUE"""),42646.64583333333)</f>
        <v>42646.64583</v>
      </c>
      <c r="B4146" s="2">
        <f>IFERROR(__xludf.DUMMYFUNCTION("""COMPUTED_VALUE"""),640.5)</f>
        <v>640.5</v>
      </c>
      <c r="C4146" s="2">
        <f>IFERROR(__xludf.DUMMYFUNCTION("""COMPUTED_VALUE"""),644.95)</f>
        <v>644.95</v>
      </c>
      <c r="D4146" s="2">
        <f>IFERROR(__xludf.DUMMYFUNCTION("""COMPUTED_VALUE"""),638.2)</f>
        <v>638.2</v>
      </c>
      <c r="E4146" s="2">
        <f>IFERROR(__xludf.DUMMYFUNCTION("""COMPUTED_VALUE"""),643.6)</f>
        <v>643.6</v>
      </c>
      <c r="F4146" s="2">
        <f>IFERROR(__xludf.DUMMYFUNCTION("""COMPUTED_VALUE"""),975137.0)</f>
        <v>975137</v>
      </c>
    </row>
    <row r="4147">
      <c r="A4147" s="3">
        <f>IFERROR(__xludf.DUMMYFUNCTION("""COMPUTED_VALUE"""),42647.64583333333)</f>
        <v>42647.64583</v>
      </c>
      <c r="B4147" s="2">
        <f>IFERROR(__xludf.DUMMYFUNCTION("""COMPUTED_VALUE"""),644.3)</f>
        <v>644.3</v>
      </c>
      <c r="C4147" s="2">
        <f>IFERROR(__xludf.DUMMYFUNCTION("""COMPUTED_VALUE"""),647.5)</f>
        <v>647.5</v>
      </c>
      <c r="D4147" s="2">
        <f>IFERROR(__xludf.DUMMYFUNCTION("""COMPUTED_VALUE"""),641.15)</f>
        <v>641.15</v>
      </c>
      <c r="E4147" s="2">
        <f>IFERROR(__xludf.DUMMYFUNCTION("""COMPUTED_VALUE"""),644.78)</f>
        <v>644.78</v>
      </c>
      <c r="F4147" s="2">
        <f>IFERROR(__xludf.DUMMYFUNCTION("""COMPUTED_VALUE"""),693878.0)</f>
        <v>693878</v>
      </c>
    </row>
    <row r="4148">
      <c r="A4148" s="3">
        <f>IFERROR(__xludf.DUMMYFUNCTION("""COMPUTED_VALUE"""),42648.64583333333)</f>
        <v>42648.64583</v>
      </c>
      <c r="B4148" s="2">
        <f>IFERROR(__xludf.DUMMYFUNCTION("""COMPUTED_VALUE"""),649.0)</f>
        <v>649</v>
      </c>
      <c r="C4148" s="2">
        <f>IFERROR(__xludf.DUMMYFUNCTION("""COMPUTED_VALUE"""),650.03)</f>
        <v>650.03</v>
      </c>
      <c r="D4148" s="2">
        <f>IFERROR(__xludf.DUMMYFUNCTION("""COMPUTED_VALUE"""),638.2)</f>
        <v>638.2</v>
      </c>
      <c r="E4148" s="2">
        <f>IFERROR(__xludf.DUMMYFUNCTION("""COMPUTED_VALUE"""),643.05)</f>
        <v>643.05</v>
      </c>
      <c r="F4148" s="2">
        <f>IFERROR(__xludf.DUMMYFUNCTION("""COMPUTED_VALUE"""),911755.0)</f>
        <v>911755</v>
      </c>
    </row>
    <row r="4149">
      <c r="A4149" s="3">
        <f>IFERROR(__xludf.DUMMYFUNCTION("""COMPUTED_VALUE"""),42649.64583333333)</f>
        <v>42649.64583</v>
      </c>
      <c r="B4149" s="2">
        <f>IFERROR(__xludf.DUMMYFUNCTION("""COMPUTED_VALUE"""),643.55)</f>
        <v>643.55</v>
      </c>
      <c r="C4149" s="2">
        <f>IFERROR(__xludf.DUMMYFUNCTION("""COMPUTED_VALUE"""),647.8)</f>
        <v>647.8</v>
      </c>
      <c r="D4149" s="2">
        <f>IFERROR(__xludf.DUMMYFUNCTION("""COMPUTED_VALUE"""),639.53)</f>
        <v>639.53</v>
      </c>
      <c r="E4149" s="2">
        <f>IFERROR(__xludf.DUMMYFUNCTION("""COMPUTED_VALUE"""),640.98)</f>
        <v>640.98</v>
      </c>
      <c r="F4149" s="2">
        <f>IFERROR(__xludf.DUMMYFUNCTION("""COMPUTED_VALUE"""),723928.0)</f>
        <v>723928</v>
      </c>
    </row>
    <row r="4150">
      <c r="A4150" s="3">
        <f>IFERROR(__xludf.DUMMYFUNCTION("""COMPUTED_VALUE"""),42650.64583333333)</f>
        <v>42650.64583</v>
      </c>
      <c r="B4150" s="2">
        <f>IFERROR(__xludf.DUMMYFUNCTION("""COMPUTED_VALUE"""),642.0)</f>
        <v>642</v>
      </c>
      <c r="C4150" s="2">
        <f>IFERROR(__xludf.DUMMYFUNCTION("""COMPUTED_VALUE"""),643.88)</f>
        <v>643.88</v>
      </c>
      <c r="D4150" s="2">
        <f>IFERROR(__xludf.DUMMYFUNCTION("""COMPUTED_VALUE"""),638.13)</f>
        <v>638.13</v>
      </c>
      <c r="E4150" s="2">
        <f>IFERROR(__xludf.DUMMYFUNCTION("""COMPUTED_VALUE"""),640.3)</f>
        <v>640.3</v>
      </c>
      <c r="F4150" s="2">
        <f>IFERROR(__xludf.DUMMYFUNCTION("""COMPUTED_VALUE"""),834366.0)</f>
        <v>834366</v>
      </c>
    </row>
    <row r="4151">
      <c r="A4151" s="3">
        <f>IFERROR(__xludf.DUMMYFUNCTION("""COMPUTED_VALUE"""),42653.64583333333)</f>
        <v>42653.64583</v>
      </c>
      <c r="B4151" s="2">
        <f>IFERROR(__xludf.DUMMYFUNCTION("""COMPUTED_VALUE"""),642.5)</f>
        <v>642.5</v>
      </c>
      <c r="C4151" s="2">
        <f>IFERROR(__xludf.DUMMYFUNCTION("""COMPUTED_VALUE"""),643.95)</f>
        <v>643.95</v>
      </c>
      <c r="D4151" s="2">
        <f>IFERROR(__xludf.DUMMYFUNCTION("""COMPUTED_VALUE"""),639.38)</f>
        <v>639.38</v>
      </c>
      <c r="E4151" s="2">
        <f>IFERROR(__xludf.DUMMYFUNCTION("""COMPUTED_VALUE"""),642.17)</f>
        <v>642.17</v>
      </c>
      <c r="F4151" s="2">
        <f>IFERROR(__xludf.DUMMYFUNCTION("""COMPUTED_VALUE"""),1179828.0)</f>
        <v>1179828</v>
      </c>
    </row>
    <row r="4152">
      <c r="A4152" s="3">
        <f>IFERROR(__xludf.DUMMYFUNCTION("""COMPUTED_VALUE"""),42656.64583333333)</f>
        <v>42656.64583</v>
      </c>
      <c r="B4152" s="2">
        <f>IFERROR(__xludf.DUMMYFUNCTION("""COMPUTED_VALUE"""),639.5)</f>
        <v>639.5</v>
      </c>
      <c r="C4152" s="2">
        <f>IFERROR(__xludf.DUMMYFUNCTION("""COMPUTED_VALUE"""),639.5)</f>
        <v>639.5</v>
      </c>
      <c r="D4152" s="2">
        <f>IFERROR(__xludf.DUMMYFUNCTION("""COMPUTED_VALUE"""),628.23)</f>
        <v>628.23</v>
      </c>
      <c r="E4152" s="2">
        <f>IFERROR(__xludf.DUMMYFUNCTION("""COMPUTED_VALUE"""),631.38)</f>
        <v>631.38</v>
      </c>
      <c r="F4152" s="2">
        <f>IFERROR(__xludf.DUMMYFUNCTION("""COMPUTED_VALUE"""),1129839.0)</f>
        <v>1129839</v>
      </c>
    </row>
    <row r="4153">
      <c r="A4153" s="3">
        <f>IFERROR(__xludf.DUMMYFUNCTION("""COMPUTED_VALUE"""),42657.64583333333)</f>
        <v>42657.64583</v>
      </c>
      <c r="B4153" s="2">
        <f>IFERROR(__xludf.DUMMYFUNCTION("""COMPUTED_VALUE"""),632.88)</f>
        <v>632.88</v>
      </c>
      <c r="C4153" s="2">
        <f>IFERROR(__xludf.DUMMYFUNCTION("""COMPUTED_VALUE"""),634.0)</f>
        <v>634</v>
      </c>
      <c r="D4153" s="2">
        <f>IFERROR(__xludf.DUMMYFUNCTION("""COMPUTED_VALUE"""),627.0)</f>
        <v>627</v>
      </c>
      <c r="E4153" s="2">
        <f>IFERROR(__xludf.DUMMYFUNCTION("""COMPUTED_VALUE"""),630.9)</f>
        <v>630.9</v>
      </c>
      <c r="F4153" s="2">
        <f>IFERROR(__xludf.DUMMYFUNCTION("""COMPUTED_VALUE"""),1016779.0)</f>
        <v>1016779</v>
      </c>
    </row>
    <row r="4154">
      <c r="A4154" s="3">
        <f>IFERROR(__xludf.DUMMYFUNCTION("""COMPUTED_VALUE"""),42660.64583333333)</f>
        <v>42660.64583</v>
      </c>
      <c r="B4154" s="2">
        <f>IFERROR(__xludf.DUMMYFUNCTION("""COMPUTED_VALUE"""),632.75)</f>
        <v>632.75</v>
      </c>
      <c r="C4154" s="2">
        <f>IFERROR(__xludf.DUMMYFUNCTION("""COMPUTED_VALUE"""),633.2)</f>
        <v>633.2</v>
      </c>
      <c r="D4154" s="2">
        <f>IFERROR(__xludf.DUMMYFUNCTION("""COMPUTED_VALUE"""),616.38)</f>
        <v>616.38</v>
      </c>
      <c r="E4154" s="2">
        <f>IFERROR(__xludf.DUMMYFUNCTION("""COMPUTED_VALUE"""),618.85)</f>
        <v>618.85</v>
      </c>
      <c r="F4154" s="2">
        <f>IFERROR(__xludf.DUMMYFUNCTION("""COMPUTED_VALUE"""),1283840.0)</f>
        <v>1283840</v>
      </c>
    </row>
    <row r="4155">
      <c r="A4155" s="3">
        <f>IFERROR(__xludf.DUMMYFUNCTION("""COMPUTED_VALUE"""),42661.64583333333)</f>
        <v>42661.64583</v>
      </c>
      <c r="B4155" s="2">
        <f>IFERROR(__xludf.DUMMYFUNCTION("""COMPUTED_VALUE"""),621.6)</f>
        <v>621.6</v>
      </c>
      <c r="C4155" s="2">
        <f>IFERROR(__xludf.DUMMYFUNCTION("""COMPUTED_VALUE"""),630.0)</f>
        <v>630</v>
      </c>
      <c r="D4155" s="2">
        <f>IFERROR(__xludf.DUMMYFUNCTION("""COMPUTED_VALUE"""),619.5)</f>
        <v>619.5</v>
      </c>
      <c r="E4155" s="2">
        <f>IFERROR(__xludf.DUMMYFUNCTION("""COMPUTED_VALUE"""),628.92)</f>
        <v>628.92</v>
      </c>
      <c r="F4155" s="2">
        <f>IFERROR(__xludf.DUMMYFUNCTION("""COMPUTED_VALUE"""),652742.0)</f>
        <v>652742</v>
      </c>
    </row>
    <row r="4156">
      <c r="A4156" s="3">
        <f>IFERROR(__xludf.DUMMYFUNCTION("""COMPUTED_VALUE"""),42662.64583333333)</f>
        <v>42662.64583</v>
      </c>
      <c r="B4156" s="2">
        <f>IFERROR(__xludf.DUMMYFUNCTION("""COMPUTED_VALUE"""),630.55)</f>
        <v>630.55</v>
      </c>
      <c r="C4156" s="2">
        <f>IFERROR(__xludf.DUMMYFUNCTION("""COMPUTED_VALUE"""),631.5)</f>
        <v>631.5</v>
      </c>
      <c r="D4156" s="2">
        <f>IFERROR(__xludf.DUMMYFUNCTION("""COMPUTED_VALUE"""),624.0)</f>
        <v>624</v>
      </c>
      <c r="E4156" s="2">
        <f>IFERROR(__xludf.DUMMYFUNCTION("""COMPUTED_VALUE"""),629.17)</f>
        <v>629.17</v>
      </c>
      <c r="F4156" s="2">
        <f>IFERROR(__xludf.DUMMYFUNCTION("""COMPUTED_VALUE"""),761226.0)</f>
        <v>761226</v>
      </c>
    </row>
    <row r="4157">
      <c r="A4157" s="3">
        <f>IFERROR(__xludf.DUMMYFUNCTION("""COMPUTED_VALUE"""),42663.64583333333)</f>
        <v>42663.64583</v>
      </c>
      <c r="B4157" s="2">
        <f>IFERROR(__xludf.DUMMYFUNCTION("""COMPUTED_VALUE"""),630.13)</f>
        <v>630.13</v>
      </c>
      <c r="C4157" s="2">
        <f>IFERROR(__xludf.DUMMYFUNCTION("""COMPUTED_VALUE"""),633.73)</f>
        <v>633.73</v>
      </c>
      <c r="D4157" s="2">
        <f>IFERROR(__xludf.DUMMYFUNCTION("""COMPUTED_VALUE"""),625.5)</f>
        <v>625.5</v>
      </c>
      <c r="E4157" s="2">
        <f>IFERROR(__xludf.DUMMYFUNCTION("""COMPUTED_VALUE"""),627.75)</f>
        <v>627.75</v>
      </c>
      <c r="F4157" s="2">
        <f>IFERROR(__xludf.DUMMYFUNCTION("""COMPUTED_VALUE"""),800089.0)</f>
        <v>800089</v>
      </c>
    </row>
    <row r="4158">
      <c r="A4158" s="3">
        <f>IFERROR(__xludf.DUMMYFUNCTION("""COMPUTED_VALUE"""),42664.64583333333)</f>
        <v>42664.64583</v>
      </c>
      <c r="B4158" s="2">
        <f>IFERROR(__xludf.DUMMYFUNCTION("""COMPUTED_VALUE"""),628.0)</f>
        <v>628</v>
      </c>
      <c r="C4158" s="2">
        <f>IFERROR(__xludf.DUMMYFUNCTION("""COMPUTED_VALUE"""),636.48)</f>
        <v>636.48</v>
      </c>
      <c r="D4158" s="2">
        <f>IFERROR(__xludf.DUMMYFUNCTION("""COMPUTED_VALUE"""),625.0)</f>
        <v>625</v>
      </c>
      <c r="E4158" s="2">
        <f>IFERROR(__xludf.DUMMYFUNCTION("""COMPUTED_VALUE"""),635.35)</f>
        <v>635.35</v>
      </c>
      <c r="F4158" s="2">
        <f>IFERROR(__xludf.DUMMYFUNCTION("""COMPUTED_VALUE"""),989102.0)</f>
        <v>989102</v>
      </c>
    </row>
    <row r="4159">
      <c r="A4159" s="3">
        <f>IFERROR(__xludf.DUMMYFUNCTION("""COMPUTED_VALUE"""),42667.64583333333)</f>
        <v>42667.64583</v>
      </c>
      <c r="B4159" s="2">
        <f>IFERROR(__xludf.DUMMYFUNCTION("""COMPUTED_VALUE"""),635.88)</f>
        <v>635.88</v>
      </c>
      <c r="C4159" s="2">
        <f>IFERROR(__xludf.DUMMYFUNCTION("""COMPUTED_VALUE"""),638.42)</f>
        <v>638.42</v>
      </c>
      <c r="D4159" s="2">
        <f>IFERROR(__xludf.DUMMYFUNCTION("""COMPUTED_VALUE"""),630.53)</f>
        <v>630.53</v>
      </c>
      <c r="E4159" s="2">
        <f>IFERROR(__xludf.DUMMYFUNCTION("""COMPUTED_VALUE"""),631.78)</f>
        <v>631.78</v>
      </c>
      <c r="F4159" s="2">
        <f>IFERROR(__xludf.DUMMYFUNCTION("""COMPUTED_VALUE"""),813916.0)</f>
        <v>813916</v>
      </c>
    </row>
    <row r="4160">
      <c r="A4160" s="3">
        <f>IFERROR(__xludf.DUMMYFUNCTION("""COMPUTED_VALUE"""),42668.64583333333)</f>
        <v>42668.64583</v>
      </c>
      <c r="B4160" s="2">
        <f>IFERROR(__xludf.DUMMYFUNCTION("""COMPUTED_VALUE"""),634.0)</f>
        <v>634</v>
      </c>
      <c r="C4160" s="2">
        <f>IFERROR(__xludf.DUMMYFUNCTION("""COMPUTED_VALUE"""),634.0)</f>
        <v>634</v>
      </c>
      <c r="D4160" s="2">
        <f>IFERROR(__xludf.DUMMYFUNCTION("""COMPUTED_VALUE"""),622.03)</f>
        <v>622.03</v>
      </c>
      <c r="E4160" s="2">
        <f>IFERROR(__xludf.DUMMYFUNCTION("""COMPUTED_VALUE"""),625.15)</f>
        <v>625.15</v>
      </c>
      <c r="F4160" s="2">
        <f>IFERROR(__xludf.DUMMYFUNCTION("""COMPUTED_VALUE"""),1375449.0)</f>
        <v>1375449</v>
      </c>
    </row>
    <row r="4161">
      <c r="A4161" s="3">
        <f>IFERROR(__xludf.DUMMYFUNCTION("""COMPUTED_VALUE"""),42669.64583333333)</f>
        <v>42669.64583</v>
      </c>
      <c r="B4161" s="2">
        <f>IFERROR(__xludf.DUMMYFUNCTION("""COMPUTED_VALUE"""),621.67)</f>
        <v>621.67</v>
      </c>
      <c r="C4161" s="2">
        <f>IFERROR(__xludf.DUMMYFUNCTION("""COMPUTED_VALUE"""),632.5)</f>
        <v>632.5</v>
      </c>
      <c r="D4161" s="2">
        <f>IFERROR(__xludf.DUMMYFUNCTION("""COMPUTED_VALUE"""),617.53)</f>
        <v>617.53</v>
      </c>
      <c r="E4161" s="2">
        <f>IFERROR(__xludf.DUMMYFUNCTION("""COMPUTED_VALUE"""),619.65)</f>
        <v>619.65</v>
      </c>
      <c r="F4161" s="2">
        <f>IFERROR(__xludf.DUMMYFUNCTION("""COMPUTED_VALUE"""),1341635.0)</f>
        <v>1341635</v>
      </c>
    </row>
    <row r="4162">
      <c r="A4162" s="3">
        <f>IFERROR(__xludf.DUMMYFUNCTION("""COMPUTED_VALUE"""),42670.64583333333)</f>
        <v>42670.64583</v>
      </c>
      <c r="B4162" s="2">
        <f>IFERROR(__xludf.DUMMYFUNCTION("""COMPUTED_VALUE"""),619.5)</f>
        <v>619.5</v>
      </c>
      <c r="C4162" s="2">
        <f>IFERROR(__xludf.DUMMYFUNCTION("""COMPUTED_VALUE"""),628.5)</f>
        <v>628.5</v>
      </c>
      <c r="D4162" s="2">
        <f>IFERROR(__xludf.DUMMYFUNCTION("""COMPUTED_VALUE"""),612.08)</f>
        <v>612.08</v>
      </c>
      <c r="E4162" s="2">
        <f>IFERROR(__xludf.DUMMYFUNCTION("""COMPUTED_VALUE"""),626.05)</f>
        <v>626.05</v>
      </c>
      <c r="F4162" s="2">
        <f>IFERROR(__xludf.DUMMYFUNCTION("""COMPUTED_VALUE"""),2905965.0)</f>
        <v>2905965</v>
      </c>
    </row>
    <row r="4163">
      <c r="A4163" s="3">
        <f>IFERROR(__xludf.DUMMYFUNCTION("""COMPUTED_VALUE"""),42671.64583333333)</f>
        <v>42671.64583</v>
      </c>
      <c r="B4163" s="2">
        <f>IFERROR(__xludf.DUMMYFUNCTION("""COMPUTED_VALUE"""),627.25)</f>
        <v>627.25</v>
      </c>
      <c r="C4163" s="2">
        <f>IFERROR(__xludf.DUMMYFUNCTION("""COMPUTED_VALUE"""),630.95)</f>
        <v>630.95</v>
      </c>
      <c r="D4163" s="2">
        <f>IFERROR(__xludf.DUMMYFUNCTION("""COMPUTED_VALUE"""),620.05)</f>
        <v>620.05</v>
      </c>
      <c r="E4163" s="2">
        <f>IFERROR(__xludf.DUMMYFUNCTION("""COMPUTED_VALUE"""),629.53)</f>
        <v>629.53</v>
      </c>
      <c r="F4163" s="2">
        <f>IFERROR(__xludf.DUMMYFUNCTION("""COMPUTED_VALUE"""),1330134.0)</f>
        <v>1330134</v>
      </c>
    </row>
    <row r="4164">
      <c r="A4164" s="3">
        <f>IFERROR(__xludf.DUMMYFUNCTION("""COMPUTED_VALUE"""),42675.64583333333)</f>
        <v>42675.64583</v>
      </c>
      <c r="B4164" s="2">
        <f>IFERROR(__xludf.DUMMYFUNCTION("""COMPUTED_VALUE"""),628.0)</f>
        <v>628</v>
      </c>
      <c r="C4164" s="2">
        <f>IFERROR(__xludf.DUMMYFUNCTION("""COMPUTED_VALUE"""),631.92)</f>
        <v>631.92</v>
      </c>
      <c r="D4164" s="2">
        <f>IFERROR(__xludf.DUMMYFUNCTION("""COMPUTED_VALUE"""),623.53)</f>
        <v>623.53</v>
      </c>
      <c r="E4164" s="2">
        <f>IFERROR(__xludf.DUMMYFUNCTION("""COMPUTED_VALUE"""),629.9)</f>
        <v>629.9</v>
      </c>
      <c r="F4164" s="2">
        <f>IFERROR(__xludf.DUMMYFUNCTION("""COMPUTED_VALUE"""),850604.0)</f>
        <v>850604</v>
      </c>
    </row>
    <row r="4165">
      <c r="A4165" s="3">
        <f>IFERROR(__xludf.DUMMYFUNCTION("""COMPUTED_VALUE"""),42676.64583333333)</f>
        <v>42676.64583</v>
      </c>
      <c r="B4165" s="2">
        <f>IFERROR(__xludf.DUMMYFUNCTION("""COMPUTED_VALUE"""),625.55)</f>
        <v>625.55</v>
      </c>
      <c r="C4165" s="2">
        <f>IFERROR(__xludf.DUMMYFUNCTION("""COMPUTED_VALUE"""),627.85)</f>
        <v>627.85</v>
      </c>
      <c r="D4165" s="2">
        <f>IFERROR(__xludf.DUMMYFUNCTION("""COMPUTED_VALUE"""),620.75)</f>
        <v>620.75</v>
      </c>
      <c r="E4165" s="2">
        <f>IFERROR(__xludf.DUMMYFUNCTION("""COMPUTED_VALUE"""),623.08)</f>
        <v>623.08</v>
      </c>
      <c r="F4165" s="2">
        <f>IFERROR(__xludf.DUMMYFUNCTION("""COMPUTED_VALUE"""),1618608.0)</f>
        <v>1618608</v>
      </c>
    </row>
    <row r="4166">
      <c r="A4166" s="3">
        <f>IFERROR(__xludf.DUMMYFUNCTION("""COMPUTED_VALUE"""),42677.64583333333)</f>
        <v>42677.64583</v>
      </c>
      <c r="B4166" s="2">
        <f>IFERROR(__xludf.DUMMYFUNCTION("""COMPUTED_VALUE"""),622.5)</f>
        <v>622.5</v>
      </c>
      <c r="C4166" s="2">
        <f>IFERROR(__xludf.DUMMYFUNCTION("""COMPUTED_VALUE"""),630.0)</f>
        <v>630</v>
      </c>
      <c r="D4166" s="2">
        <f>IFERROR(__xludf.DUMMYFUNCTION("""COMPUTED_VALUE"""),615.88)</f>
        <v>615.88</v>
      </c>
      <c r="E4166" s="2">
        <f>IFERROR(__xludf.DUMMYFUNCTION("""COMPUTED_VALUE"""),627.48)</f>
        <v>627.48</v>
      </c>
      <c r="F4166" s="2">
        <f>IFERROR(__xludf.DUMMYFUNCTION("""COMPUTED_VALUE"""),1578953.0)</f>
        <v>1578953</v>
      </c>
    </row>
    <row r="4167">
      <c r="A4167" s="3">
        <f>IFERROR(__xludf.DUMMYFUNCTION("""COMPUTED_VALUE"""),42678.64583333333)</f>
        <v>42678.64583</v>
      </c>
      <c r="B4167" s="2">
        <f>IFERROR(__xludf.DUMMYFUNCTION("""COMPUTED_VALUE"""),626.4)</f>
        <v>626.4</v>
      </c>
      <c r="C4167" s="2">
        <f>IFERROR(__xludf.DUMMYFUNCTION("""COMPUTED_VALUE"""),626.4)</f>
        <v>626.4</v>
      </c>
      <c r="D4167" s="2">
        <f>IFERROR(__xludf.DUMMYFUNCTION("""COMPUTED_VALUE"""),620.88)</f>
        <v>620.88</v>
      </c>
      <c r="E4167" s="2">
        <f>IFERROR(__xludf.DUMMYFUNCTION("""COMPUTED_VALUE"""),621.85)</f>
        <v>621.85</v>
      </c>
      <c r="F4167" s="2">
        <f>IFERROR(__xludf.DUMMYFUNCTION("""COMPUTED_VALUE"""),1433730.0)</f>
        <v>1433730</v>
      </c>
    </row>
    <row r="4168">
      <c r="A4168" s="3">
        <f>IFERROR(__xludf.DUMMYFUNCTION("""COMPUTED_VALUE"""),42681.64583333333)</f>
        <v>42681.64583</v>
      </c>
      <c r="B4168" s="2">
        <f>IFERROR(__xludf.DUMMYFUNCTION("""COMPUTED_VALUE"""),626.0)</f>
        <v>626</v>
      </c>
      <c r="C4168" s="2">
        <f>IFERROR(__xludf.DUMMYFUNCTION("""COMPUTED_VALUE"""),627.42)</f>
        <v>627.42</v>
      </c>
      <c r="D4168" s="2">
        <f>IFERROR(__xludf.DUMMYFUNCTION("""COMPUTED_VALUE"""),620.0)</f>
        <v>620</v>
      </c>
      <c r="E4168" s="2">
        <f>IFERROR(__xludf.DUMMYFUNCTION("""COMPUTED_VALUE"""),624.73)</f>
        <v>624.73</v>
      </c>
      <c r="F4168" s="2">
        <f>IFERROR(__xludf.DUMMYFUNCTION("""COMPUTED_VALUE"""),1417848.0)</f>
        <v>1417848</v>
      </c>
    </row>
    <row r="4169">
      <c r="A4169" s="3">
        <f>IFERROR(__xludf.DUMMYFUNCTION("""COMPUTED_VALUE"""),42682.64583333333)</f>
        <v>42682.64583</v>
      </c>
      <c r="B4169" s="2">
        <f>IFERROR(__xludf.DUMMYFUNCTION("""COMPUTED_VALUE"""),625.55)</f>
        <v>625.55</v>
      </c>
      <c r="C4169" s="2">
        <f>IFERROR(__xludf.DUMMYFUNCTION("""COMPUTED_VALUE"""),629.0)</f>
        <v>629</v>
      </c>
      <c r="D4169" s="2">
        <f>IFERROR(__xludf.DUMMYFUNCTION("""COMPUTED_VALUE"""),620.05)</f>
        <v>620.05</v>
      </c>
      <c r="E4169" s="2">
        <f>IFERROR(__xludf.DUMMYFUNCTION("""COMPUTED_VALUE"""),627.15)</f>
        <v>627.15</v>
      </c>
      <c r="F4169" s="2">
        <f>IFERROR(__xludf.DUMMYFUNCTION("""COMPUTED_VALUE"""),1337041.0)</f>
        <v>1337041</v>
      </c>
    </row>
    <row r="4170">
      <c r="A4170" s="3">
        <f>IFERROR(__xludf.DUMMYFUNCTION("""COMPUTED_VALUE"""),42683.64583333333)</f>
        <v>42683.64583</v>
      </c>
      <c r="B4170" s="2">
        <f>IFERROR(__xludf.DUMMYFUNCTION("""COMPUTED_VALUE"""),600.0)</f>
        <v>600</v>
      </c>
      <c r="C4170" s="2">
        <f>IFERROR(__xludf.DUMMYFUNCTION("""COMPUTED_VALUE"""),628.7)</f>
        <v>628.7</v>
      </c>
      <c r="D4170" s="2">
        <f>IFERROR(__xludf.DUMMYFUNCTION("""COMPUTED_VALUE"""),597.67)</f>
        <v>597.67</v>
      </c>
      <c r="E4170" s="2">
        <f>IFERROR(__xludf.DUMMYFUNCTION("""COMPUTED_VALUE"""),625.63)</f>
        <v>625.63</v>
      </c>
      <c r="F4170" s="2">
        <f>IFERROR(__xludf.DUMMYFUNCTION("""COMPUTED_VALUE"""),3411367.0)</f>
        <v>3411367</v>
      </c>
    </row>
    <row r="4171">
      <c r="A4171" s="3">
        <f>IFERROR(__xludf.DUMMYFUNCTION("""COMPUTED_VALUE"""),42684.64583333333)</f>
        <v>42684.64583</v>
      </c>
      <c r="B4171" s="2">
        <f>IFERROR(__xludf.DUMMYFUNCTION("""COMPUTED_VALUE"""),631.88)</f>
        <v>631.88</v>
      </c>
      <c r="C4171" s="2">
        <f>IFERROR(__xludf.DUMMYFUNCTION("""COMPUTED_VALUE"""),641.5)</f>
        <v>641.5</v>
      </c>
      <c r="D4171" s="2">
        <f>IFERROR(__xludf.DUMMYFUNCTION("""COMPUTED_VALUE"""),627.05)</f>
        <v>627.05</v>
      </c>
      <c r="E4171" s="2">
        <f>IFERROR(__xludf.DUMMYFUNCTION("""COMPUTED_VALUE"""),639.28)</f>
        <v>639.28</v>
      </c>
      <c r="F4171" s="2">
        <f>IFERROR(__xludf.DUMMYFUNCTION("""COMPUTED_VALUE"""),2675184.0)</f>
        <v>2675184</v>
      </c>
    </row>
    <row r="4172">
      <c r="A4172" s="3">
        <f>IFERROR(__xludf.DUMMYFUNCTION("""COMPUTED_VALUE"""),42685.64583333333)</f>
        <v>42685.64583</v>
      </c>
      <c r="B4172" s="2">
        <f>IFERROR(__xludf.DUMMYFUNCTION("""COMPUTED_VALUE"""),637.0)</f>
        <v>637</v>
      </c>
      <c r="C4172" s="2">
        <f>IFERROR(__xludf.DUMMYFUNCTION("""COMPUTED_VALUE"""),641.0)</f>
        <v>641</v>
      </c>
      <c r="D4172" s="2">
        <f>IFERROR(__xludf.DUMMYFUNCTION("""COMPUTED_VALUE"""),632.8)</f>
        <v>632.8</v>
      </c>
      <c r="E4172" s="2">
        <f>IFERROR(__xludf.DUMMYFUNCTION("""COMPUTED_VALUE"""),637.9)</f>
        <v>637.9</v>
      </c>
      <c r="F4172" s="2">
        <f>IFERROR(__xludf.DUMMYFUNCTION("""COMPUTED_VALUE"""),1784830.0)</f>
        <v>1784830</v>
      </c>
    </row>
    <row r="4173">
      <c r="A4173" s="3">
        <f>IFERROR(__xludf.DUMMYFUNCTION("""COMPUTED_VALUE"""),42689.64583333333)</f>
        <v>42689.64583</v>
      </c>
      <c r="B4173" s="2">
        <f>IFERROR(__xludf.DUMMYFUNCTION("""COMPUTED_VALUE"""),638.75)</f>
        <v>638.75</v>
      </c>
      <c r="C4173" s="2">
        <f>IFERROR(__xludf.DUMMYFUNCTION("""COMPUTED_VALUE"""),644.5)</f>
        <v>644.5</v>
      </c>
      <c r="D4173" s="2">
        <f>IFERROR(__xludf.DUMMYFUNCTION("""COMPUTED_VALUE"""),625.33)</f>
        <v>625.33</v>
      </c>
      <c r="E4173" s="2">
        <f>IFERROR(__xludf.DUMMYFUNCTION("""COMPUTED_VALUE"""),627.38)</f>
        <v>627.38</v>
      </c>
      <c r="F4173" s="2">
        <f>IFERROR(__xludf.DUMMYFUNCTION("""COMPUTED_VALUE"""),3128131.0)</f>
        <v>3128131</v>
      </c>
    </row>
    <row r="4174">
      <c r="A4174" s="3">
        <f>IFERROR(__xludf.DUMMYFUNCTION("""COMPUTED_VALUE"""),42690.64583333333)</f>
        <v>42690.64583</v>
      </c>
      <c r="B4174" s="2">
        <f>IFERROR(__xludf.DUMMYFUNCTION("""COMPUTED_VALUE"""),634.0)</f>
        <v>634</v>
      </c>
      <c r="C4174" s="2">
        <f>IFERROR(__xludf.DUMMYFUNCTION("""COMPUTED_VALUE"""),634.0)</f>
        <v>634</v>
      </c>
      <c r="D4174" s="2">
        <f>IFERROR(__xludf.DUMMYFUNCTION("""COMPUTED_VALUE"""),620.03)</f>
        <v>620.03</v>
      </c>
      <c r="E4174" s="2">
        <f>IFERROR(__xludf.DUMMYFUNCTION("""COMPUTED_VALUE"""),622.17)</f>
        <v>622.17</v>
      </c>
      <c r="F4174" s="2">
        <f>IFERROR(__xludf.DUMMYFUNCTION("""COMPUTED_VALUE"""),2161936.0)</f>
        <v>2161936</v>
      </c>
    </row>
    <row r="4175">
      <c r="A4175" s="3">
        <f>IFERROR(__xludf.DUMMYFUNCTION("""COMPUTED_VALUE"""),42691.64583333333)</f>
        <v>42691.64583</v>
      </c>
      <c r="B4175" s="2">
        <f>IFERROR(__xludf.DUMMYFUNCTION("""COMPUTED_VALUE"""),619.15)</f>
        <v>619.15</v>
      </c>
      <c r="C4175" s="2">
        <f>IFERROR(__xludf.DUMMYFUNCTION("""COMPUTED_VALUE"""),624.45)</f>
        <v>624.45</v>
      </c>
      <c r="D4175" s="2">
        <f>IFERROR(__xludf.DUMMYFUNCTION("""COMPUTED_VALUE"""),612.58)</f>
        <v>612.58</v>
      </c>
      <c r="E4175" s="2">
        <f>IFERROR(__xludf.DUMMYFUNCTION("""COMPUTED_VALUE"""),615.1)</f>
        <v>615.1</v>
      </c>
      <c r="F4175" s="2">
        <f>IFERROR(__xludf.DUMMYFUNCTION("""COMPUTED_VALUE"""),1203906.0)</f>
        <v>1203906</v>
      </c>
    </row>
    <row r="4176">
      <c r="A4176" s="3">
        <f>IFERROR(__xludf.DUMMYFUNCTION("""COMPUTED_VALUE"""),42692.64583333333)</f>
        <v>42692.64583</v>
      </c>
      <c r="B4176" s="2">
        <f>IFERROR(__xludf.DUMMYFUNCTION("""COMPUTED_VALUE"""),618.0)</f>
        <v>618</v>
      </c>
      <c r="C4176" s="2">
        <f>IFERROR(__xludf.DUMMYFUNCTION("""COMPUTED_VALUE"""),618.0)</f>
        <v>618</v>
      </c>
      <c r="D4176" s="2">
        <f>IFERROR(__xludf.DUMMYFUNCTION("""COMPUTED_VALUE"""),604.6)</f>
        <v>604.6</v>
      </c>
      <c r="E4176" s="2">
        <f>IFERROR(__xludf.DUMMYFUNCTION("""COMPUTED_VALUE"""),605.7)</f>
        <v>605.7</v>
      </c>
      <c r="F4176" s="2">
        <f>IFERROR(__xludf.DUMMYFUNCTION("""COMPUTED_VALUE"""),1719975.0)</f>
        <v>1719975</v>
      </c>
    </row>
    <row r="4177">
      <c r="A4177" s="3">
        <f>IFERROR(__xludf.DUMMYFUNCTION("""COMPUTED_VALUE"""),42695.64583333333)</f>
        <v>42695.64583</v>
      </c>
      <c r="B4177" s="2">
        <f>IFERROR(__xludf.DUMMYFUNCTION("""COMPUTED_VALUE"""),609.75)</f>
        <v>609.75</v>
      </c>
      <c r="C4177" s="2">
        <f>IFERROR(__xludf.DUMMYFUNCTION("""COMPUTED_VALUE"""),609.75)</f>
        <v>609.75</v>
      </c>
      <c r="D4177" s="2">
        <f>IFERROR(__xludf.DUMMYFUNCTION("""COMPUTED_VALUE"""),594.17)</f>
        <v>594.17</v>
      </c>
      <c r="E4177" s="2">
        <f>IFERROR(__xludf.DUMMYFUNCTION("""COMPUTED_VALUE"""),599.35)</f>
        <v>599.35</v>
      </c>
      <c r="F4177" s="2">
        <f>IFERROR(__xludf.DUMMYFUNCTION("""COMPUTED_VALUE"""),1388130.0)</f>
        <v>1388130</v>
      </c>
    </row>
    <row r="4178">
      <c r="A4178" s="3">
        <f>IFERROR(__xludf.DUMMYFUNCTION("""COMPUTED_VALUE"""),42696.64583333333)</f>
        <v>42696.64583</v>
      </c>
      <c r="B4178" s="2">
        <f>IFERROR(__xludf.DUMMYFUNCTION("""COMPUTED_VALUE"""),603.4)</f>
        <v>603.4</v>
      </c>
      <c r="C4178" s="2">
        <f>IFERROR(__xludf.DUMMYFUNCTION("""COMPUTED_VALUE"""),603.4)</f>
        <v>603.4</v>
      </c>
      <c r="D4178" s="2">
        <f>IFERROR(__xludf.DUMMYFUNCTION("""COMPUTED_VALUE"""),594.67)</f>
        <v>594.67</v>
      </c>
      <c r="E4178" s="2">
        <f>IFERROR(__xludf.DUMMYFUNCTION("""COMPUTED_VALUE"""),599.03)</f>
        <v>599.03</v>
      </c>
      <c r="F4178" s="2">
        <f>IFERROR(__xludf.DUMMYFUNCTION("""COMPUTED_VALUE"""),2504446.0)</f>
        <v>2504446</v>
      </c>
    </row>
    <row r="4179">
      <c r="A4179" s="3">
        <f>IFERROR(__xludf.DUMMYFUNCTION("""COMPUTED_VALUE"""),42697.64583333333)</f>
        <v>42697.64583</v>
      </c>
      <c r="B4179" s="2">
        <f>IFERROR(__xludf.DUMMYFUNCTION("""COMPUTED_VALUE"""),601.5)</f>
        <v>601.5</v>
      </c>
      <c r="C4179" s="2">
        <f>IFERROR(__xludf.DUMMYFUNCTION("""COMPUTED_VALUE"""),601.5)</f>
        <v>601.5</v>
      </c>
      <c r="D4179" s="2">
        <f>IFERROR(__xludf.DUMMYFUNCTION("""COMPUTED_VALUE"""),590.55)</f>
        <v>590.55</v>
      </c>
      <c r="E4179" s="2">
        <f>IFERROR(__xludf.DUMMYFUNCTION("""COMPUTED_VALUE"""),592.38)</f>
        <v>592.38</v>
      </c>
      <c r="F4179" s="2">
        <f>IFERROR(__xludf.DUMMYFUNCTION("""COMPUTED_VALUE"""),883173.0)</f>
        <v>883173</v>
      </c>
    </row>
    <row r="4180">
      <c r="A4180" s="3">
        <f>IFERROR(__xludf.DUMMYFUNCTION("""COMPUTED_VALUE"""),42698.64583333333)</f>
        <v>42698.64583</v>
      </c>
      <c r="B4180" s="2">
        <f>IFERROR(__xludf.DUMMYFUNCTION("""COMPUTED_VALUE"""),592.0)</f>
        <v>592</v>
      </c>
      <c r="C4180" s="2">
        <f>IFERROR(__xludf.DUMMYFUNCTION("""COMPUTED_VALUE"""),593.15)</f>
        <v>593.15</v>
      </c>
      <c r="D4180" s="2">
        <f>IFERROR(__xludf.DUMMYFUNCTION("""COMPUTED_VALUE"""),580.45)</f>
        <v>580.45</v>
      </c>
      <c r="E4180" s="2">
        <f>IFERROR(__xludf.DUMMYFUNCTION("""COMPUTED_VALUE"""),582.75)</f>
        <v>582.75</v>
      </c>
      <c r="F4180" s="2">
        <f>IFERROR(__xludf.DUMMYFUNCTION("""COMPUTED_VALUE"""),3821499.0)</f>
        <v>3821499</v>
      </c>
    </row>
    <row r="4181">
      <c r="A4181" s="3">
        <f>IFERROR(__xludf.DUMMYFUNCTION("""COMPUTED_VALUE"""),42699.64583333333)</f>
        <v>42699.64583</v>
      </c>
      <c r="B4181" s="2">
        <f>IFERROR(__xludf.DUMMYFUNCTION("""COMPUTED_VALUE"""),584.5)</f>
        <v>584.5</v>
      </c>
      <c r="C4181" s="2">
        <f>IFERROR(__xludf.DUMMYFUNCTION("""COMPUTED_VALUE"""),596.6)</f>
        <v>596.6</v>
      </c>
      <c r="D4181" s="2">
        <f>IFERROR(__xludf.DUMMYFUNCTION("""COMPUTED_VALUE"""),579.0)</f>
        <v>579</v>
      </c>
      <c r="E4181" s="2">
        <f>IFERROR(__xludf.DUMMYFUNCTION("""COMPUTED_VALUE"""),594.65)</f>
        <v>594.65</v>
      </c>
      <c r="F4181" s="2">
        <f>IFERROR(__xludf.DUMMYFUNCTION("""COMPUTED_VALUE"""),1492490.0)</f>
        <v>1492490</v>
      </c>
    </row>
    <row r="4182">
      <c r="A4182" s="3">
        <f>IFERROR(__xludf.DUMMYFUNCTION("""COMPUTED_VALUE"""),42702.64583333333)</f>
        <v>42702.64583</v>
      </c>
      <c r="B4182" s="2">
        <f>IFERROR(__xludf.DUMMYFUNCTION("""COMPUTED_VALUE"""),590.13)</f>
        <v>590.13</v>
      </c>
      <c r="C4182" s="2">
        <f>IFERROR(__xludf.DUMMYFUNCTION("""COMPUTED_VALUE"""),599.45)</f>
        <v>599.45</v>
      </c>
      <c r="D4182" s="2">
        <f>IFERROR(__xludf.DUMMYFUNCTION("""COMPUTED_VALUE"""),589.05)</f>
        <v>589.05</v>
      </c>
      <c r="E4182" s="2">
        <f>IFERROR(__xludf.DUMMYFUNCTION("""COMPUTED_VALUE"""),592.23)</f>
        <v>592.23</v>
      </c>
      <c r="F4182" s="2">
        <f>IFERROR(__xludf.DUMMYFUNCTION("""COMPUTED_VALUE"""),1032545.0)</f>
        <v>1032545</v>
      </c>
    </row>
    <row r="4183">
      <c r="A4183" s="3">
        <f>IFERROR(__xludf.DUMMYFUNCTION("""COMPUTED_VALUE"""),42703.64583333333)</f>
        <v>42703.64583</v>
      </c>
      <c r="B4183" s="2">
        <f>IFERROR(__xludf.DUMMYFUNCTION("""COMPUTED_VALUE"""),592.35)</f>
        <v>592.35</v>
      </c>
      <c r="C4183" s="2">
        <f>IFERROR(__xludf.DUMMYFUNCTION("""COMPUTED_VALUE"""),596.48)</f>
        <v>596.48</v>
      </c>
      <c r="D4183" s="2">
        <f>IFERROR(__xludf.DUMMYFUNCTION("""COMPUTED_VALUE"""),588.25)</f>
        <v>588.25</v>
      </c>
      <c r="E4183" s="2">
        <f>IFERROR(__xludf.DUMMYFUNCTION("""COMPUTED_VALUE"""),589.38)</f>
        <v>589.38</v>
      </c>
      <c r="F4183" s="2">
        <f>IFERROR(__xludf.DUMMYFUNCTION("""COMPUTED_VALUE"""),983161.0)</f>
        <v>983161</v>
      </c>
    </row>
    <row r="4184">
      <c r="A4184" s="3">
        <f>IFERROR(__xludf.DUMMYFUNCTION("""COMPUTED_VALUE"""),42704.64583333333)</f>
        <v>42704.64583</v>
      </c>
      <c r="B4184" s="2">
        <f>IFERROR(__xludf.DUMMYFUNCTION("""COMPUTED_VALUE"""),592.5)</f>
        <v>592.5</v>
      </c>
      <c r="C4184" s="2">
        <f>IFERROR(__xludf.DUMMYFUNCTION("""COMPUTED_VALUE"""),601.0)</f>
        <v>601</v>
      </c>
      <c r="D4184" s="2">
        <f>IFERROR(__xludf.DUMMYFUNCTION("""COMPUTED_VALUE"""),590.55)</f>
        <v>590.55</v>
      </c>
      <c r="E4184" s="2">
        <f>IFERROR(__xludf.DUMMYFUNCTION("""COMPUTED_VALUE"""),599.8)</f>
        <v>599.8</v>
      </c>
      <c r="F4184" s="2">
        <f>IFERROR(__xludf.DUMMYFUNCTION("""COMPUTED_VALUE"""),1610710.0)</f>
        <v>1610710</v>
      </c>
    </row>
    <row r="4185">
      <c r="A4185" s="3">
        <f>IFERROR(__xludf.DUMMYFUNCTION("""COMPUTED_VALUE"""),42705.64583333333)</f>
        <v>42705.64583</v>
      </c>
      <c r="B4185" s="2">
        <f>IFERROR(__xludf.DUMMYFUNCTION("""COMPUTED_VALUE"""),601.15)</f>
        <v>601.15</v>
      </c>
      <c r="C4185" s="2">
        <f>IFERROR(__xludf.DUMMYFUNCTION("""COMPUTED_VALUE"""),603.95)</f>
        <v>603.95</v>
      </c>
      <c r="D4185" s="2">
        <f>IFERROR(__xludf.DUMMYFUNCTION("""COMPUTED_VALUE"""),596.5)</f>
        <v>596.5</v>
      </c>
      <c r="E4185" s="2">
        <f>IFERROR(__xludf.DUMMYFUNCTION("""COMPUTED_VALUE"""),598.63)</f>
        <v>598.63</v>
      </c>
      <c r="F4185" s="2">
        <f>IFERROR(__xludf.DUMMYFUNCTION("""COMPUTED_VALUE"""),1119246.0)</f>
        <v>1119246</v>
      </c>
    </row>
    <row r="4186">
      <c r="A4186" s="3">
        <f>IFERROR(__xludf.DUMMYFUNCTION("""COMPUTED_VALUE"""),42706.64583333333)</f>
        <v>42706.64583</v>
      </c>
      <c r="B4186" s="2">
        <f>IFERROR(__xludf.DUMMYFUNCTION("""COMPUTED_VALUE"""),594.5)</f>
        <v>594.5</v>
      </c>
      <c r="C4186" s="2">
        <f>IFERROR(__xludf.DUMMYFUNCTION("""COMPUTED_VALUE"""),600.98)</f>
        <v>600.98</v>
      </c>
      <c r="D4186" s="2">
        <f>IFERROR(__xludf.DUMMYFUNCTION("""COMPUTED_VALUE"""),588.35)</f>
        <v>588.35</v>
      </c>
      <c r="E4186" s="2">
        <f>IFERROR(__xludf.DUMMYFUNCTION("""COMPUTED_VALUE"""),594.55)</f>
        <v>594.55</v>
      </c>
      <c r="F4186" s="2">
        <f>IFERROR(__xludf.DUMMYFUNCTION("""COMPUTED_VALUE"""),1015668.0)</f>
        <v>1015668</v>
      </c>
    </row>
    <row r="4187">
      <c r="A4187" s="3">
        <f>IFERROR(__xludf.DUMMYFUNCTION("""COMPUTED_VALUE"""),42709.64583333333)</f>
        <v>42709.64583</v>
      </c>
      <c r="B4187" s="2">
        <f>IFERROR(__xludf.DUMMYFUNCTION("""COMPUTED_VALUE"""),593.8)</f>
        <v>593.8</v>
      </c>
      <c r="C4187" s="2">
        <f>IFERROR(__xludf.DUMMYFUNCTION("""COMPUTED_VALUE"""),599.48)</f>
        <v>599.48</v>
      </c>
      <c r="D4187" s="2">
        <f>IFERROR(__xludf.DUMMYFUNCTION("""COMPUTED_VALUE"""),588.25)</f>
        <v>588.25</v>
      </c>
      <c r="E4187" s="2">
        <f>IFERROR(__xludf.DUMMYFUNCTION("""COMPUTED_VALUE"""),598.17)</f>
        <v>598.17</v>
      </c>
      <c r="F4187" s="2">
        <f>IFERROR(__xludf.DUMMYFUNCTION("""COMPUTED_VALUE"""),1137984.0)</f>
        <v>1137984</v>
      </c>
    </row>
    <row r="4188">
      <c r="A4188" s="3">
        <f>IFERROR(__xludf.DUMMYFUNCTION("""COMPUTED_VALUE"""),42710.64583333333)</f>
        <v>42710.64583</v>
      </c>
      <c r="B4188" s="2">
        <f>IFERROR(__xludf.DUMMYFUNCTION("""COMPUTED_VALUE"""),597.5)</f>
        <v>597.5</v>
      </c>
      <c r="C4188" s="2">
        <f>IFERROR(__xludf.DUMMYFUNCTION("""COMPUTED_VALUE"""),601.42)</f>
        <v>601.42</v>
      </c>
      <c r="D4188" s="2">
        <f>IFERROR(__xludf.DUMMYFUNCTION("""COMPUTED_VALUE"""),595.1)</f>
        <v>595.1</v>
      </c>
      <c r="E4188" s="2">
        <f>IFERROR(__xludf.DUMMYFUNCTION("""COMPUTED_VALUE"""),597.23)</f>
        <v>597.23</v>
      </c>
      <c r="F4188" s="2">
        <f>IFERROR(__xludf.DUMMYFUNCTION("""COMPUTED_VALUE"""),675741.0)</f>
        <v>675741</v>
      </c>
    </row>
    <row r="4189">
      <c r="A4189" s="3">
        <f>IFERROR(__xludf.DUMMYFUNCTION("""COMPUTED_VALUE"""),42711.64583333333)</f>
        <v>42711.64583</v>
      </c>
      <c r="B4189" s="2">
        <f>IFERROR(__xludf.DUMMYFUNCTION("""COMPUTED_VALUE"""),600.92)</f>
        <v>600.92</v>
      </c>
      <c r="C4189" s="2">
        <f>IFERROR(__xludf.DUMMYFUNCTION("""COMPUTED_VALUE"""),602.95)</f>
        <v>602.95</v>
      </c>
      <c r="D4189" s="2">
        <f>IFERROR(__xludf.DUMMYFUNCTION("""COMPUTED_VALUE"""),583.5)</f>
        <v>583.5</v>
      </c>
      <c r="E4189" s="2">
        <f>IFERROR(__xludf.DUMMYFUNCTION("""COMPUTED_VALUE"""),590.8)</f>
        <v>590.8</v>
      </c>
      <c r="F4189" s="2">
        <f>IFERROR(__xludf.DUMMYFUNCTION("""COMPUTED_VALUE"""),1407048.0)</f>
        <v>1407048</v>
      </c>
    </row>
    <row r="4190">
      <c r="A4190" s="3">
        <f>IFERROR(__xludf.DUMMYFUNCTION("""COMPUTED_VALUE"""),42712.64583333333)</f>
        <v>42712.64583</v>
      </c>
      <c r="B4190" s="2">
        <f>IFERROR(__xludf.DUMMYFUNCTION("""COMPUTED_VALUE"""),593.5)</f>
        <v>593.5</v>
      </c>
      <c r="C4190" s="2">
        <f>IFERROR(__xludf.DUMMYFUNCTION("""COMPUTED_VALUE"""),602.78)</f>
        <v>602.78</v>
      </c>
      <c r="D4190" s="2">
        <f>IFERROR(__xludf.DUMMYFUNCTION("""COMPUTED_VALUE"""),593.5)</f>
        <v>593.5</v>
      </c>
      <c r="E4190" s="2">
        <f>IFERROR(__xludf.DUMMYFUNCTION("""COMPUTED_VALUE"""),599.75)</f>
        <v>599.75</v>
      </c>
      <c r="F4190" s="2">
        <f>IFERROR(__xludf.DUMMYFUNCTION("""COMPUTED_VALUE"""),1077424.0)</f>
        <v>1077424</v>
      </c>
    </row>
    <row r="4191">
      <c r="A4191" s="3">
        <f>IFERROR(__xludf.DUMMYFUNCTION("""COMPUTED_VALUE"""),42713.64583333333)</f>
        <v>42713.64583</v>
      </c>
      <c r="B4191" s="2">
        <f>IFERROR(__xludf.DUMMYFUNCTION("""COMPUTED_VALUE"""),599.55)</f>
        <v>599.55</v>
      </c>
      <c r="C4191" s="2">
        <f>IFERROR(__xludf.DUMMYFUNCTION("""COMPUTED_VALUE"""),601.15)</f>
        <v>601.15</v>
      </c>
      <c r="D4191" s="2">
        <f>IFERROR(__xludf.DUMMYFUNCTION("""COMPUTED_VALUE"""),594.0)</f>
        <v>594</v>
      </c>
      <c r="E4191" s="2">
        <f>IFERROR(__xludf.DUMMYFUNCTION("""COMPUTED_VALUE"""),599.15)</f>
        <v>599.15</v>
      </c>
      <c r="F4191" s="2">
        <f>IFERROR(__xludf.DUMMYFUNCTION("""COMPUTED_VALUE"""),1096988.0)</f>
        <v>1096988</v>
      </c>
    </row>
    <row r="4192">
      <c r="A4192" s="3">
        <f>IFERROR(__xludf.DUMMYFUNCTION("""COMPUTED_VALUE"""),42716.64583333333)</f>
        <v>42716.64583</v>
      </c>
      <c r="B4192" s="2">
        <f>IFERROR(__xludf.DUMMYFUNCTION("""COMPUTED_VALUE"""),596.0)</f>
        <v>596</v>
      </c>
      <c r="C4192" s="2">
        <f>IFERROR(__xludf.DUMMYFUNCTION("""COMPUTED_VALUE"""),596.08)</f>
        <v>596.08</v>
      </c>
      <c r="D4192" s="2">
        <f>IFERROR(__xludf.DUMMYFUNCTION("""COMPUTED_VALUE"""),590.55)</f>
        <v>590.55</v>
      </c>
      <c r="E4192" s="2">
        <f>IFERROR(__xludf.DUMMYFUNCTION("""COMPUTED_VALUE"""),592.23)</f>
        <v>592.23</v>
      </c>
      <c r="F4192" s="2">
        <f>IFERROR(__xludf.DUMMYFUNCTION("""COMPUTED_VALUE"""),856318.0)</f>
        <v>856318</v>
      </c>
    </row>
    <row r="4193">
      <c r="A4193" s="3">
        <f>IFERROR(__xludf.DUMMYFUNCTION("""COMPUTED_VALUE"""),42717.64583333333)</f>
        <v>42717.64583</v>
      </c>
      <c r="B4193" s="2">
        <f>IFERROR(__xludf.DUMMYFUNCTION("""COMPUTED_VALUE"""),590.13)</f>
        <v>590.13</v>
      </c>
      <c r="C4193" s="2">
        <f>IFERROR(__xludf.DUMMYFUNCTION("""COMPUTED_VALUE"""),595.17)</f>
        <v>595.17</v>
      </c>
      <c r="D4193" s="2">
        <f>IFERROR(__xludf.DUMMYFUNCTION("""COMPUTED_VALUE"""),589.28)</f>
        <v>589.28</v>
      </c>
      <c r="E4193" s="2">
        <f>IFERROR(__xludf.DUMMYFUNCTION("""COMPUTED_VALUE"""),593.13)</f>
        <v>593.13</v>
      </c>
      <c r="F4193" s="2">
        <f>IFERROR(__xludf.DUMMYFUNCTION("""COMPUTED_VALUE"""),631717.0)</f>
        <v>631717</v>
      </c>
    </row>
    <row r="4194">
      <c r="A4194" s="3">
        <f>IFERROR(__xludf.DUMMYFUNCTION("""COMPUTED_VALUE"""),42718.64583333333)</f>
        <v>42718.64583</v>
      </c>
      <c r="B4194" s="2">
        <f>IFERROR(__xludf.DUMMYFUNCTION("""COMPUTED_VALUE"""),593.5)</f>
        <v>593.5</v>
      </c>
      <c r="C4194" s="2">
        <f>IFERROR(__xludf.DUMMYFUNCTION("""COMPUTED_VALUE"""),594.0)</f>
        <v>594</v>
      </c>
      <c r="D4194" s="2">
        <f>IFERROR(__xludf.DUMMYFUNCTION("""COMPUTED_VALUE"""),586.7)</f>
        <v>586.7</v>
      </c>
      <c r="E4194" s="2">
        <f>IFERROR(__xludf.DUMMYFUNCTION("""COMPUTED_VALUE"""),587.85)</f>
        <v>587.85</v>
      </c>
      <c r="F4194" s="2">
        <f>IFERROR(__xludf.DUMMYFUNCTION("""COMPUTED_VALUE"""),1078536.0)</f>
        <v>1078536</v>
      </c>
    </row>
    <row r="4195">
      <c r="A4195" s="3">
        <f>IFERROR(__xludf.DUMMYFUNCTION("""COMPUTED_VALUE"""),42719.64583333333)</f>
        <v>42719.64583</v>
      </c>
      <c r="B4195" s="2">
        <f>IFERROR(__xludf.DUMMYFUNCTION("""COMPUTED_VALUE"""),582.1)</f>
        <v>582.1</v>
      </c>
      <c r="C4195" s="2">
        <f>IFERROR(__xludf.DUMMYFUNCTION("""COMPUTED_VALUE"""),597.25)</f>
        <v>597.25</v>
      </c>
      <c r="D4195" s="2">
        <f>IFERROR(__xludf.DUMMYFUNCTION("""COMPUTED_VALUE"""),581.8)</f>
        <v>581.8</v>
      </c>
      <c r="E4195" s="2">
        <f>IFERROR(__xludf.DUMMYFUNCTION("""COMPUTED_VALUE"""),588.3)</f>
        <v>588.3</v>
      </c>
      <c r="F4195" s="2">
        <f>IFERROR(__xludf.DUMMYFUNCTION("""COMPUTED_VALUE"""),1235372.0)</f>
        <v>1235372</v>
      </c>
    </row>
    <row r="4196">
      <c r="A4196" s="3">
        <f>IFERROR(__xludf.DUMMYFUNCTION("""COMPUTED_VALUE"""),42720.64583333333)</f>
        <v>42720.64583</v>
      </c>
      <c r="B4196" s="2">
        <f>IFERROR(__xludf.DUMMYFUNCTION("""COMPUTED_VALUE"""),588.3)</f>
        <v>588.3</v>
      </c>
      <c r="C4196" s="2">
        <f>IFERROR(__xludf.DUMMYFUNCTION("""COMPUTED_VALUE"""),592.5)</f>
        <v>592.5</v>
      </c>
      <c r="D4196" s="2">
        <f>IFERROR(__xludf.DUMMYFUNCTION("""COMPUTED_VALUE"""),585.78)</f>
        <v>585.78</v>
      </c>
      <c r="E4196" s="2">
        <f>IFERROR(__xludf.DUMMYFUNCTION("""COMPUTED_VALUE"""),591.15)</f>
        <v>591.15</v>
      </c>
      <c r="F4196" s="2">
        <f>IFERROR(__xludf.DUMMYFUNCTION("""COMPUTED_VALUE"""),813957.0)</f>
        <v>813957</v>
      </c>
    </row>
    <row r="4197">
      <c r="A4197" s="3">
        <f>IFERROR(__xludf.DUMMYFUNCTION("""COMPUTED_VALUE"""),42723.64583333333)</f>
        <v>42723.64583</v>
      </c>
      <c r="B4197" s="2">
        <f>IFERROR(__xludf.DUMMYFUNCTION("""COMPUTED_VALUE"""),588.4)</f>
        <v>588.4</v>
      </c>
      <c r="C4197" s="2">
        <f>IFERROR(__xludf.DUMMYFUNCTION("""COMPUTED_VALUE"""),589.75)</f>
        <v>589.75</v>
      </c>
      <c r="D4197" s="2">
        <f>IFERROR(__xludf.DUMMYFUNCTION("""COMPUTED_VALUE"""),585.25)</f>
        <v>585.25</v>
      </c>
      <c r="E4197" s="2">
        <f>IFERROR(__xludf.DUMMYFUNCTION("""COMPUTED_VALUE"""),588.38)</f>
        <v>588.38</v>
      </c>
      <c r="F4197" s="2">
        <f>IFERROR(__xludf.DUMMYFUNCTION("""COMPUTED_VALUE"""),790109.0)</f>
        <v>790109</v>
      </c>
    </row>
    <row r="4198">
      <c r="A4198" s="3">
        <f>IFERROR(__xludf.DUMMYFUNCTION("""COMPUTED_VALUE"""),42724.64583333333)</f>
        <v>42724.64583</v>
      </c>
      <c r="B4198" s="2">
        <f>IFERROR(__xludf.DUMMYFUNCTION("""COMPUTED_VALUE"""),588.0)</f>
        <v>588</v>
      </c>
      <c r="C4198" s="2">
        <f>IFERROR(__xludf.DUMMYFUNCTION("""COMPUTED_VALUE"""),592.5)</f>
        <v>592.5</v>
      </c>
      <c r="D4198" s="2">
        <f>IFERROR(__xludf.DUMMYFUNCTION("""COMPUTED_VALUE"""),585.85)</f>
        <v>585.85</v>
      </c>
      <c r="E4198" s="2">
        <f>IFERROR(__xludf.DUMMYFUNCTION("""COMPUTED_VALUE"""),590.95)</f>
        <v>590.95</v>
      </c>
      <c r="F4198" s="2">
        <f>IFERROR(__xludf.DUMMYFUNCTION("""COMPUTED_VALUE"""),1047498.0)</f>
        <v>1047498</v>
      </c>
    </row>
    <row r="4199">
      <c r="A4199" s="3">
        <f>IFERROR(__xludf.DUMMYFUNCTION("""COMPUTED_VALUE"""),42725.64583333333)</f>
        <v>42725.64583</v>
      </c>
      <c r="B4199" s="2">
        <f>IFERROR(__xludf.DUMMYFUNCTION("""COMPUTED_VALUE"""),592.0)</f>
        <v>592</v>
      </c>
      <c r="C4199" s="2">
        <f>IFERROR(__xludf.DUMMYFUNCTION("""COMPUTED_VALUE"""),592.5)</f>
        <v>592.5</v>
      </c>
      <c r="D4199" s="2">
        <f>IFERROR(__xludf.DUMMYFUNCTION("""COMPUTED_VALUE"""),587.5)</f>
        <v>587.5</v>
      </c>
      <c r="E4199" s="2">
        <f>IFERROR(__xludf.DUMMYFUNCTION("""COMPUTED_VALUE"""),590.0)</f>
        <v>590</v>
      </c>
      <c r="F4199" s="2">
        <f>IFERROR(__xludf.DUMMYFUNCTION("""COMPUTED_VALUE"""),664719.0)</f>
        <v>664719</v>
      </c>
    </row>
    <row r="4200">
      <c r="A4200" s="3">
        <f>IFERROR(__xludf.DUMMYFUNCTION("""COMPUTED_VALUE"""),42726.64583333333)</f>
        <v>42726.64583</v>
      </c>
      <c r="B4200" s="2">
        <f>IFERROR(__xludf.DUMMYFUNCTION("""COMPUTED_VALUE"""),588.2)</f>
        <v>588.2</v>
      </c>
      <c r="C4200" s="2">
        <f>IFERROR(__xludf.DUMMYFUNCTION("""COMPUTED_VALUE"""),589.75)</f>
        <v>589.75</v>
      </c>
      <c r="D4200" s="2">
        <f>IFERROR(__xludf.DUMMYFUNCTION("""COMPUTED_VALUE"""),584.2)</f>
        <v>584.2</v>
      </c>
      <c r="E4200" s="2">
        <f>IFERROR(__xludf.DUMMYFUNCTION("""COMPUTED_VALUE"""),586.55)</f>
        <v>586.55</v>
      </c>
      <c r="F4200" s="2">
        <f>IFERROR(__xludf.DUMMYFUNCTION("""COMPUTED_VALUE"""),701429.0)</f>
        <v>701429</v>
      </c>
    </row>
    <row r="4201">
      <c r="A4201" s="3">
        <f>IFERROR(__xludf.DUMMYFUNCTION("""COMPUTED_VALUE"""),42727.64583333333)</f>
        <v>42727.64583</v>
      </c>
      <c r="B4201" s="2">
        <f>IFERROR(__xludf.DUMMYFUNCTION("""COMPUTED_VALUE"""),585.5)</f>
        <v>585.5</v>
      </c>
      <c r="C4201" s="2">
        <f>IFERROR(__xludf.DUMMYFUNCTION("""COMPUTED_VALUE"""),594.63)</f>
        <v>594.63</v>
      </c>
      <c r="D4201" s="2">
        <f>IFERROR(__xludf.DUMMYFUNCTION("""COMPUTED_VALUE"""),584.65)</f>
        <v>584.65</v>
      </c>
      <c r="E4201" s="2">
        <f>IFERROR(__xludf.DUMMYFUNCTION("""COMPUTED_VALUE"""),593.13)</f>
        <v>593.13</v>
      </c>
      <c r="F4201" s="2">
        <f>IFERROR(__xludf.DUMMYFUNCTION("""COMPUTED_VALUE"""),1188129.0)</f>
        <v>1188129</v>
      </c>
    </row>
    <row r="4202">
      <c r="A4202" s="3">
        <f>IFERROR(__xludf.DUMMYFUNCTION("""COMPUTED_VALUE"""),42730.64583333333)</f>
        <v>42730.64583</v>
      </c>
      <c r="B4202" s="2">
        <f>IFERROR(__xludf.DUMMYFUNCTION("""COMPUTED_VALUE"""),589.28)</f>
        <v>589.28</v>
      </c>
      <c r="C4202" s="2">
        <f>IFERROR(__xludf.DUMMYFUNCTION("""COMPUTED_VALUE"""),593.05)</f>
        <v>593.05</v>
      </c>
      <c r="D4202" s="2">
        <f>IFERROR(__xludf.DUMMYFUNCTION("""COMPUTED_VALUE"""),585.05)</f>
        <v>585.05</v>
      </c>
      <c r="E4202" s="2">
        <f>IFERROR(__xludf.DUMMYFUNCTION("""COMPUTED_VALUE"""),587.5)</f>
        <v>587.5</v>
      </c>
      <c r="F4202" s="2">
        <f>IFERROR(__xludf.DUMMYFUNCTION("""COMPUTED_VALUE"""),1045966.0)</f>
        <v>1045966</v>
      </c>
    </row>
    <row r="4203">
      <c r="A4203" s="3">
        <f>IFERROR(__xludf.DUMMYFUNCTION("""COMPUTED_VALUE"""),42731.64583333333)</f>
        <v>42731.64583</v>
      </c>
      <c r="B4203" s="2">
        <f>IFERROR(__xludf.DUMMYFUNCTION("""COMPUTED_VALUE"""),589.65)</f>
        <v>589.65</v>
      </c>
      <c r="C4203" s="2">
        <f>IFERROR(__xludf.DUMMYFUNCTION("""COMPUTED_VALUE"""),593.45)</f>
        <v>593.45</v>
      </c>
      <c r="D4203" s="2">
        <f>IFERROR(__xludf.DUMMYFUNCTION("""COMPUTED_VALUE"""),586.95)</f>
        <v>586.95</v>
      </c>
      <c r="E4203" s="2">
        <f>IFERROR(__xludf.DUMMYFUNCTION("""COMPUTED_VALUE"""),592.6)</f>
        <v>592.6</v>
      </c>
      <c r="F4203" s="2">
        <f>IFERROR(__xludf.DUMMYFUNCTION("""COMPUTED_VALUE"""),1224824.0)</f>
        <v>1224824</v>
      </c>
    </row>
    <row r="4204">
      <c r="A4204" s="3">
        <f>IFERROR(__xludf.DUMMYFUNCTION("""COMPUTED_VALUE"""),42732.64583333333)</f>
        <v>42732.64583</v>
      </c>
      <c r="B4204" s="2">
        <f>IFERROR(__xludf.DUMMYFUNCTION("""COMPUTED_VALUE"""),594.95)</f>
        <v>594.95</v>
      </c>
      <c r="C4204" s="2">
        <f>IFERROR(__xludf.DUMMYFUNCTION("""COMPUTED_VALUE"""),597.48)</f>
        <v>597.48</v>
      </c>
      <c r="D4204" s="2">
        <f>IFERROR(__xludf.DUMMYFUNCTION("""COMPUTED_VALUE"""),590.5)</f>
        <v>590.5</v>
      </c>
      <c r="E4204" s="2">
        <f>IFERROR(__xludf.DUMMYFUNCTION("""COMPUTED_VALUE"""),593.38)</f>
        <v>593.38</v>
      </c>
      <c r="F4204" s="2">
        <f>IFERROR(__xludf.DUMMYFUNCTION("""COMPUTED_VALUE"""),1626960.0)</f>
        <v>1626960</v>
      </c>
    </row>
    <row r="4205">
      <c r="A4205" s="3">
        <f>IFERROR(__xludf.DUMMYFUNCTION("""COMPUTED_VALUE"""),42733.64583333333)</f>
        <v>42733.64583</v>
      </c>
      <c r="B4205" s="2">
        <f>IFERROR(__xludf.DUMMYFUNCTION("""COMPUTED_VALUE"""),592.5)</f>
        <v>592.5</v>
      </c>
      <c r="C4205" s="2">
        <f>IFERROR(__xludf.DUMMYFUNCTION("""COMPUTED_VALUE"""),603.98)</f>
        <v>603.98</v>
      </c>
      <c r="D4205" s="2">
        <f>IFERROR(__xludf.DUMMYFUNCTION("""COMPUTED_VALUE"""),590.73)</f>
        <v>590.73</v>
      </c>
      <c r="E4205" s="2">
        <f>IFERROR(__xludf.DUMMYFUNCTION("""COMPUTED_VALUE"""),602.6)</f>
        <v>602.6</v>
      </c>
      <c r="F4205" s="2">
        <f>IFERROR(__xludf.DUMMYFUNCTION("""COMPUTED_VALUE"""),2025204.0)</f>
        <v>2025204</v>
      </c>
    </row>
    <row r="4206">
      <c r="A4206" s="3">
        <f>IFERROR(__xludf.DUMMYFUNCTION("""COMPUTED_VALUE"""),42734.64583333333)</f>
        <v>42734.64583</v>
      </c>
      <c r="B4206" s="2">
        <f>IFERROR(__xludf.DUMMYFUNCTION("""COMPUTED_VALUE"""),600.0)</f>
        <v>600</v>
      </c>
      <c r="C4206" s="2">
        <f>IFERROR(__xludf.DUMMYFUNCTION("""COMPUTED_VALUE"""),606.0)</f>
        <v>606</v>
      </c>
      <c r="D4206" s="2">
        <f>IFERROR(__xludf.DUMMYFUNCTION("""COMPUTED_VALUE"""),599.98)</f>
        <v>599.98</v>
      </c>
      <c r="E4206" s="2">
        <f>IFERROR(__xludf.DUMMYFUNCTION("""COMPUTED_VALUE"""),603.1)</f>
        <v>603.1</v>
      </c>
      <c r="F4206" s="2">
        <f>IFERROR(__xludf.DUMMYFUNCTION("""COMPUTED_VALUE"""),1016635.0)</f>
        <v>1016635</v>
      </c>
    </row>
    <row r="4207">
      <c r="A4207" s="3">
        <f>IFERROR(__xludf.DUMMYFUNCTION("""COMPUTED_VALUE"""),42737.64583333333)</f>
        <v>42737.64583</v>
      </c>
      <c r="B4207" s="2">
        <f>IFERROR(__xludf.DUMMYFUNCTION("""COMPUTED_VALUE"""),604.73)</f>
        <v>604.73</v>
      </c>
      <c r="C4207" s="2">
        <f>IFERROR(__xludf.DUMMYFUNCTION("""COMPUTED_VALUE"""),605.05)</f>
        <v>605.05</v>
      </c>
      <c r="D4207" s="2">
        <f>IFERROR(__xludf.DUMMYFUNCTION("""COMPUTED_VALUE"""),596.03)</f>
        <v>596.03</v>
      </c>
      <c r="E4207" s="2">
        <f>IFERROR(__xludf.DUMMYFUNCTION("""COMPUTED_VALUE"""),598.55)</f>
        <v>598.55</v>
      </c>
      <c r="F4207" s="2">
        <f>IFERROR(__xludf.DUMMYFUNCTION("""COMPUTED_VALUE"""),927164.0)</f>
        <v>927164</v>
      </c>
    </row>
    <row r="4208">
      <c r="A4208" s="3">
        <f>IFERROR(__xludf.DUMMYFUNCTION("""COMPUTED_VALUE"""),42738.64583333333)</f>
        <v>42738.64583</v>
      </c>
      <c r="B4208" s="2">
        <f>IFERROR(__xludf.DUMMYFUNCTION("""COMPUTED_VALUE"""),600.4)</f>
        <v>600.4</v>
      </c>
      <c r="C4208" s="2">
        <f>IFERROR(__xludf.DUMMYFUNCTION("""COMPUTED_VALUE"""),600.98)</f>
        <v>600.98</v>
      </c>
      <c r="D4208" s="2">
        <f>IFERROR(__xludf.DUMMYFUNCTION("""COMPUTED_VALUE"""),592.88)</f>
        <v>592.88</v>
      </c>
      <c r="E4208" s="2">
        <f>IFERROR(__xludf.DUMMYFUNCTION("""COMPUTED_VALUE"""),594.95)</f>
        <v>594.95</v>
      </c>
      <c r="F4208" s="2">
        <f>IFERROR(__xludf.DUMMYFUNCTION("""COMPUTED_VALUE"""),961875.0)</f>
        <v>961875</v>
      </c>
    </row>
    <row r="4209">
      <c r="A4209" s="3">
        <f>IFERROR(__xludf.DUMMYFUNCTION("""COMPUTED_VALUE"""),42739.64583333333)</f>
        <v>42739.64583</v>
      </c>
      <c r="B4209" s="2">
        <f>IFERROR(__xludf.DUMMYFUNCTION("""COMPUTED_VALUE"""),594.92)</f>
        <v>594.92</v>
      </c>
      <c r="C4209" s="2">
        <f>IFERROR(__xludf.DUMMYFUNCTION("""COMPUTED_VALUE"""),596.0)</f>
        <v>596</v>
      </c>
      <c r="D4209" s="2">
        <f>IFERROR(__xludf.DUMMYFUNCTION("""COMPUTED_VALUE"""),591.9)</f>
        <v>591.9</v>
      </c>
      <c r="E4209" s="2">
        <f>IFERROR(__xludf.DUMMYFUNCTION("""COMPUTED_VALUE"""),592.75)</f>
        <v>592.75</v>
      </c>
      <c r="F4209" s="2">
        <f>IFERROR(__xludf.DUMMYFUNCTION("""COMPUTED_VALUE"""),1741780.0)</f>
        <v>1741780</v>
      </c>
    </row>
    <row r="4210">
      <c r="A4210" s="3">
        <f>IFERROR(__xludf.DUMMYFUNCTION("""COMPUTED_VALUE"""),42740.64583333333)</f>
        <v>42740.64583</v>
      </c>
      <c r="B4210" s="2">
        <f>IFERROR(__xludf.DUMMYFUNCTION("""COMPUTED_VALUE"""),594.5)</f>
        <v>594.5</v>
      </c>
      <c r="C4210" s="2">
        <f>IFERROR(__xludf.DUMMYFUNCTION("""COMPUTED_VALUE"""),597.25)</f>
        <v>597.25</v>
      </c>
      <c r="D4210" s="2">
        <f>IFERROR(__xludf.DUMMYFUNCTION("""COMPUTED_VALUE"""),591.55)</f>
        <v>591.55</v>
      </c>
      <c r="E4210" s="2">
        <f>IFERROR(__xludf.DUMMYFUNCTION("""COMPUTED_VALUE"""),593.1)</f>
        <v>593.1</v>
      </c>
      <c r="F4210" s="2">
        <f>IFERROR(__xludf.DUMMYFUNCTION("""COMPUTED_VALUE"""),1694096.0)</f>
        <v>1694096</v>
      </c>
    </row>
    <row r="4211">
      <c r="A4211" s="3">
        <f>IFERROR(__xludf.DUMMYFUNCTION("""COMPUTED_VALUE"""),42741.64583333333)</f>
        <v>42741.64583</v>
      </c>
      <c r="B4211" s="2">
        <f>IFERROR(__xludf.DUMMYFUNCTION("""COMPUTED_VALUE"""),595.05)</f>
        <v>595.05</v>
      </c>
      <c r="C4211" s="2">
        <f>IFERROR(__xludf.DUMMYFUNCTION("""COMPUTED_VALUE"""),599.2)</f>
        <v>599.2</v>
      </c>
      <c r="D4211" s="2">
        <f>IFERROR(__xludf.DUMMYFUNCTION("""COMPUTED_VALUE"""),594.1)</f>
        <v>594.1</v>
      </c>
      <c r="E4211" s="2">
        <f>IFERROR(__xludf.DUMMYFUNCTION("""COMPUTED_VALUE"""),596.83)</f>
        <v>596.83</v>
      </c>
      <c r="F4211" s="2">
        <f>IFERROR(__xludf.DUMMYFUNCTION("""COMPUTED_VALUE"""),1381315.0)</f>
        <v>1381315</v>
      </c>
    </row>
    <row r="4212">
      <c r="A4212" s="3">
        <f>IFERROR(__xludf.DUMMYFUNCTION("""COMPUTED_VALUE"""),42744.64583333333)</f>
        <v>42744.64583</v>
      </c>
      <c r="B4212" s="2">
        <f>IFERROR(__xludf.DUMMYFUNCTION("""COMPUTED_VALUE"""),599.42)</f>
        <v>599.42</v>
      </c>
      <c r="C4212" s="2">
        <f>IFERROR(__xludf.DUMMYFUNCTION("""COMPUTED_VALUE"""),602.08)</f>
        <v>602.08</v>
      </c>
      <c r="D4212" s="2">
        <f>IFERROR(__xludf.DUMMYFUNCTION("""COMPUTED_VALUE"""),596.08)</f>
        <v>596.08</v>
      </c>
      <c r="E4212" s="2">
        <f>IFERROR(__xludf.DUMMYFUNCTION("""COMPUTED_VALUE"""),597.6)</f>
        <v>597.6</v>
      </c>
      <c r="F4212" s="2">
        <f>IFERROR(__xludf.DUMMYFUNCTION("""COMPUTED_VALUE"""),1143449.0)</f>
        <v>1143449</v>
      </c>
    </row>
    <row r="4213">
      <c r="A4213" s="3">
        <f>IFERROR(__xludf.DUMMYFUNCTION("""COMPUTED_VALUE"""),42745.64583333333)</f>
        <v>42745.64583</v>
      </c>
      <c r="B4213" s="2">
        <f>IFERROR(__xludf.DUMMYFUNCTION("""COMPUTED_VALUE"""),598.1)</f>
        <v>598.1</v>
      </c>
      <c r="C4213" s="2">
        <f>IFERROR(__xludf.DUMMYFUNCTION("""COMPUTED_VALUE"""),608.4)</f>
        <v>608.4</v>
      </c>
      <c r="D4213" s="2">
        <f>IFERROR(__xludf.DUMMYFUNCTION("""COMPUTED_VALUE"""),597.65)</f>
        <v>597.65</v>
      </c>
      <c r="E4213" s="2">
        <f>IFERROR(__xludf.DUMMYFUNCTION("""COMPUTED_VALUE"""),607.17)</f>
        <v>607.17</v>
      </c>
      <c r="F4213" s="2">
        <f>IFERROR(__xludf.DUMMYFUNCTION("""COMPUTED_VALUE"""),1386529.0)</f>
        <v>1386529</v>
      </c>
    </row>
    <row r="4214">
      <c r="A4214" s="3">
        <f>IFERROR(__xludf.DUMMYFUNCTION("""COMPUTED_VALUE"""),42746.64583333333)</f>
        <v>42746.64583</v>
      </c>
      <c r="B4214" s="2">
        <f>IFERROR(__xludf.DUMMYFUNCTION("""COMPUTED_VALUE"""),608.75)</f>
        <v>608.75</v>
      </c>
      <c r="C4214" s="2">
        <f>IFERROR(__xludf.DUMMYFUNCTION("""COMPUTED_VALUE"""),619.05)</f>
        <v>619.05</v>
      </c>
      <c r="D4214" s="2">
        <f>IFERROR(__xludf.DUMMYFUNCTION("""COMPUTED_VALUE"""),607.75)</f>
        <v>607.75</v>
      </c>
      <c r="E4214" s="2">
        <f>IFERROR(__xludf.DUMMYFUNCTION("""COMPUTED_VALUE"""),615.3)</f>
        <v>615.3</v>
      </c>
      <c r="F4214" s="2">
        <f>IFERROR(__xludf.DUMMYFUNCTION("""COMPUTED_VALUE"""),2335851.0)</f>
        <v>2335851</v>
      </c>
    </row>
    <row r="4215">
      <c r="A4215" s="3">
        <f>IFERROR(__xludf.DUMMYFUNCTION("""COMPUTED_VALUE"""),42747.64583333333)</f>
        <v>42747.64583</v>
      </c>
      <c r="B4215" s="2">
        <f>IFERROR(__xludf.DUMMYFUNCTION("""COMPUTED_VALUE"""),617.5)</f>
        <v>617.5</v>
      </c>
      <c r="C4215" s="2">
        <f>IFERROR(__xludf.DUMMYFUNCTION("""COMPUTED_VALUE"""),621.85)</f>
        <v>621.85</v>
      </c>
      <c r="D4215" s="2">
        <f>IFERROR(__xludf.DUMMYFUNCTION("""COMPUTED_VALUE"""),612.75)</f>
        <v>612.75</v>
      </c>
      <c r="E4215" s="2">
        <f>IFERROR(__xludf.DUMMYFUNCTION("""COMPUTED_VALUE"""),617.5)</f>
        <v>617.5</v>
      </c>
      <c r="F4215" s="2">
        <f>IFERROR(__xludf.DUMMYFUNCTION("""COMPUTED_VALUE"""),729079.0)</f>
        <v>729079</v>
      </c>
    </row>
    <row r="4216">
      <c r="A4216" s="3">
        <f>IFERROR(__xludf.DUMMYFUNCTION("""COMPUTED_VALUE"""),42748.64583333333)</f>
        <v>42748.64583</v>
      </c>
      <c r="B4216" s="2">
        <f>IFERROR(__xludf.DUMMYFUNCTION("""COMPUTED_VALUE"""),619.5)</f>
        <v>619.5</v>
      </c>
      <c r="C4216" s="2">
        <f>IFERROR(__xludf.DUMMYFUNCTION("""COMPUTED_VALUE"""),619.85)</f>
        <v>619.85</v>
      </c>
      <c r="D4216" s="2">
        <f>IFERROR(__xludf.DUMMYFUNCTION("""COMPUTED_VALUE"""),614.3)</f>
        <v>614.3</v>
      </c>
      <c r="E4216" s="2">
        <f>IFERROR(__xludf.DUMMYFUNCTION("""COMPUTED_VALUE"""),616.25)</f>
        <v>616.25</v>
      </c>
      <c r="F4216" s="2">
        <f>IFERROR(__xludf.DUMMYFUNCTION("""COMPUTED_VALUE"""),962603.0)</f>
        <v>962603</v>
      </c>
    </row>
    <row r="4217">
      <c r="A4217" s="3">
        <f>IFERROR(__xludf.DUMMYFUNCTION("""COMPUTED_VALUE"""),42751.64583333333)</f>
        <v>42751.64583</v>
      </c>
      <c r="B4217" s="2">
        <f>IFERROR(__xludf.DUMMYFUNCTION("""COMPUTED_VALUE"""),616.75)</f>
        <v>616.75</v>
      </c>
      <c r="C4217" s="2">
        <f>IFERROR(__xludf.DUMMYFUNCTION("""COMPUTED_VALUE"""),624.73)</f>
        <v>624.73</v>
      </c>
      <c r="D4217" s="2">
        <f>IFERROR(__xludf.DUMMYFUNCTION("""COMPUTED_VALUE"""),616.4)</f>
        <v>616.4</v>
      </c>
      <c r="E4217" s="2">
        <f>IFERROR(__xludf.DUMMYFUNCTION("""COMPUTED_VALUE"""),623.83)</f>
        <v>623.83</v>
      </c>
      <c r="F4217" s="2">
        <f>IFERROR(__xludf.DUMMYFUNCTION("""COMPUTED_VALUE"""),941466.0)</f>
        <v>941466</v>
      </c>
    </row>
    <row r="4218">
      <c r="A4218" s="3">
        <f>IFERROR(__xludf.DUMMYFUNCTION("""COMPUTED_VALUE"""),42752.64583333333)</f>
        <v>42752.64583</v>
      </c>
      <c r="B4218" s="2">
        <f>IFERROR(__xludf.DUMMYFUNCTION("""COMPUTED_VALUE"""),623.5)</f>
        <v>623.5</v>
      </c>
      <c r="C4218" s="2">
        <f>IFERROR(__xludf.DUMMYFUNCTION("""COMPUTED_VALUE"""),626.2)</f>
        <v>626.2</v>
      </c>
      <c r="D4218" s="2">
        <f>IFERROR(__xludf.DUMMYFUNCTION("""COMPUTED_VALUE"""),618.13)</f>
        <v>618.13</v>
      </c>
      <c r="E4218" s="2">
        <f>IFERROR(__xludf.DUMMYFUNCTION("""COMPUTED_VALUE"""),619.25)</f>
        <v>619.25</v>
      </c>
      <c r="F4218" s="2">
        <f>IFERROR(__xludf.DUMMYFUNCTION("""COMPUTED_VALUE"""),889903.0)</f>
        <v>889903</v>
      </c>
    </row>
    <row r="4219">
      <c r="A4219" s="3">
        <f>IFERROR(__xludf.DUMMYFUNCTION("""COMPUTED_VALUE"""),42753.64583333333)</f>
        <v>42753.64583</v>
      </c>
      <c r="B4219" s="2">
        <f>IFERROR(__xludf.DUMMYFUNCTION("""COMPUTED_VALUE"""),620.45)</f>
        <v>620.45</v>
      </c>
      <c r="C4219" s="2">
        <f>IFERROR(__xludf.DUMMYFUNCTION("""COMPUTED_VALUE"""),628.0)</f>
        <v>628</v>
      </c>
      <c r="D4219" s="2">
        <f>IFERROR(__xludf.DUMMYFUNCTION("""COMPUTED_VALUE"""),620.42)</f>
        <v>620.42</v>
      </c>
      <c r="E4219" s="2">
        <f>IFERROR(__xludf.DUMMYFUNCTION("""COMPUTED_VALUE"""),621.3)</f>
        <v>621.3</v>
      </c>
      <c r="F4219" s="2">
        <f>IFERROR(__xludf.DUMMYFUNCTION("""COMPUTED_VALUE"""),1153222.0)</f>
        <v>1153222</v>
      </c>
    </row>
    <row r="4220">
      <c r="A4220" s="3">
        <f>IFERROR(__xludf.DUMMYFUNCTION("""COMPUTED_VALUE"""),42754.64583333333)</f>
        <v>42754.64583</v>
      </c>
      <c r="B4220" s="2">
        <f>IFERROR(__xludf.DUMMYFUNCTION("""COMPUTED_VALUE"""),622.45)</f>
        <v>622.45</v>
      </c>
      <c r="C4220" s="2">
        <f>IFERROR(__xludf.DUMMYFUNCTION("""COMPUTED_VALUE"""),622.45)</f>
        <v>622.45</v>
      </c>
      <c r="D4220" s="2">
        <f>IFERROR(__xludf.DUMMYFUNCTION("""COMPUTED_VALUE"""),617.5)</f>
        <v>617.5</v>
      </c>
      <c r="E4220" s="2">
        <f>IFERROR(__xludf.DUMMYFUNCTION("""COMPUTED_VALUE"""),618.15)</f>
        <v>618.15</v>
      </c>
      <c r="F4220" s="2">
        <f>IFERROR(__xludf.DUMMYFUNCTION("""COMPUTED_VALUE"""),878103.0)</f>
        <v>878103</v>
      </c>
    </row>
    <row r="4221">
      <c r="A4221" s="3">
        <f>IFERROR(__xludf.DUMMYFUNCTION("""COMPUTED_VALUE"""),42755.64583333333)</f>
        <v>42755.64583</v>
      </c>
      <c r="B4221" s="2">
        <f>IFERROR(__xludf.DUMMYFUNCTION("""COMPUTED_VALUE"""),618.0)</f>
        <v>618</v>
      </c>
      <c r="C4221" s="2">
        <f>IFERROR(__xludf.DUMMYFUNCTION("""COMPUTED_VALUE"""),622.5)</f>
        <v>622.5</v>
      </c>
      <c r="D4221" s="2">
        <f>IFERROR(__xludf.DUMMYFUNCTION("""COMPUTED_VALUE"""),615.0)</f>
        <v>615</v>
      </c>
      <c r="E4221" s="2">
        <f>IFERROR(__xludf.DUMMYFUNCTION("""COMPUTED_VALUE"""),618.17)</f>
        <v>618.17</v>
      </c>
      <c r="F4221" s="2">
        <f>IFERROR(__xludf.DUMMYFUNCTION("""COMPUTED_VALUE"""),3485517.0)</f>
        <v>3485517</v>
      </c>
    </row>
    <row r="4222">
      <c r="A4222" s="3">
        <f>IFERROR(__xludf.DUMMYFUNCTION("""COMPUTED_VALUE"""),42758.64583333333)</f>
        <v>42758.64583</v>
      </c>
      <c r="B4222" s="2">
        <f>IFERROR(__xludf.DUMMYFUNCTION("""COMPUTED_VALUE"""),618.0)</f>
        <v>618</v>
      </c>
      <c r="C4222" s="2">
        <f>IFERROR(__xludf.DUMMYFUNCTION("""COMPUTED_VALUE"""),625.0)</f>
        <v>625</v>
      </c>
      <c r="D4222" s="2">
        <f>IFERROR(__xludf.DUMMYFUNCTION("""COMPUTED_VALUE"""),617.9)</f>
        <v>617.9</v>
      </c>
      <c r="E4222" s="2">
        <f>IFERROR(__xludf.DUMMYFUNCTION("""COMPUTED_VALUE"""),622.33)</f>
        <v>622.33</v>
      </c>
      <c r="F4222" s="2">
        <f>IFERROR(__xludf.DUMMYFUNCTION("""COMPUTED_VALUE"""),1198462.0)</f>
        <v>1198462</v>
      </c>
    </row>
    <row r="4223">
      <c r="A4223" s="3">
        <f>IFERROR(__xludf.DUMMYFUNCTION("""COMPUTED_VALUE"""),42759.64583333333)</f>
        <v>42759.64583</v>
      </c>
      <c r="B4223" s="2">
        <f>IFERROR(__xludf.DUMMYFUNCTION("""COMPUTED_VALUE"""),625.0)</f>
        <v>625</v>
      </c>
      <c r="C4223" s="2">
        <f>IFERROR(__xludf.DUMMYFUNCTION("""COMPUTED_VALUE"""),635.75)</f>
        <v>635.75</v>
      </c>
      <c r="D4223" s="2">
        <f>IFERROR(__xludf.DUMMYFUNCTION("""COMPUTED_VALUE"""),624.63)</f>
        <v>624.63</v>
      </c>
      <c r="E4223" s="2">
        <f>IFERROR(__xludf.DUMMYFUNCTION("""COMPUTED_VALUE"""),633.78)</f>
        <v>633.78</v>
      </c>
      <c r="F4223" s="2">
        <f>IFERROR(__xludf.DUMMYFUNCTION("""COMPUTED_VALUE"""),2565466.0)</f>
        <v>2565466</v>
      </c>
    </row>
    <row r="4224">
      <c r="A4224" s="3">
        <f>IFERROR(__xludf.DUMMYFUNCTION("""COMPUTED_VALUE"""),42760.64583333333)</f>
        <v>42760.64583</v>
      </c>
      <c r="B4224" s="2">
        <f>IFERROR(__xludf.DUMMYFUNCTION("""COMPUTED_VALUE"""),636.3)</f>
        <v>636.3</v>
      </c>
      <c r="C4224" s="2">
        <f>IFERROR(__xludf.DUMMYFUNCTION("""COMPUTED_VALUE"""),647.8)</f>
        <v>647.8</v>
      </c>
      <c r="D4224" s="2">
        <f>IFERROR(__xludf.DUMMYFUNCTION("""COMPUTED_VALUE"""),635.05)</f>
        <v>635.05</v>
      </c>
      <c r="E4224" s="2">
        <f>IFERROR(__xludf.DUMMYFUNCTION("""COMPUTED_VALUE"""),645.3)</f>
        <v>645.3</v>
      </c>
      <c r="F4224" s="2">
        <f>IFERROR(__xludf.DUMMYFUNCTION("""COMPUTED_VALUE"""),3909246.0)</f>
        <v>3909246</v>
      </c>
    </row>
    <row r="4225">
      <c r="A4225" s="3">
        <f>IFERROR(__xludf.DUMMYFUNCTION("""COMPUTED_VALUE"""),42762.64583333333)</f>
        <v>42762.64583</v>
      </c>
      <c r="B4225" s="2">
        <f>IFERROR(__xludf.DUMMYFUNCTION("""COMPUTED_VALUE"""),649.5)</f>
        <v>649.5</v>
      </c>
      <c r="C4225" s="2">
        <f>IFERROR(__xludf.DUMMYFUNCTION("""COMPUTED_VALUE"""),650.0)</f>
        <v>650</v>
      </c>
      <c r="D4225" s="2">
        <f>IFERROR(__xludf.DUMMYFUNCTION("""COMPUTED_VALUE"""),644.0)</f>
        <v>644</v>
      </c>
      <c r="E4225" s="2">
        <f>IFERROR(__xludf.DUMMYFUNCTION("""COMPUTED_VALUE"""),645.95)</f>
        <v>645.95</v>
      </c>
      <c r="F4225" s="2">
        <f>IFERROR(__xludf.DUMMYFUNCTION("""COMPUTED_VALUE"""),1713059.0)</f>
        <v>1713059</v>
      </c>
    </row>
    <row r="4226">
      <c r="A4226" s="3">
        <f>IFERROR(__xludf.DUMMYFUNCTION("""COMPUTED_VALUE"""),42765.64583333333)</f>
        <v>42765.64583</v>
      </c>
      <c r="B4226" s="2">
        <f>IFERROR(__xludf.DUMMYFUNCTION("""COMPUTED_VALUE"""),646.48)</f>
        <v>646.48</v>
      </c>
      <c r="C4226" s="2">
        <f>IFERROR(__xludf.DUMMYFUNCTION("""COMPUTED_VALUE"""),646.48)</f>
        <v>646.48</v>
      </c>
      <c r="D4226" s="2">
        <f>IFERROR(__xludf.DUMMYFUNCTION("""COMPUTED_VALUE"""),640.28)</f>
        <v>640.28</v>
      </c>
      <c r="E4226" s="2">
        <f>IFERROR(__xludf.DUMMYFUNCTION("""COMPUTED_VALUE"""),642.48)</f>
        <v>642.48</v>
      </c>
      <c r="F4226" s="2">
        <f>IFERROR(__xludf.DUMMYFUNCTION("""COMPUTED_VALUE"""),1329907.0)</f>
        <v>1329907</v>
      </c>
    </row>
    <row r="4227">
      <c r="A4227" s="3">
        <f>IFERROR(__xludf.DUMMYFUNCTION("""COMPUTED_VALUE"""),42766.64583333333)</f>
        <v>42766.64583</v>
      </c>
      <c r="B4227" s="2">
        <f>IFERROR(__xludf.DUMMYFUNCTION("""COMPUTED_VALUE"""),641.2)</f>
        <v>641.2</v>
      </c>
      <c r="C4227" s="2">
        <f>IFERROR(__xludf.DUMMYFUNCTION("""COMPUTED_VALUE"""),646.35)</f>
        <v>646.35</v>
      </c>
      <c r="D4227" s="2">
        <f>IFERROR(__xludf.DUMMYFUNCTION("""COMPUTED_VALUE"""),638.5)</f>
        <v>638.5</v>
      </c>
      <c r="E4227" s="2">
        <f>IFERROR(__xludf.DUMMYFUNCTION("""COMPUTED_VALUE"""),643.33)</f>
        <v>643.33</v>
      </c>
      <c r="F4227" s="2">
        <f>IFERROR(__xludf.DUMMYFUNCTION("""COMPUTED_VALUE"""),1525260.0)</f>
        <v>1525260</v>
      </c>
    </row>
    <row r="4228">
      <c r="A4228" s="3">
        <f>IFERROR(__xludf.DUMMYFUNCTION("""COMPUTED_VALUE"""),42767.64583333333)</f>
        <v>42767.64583</v>
      </c>
      <c r="B4228" s="2">
        <f>IFERROR(__xludf.DUMMYFUNCTION("""COMPUTED_VALUE"""),643.1)</f>
        <v>643.1</v>
      </c>
      <c r="C4228" s="2">
        <f>IFERROR(__xludf.DUMMYFUNCTION("""COMPUTED_VALUE"""),655.0)</f>
        <v>655</v>
      </c>
      <c r="D4228" s="2">
        <f>IFERROR(__xludf.DUMMYFUNCTION("""COMPUTED_VALUE"""),640.25)</f>
        <v>640.25</v>
      </c>
      <c r="E4228" s="2">
        <f>IFERROR(__xludf.DUMMYFUNCTION("""COMPUTED_VALUE"""),652.85)</f>
        <v>652.85</v>
      </c>
      <c r="F4228" s="2">
        <f>IFERROR(__xludf.DUMMYFUNCTION("""COMPUTED_VALUE"""),2727666.0)</f>
        <v>2727666</v>
      </c>
    </row>
    <row r="4229">
      <c r="A4229" s="3">
        <f>IFERROR(__xludf.DUMMYFUNCTION("""COMPUTED_VALUE"""),42768.64583333333)</f>
        <v>42768.64583</v>
      </c>
      <c r="B4229" s="2">
        <f>IFERROR(__xludf.DUMMYFUNCTION("""COMPUTED_VALUE"""),652.85)</f>
        <v>652.85</v>
      </c>
      <c r="C4229" s="2">
        <f>IFERROR(__xludf.DUMMYFUNCTION("""COMPUTED_VALUE"""),652.85)</f>
        <v>652.85</v>
      </c>
      <c r="D4229" s="2">
        <f>IFERROR(__xludf.DUMMYFUNCTION("""COMPUTED_VALUE"""),646.3)</f>
        <v>646.3</v>
      </c>
      <c r="E4229" s="2">
        <f>IFERROR(__xludf.DUMMYFUNCTION("""COMPUTED_VALUE"""),649.35)</f>
        <v>649.35</v>
      </c>
      <c r="F4229" s="2">
        <f>IFERROR(__xludf.DUMMYFUNCTION("""COMPUTED_VALUE"""),1492909.0)</f>
        <v>1492909</v>
      </c>
    </row>
    <row r="4230">
      <c r="A4230" s="3">
        <f>IFERROR(__xludf.DUMMYFUNCTION("""COMPUTED_VALUE"""),42769.64583333333)</f>
        <v>42769.64583</v>
      </c>
      <c r="B4230" s="2">
        <f>IFERROR(__xludf.DUMMYFUNCTION("""COMPUTED_VALUE"""),649.5)</f>
        <v>649.5</v>
      </c>
      <c r="C4230" s="2">
        <f>IFERROR(__xludf.DUMMYFUNCTION("""COMPUTED_VALUE"""),658.0)</f>
        <v>658</v>
      </c>
      <c r="D4230" s="2">
        <f>IFERROR(__xludf.DUMMYFUNCTION("""COMPUTED_VALUE"""),648.25)</f>
        <v>648.25</v>
      </c>
      <c r="E4230" s="2">
        <f>IFERROR(__xludf.DUMMYFUNCTION("""COMPUTED_VALUE"""),655.53)</f>
        <v>655.53</v>
      </c>
      <c r="F4230" s="2">
        <f>IFERROR(__xludf.DUMMYFUNCTION("""COMPUTED_VALUE"""),2001276.0)</f>
        <v>2001276</v>
      </c>
    </row>
    <row r="4231">
      <c r="A4231" s="3">
        <f>IFERROR(__xludf.DUMMYFUNCTION("""COMPUTED_VALUE"""),42772.64583333333)</f>
        <v>42772.64583</v>
      </c>
      <c r="B4231" s="2">
        <f>IFERROR(__xludf.DUMMYFUNCTION("""COMPUTED_VALUE"""),656.15)</f>
        <v>656.15</v>
      </c>
      <c r="C4231" s="2">
        <f>IFERROR(__xludf.DUMMYFUNCTION("""COMPUTED_VALUE"""),660.0)</f>
        <v>660</v>
      </c>
      <c r="D4231" s="2">
        <f>IFERROR(__xludf.DUMMYFUNCTION("""COMPUTED_VALUE"""),655.73)</f>
        <v>655.73</v>
      </c>
      <c r="E4231" s="2">
        <f>IFERROR(__xludf.DUMMYFUNCTION("""COMPUTED_VALUE"""),657.05)</f>
        <v>657.05</v>
      </c>
      <c r="F4231" s="2">
        <f>IFERROR(__xludf.DUMMYFUNCTION("""COMPUTED_VALUE"""),1077555.0)</f>
        <v>1077555</v>
      </c>
    </row>
    <row r="4232">
      <c r="A4232" s="3">
        <f>IFERROR(__xludf.DUMMYFUNCTION("""COMPUTED_VALUE"""),42773.64583333333)</f>
        <v>42773.64583</v>
      </c>
      <c r="B4232" s="2">
        <f>IFERROR(__xludf.DUMMYFUNCTION("""COMPUTED_VALUE"""),658.0)</f>
        <v>658</v>
      </c>
      <c r="C4232" s="2">
        <f>IFERROR(__xludf.DUMMYFUNCTION("""COMPUTED_VALUE"""),659.0)</f>
        <v>659</v>
      </c>
      <c r="D4232" s="2">
        <f>IFERROR(__xludf.DUMMYFUNCTION("""COMPUTED_VALUE"""),651.48)</f>
        <v>651.48</v>
      </c>
      <c r="E4232" s="2">
        <f>IFERROR(__xludf.DUMMYFUNCTION("""COMPUTED_VALUE"""),653.58)</f>
        <v>653.58</v>
      </c>
      <c r="F4232" s="2">
        <f>IFERROR(__xludf.DUMMYFUNCTION("""COMPUTED_VALUE"""),852980.0)</f>
        <v>852980</v>
      </c>
    </row>
    <row r="4233">
      <c r="A4233" s="3">
        <f>IFERROR(__xludf.DUMMYFUNCTION("""COMPUTED_VALUE"""),42774.64583333333)</f>
        <v>42774.64583</v>
      </c>
      <c r="B4233" s="2">
        <f>IFERROR(__xludf.DUMMYFUNCTION("""COMPUTED_VALUE"""),653.78)</f>
        <v>653.78</v>
      </c>
      <c r="C4233" s="2">
        <f>IFERROR(__xludf.DUMMYFUNCTION("""COMPUTED_VALUE"""),659.35)</f>
        <v>659.35</v>
      </c>
      <c r="D4233" s="2">
        <f>IFERROR(__xludf.DUMMYFUNCTION("""COMPUTED_VALUE"""),649.08)</f>
        <v>649.08</v>
      </c>
      <c r="E4233" s="2">
        <f>IFERROR(__xludf.DUMMYFUNCTION("""COMPUTED_VALUE"""),652.83)</f>
        <v>652.83</v>
      </c>
      <c r="F4233" s="2">
        <f>IFERROR(__xludf.DUMMYFUNCTION("""COMPUTED_VALUE"""),1235240.0)</f>
        <v>1235240</v>
      </c>
    </row>
    <row r="4234">
      <c r="A4234" s="3">
        <f>IFERROR(__xludf.DUMMYFUNCTION("""COMPUTED_VALUE"""),42775.64583333333)</f>
        <v>42775.64583</v>
      </c>
      <c r="B4234" s="2">
        <f>IFERROR(__xludf.DUMMYFUNCTION("""COMPUTED_VALUE"""),654.7)</f>
        <v>654.7</v>
      </c>
      <c r="C4234" s="2">
        <f>IFERROR(__xludf.DUMMYFUNCTION("""COMPUTED_VALUE"""),659.95)</f>
        <v>659.95</v>
      </c>
      <c r="D4234" s="2">
        <f>IFERROR(__xludf.DUMMYFUNCTION("""COMPUTED_VALUE"""),646.28)</f>
        <v>646.28</v>
      </c>
      <c r="E4234" s="2">
        <f>IFERROR(__xludf.DUMMYFUNCTION("""COMPUTED_VALUE"""),648.83)</f>
        <v>648.83</v>
      </c>
      <c r="F4234" s="2">
        <f>IFERROR(__xludf.DUMMYFUNCTION("""COMPUTED_VALUE"""),1116344.0)</f>
        <v>1116344</v>
      </c>
    </row>
    <row r="4235">
      <c r="A4235" s="3">
        <f>IFERROR(__xludf.DUMMYFUNCTION("""COMPUTED_VALUE"""),42776.64583333333)</f>
        <v>42776.64583</v>
      </c>
      <c r="B4235" s="2">
        <f>IFERROR(__xludf.DUMMYFUNCTION("""COMPUTED_VALUE"""),649.17)</f>
        <v>649.17</v>
      </c>
      <c r="C4235" s="2">
        <f>IFERROR(__xludf.DUMMYFUNCTION("""COMPUTED_VALUE"""),654.38)</f>
        <v>654.38</v>
      </c>
      <c r="D4235" s="2">
        <f>IFERROR(__xludf.DUMMYFUNCTION("""COMPUTED_VALUE"""),649.0)</f>
        <v>649</v>
      </c>
      <c r="E4235" s="2">
        <f>IFERROR(__xludf.DUMMYFUNCTION("""COMPUTED_VALUE"""),651.8)</f>
        <v>651.8</v>
      </c>
      <c r="F4235" s="2">
        <f>IFERROR(__xludf.DUMMYFUNCTION("""COMPUTED_VALUE"""),824184.0)</f>
        <v>824184</v>
      </c>
    </row>
    <row r="4236">
      <c r="A4236" s="3">
        <f>IFERROR(__xludf.DUMMYFUNCTION("""COMPUTED_VALUE"""),42779.64583333333)</f>
        <v>42779.64583</v>
      </c>
      <c r="B4236" s="2">
        <f>IFERROR(__xludf.DUMMYFUNCTION("""COMPUTED_VALUE"""),653.78)</f>
        <v>653.78</v>
      </c>
      <c r="C4236" s="2">
        <f>IFERROR(__xludf.DUMMYFUNCTION("""COMPUTED_VALUE"""),657.5)</f>
        <v>657.5</v>
      </c>
      <c r="D4236" s="2">
        <f>IFERROR(__xludf.DUMMYFUNCTION("""COMPUTED_VALUE"""),649.6)</f>
        <v>649.6</v>
      </c>
      <c r="E4236" s="2">
        <f>IFERROR(__xludf.DUMMYFUNCTION("""COMPUTED_VALUE"""),655.1)</f>
        <v>655.1</v>
      </c>
      <c r="F4236" s="2">
        <f>IFERROR(__xludf.DUMMYFUNCTION("""COMPUTED_VALUE"""),698948.0)</f>
        <v>698948</v>
      </c>
    </row>
    <row r="4237">
      <c r="A4237" s="3">
        <f>IFERROR(__xludf.DUMMYFUNCTION("""COMPUTED_VALUE"""),42780.64583333333)</f>
        <v>42780.64583</v>
      </c>
      <c r="B4237" s="2">
        <f>IFERROR(__xludf.DUMMYFUNCTION("""COMPUTED_VALUE"""),657.0)</f>
        <v>657</v>
      </c>
      <c r="C4237" s="2">
        <f>IFERROR(__xludf.DUMMYFUNCTION("""COMPUTED_VALUE"""),657.0)</f>
        <v>657</v>
      </c>
      <c r="D4237" s="2">
        <f>IFERROR(__xludf.DUMMYFUNCTION("""COMPUTED_VALUE"""),652.0)</f>
        <v>652</v>
      </c>
      <c r="E4237" s="2">
        <f>IFERROR(__xludf.DUMMYFUNCTION("""COMPUTED_VALUE"""),655.55)</f>
        <v>655.55</v>
      </c>
      <c r="F4237" s="2">
        <f>IFERROR(__xludf.DUMMYFUNCTION("""COMPUTED_VALUE"""),611515.0)</f>
        <v>611515</v>
      </c>
    </row>
    <row r="4238">
      <c r="A4238" s="3">
        <f>IFERROR(__xludf.DUMMYFUNCTION("""COMPUTED_VALUE"""),42781.64583333333)</f>
        <v>42781.64583</v>
      </c>
      <c r="B4238" s="2">
        <f>IFERROR(__xludf.DUMMYFUNCTION("""COMPUTED_VALUE"""),656.0)</f>
        <v>656</v>
      </c>
      <c r="C4238" s="2">
        <f>IFERROR(__xludf.DUMMYFUNCTION("""COMPUTED_VALUE"""),662.0)</f>
        <v>662</v>
      </c>
      <c r="D4238" s="2">
        <f>IFERROR(__xludf.DUMMYFUNCTION("""COMPUTED_VALUE"""),653.73)</f>
        <v>653.73</v>
      </c>
      <c r="E4238" s="2">
        <f>IFERROR(__xludf.DUMMYFUNCTION("""COMPUTED_VALUE"""),661.1)</f>
        <v>661.1</v>
      </c>
      <c r="F4238" s="2">
        <f>IFERROR(__xludf.DUMMYFUNCTION("""COMPUTED_VALUE"""),1531735.0)</f>
        <v>1531735</v>
      </c>
    </row>
    <row r="4239">
      <c r="A4239" s="3">
        <f>IFERROR(__xludf.DUMMYFUNCTION("""COMPUTED_VALUE"""),42782.64583333333)</f>
        <v>42782.64583</v>
      </c>
      <c r="B4239" s="2">
        <f>IFERROR(__xludf.DUMMYFUNCTION("""COMPUTED_VALUE"""),661.5)</f>
        <v>661.5</v>
      </c>
      <c r="C4239" s="2">
        <f>IFERROR(__xludf.DUMMYFUNCTION("""COMPUTED_VALUE"""),666.5)</f>
        <v>666.5</v>
      </c>
      <c r="D4239" s="2">
        <f>IFERROR(__xludf.DUMMYFUNCTION("""COMPUTED_VALUE"""),660.13)</f>
        <v>660.13</v>
      </c>
      <c r="E4239" s="2">
        <f>IFERROR(__xludf.DUMMYFUNCTION("""COMPUTED_VALUE"""),663.95)</f>
        <v>663.95</v>
      </c>
      <c r="F4239" s="2">
        <f>IFERROR(__xludf.DUMMYFUNCTION("""COMPUTED_VALUE"""),1260925.0)</f>
        <v>1260925</v>
      </c>
    </row>
    <row r="4240">
      <c r="A4240" s="3">
        <f>IFERROR(__xludf.DUMMYFUNCTION("""COMPUTED_VALUE"""),42783.64583333333)</f>
        <v>42783.64583</v>
      </c>
      <c r="B4240" s="2">
        <f>IFERROR(__xludf.DUMMYFUNCTION("""COMPUTED_VALUE"""),722.5)</f>
        <v>722.5</v>
      </c>
      <c r="C4240" s="2">
        <f>IFERROR(__xludf.DUMMYFUNCTION("""COMPUTED_VALUE"""),727.0)</f>
        <v>727</v>
      </c>
      <c r="D4240" s="2">
        <f>IFERROR(__xludf.DUMMYFUNCTION("""COMPUTED_VALUE"""),680.23)</f>
        <v>680.23</v>
      </c>
      <c r="E4240" s="2">
        <f>IFERROR(__xludf.DUMMYFUNCTION("""COMPUTED_VALUE"""),688.53)</f>
        <v>688.53</v>
      </c>
      <c r="F4240" s="2">
        <f>IFERROR(__xludf.DUMMYFUNCTION("""COMPUTED_VALUE"""),1.0056499E8)</f>
        <v>100564990</v>
      </c>
    </row>
    <row r="4241">
      <c r="A4241" s="3">
        <f>IFERROR(__xludf.DUMMYFUNCTION("""COMPUTED_VALUE"""),42786.64583333333)</f>
        <v>42786.64583</v>
      </c>
      <c r="B4241" s="2">
        <f>IFERROR(__xludf.DUMMYFUNCTION("""COMPUTED_VALUE"""),680.6)</f>
        <v>680.6</v>
      </c>
      <c r="C4241" s="2">
        <f>IFERROR(__xludf.DUMMYFUNCTION("""COMPUTED_VALUE"""),707.73)</f>
        <v>707.73</v>
      </c>
      <c r="D4241" s="2">
        <f>IFERROR(__xludf.DUMMYFUNCTION("""COMPUTED_VALUE"""),679.58)</f>
        <v>679.58</v>
      </c>
      <c r="E4241" s="2">
        <f>IFERROR(__xludf.DUMMYFUNCTION("""COMPUTED_VALUE"""),704.55)</f>
        <v>704.55</v>
      </c>
      <c r="F4241" s="2">
        <f>IFERROR(__xludf.DUMMYFUNCTION("""COMPUTED_VALUE"""),2641679.0)</f>
        <v>2641679</v>
      </c>
    </row>
    <row r="4242">
      <c r="A4242" s="3">
        <f>IFERROR(__xludf.DUMMYFUNCTION("""COMPUTED_VALUE"""),42787.64583333333)</f>
        <v>42787.64583</v>
      </c>
      <c r="B4242" s="2">
        <f>IFERROR(__xludf.DUMMYFUNCTION("""COMPUTED_VALUE"""),703.03)</f>
        <v>703.03</v>
      </c>
      <c r="C4242" s="2">
        <f>IFERROR(__xludf.DUMMYFUNCTION("""COMPUTED_VALUE"""),710.9)</f>
        <v>710.9</v>
      </c>
      <c r="D4242" s="2">
        <f>IFERROR(__xludf.DUMMYFUNCTION("""COMPUTED_VALUE"""),698.7)</f>
        <v>698.7</v>
      </c>
      <c r="E4242" s="2">
        <f>IFERROR(__xludf.DUMMYFUNCTION("""COMPUTED_VALUE"""),707.78)</f>
        <v>707.78</v>
      </c>
      <c r="F4242" s="2">
        <f>IFERROR(__xludf.DUMMYFUNCTION("""COMPUTED_VALUE"""),1565007.0)</f>
        <v>1565007</v>
      </c>
    </row>
    <row r="4243">
      <c r="A4243" s="3">
        <f>IFERROR(__xludf.DUMMYFUNCTION("""COMPUTED_VALUE"""),42788.64583333333)</f>
        <v>42788.64583</v>
      </c>
      <c r="B4243" s="2">
        <f>IFERROR(__xludf.DUMMYFUNCTION("""COMPUTED_VALUE"""),707.5)</f>
        <v>707.5</v>
      </c>
      <c r="C4243" s="2">
        <f>IFERROR(__xludf.DUMMYFUNCTION("""COMPUTED_VALUE"""),709.4)</f>
        <v>709.4</v>
      </c>
      <c r="D4243" s="2">
        <f>IFERROR(__xludf.DUMMYFUNCTION("""COMPUTED_VALUE"""),697.43)</f>
        <v>697.43</v>
      </c>
      <c r="E4243" s="2">
        <f>IFERROR(__xludf.DUMMYFUNCTION("""COMPUTED_VALUE"""),699.58)</f>
        <v>699.58</v>
      </c>
      <c r="F4243" s="2">
        <f>IFERROR(__xludf.DUMMYFUNCTION("""COMPUTED_VALUE"""),1324194.0)</f>
        <v>1324194</v>
      </c>
    </row>
    <row r="4244">
      <c r="A4244" s="3">
        <f>IFERROR(__xludf.DUMMYFUNCTION("""COMPUTED_VALUE"""),42789.64583333333)</f>
        <v>42789.64583</v>
      </c>
      <c r="B4244" s="2">
        <f>IFERROR(__xludf.DUMMYFUNCTION("""COMPUTED_VALUE"""),701.9)</f>
        <v>701.9</v>
      </c>
      <c r="C4244" s="2">
        <f>IFERROR(__xludf.DUMMYFUNCTION("""COMPUTED_VALUE"""),710.68)</f>
        <v>710.68</v>
      </c>
      <c r="D4244" s="2">
        <f>IFERROR(__xludf.DUMMYFUNCTION("""COMPUTED_VALUE"""),693.53)</f>
        <v>693.53</v>
      </c>
      <c r="E4244" s="2">
        <f>IFERROR(__xludf.DUMMYFUNCTION("""COMPUTED_VALUE"""),697.15)</f>
        <v>697.15</v>
      </c>
      <c r="F4244" s="2">
        <f>IFERROR(__xludf.DUMMYFUNCTION("""COMPUTED_VALUE"""),8623745.0)</f>
        <v>8623745</v>
      </c>
    </row>
    <row r="4245">
      <c r="A4245" s="3">
        <f>IFERROR(__xludf.DUMMYFUNCTION("""COMPUTED_VALUE"""),42793.64583333333)</f>
        <v>42793.64583</v>
      </c>
      <c r="B4245" s="2">
        <f>IFERROR(__xludf.DUMMYFUNCTION("""COMPUTED_VALUE"""),695.45)</f>
        <v>695.45</v>
      </c>
      <c r="C4245" s="2">
        <f>IFERROR(__xludf.DUMMYFUNCTION("""COMPUTED_VALUE"""),699.18)</f>
        <v>699.18</v>
      </c>
      <c r="D4245" s="2">
        <f>IFERROR(__xludf.DUMMYFUNCTION("""COMPUTED_VALUE"""),689.3)</f>
        <v>689.3</v>
      </c>
      <c r="E4245" s="2">
        <f>IFERROR(__xludf.DUMMYFUNCTION("""COMPUTED_VALUE"""),696.8)</f>
        <v>696.8</v>
      </c>
      <c r="F4245" s="2">
        <f>IFERROR(__xludf.DUMMYFUNCTION("""COMPUTED_VALUE"""),1170344.0)</f>
        <v>1170344</v>
      </c>
    </row>
    <row r="4246">
      <c r="A4246" s="3">
        <f>IFERROR(__xludf.DUMMYFUNCTION("""COMPUTED_VALUE"""),42794.64583333333)</f>
        <v>42794.64583</v>
      </c>
      <c r="B4246" s="2">
        <f>IFERROR(__xludf.DUMMYFUNCTION("""COMPUTED_VALUE"""),696.45)</f>
        <v>696.45</v>
      </c>
      <c r="C4246" s="2">
        <f>IFERROR(__xludf.DUMMYFUNCTION("""COMPUTED_VALUE"""),698.13)</f>
        <v>698.13</v>
      </c>
      <c r="D4246" s="2">
        <f>IFERROR(__xludf.DUMMYFUNCTION("""COMPUTED_VALUE"""),692.25)</f>
        <v>692.25</v>
      </c>
      <c r="E4246" s="2">
        <f>IFERROR(__xludf.DUMMYFUNCTION("""COMPUTED_VALUE"""),695.05)</f>
        <v>695.05</v>
      </c>
      <c r="F4246" s="2">
        <f>IFERROR(__xludf.DUMMYFUNCTION("""COMPUTED_VALUE"""),732002.0)</f>
        <v>732002</v>
      </c>
    </row>
    <row r="4247">
      <c r="A4247" s="3">
        <f>IFERROR(__xludf.DUMMYFUNCTION("""COMPUTED_VALUE"""),42795.64583333333)</f>
        <v>42795.64583</v>
      </c>
      <c r="B4247" s="2">
        <f>IFERROR(__xludf.DUMMYFUNCTION("""COMPUTED_VALUE"""),698.23)</f>
        <v>698.23</v>
      </c>
      <c r="C4247" s="2">
        <f>IFERROR(__xludf.DUMMYFUNCTION("""COMPUTED_VALUE"""),698.25)</f>
        <v>698.25</v>
      </c>
      <c r="D4247" s="2">
        <f>IFERROR(__xludf.DUMMYFUNCTION("""COMPUTED_VALUE"""),693.2)</f>
        <v>693.2</v>
      </c>
      <c r="E4247" s="2">
        <f>IFERROR(__xludf.DUMMYFUNCTION("""COMPUTED_VALUE"""),695.83)</f>
        <v>695.83</v>
      </c>
      <c r="F4247" s="2">
        <f>IFERROR(__xludf.DUMMYFUNCTION("""COMPUTED_VALUE"""),870434.0)</f>
        <v>870434</v>
      </c>
    </row>
    <row r="4248">
      <c r="A4248" s="3">
        <f>IFERROR(__xludf.DUMMYFUNCTION("""COMPUTED_VALUE"""),42796.64583333333)</f>
        <v>42796.64583</v>
      </c>
      <c r="B4248" s="2">
        <f>IFERROR(__xludf.DUMMYFUNCTION("""COMPUTED_VALUE"""),697.28)</f>
        <v>697.28</v>
      </c>
      <c r="C4248" s="2">
        <f>IFERROR(__xludf.DUMMYFUNCTION("""COMPUTED_VALUE"""),698.0)</f>
        <v>698</v>
      </c>
      <c r="D4248" s="2">
        <f>IFERROR(__xludf.DUMMYFUNCTION("""COMPUTED_VALUE"""),688.13)</f>
        <v>688.13</v>
      </c>
      <c r="E4248" s="2">
        <f>IFERROR(__xludf.DUMMYFUNCTION("""COMPUTED_VALUE"""),690.05)</f>
        <v>690.05</v>
      </c>
      <c r="F4248" s="2">
        <f>IFERROR(__xludf.DUMMYFUNCTION("""COMPUTED_VALUE"""),1150497.0)</f>
        <v>1150497</v>
      </c>
    </row>
    <row r="4249">
      <c r="A4249" s="3">
        <f>IFERROR(__xludf.DUMMYFUNCTION("""COMPUTED_VALUE"""),42797.64583333333)</f>
        <v>42797.64583</v>
      </c>
      <c r="B4249" s="2">
        <f>IFERROR(__xludf.DUMMYFUNCTION("""COMPUTED_VALUE"""),692.25)</f>
        <v>692.25</v>
      </c>
      <c r="C4249" s="2">
        <f>IFERROR(__xludf.DUMMYFUNCTION("""COMPUTED_VALUE"""),692.25)</f>
        <v>692.25</v>
      </c>
      <c r="D4249" s="2">
        <f>IFERROR(__xludf.DUMMYFUNCTION("""COMPUTED_VALUE"""),684.5)</f>
        <v>684.5</v>
      </c>
      <c r="E4249" s="2">
        <f>IFERROR(__xludf.DUMMYFUNCTION("""COMPUTED_VALUE"""),688.5)</f>
        <v>688.5</v>
      </c>
      <c r="F4249" s="2">
        <f>IFERROR(__xludf.DUMMYFUNCTION("""COMPUTED_VALUE"""),623206.0)</f>
        <v>623206</v>
      </c>
    </row>
    <row r="4250">
      <c r="A4250" s="3">
        <f>IFERROR(__xludf.DUMMYFUNCTION("""COMPUTED_VALUE"""),42800.64583333333)</f>
        <v>42800.64583</v>
      </c>
      <c r="B4250" s="2">
        <f>IFERROR(__xludf.DUMMYFUNCTION("""COMPUTED_VALUE"""),688.4)</f>
        <v>688.4</v>
      </c>
      <c r="C4250" s="2">
        <f>IFERROR(__xludf.DUMMYFUNCTION("""COMPUTED_VALUE"""),694.95)</f>
        <v>694.95</v>
      </c>
      <c r="D4250" s="2">
        <f>IFERROR(__xludf.DUMMYFUNCTION("""COMPUTED_VALUE"""),686.55)</f>
        <v>686.55</v>
      </c>
      <c r="E4250" s="2">
        <f>IFERROR(__xludf.DUMMYFUNCTION("""COMPUTED_VALUE"""),690.38)</f>
        <v>690.38</v>
      </c>
      <c r="F4250" s="2">
        <f>IFERROR(__xludf.DUMMYFUNCTION("""COMPUTED_VALUE"""),919781.0)</f>
        <v>919781</v>
      </c>
    </row>
    <row r="4251">
      <c r="A4251" s="3">
        <f>IFERROR(__xludf.DUMMYFUNCTION("""COMPUTED_VALUE"""),42801.64583333333)</f>
        <v>42801.64583</v>
      </c>
      <c r="B4251" s="2">
        <f>IFERROR(__xludf.DUMMYFUNCTION("""COMPUTED_VALUE"""),691.13)</f>
        <v>691.13</v>
      </c>
      <c r="C4251" s="2">
        <f>IFERROR(__xludf.DUMMYFUNCTION("""COMPUTED_VALUE"""),693.75)</f>
        <v>693.75</v>
      </c>
      <c r="D4251" s="2">
        <f>IFERROR(__xludf.DUMMYFUNCTION("""COMPUTED_VALUE"""),688.1)</f>
        <v>688.1</v>
      </c>
      <c r="E4251" s="2">
        <f>IFERROR(__xludf.DUMMYFUNCTION("""COMPUTED_VALUE"""),693.1)</f>
        <v>693.1</v>
      </c>
      <c r="F4251" s="2">
        <f>IFERROR(__xludf.DUMMYFUNCTION("""COMPUTED_VALUE"""),778219.0)</f>
        <v>778219</v>
      </c>
    </row>
    <row r="4252">
      <c r="A4252" s="3">
        <f>IFERROR(__xludf.DUMMYFUNCTION("""COMPUTED_VALUE"""),42802.64583333333)</f>
        <v>42802.64583</v>
      </c>
      <c r="B4252" s="2">
        <f>IFERROR(__xludf.DUMMYFUNCTION("""COMPUTED_VALUE"""),693.95)</f>
        <v>693.95</v>
      </c>
      <c r="C4252" s="2">
        <f>IFERROR(__xludf.DUMMYFUNCTION("""COMPUTED_VALUE"""),699.6)</f>
        <v>699.6</v>
      </c>
      <c r="D4252" s="2">
        <f>IFERROR(__xludf.DUMMYFUNCTION("""COMPUTED_VALUE"""),690.53)</f>
        <v>690.53</v>
      </c>
      <c r="E4252" s="2">
        <f>IFERROR(__xludf.DUMMYFUNCTION("""COMPUTED_VALUE"""),696.1)</f>
        <v>696.1</v>
      </c>
      <c r="F4252" s="2">
        <f>IFERROR(__xludf.DUMMYFUNCTION("""COMPUTED_VALUE"""),945536.0)</f>
        <v>945536</v>
      </c>
    </row>
    <row r="4253">
      <c r="A4253" s="3">
        <f>IFERROR(__xludf.DUMMYFUNCTION("""COMPUTED_VALUE"""),42803.64583333333)</f>
        <v>42803.64583</v>
      </c>
      <c r="B4253" s="2">
        <f>IFERROR(__xludf.DUMMYFUNCTION("""COMPUTED_VALUE"""),690.83)</f>
        <v>690.83</v>
      </c>
      <c r="C4253" s="2">
        <f>IFERROR(__xludf.DUMMYFUNCTION("""COMPUTED_VALUE"""),699.35)</f>
        <v>699.35</v>
      </c>
      <c r="D4253" s="2">
        <f>IFERROR(__xludf.DUMMYFUNCTION("""COMPUTED_VALUE"""),690.83)</f>
        <v>690.83</v>
      </c>
      <c r="E4253" s="2">
        <f>IFERROR(__xludf.DUMMYFUNCTION("""COMPUTED_VALUE"""),697.1)</f>
        <v>697.1</v>
      </c>
      <c r="F4253" s="2">
        <f>IFERROR(__xludf.DUMMYFUNCTION("""COMPUTED_VALUE"""),877329.0)</f>
        <v>877329</v>
      </c>
    </row>
    <row r="4254">
      <c r="A4254" s="3">
        <f>IFERROR(__xludf.DUMMYFUNCTION("""COMPUTED_VALUE"""),42804.64583333333)</f>
        <v>42804.64583</v>
      </c>
      <c r="B4254" s="2">
        <f>IFERROR(__xludf.DUMMYFUNCTION("""COMPUTED_VALUE"""),697.5)</f>
        <v>697.5</v>
      </c>
      <c r="C4254" s="2">
        <f>IFERROR(__xludf.DUMMYFUNCTION("""COMPUTED_VALUE"""),704.0)</f>
        <v>704</v>
      </c>
      <c r="D4254" s="2">
        <f>IFERROR(__xludf.DUMMYFUNCTION("""COMPUTED_VALUE"""),696.58)</f>
        <v>696.58</v>
      </c>
      <c r="E4254" s="2">
        <f>IFERROR(__xludf.DUMMYFUNCTION("""COMPUTED_VALUE"""),700.05)</f>
        <v>700.05</v>
      </c>
      <c r="F4254" s="2">
        <f>IFERROR(__xludf.DUMMYFUNCTION("""COMPUTED_VALUE"""),1465176.0)</f>
        <v>1465176</v>
      </c>
    </row>
    <row r="4255">
      <c r="A4255" s="3">
        <f>IFERROR(__xludf.DUMMYFUNCTION("""COMPUTED_VALUE"""),42808.64583333333)</f>
        <v>42808.64583</v>
      </c>
      <c r="B4255" s="2">
        <f>IFERROR(__xludf.DUMMYFUNCTION("""COMPUTED_VALUE"""),711.05)</f>
        <v>711.05</v>
      </c>
      <c r="C4255" s="2">
        <f>IFERROR(__xludf.DUMMYFUNCTION("""COMPUTED_VALUE"""),712.08)</f>
        <v>712.08</v>
      </c>
      <c r="D4255" s="2">
        <f>IFERROR(__xludf.DUMMYFUNCTION("""COMPUTED_VALUE"""),703.33)</f>
        <v>703.33</v>
      </c>
      <c r="E4255" s="2">
        <f>IFERROR(__xludf.DUMMYFUNCTION("""COMPUTED_VALUE"""),705.35)</f>
        <v>705.35</v>
      </c>
      <c r="F4255" s="2">
        <f>IFERROR(__xludf.DUMMYFUNCTION("""COMPUTED_VALUE"""),1788755.0)</f>
        <v>1788755</v>
      </c>
    </row>
    <row r="4256">
      <c r="A4256" s="3">
        <f>IFERROR(__xludf.DUMMYFUNCTION("""COMPUTED_VALUE"""),42809.64583333333)</f>
        <v>42809.64583</v>
      </c>
      <c r="B4256" s="2">
        <f>IFERROR(__xludf.DUMMYFUNCTION("""COMPUTED_VALUE"""),705.48)</f>
        <v>705.48</v>
      </c>
      <c r="C4256" s="2">
        <f>IFERROR(__xludf.DUMMYFUNCTION("""COMPUTED_VALUE"""),710.0)</f>
        <v>710</v>
      </c>
      <c r="D4256" s="2">
        <f>IFERROR(__xludf.DUMMYFUNCTION("""COMPUTED_VALUE"""),705.28)</f>
        <v>705.28</v>
      </c>
      <c r="E4256" s="2">
        <f>IFERROR(__xludf.DUMMYFUNCTION("""COMPUTED_VALUE"""),708.3)</f>
        <v>708.3</v>
      </c>
      <c r="F4256" s="2">
        <f>IFERROR(__xludf.DUMMYFUNCTION("""COMPUTED_VALUE"""),1067965.0)</f>
        <v>1067965</v>
      </c>
    </row>
    <row r="4257">
      <c r="A4257" s="3">
        <f>IFERROR(__xludf.DUMMYFUNCTION("""COMPUTED_VALUE"""),42810.64583333333)</f>
        <v>42810.64583</v>
      </c>
      <c r="B4257" s="2">
        <f>IFERROR(__xludf.DUMMYFUNCTION("""COMPUTED_VALUE"""),709.05)</f>
        <v>709.05</v>
      </c>
      <c r="C4257" s="2">
        <f>IFERROR(__xludf.DUMMYFUNCTION("""COMPUTED_VALUE"""),711.43)</f>
        <v>711.43</v>
      </c>
      <c r="D4257" s="2">
        <f>IFERROR(__xludf.DUMMYFUNCTION("""COMPUTED_VALUE"""),706.83)</f>
        <v>706.83</v>
      </c>
      <c r="E4257" s="2">
        <f>IFERROR(__xludf.DUMMYFUNCTION("""COMPUTED_VALUE"""),708.68)</f>
        <v>708.68</v>
      </c>
      <c r="F4257" s="2">
        <f>IFERROR(__xludf.DUMMYFUNCTION("""COMPUTED_VALUE"""),1245027.0)</f>
        <v>1245027</v>
      </c>
    </row>
    <row r="4258">
      <c r="A4258" s="3">
        <f>IFERROR(__xludf.DUMMYFUNCTION("""COMPUTED_VALUE"""),42811.64583333333)</f>
        <v>42811.64583</v>
      </c>
      <c r="B4258" s="2">
        <f>IFERROR(__xludf.DUMMYFUNCTION("""COMPUTED_VALUE"""),709.28)</f>
        <v>709.28</v>
      </c>
      <c r="C4258" s="2">
        <f>IFERROR(__xludf.DUMMYFUNCTION("""COMPUTED_VALUE"""),713.75)</f>
        <v>713.75</v>
      </c>
      <c r="D4258" s="2">
        <f>IFERROR(__xludf.DUMMYFUNCTION("""COMPUTED_VALUE"""),706.43)</f>
        <v>706.43</v>
      </c>
      <c r="E4258" s="2">
        <f>IFERROR(__xludf.DUMMYFUNCTION("""COMPUTED_VALUE"""),712.93)</f>
        <v>712.93</v>
      </c>
      <c r="F4258" s="2">
        <f>IFERROR(__xludf.DUMMYFUNCTION("""COMPUTED_VALUE"""),847616.0)</f>
        <v>847616</v>
      </c>
    </row>
    <row r="4259">
      <c r="A4259" s="3">
        <f>IFERROR(__xludf.DUMMYFUNCTION("""COMPUTED_VALUE"""),42814.64583333333)</f>
        <v>42814.64583</v>
      </c>
      <c r="B4259" s="2">
        <f>IFERROR(__xludf.DUMMYFUNCTION("""COMPUTED_VALUE"""),713.33)</f>
        <v>713.33</v>
      </c>
      <c r="C4259" s="2">
        <f>IFERROR(__xludf.DUMMYFUNCTION("""COMPUTED_VALUE"""),719.93)</f>
        <v>719.93</v>
      </c>
      <c r="D4259" s="2">
        <f>IFERROR(__xludf.DUMMYFUNCTION("""COMPUTED_VALUE"""),712.98)</f>
        <v>712.98</v>
      </c>
      <c r="E4259" s="2">
        <f>IFERROR(__xludf.DUMMYFUNCTION("""COMPUTED_VALUE"""),718.05)</f>
        <v>718.05</v>
      </c>
      <c r="F4259" s="2">
        <f>IFERROR(__xludf.DUMMYFUNCTION("""COMPUTED_VALUE"""),2035586.0)</f>
        <v>2035586</v>
      </c>
    </row>
    <row r="4260">
      <c r="A4260" s="3">
        <f>IFERROR(__xludf.DUMMYFUNCTION("""COMPUTED_VALUE"""),42815.64583333333)</f>
        <v>42815.64583</v>
      </c>
      <c r="B4260" s="2">
        <f>IFERROR(__xludf.DUMMYFUNCTION("""COMPUTED_VALUE"""),717.0)</f>
        <v>717</v>
      </c>
      <c r="C4260" s="2">
        <f>IFERROR(__xludf.DUMMYFUNCTION("""COMPUTED_VALUE"""),722.5)</f>
        <v>722.5</v>
      </c>
      <c r="D4260" s="2">
        <f>IFERROR(__xludf.DUMMYFUNCTION("""COMPUTED_VALUE"""),717.0)</f>
        <v>717</v>
      </c>
      <c r="E4260" s="2">
        <f>IFERROR(__xludf.DUMMYFUNCTION("""COMPUTED_VALUE"""),720.48)</f>
        <v>720.48</v>
      </c>
      <c r="F4260" s="2">
        <f>IFERROR(__xludf.DUMMYFUNCTION("""COMPUTED_VALUE"""),1389320.0)</f>
        <v>1389320</v>
      </c>
    </row>
    <row r="4261">
      <c r="A4261" s="3">
        <f>IFERROR(__xludf.DUMMYFUNCTION("""COMPUTED_VALUE"""),42816.64583333333)</f>
        <v>42816.64583</v>
      </c>
      <c r="B4261" s="2">
        <f>IFERROR(__xludf.DUMMYFUNCTION("""COMPUTED_VALUE"""),713.85)</f>
        <v>713.85</v>
      </c>
      <c r="C4261" s="2">
        <f>IFERROR(__xludf.DUMMYFUNCTION("""COMPUTED_VALUE"""),718.5)</f>
        <v>718.5</v>
      </c>
      <c r="D4261" s="2">
        <f>IFERROR(__xludf.DUMMYFUNCTION("""COMPUTED_VALUE"""),712.9)</f>
        <v>712.9</v>
      </c>
      <c r="E4261" s="2">
        <f>IFERROR(__xludf.DUMMYFUNCTION("""COMPUTED_VALUE"""),715.45)</f>
        <v>715.45</v>
      </c>
      <c r="F4261" s="2">
        <f>IFERROR(__xludf.DUMMYFUNCTION("""COMPUTED_VALUE"""),1409136.0)</f>
        <v>1409136</v>
      </c>
    </row>
    <row r="4262">
      <c r="A4262" s="3">
        <f>IFERROR(__xludf.DUMMYFUNCTION("""COMPUTED_VALUE"""),42817.64583333333)</f>
        <v>42817.64583</v>
      </c>
      <c r="B4262" s="2">
        <f>IFERROR(__xludf.DUMMYFUNCTION("""COMPUTED_VALUE"""),717.2)</f>
        <v>717.2</v>
      </c>
      <c r="C4262" s="2">
        <f>IFERROR(__xludf.DUMMYFUNCTION("""COMPUTED_VALUE"""),717.5)</f>
        <v>717.5</v>
      </c>
      <c r="D4262" s="2">
        <f>IFERROR(__xludf.DUMMYFUNCTION("""COMPUTED_VALUE"""),711.45)</f>
        <v>711.45</v>
      </c>
      <c r="E4262" s="2">
        <f>IFERROR(__xludf.DUMMYFUNCTION("""COMPUTED_VALUE"""),715.45)</f>
        <v>715.45</v>
      </c>
      <c r="F4262" s="2">
        <f>IFERROR(__xludf.DUMMYFUNCTION("""COMPUTED_VALUE"""),1230618.0)</f>
        <v>1230618</v>
      </c>
    </row>
    <row r="4263">
      <c r="A4263" s="3">
        <f>IFERROR(__xludf.DUMMYFUNCTION("""COMPUTED_VALUE"""),42818.64583333333)</f>
        <v>42818.64583</v>
      </c>
      <c r="B4263" s="2">
        <f>IFERROR(__xludf.DUMMYFUNCTION("""COMPUTED_VALUE"""),716.5)</f>
        <v>716.5</v>
      </c>
      <c r="C4263" s="2">
        <f>IFERROR(__xludf.DUMMYFUNCTION("""COMPUTED_VALUE"""),717.23)</f>
        <v>717.23</v>
      </c>
      <c r="D4263" s="2">
        <f>IFERROR(__xludf.DUMMYFUNCTION("""COMPUTED_VALUE"""),711.0)</f>
        <v>711</v>
      </c>
      <c r="E4263" s="2">
        <f>IFERROR(__xludf.DUMMYFUNCTION("""COMPUTED_VALUE"""),712.18)</f>
        <v>712.18</v>
      </c>
      <c r="F4263" s="2">
        <f>IFERROR(__xludf.DUMMYFUNCTION("""COMPUTED_VALUE"""),952591.0)</f>
        <v>952591</v>
      </c>
    </row>
    <row r="4264">
      <c r="A4264" s="3">
        <f>IFERROR(__xludf.DUMMYFUNCTION("""COMPUTED_VALUE"""),42821.64583333333)</f>
        <v>42821.64583</v>
      </c>
      <c r="B4264" s="2">
        <f>IFERROR(__xludf.DUMMYFUNCTION("""COMPUTED_VALUE"""),712.0)</f>
        <v>712</v>
      </c>
      <c r="C4264" s="2">
        <f>IFERROR(__xludf.DUMMYFUNCTION("""COMPUTED_VALUE"""),712.0)</f>
        <v>712</v>
      </c>
      <c r="D4264" s="2">
        <f>IFERROR(__xludf.DUMMYFUNCTION("""COMPUTED_VALUE"""),702.03)</f>
        <v>702.03</v>
      </c>
      <c r="E4264" s="2">
        <f>IFERROR(__xludf.DUMMYFUNCTION("""COMPUTED_VALUE"""),704.93)</f>
        <v>704.93</v>
      </c>
      <c r="F4264" s="2">
        <f>IFERROR(__xludf.DUMMYFUNCTION("""COMPUTED_VALUE"""),1466021.0)</f>
        <v>1466021</v>
      </c>
    </row>
    <row r="4265">
      <c r="A4265" s="3">
        <f>IFERROR(__xludf.DUMMYFUNCTION("""COMPUTED_VALUE"""),42822.64583333333)</f>
        <v>42822.64583</v>
      </c>
      <c r="B4265" s="2">
        <f>IFERROR(__xludf.DUMMYFUNCTION("""COMPUTED_VALUE"""),709.15)</f>
        <v>709.15</v>
      </c>
      <c r="C4265" s="2">
        <f>IFERROR(__xludf.DUMMYFUNCTION("""COMPUTED_VALUE"""),712.35)</f>
        <v>712.35</v>
      </c>
      <c r="D4265" s="2">
        <f>IFERROR(__xludf.DUMMYFUNCTION("""COMPUTED_VALUE"""),706.55)</f>
        <v>706.55</v>
      </c>
      <c r="E4265" s="2">
        <f>IFERROR(__xludf.DUMMYFUNCTION("""COMPUTED_VALUE"""),710.1)</f>
        <v>710.1</v>
      </c>
      <c r="F4265" s="2">
        <f>IFERROR(__xludf.DUMMYFUNCTION("""COMPUTED_VALUE"""),2015350.0)</f>
        <v>2015350</v>
      </c>
    </row>
    <row r="4266">
      <c r="A4266" s="3">
        <f>IFERROR(__xludf.DUMMYFUNCTION("""COMPUTED_VALUE"""),42823.64583333333)</f>
        <v>42823.64583</v>
      </c>
      <c r="B4266" s="2">
        <f>IFERROR(__xludf.DUMMYFUNCTION("""COMPUTED_VALUE"""),710.4)</f>
        <v>710.4</v>
      </c>
      <c r="C4266" s="2">
        <f>IFERROR(__xludf.DUMMYFUNCTION("""COMPUTED_VALUE"""),717.4)</f>
        <v>717.4</v>
      </c>
      <c r="D4266" s="2">
        <f>IFERROR(__xludf.DUMMYFUNCTION("""COMPUTED_VALUE"""),710.0)</f>
        <v>710</v>
      </c>
      <c r="E4266" s="2">
        <f>IFERROR(__xludf.DUMMYFUNCTION("""COMPUTED_VALUE"""),714.3)</f>
        <v>714.3</v>
      </c>
      <c r="F4266" s="2">
        <f>IFERROR(__xludf.DUMMYFUNCTION("""COMPUTED_VALUE"""),2143943.0)</f>
        <v>2143943</v>
      </c>
    </row>
    <row r="4267">
      <c r="A4267" s="3">
        <f>IFERROR(__xludf.DUMMYFUNCTION("""COMPUTED_VALUE"""),42824.64583333333)</f>
        <v>42824.64583</v>
      </c>
      <c r="B4267" s="2">
        <f>IFERROR(__xludf.DUMMYFUNCTION("""COMPUTED_VALUE"""),714.0)</f>
        <v>714</v>
      </c>
      <c r="C4267" s="2">
        <f>IFERROR(__xludf.DUMMYFUNCTION("""COMPUTED_VALUE"""),739.98)</f>
        <v>739.98</v>
      </c>
      <c r="D4267" s="2">
        <f>IFERROR(__xludf.DUMMYFUNCTION("""COMPUTED_VALUE"""),712.53)</f>
        <v>712.53</v>
      </c>
      <c r="E4267" s="2">
        <f>IFERROR(__xludf.DUMMYFUNCTION("""COMPUTED_VALUE"""),733.1)</f>
        <v>733.1</v>
      </c>
      <c r="F4267" s="2">
        <f>IFERROR(__xludf.DUMMYFUNCTION("""COMPUTED_VALUE"""),8580273.0)</f>
        <v>8580273</v>
      </c>
    </row>
    <row r="4268">
      <c r="A4268" s="3">
        <f>IFERROR(__xludf.DUMMYFUNCTION("""COMPUTED_VALUE"""),42825.64583333333)</f>
        <v>42825.64583</v>
      </c>
      <c r="B4268" s="2">
        <f>IFERROR(__xludf.DUMMYFUNCTION("""COMPUTED_VALUE"""),726.9)</f>
        <v>726.9</v>
      </c>
      <c r="C4268" s="2">
        <f>IFERROR(__xludf.DUMMYFUNCTION("""COMPUTED_VALUE"""),727.0)</f>
        <v>727</v>
      </c>
      <c r="D4268" s="2">
        <f>IFERROR(__xludf.DUMMYFUNCTION("""COMPUTED_VALUE"""),718.28)</f>
        <v>718.28</v>
      </c>
      <c r="E4268" s="2">
        <f>IFERROR(__xludf.DUMMYFUNCTION("""COMPUTED_VALUE"""),721.28)</f>
        <v>721.28</v>
      </c>
      <c r="F4268" s="2">
        <f>IFERROR(__xludf.DUMMYFUNCTION("""COMPUTED_VALUE"""),2412848.0)</f>
        <v>2412848</v>
      </c>
    </row>
    <row r="4269">
      <c r="A4269" s="3">
        <f>IFERROR(__xludf.DUMMYFUNCTION("""COMPUTED_VALUE"""),42828.64583333333)</f>
        <v>42828.64583</v>
      </c>
      <c r="B4269" s="2">
        <f>IFERROR(__xludf.DUMMYFUNCTION("""COMPUTED_VALUE"""),723.0)</f>
        <v>723</v>
      </c>
      <c r="C4269" s="2">
        <f>IFERROR(__xludf.DUMMYFUNCTION("""COMPUTED_VALUE"""),725.05)</f>
        <v>725.05</v>
      </c>
      <c r="D4269" s="2">
        <f>IFERROR(__xludf.DUMMYFUNCTION("""COMPUTED_VALUE"""),713.0)</f>
        <v>713</v>
      </c>
      <c r="E4269" s="2">
        <f>IFERROR(__xludf.DUMMYFUNCTION("""COMPUTED_VALUE"""),716.6)</f>
        <v>716.6</v>
      </c>
      <c r="F4269" s="2">
        <f>IFERROR(__xludf.DUMMYFUNCTION("""COMPUTED_VALUE"""),1037263.0)</f>
        <v>1037263</v>
      </c>
    </row>
    <row r="4270">
      <c r="A4270" s="3">
        <f>IFERROR(__xludf.DUMMYFUNCTION("""COMPUTED_VALUE"""),42830.64583333333)</f>
        <v>42830.64583</v>
      </c>
      <c r="B4270" s="2">
        <f>IFERROR(__xludf.DUMMYFUNCTION("""COMPUTED_VALUE"""),717.63)</f>
        <v>717.63</v>
      </c>
      <c r="C4270" s="2">
        <f>IFERROR(__xludf.DUMMYFUNCTION("""COMPUTED_VALUE"""),723.25)</f>
        <v>723.25</v>
      </c>
      <c r="D4270" s="2">
        <f>IFERROR(__xludf.DUMMYFUNCTION("""COMPUTED_VALUE"""),713.78)</f>
        <v>713.78</v>
      </c>
      <c r="E4270" s="2">
        <f>IFERROR(__xludf.DUMMYFUNCTION("""COMPUTED_VALUE"""),716.18)</f>
        <v>716.18</v>
      </c>
      <c r="F4270" s="2">
        <f>IFERROR(__xludf.DUMMYFUNCTION("""COMPUTED_VALUE"""),1436020.0)</f>
        <v>1436020</v>
      </c>
    </row>
    <row r="4271">
      <c r="A4271" s="3">
        <f>IFERROR(__xludf.DUMMYFUNCTION("""COMPUTED_VALUE"""),42831.64583333333)</f>
        <v>42831.64583</v>
      </c>
      <c r="B4271" s="2">
        <f>IFERROR(__xludf.DUMMYFUNCTION("""COMPUTED_VALUE"""),715.75)</f>
        <v>715.75</v>
      </c>
      <c r="C4271" s="2">
        <f>IFERROR(__xludf.DUMMYFUNCTION("""COMPUTED_VALUE"""),721.5)</f>
        <v>721.5</v>
      </c>
      <c r="D4271" s="2">
        <f>IFERROR(__xludf.DUMMYFUNCTION("""COMPUTED_VALUE"""),712.53)</f>
        <v>712.53</v>
      </c>
      <c r="E4271" s="2">
        <f>IFERROR(__xludf.DUMMYFUNCTION("""COMPUTED_VALUE"""),719.25)</f>
        <v>719.25</v>
      </c>
      <c r="F4271" s="2">
        <f>IFERROR(__xludf.DUMMYFUNCTION("""COMPUTED_VALUE"""),1531104.0)</f>
        <v>1531104</v>
      </c>
    </row>
    <row r="4272">
      <c r="A4272" s="3">
        <f>IFERROR(__xludf.DUMMYFUNCTION("""COMPUTED_VALUE"""),42832.64583333333)</f>
        <v>42832.64583</v>
      </c>
      <c r="B4272" s="2">
        <f>IFERROR(__xludf.DUMMYFUNCTION("""COMPUTED_VALUE"""),715.53)</f>
        <v>715.53</v>
      </c>
      <c r="C4272" s="2">
        <f>IFERROR(__xludf.DUMMYFUNCTION("""COMPUTED_VALUE"""),722.5)</f>
        <v>722.5</v>
      </c>
      <c r="D4272" s="2">
        <f>IFERROR(__xludf.DUMMYFUNCTION("""COMPUTED_VALUE"""),714.3)</f>
        <v>714.3</v>
      </c>
      <c r="E4272" s="2">
        <f>IFERROR(__xludf.DUMMYFUNCTION("""COMPUTED_VALUE"""),719.43)</f>
        <v>719.43</v>
      </c>
      <c r="F4272" s="2">
        <f>IFERROR(__xludf.DUMMYFUNCTION("""COMPUTED_VALUE"""),1162090.0)</f>
        <v>1162090</v>
      </c>
    </row>
    <row r="4273">
      <c r="A4273" s="3">
        <f>IFERROR(__xludf.DUMMYFUNCTION("""COMPUTED_VALUE"""),42835.64583333333)</f>
        <v>42835.64583</v>
      </c>
      <c r="B4273" s="2">
        <f>IFERROR(__xludf.DUMMYFUNCTION("""COMPUTED_VALUE"""),721.5)</f>
        <v>721.5</v>
      </c>
      <c r="C4273" s="2">
        <f>IFERROR(__xludf.DUMMYFUNCTION("""COMPUTED_VALUE"""),721.5)</f>
        <v>721.5</v>
      </c>
      <c r="D4273" s="2">
        <f>IFERROR(__xludf.DUMMYFUNCTION("""COMPUTED_VALUE"""),716.33)</f>
        <v>716.33</v>
      </c>
      <c r="E4273" s="2">
        <f>IFERROR(__xludf.DUMMYFUNCTION("""COMPUTED_VALUE"""),717.08)</f>
        <v>717.08</v>
      </c>
      <c r="F4273" s="2">
        <f>IFERROR(__xludf.DUMMYFUNCTION("""COMPUTED_VALUE"""),848469.0)</f>
        <v>848469</v>
      </c>
    </row>
    <row r="4274">
      <c r="A4274" s="3">
        <f>IFERROR(__xludf.DUMMYFUNCTION("""COMPUTED_VALUE"""),42836.64583333333)</f>
        <v>42836.64583</v>
      </c>
      <c r="B4274" s="2">
        <f>IFERROR(__xludf.DUMMYFUNCTION("""COMPUTED_VALUE"""),717.0)</f>
        <v>717</v>
      </c>
      <c r="C4274" s="2">
        <f>IFERROR(__xludf.DUMMYFUNCTION("""COMPUTED_VALUE"""),720.6)</f>
        <v>720.6</v>
      </c>
      <c r="D4274" s="2">
        <f>IFERROR(__xludf.DUMMYFUNCTION("""COMPUTED_VALUE"""),715.75)</f>
        <v>715.75</v>
      </c>
      <c r="E4274" s="2">
        <f>IFERROR(__xludf.DUMMYFUNCTION("""COMPUTED_VALUE"""),719.75)</f>
        <v>719.75</v>
      </c>
      <c r="F4274" s="2">
        <f>IFERROR(__xludf.DUMMYFUNCTION("""COMPUTED_VALUE"""),1089065.0)</f>
        <v>1089065</v>
      </c>
    </row>
    <row r="4275">
      <c r="A4275" s="3">
        <f>IFERROR(__xludf.DUMMYFUNCTION("""COMPUTED_VALUE"""),42837.64583333333)</f>
        <v>42837.64583</v>
      </c>
      <c r="B4275" s="2">
        <f>IFERROR(__xludf.DUMMYFUNCTION("""COMPUTED_VALUE"""),719.5)</f>
        <v>719.5</v>
      </c>
      <c r="C4275" s="2">
        <f>IFERROR(__xludf.DUMMYFUNCTION("""COMPUTED_VALUE"""),724.98)</f>
        <v>724.98</v>
      </c>
      <c r="D4275" s="2">
        <f>IFERROR(__xludf.DUMMYFUNCTION("""COMPUTED_VALUE"""),717.75)</f>
        <v>717.75</v>
      </c>
      <c r="E4275" s="2">
        <f>IFERROR(__xludf.DUMMYFUNCTION("""COMPUTED_VALUE"""),721.85)</f>
        <v>721.85</v>
      </c>
      <c r="F4275" s="2">
        <f>IFERROR(__xludf.DUMMYFUNCTION("""COMPUTED_VALUE"""),891273.0)</f>
        <v>891273</v>
      </c>
    </row>
    <row r="4276">
      <c r="A4276" s="3">
        <f>IFERROR(__xludf.DUMMYFUNCTION("""COMPUTED_VALUE"""),42838.64583333333)</f>
        <v>42838.64583</v>
      </c>
      <c r="B4276" s="2">
        <f>IFERROR(__xludf.DUMMYFUNCTION("""COMPUTED_VALUE"""),721.5)</f>
        <v>721.5</v>
      </c>
      <c r="C4276" s="2">
        <f>IFERROR(__xludf.DUMMYFUNCTION("""COMPUTED_VALUE"""),724.45)</f>
        <v>724.45</v>
      </c>
      <c r="D4276" s="2">
        <f>IFERROR(__xludf.DUMMYFUNCTION("""COMPUTED_VALUE"""),718.53)</f>
        <v>718.53</v>
      </c>
      <c r="E4276" s="2">
        <f>IFERROR(__xludf.DUMMYFUNCTION("""COMPUTED_VALUE"""),720.15)</f>
        <v>720.15</v>
      </c>
      <c r="F4276" s="2">
        <f>IFERROR(__xludf.DUMMYFUNCTION("""COMPUTED_VALUE"""),1201059.0)</f>
        <v>1201059</v>
      </c>
    </row>
    <row r="4277">
      <c r="A4277" s="3">
        <f>IFERROR(__xludf.DUMMYFUNCTION("""COMPUTED_VALUE"""),42842.64583333333)</f>
        <v>42842.64583</v>
      </c>
      <c r="B4277" s="2">
        <f>IFERROR(__xludf.DUMMYFUNCTION("""COMPUTED_VALUE"""),720.15)</f>
        <v>720.15</v>
      </c>
      <c r="C4277" s="2">
        <f>IFERROR(__xludf.DUMMYFUNCTION("""COMPUTED_VALUE"""),721.9)</f>
        <v>721.9</v>
      </c>
      <c r="D4277" s="2">
        <f>IFERROR(__xludf.DUMMYFUNCTION("""COMPUTED_VALUE"""),714.13)</f>
        <v>714.13</v>
      </c>
      <c r="E4277" s="2">
        <f>IFERROR(__xludf.DUMMYFUNCTION("""COMPUTED_VALUE"""),718.4)</f>
        <v>718.4</v>
      </c>
      <c r="F4277" s="2">
        <f>IFERROR(__xludf.DUMMYFUNCTION("""COMPUTED_VALUE"""),1784264.0)</f>
        <v>1784264</v>
      </c>
    </row>
    <row r="4278">
      <c r="A4278" s="3">
        <f>IFERROR(__xludf.DUMMYFUNCTION("""COMPUTED_VALUE"""),42843.64583333333)</f>
        <v>42843.64583</v>
      </c>
      <c r="B4278" s="2">
        <f>IFERROR(__xludf.DUMMYFUNCTION("""COMPUTED_VALUE"""),720.0)</f>
        <v>720</v>
      </c>
      <c r="C4278" s="2">
        <f>IFERROR(__xludf.DUMMYFUNCTION("""COMPUTED_VALUE"""),727.5)</f>
        <v>727.5</v>
      </c>
      <c r="D4278" s="2">
        <f>IFERROR(__xludf.DUMMYFUNCTION("""COMPUTED_VALUE"""),719.0)</f>
        <v>719</v>
      </c>
      <c r="E4278" s="2">
        <f>IFERROR(__xludf.DUMMYFUNCTION("""COMPUTED_VALUE"""),723.65)</f>
        <v>723.65</v>
      </c>
      <c r="F4278" s="2">
        <f>IFERROR(__xludf.DUMMYFUNCTION("""COMPUTED_VALUE"""),909715.0)</f>
        <v>909715</v>
      </c>
    </row>
    <row r="4279">
      <c r="A4279" s="3">
        <f>IFERROR(__xludf.DUMMYFUNCTION("""COMPUTED_VALUE"""),42844.64583333333)</f>
        <v>42844.64583</v>
      </c>
      <c r="B4279" s="2">
        <f>IFERROR(__xludf.DUMMYFUNCTION("""COMPUTED_VALUE"""),723.5)</f>
        <v>723.5</v>
      </c>
      <c r="C4279" s="2">
        <f>IFERROR(__xludf.DUMMYFUNCTION("""COMPUTED_VALUE"""),728.38)</f>
        <v>728.38</v>
      </c>
      <c r="D4279" s="2">
        <f>IFERROR(__xludf.DUMMYFUNCTION("""COMPUTED_VALUE"""),719.0)</f>
        <v>719</v>
      </c>
      <c r="E4279" s="2">
        <f>IFERROR(__xludf.DUMMYFUNCTION("""COMPUTED_VALUE"""),724.5)</f>
        <v>724.5</v>
      </c>
      <c r="F4279" s="2">
        <f>IFERROR(__xludf.DUMMYFUNCTION("""COMPUTED_VALUE"""),1084536.0)</f>
        <v>1084536</v>
      </c>
    </row>
    <row r="4280">
      <c r="A4280" s="3">
        <f>IFERROR(__xludf.DUMMYFUNCTION("""COMPUTED_VALUE"""),42845.64583333333)</f>
        <v>42845.64583</v>
      </c>
      <c r="B4280" s="2">
        <f>IFERROR(__xludf.DUMMYFUNCTION("""COMPUTED_VALUE"""),726.5)</f>
        <v>726.5</v>
      </c>
      <c r="C4280" s="2">
        <f>IFERROR(__xludf.DUMMYFUNCTION("""COMPUTED_VALUE"""),733.03)</f>
        <v>733.03</v>
      </c>
      <c r="D4280" s="2">
        <f>IFERROR(__xludf.DUMMYFUNCTION("""COMPUTED_VALUE"""),726.48)</f>
        <v>726.48</v>
      </c>
      <c r="E4280" s="2">
        <f>IFERROR(__xludf.DUMMYFUNCTION("""COMPUTED_VALUE"""),731.08)</f>
        <v>731.08</v>
      </c>
      <c r="F4280" s="2">
        <f>IFERROR(__xludf.DUMMYFUNCTION("""COMPUTED_VALUE"""),1445343.0)</f>
        <v>1445343</v>
      </c>
    </row>
    <row r="4281">
      <c r="A4281" s="3">
        <f>IFERROR(__xludf.DUMMYFUNCTION("""COMPUTED_VALUE"""),42846.64583333333)</f>
        <v>42846.64583</v>
      </c>
      <c r="B4281" s="2">
        <f>IFERROR(__xludf.DUMMYFUNCTION("""COMPUTED_VALUE"""),733.0)</f>
        <v>733</v>
      </c>
      <c r="C4281" s="2">
        <f>IFERROR(__xludf.DUMMYFUNCTION("""COMPUTED_VALUE"""),749.5)</f>
        <v>749.5</v>
      </c>
      <c r="D4281" s="2">
        <f>IFERROR(__xludf.DUMMYFUNCTION("""COMPUTED_VALUE"""),726.65)</f>
        <v>726.65</v>
      </c>
      <c r="E4281" s="2">
        <f>IFERROR(__xludf.DUMMYFUNCTION("""COMPUTED_VALUE"""),748.3)</f>
        <v>748.3</v>
      </c>
      <c r="F4281" s="2">
        <f>IFERROR(__xludf.DUMMYFUNCTION("""COMPUTED_VALUE"""),4314508.0)</f>
        <v>4314508</v>
      </c>
    </row>
    <row r="4282">
      <c r="A4282" s="3">
        <f>IFERROR(__xludf.DUMMYFUNCTION("""COMPUTED_VALUE"""),42849.64583333333)</f>
        <v>42849.64583</v>
      </c>
      <c r="B4282" s="2">
        <f>IFERROR(__xludf.DUMMYFUNCTION("""COMPUTED_VALUE"""),749.05)</f>
        <v>749.05</v>
      </c>
      <c r="C4282" s="2">
        <f>IFERROR(__xludf.DUMMYFUNCTION("""COMPUTED_VALUE"""),769.5)</f>
        <v>769.5</v>
      </c>
      <c r="D4282" s="2">
        <f>IFERROR(__xludf.DUMMYFUNCTION("""COMPUTED_VALUE"""),748.5)</f>
        <v>748.5</v>
      </c>
      <c r="E4282" s="2">
        <f>IFERROR(__xludf.DUMMYFUNCTION("""COMPUTED_VALUE"""),766.53)</f>
        <v>766.53</v>
      </c>
      <c r="F4282" s="2">
        <f>IFERROR(__xludf.DUMMYFUNCTION("""COMPUTED_VALUE"""),5051738.0)</f>
        <v>5051738</v>
      </c>
    </row>
    <row r="4283">
      <c r="A4283" s="3">
        <f>IFERROR(__xludf.DUMMYFUNCTION("""COMPUTED_VALUE"""),42850.64583333333)</f>
        <v>42850.64583</v>
      </c>
      <c r="B4283" s="2">
        <f>IFERROR(__xludf.DUMMYFUNCTION("""COMPUTED_VALUE"""),767.53)</f>
        <v>767.53</v>
      </c>
      <c r="C4283" s="2">
        <f>IFERROR(__xludf.DUMMYFUNCTION("""COMPUTED_VALUE"""),772.75)</f>
        <v>772.75</v>
      </c>
      <c r="D4283" s="2">
        <f>IFERROR(__xludf.DUMMYFUNCTION("""COMPUTED_VALUE"""),764.8)</f>
        <v>764.8</v>
      </c>
      <c r="E4283" s="2">
        <f>IFERROR(__xludf.DUMMYFUNCTION("""COMPUTED_VALUE"""),768.53)</f>
        <v>768.53</v>
      </c>
      <c r="F4283" s="2">
        <f>IFERROR(__xludf.DUMMYFUNCTION("""COMPUTED_VALUE"""),2264445.0)</f>
        <v>2264445</v>
      </c>
    </row>
    <row r="4284">
      <c r="A4284" s="3">
        <f>IFERROR(__xludf.DUMMYFUNCTION("""COMPUTED_VALUE"""),42851.64583333333)</f>
        <v>42851.64583</v>
      </c>
      <c r="B4284" s="2">
        <f>IFERROR(__xludf.DUMMYFUNCTION("""COMPUTED_VALUE"""),771.48)</f>
        <v>771.48</v>
      </c>
      <c r="C4284" s="2">
        <f>IFERROR(__xludf.DUMMYFUNCTION("""COMPUTED_VALUE"""),776.5)</f>
        <v>776.5</v>
      </c>
      <c r="D4284" s="2">
        <f>IFERROR(__xludf.DUMMYFUNCTION("""COMPUTED_VALUE"""),734.23)</f>
        <v>734.23</v>
      </c>
      <c r="E4284" s="2">
        <f>IFERROR(__xludf.DUMMYFUNCTION("""COMPUTED_VALUE"""),775.33)</f>
        <v>775.33</v>
      </c>
      <c r="F4284" s="2">
        <f>IFERROR(__xludf.DUMMYFUNCTION("""COMPUTED_VALUE"""),1948963.0)</f>
        <v>1948963</v>
      </c>
    </row>
    <row r="4285">
      <c r="A4285" s="3">
        <f>IFERROR(__xludf.DUMMYFUNCTION("""COMPUTED_VALUE"""),42852.64583333333)</f>
        <v>42852.64583</v>
      </c>
      <c r="B4285" s="2">
        <f>IFERROR(__xludf.DUMMYFUNCTION("""COMPUTED_VALUE"""),773.05)</f>
        <v>773.05</v>
      </c>
      <c r="C4285" s="2">
        <f>IFERROR(__xludf.DUMMYFUNCTION("""COMPUTED_VALUE"""),786.98)</f>
        <v>786.98</v>
      </c>
      <c r="D4285" s="2">
        <f>IFERROR(__xludf.DUMMYFUNCTION("""COMPUTED_VALUE"""),773.05)</f>
        <v>773.05</v>
      </c>
      <c r="E4285" s="2">
        <f>IFERROR(__xludf.DUMMYFUNCTION("""COMPUTED_VALUE"""),784.3)</f>
        <v>784.3</v>
      </c>
      <c r="F4285" s="2">
        <f>IFERROR(__xludf.DUMMYFUNCTION("""COMPUTED_VALUE"""),4045105.0)</f>
        <v>4045105</v>
      </c>
    </row>
    <row r="4286">
      <c r="A4286" s="3">
        <f>IFERROR(__xludf.DUMMYFUNCTION("""COMPUTED_VALUE"""),42853.64583333333)</f>
        <v>42853.64583</v>
      </c>
      <c r="B4286" s="2">
        <f>IFERROR(__xludf.DUMMYFUNCTION("""COMPUTED_VALUE"""),779.95)</f>
        <v>779.95</v>
      </c>
      <c r="C4286" s="2">
        <f>IFERROR(__xludf.DUMMYFUNCTION("""COMPUTED_VALUE"""),779.95)</f>
        <v>779.95</v>
      </c>
      <c r="D4286" s="2">
        <f>IFERROR(__xludf.DUMMYFUNCTION("""COMPUTED_VALUE"""),768.55)</f>
        <v>768.55</v>
      </c>
      <c r="E4286" s="2">
        <f>IFERROR(__xludf.DUMMYFUNCTION("""COMPUTED_VALUE"""),773.25)</f>
        <v>773.25</v>
      </c>
      <c r="F4286" s="2">
        <f>IFERROR(__xludf.DUMMYFUNCTION("""COMPUTED_VALUE"""),1359432.0)</f>
        <v>1359432</v>
      </c>
    </row>
    <row r="4287">
      <c r="A4287" s="3">
        <f>IFERROR(__xludf.DUMMYFUNCTION("""COMPUTED_VALUE"""),42857.64583333333)</f>
        <v>42857.64583</v>
      </c>
      <c r="B4287" s="2">
        <f>IFERROR(__xludf.DUMMYFUNCTION("""COMPUTED_VALUE"""),773.5)</f>
        <v>773.5</v>
      </c>
      <c r="C4287" s="2">
        <f>IFERROR(__xludf.DUMMYFUNCTION("""COMPUTED_VALUE"""),775.45)</f>
        <v>775.45</v>
      </c>
      <c r="D4287" s="2">
        <f>IFERROR(__xludf.DUMMYFUNCTION("""COMPUTED_VALUE"""),765.18)</f>
        <v>765.18</v>
      </c>
      <c r="E4287" s="2">
        <f>IFERROR(__xludf.DUMMYFUNCTION("""COMPUTED_VALUE"""),770.3)</f>
        <v>770.3</v>
      </c>
      <c r="F4287" s="2">
        <f>IFERROR(__xludf.DUMMYFUNCTION("""COMPUTED_VALUE"""),1001760.0)</f>
        <v>1001760</v>
      </c>
    </row>
    <row r="4288">
      <c r="A4288" s="3">
        <f>IFERROR(__xludf.DUMMYFUNCTION("""COMPUTED_VALUE"""),42858.64583333333)</f>
        <v>42858.64583</v>
      </c>
      <c r="B4288" s="2">
        <f>IFERROR(__xludf.DUMMYFUNCTION("""COMPUTED_VALUE"""),777.13)</f>
        <v>777.13</v>
      </c>
      <c r="C4288" s="2">
        <f>IFERROR(__xludf.DUMMYFUNCTION("""COMPUTED_VALUE"""),777.13)</f>
        <v>777.13</v>
      </c>
      <c r="D4288" s="2">
        <f>IFERROR(__xludf.DUMMYFUNCTION("""COMPUTED_VALUE"""),769.68)</f>
        <v>769.68</v>
      </c>
      <c r="E4288" s="2">
        <f>IFERROR(__xludf.DUMMYFUNCTION("""COMPUTED_VALUE"""),772.15)</f>
        <v>772.15</v>
      </c>
      <c r="F4288" s="2">
        <f>IFERROR(__xludf.DUMMYFUNCTION("""COMPUTED_VALUE"""),626991.0)</f>
        <v>626991</v>
      </c>
    </row>
    <row r="4289">
      <c r="A4289" s="3">
        <f>IFERROR(__xludf.DUMMYFUNCTION("""COMPUTED_VALUE"""),42859.64583333333)</f>
        <v>42859.64583</v>
      </c>
      <c r="B4289" s="2">
        <f>IFERROR(__xludf.DUMMYFUNCTION("""COMPUTED_VALUE"""),769.63)</f>
        <v>769.63</v>
      </c>
      <c r="C4289" s="2">
        <f>IFERROR(__xludf.DUMMYFUNCTION("""COMPUTED_VALUE"""),771.45)</f>
        <v>771.45</v>
      </c>
      <c r="D4289" s="2">
        <f>IFERROR(__xludf.DUMMYFUNCTION("""COMPUTED_VALUE"""),761.3)</f>
        <v>761.3</v>
      </c>
      <c r="E4289" s="2">
        <f>IFERROR(__xludf.DUMMYFUNCTION("""COMPUTED_VALUE"""),767.4)</f>
        <v>767.4</v>
      </c>
      <c r="F4289" s="2">
        <f>IFERROR(__xludf.DUMMYFUNCTION("""COMPUTED_VALUE"""),1282757.0)</f>
        <v>1282757</v>
      </c>
    </row>
    <row r="4290">
      <c r="A4290" s="3">
        <f>IFERROR(__xludf.DUMMYFUNCTION("""COMPUTED_VALUE"""),42860.64583333333)</f>
        <v>42860.64583</v>
      </c>
      <c r="B4290" s="2">
        <f>IFERROR(__xludf.DUMMYFUNCTION("""COMPUTED_VALUE"""),771.05)</f>
        <v>771.05</v>
      </c>
      <c r="C4290" s="2">
        <f>IFERROR(__xludf.DUMMYFUNCTION("""COMPUTED_VALUE"""),771.45)</f>
        <v>771.45</v>
      </c>
      <c r="D4290" s="2">
        <f>IFERROR(__xludf.DUMMYFUNCTION("""COMPUTED_VALUE"""),763.15)</f>
        <v>763.15</v>
      </c>
      <c r="E4290" s="2">
        <f>IFERROR(__xludf.DUMMYFUNCTION("""COMPUTED_VALUE"""),766.1)</f>
        <v>766.1</v>
      </c>
      <c r="F4290" s="2">
        <f>IFERROR(__xludf.DUMMYFUNCTION("""COMPUTED_VALUE"""),689474.0)</f>
        <v>689474</v>
      </c>
    </row>
    <row r="4291">
      <c r="A4291" s="3">
        <f>IFERROR(__xludf.DUMMYFUNCTION("""COMPUTED_VALUE"""),42863.64583333333)</f>
        <v>42863.64583</v>
      </c>
      <c r="B4291" s="2">
        <f>IFERROR(__xludf.DUMMYFUNCTION("""COMPUTED_VALUE"""),769.0)</f>
        <v>769</v>
      </c>
      <c r="C4291" s="2">
        <f>IFERROR(__xludf.DUMMYFUNCTION("""COMPUTED_VALUE"""),770.0)</f>
        <v>770</v>
      </c>
      <c r="D4291" s="2">
        <f>IFERROR(__xludf.DUMMYFUNCTION("""COMPUTED_VALUE"""),764.28)</f>
        <v>764.28</v>
      </c>
      <c r="E4291" s="2">
        <f>IFERROR(__xludf.DUMMYFUNCTION("""COMPUTED_VALUE"""),767.4)</f>
        <v>767.4</v>
      </c>
      <c r="F4291" s="2">
        <f>IFERROR(__xludf.DUMMYFUNCTION("""COMPUTED_VALUE"""),936813.0)</f>
        <v>936813</v>
      </c>
    </row>
    <row r="4292">
      <c r="A4292" s="3">
        <f>IFERROR(__xludf.DUMMYFUNCTION("""COMPUTED_VALUE"""),42864.64583333333)</f>
        <v>42864.64583</v>
      </c>
      <c r="B4292" s="2">
        <f>IFERROR(__xludf.DUMMYFUNCTION("""COMPUTED_VALUE"""),767.4)</f>
        <v>767.4</v>
      </c>
      <c r="C4292" s="2">
        <f>IFERROR(__xludf.DUMMYFUNCTION("""COMPUTED_VALUE"""),772.8)</f>
        <v>772.8</v>
      </c>
      <c r="D4292" s="2">
        <f>IFERROR(__xludf.DUMMYFUNCTION("""COMPUTED_VALUE"""),766.33)</f>
        <v>766.33</v>
      </c>
      <c r="E4292" s="2">
        <f>IFERROR(__xludf.DUMMYFUNCTION("""COMPUTED_VALUE"""),767.88)</f>
        <v>767.88</v>
      </c>
      <c r="F4292" s="2">
        <f>IFERROR(__xludf.DUMMYFUNCTION("""COMPUTED_VALUE"""),836459.0)</f>
        <v>836459</v>
      </c>
    </row>
    <row r="4293">
      <c r="A4293" s="3">
        <f>IFERROR(__xludf.DUMMYFUNCTION("""COMPUTED_VALUE"""),42865.64583333333)</f>
        <v>42865.64583</v>
      </c>
      <c r="B4293" s="2">
        <f>IFERROR(__xludf.DUMMYFUNCTION("""COMPUTED_VALUE"""),770.0)</f>
        <v>770</v>
      </c>
      <c r="C4293" s="2">
        <f>IFERROR(__xludf.DUMMYFUNCTION("""COMPUTED_VALUE"""),777.5)</f>
        <v>777.5</v>
      </c>
      <c r="D4293" s="2">
        <f>IFERROR(__xludf.DUMMYFUNCTION("""COMPUTED_VALUE"""),768.53)</f>
        <v>768.53</v>
      </c>
      <c r="E4293" s="2">
        <f>IFERROR(__xludf.DUMMYFUNCTION("""COMPUTED_VALUE"""),775.9)</f>
        <v>775.9</v>
      </c>
      <c r="F4293" s="2">
        <f>IFERROR(__xludf.DUMMYFUNCTION("""COMPUTED_VALUE"""),585561.0)</f>
        <v>585561</v>
      </c>
    </row>
    <row r="4294">
      <c r="A4294" s="3">
        <f>IFERROR(__xludf.DUMMYFUNCTION("""COMPUTED_VALUE"""),42866.64583333333)</f>
        <v>42866.64583</v>
      </c>
      <c r="B4294" s="2">
        <f>IFERROR(__xludf.DUMMYFUNCTION("""COMPUTED_VALUE"""),775.5)</f>
        <v>775.5</v>
      </c>
      <c r="C4294" s="2">
        <f>IFERROR(__xludf.DUMMYFUNCTION("""COMPUTED_VALUE"""),780.0)</f>
        <v>780</v>
      </c>
      <c r="D4294" s="2">
        <f>IFERROR(__xludf.DUMMYFUNCTION("""COMPUTED_VALUE"""),770.5)</f>
        <v>770.5</v>
      </c>
      <c r="E4294" s="2">
        <f>IFERROR(__xludf.DUMMYFUNCTION("""COMPUTED_VALUE"""),773.2)</f>
        <v>773.2</v>
      </c>
      <c r="F4294" s="2">
        <f>IFERROR(__xludf.DUMMYFUNCTION("""COMPUTED_VALUE"""),968936.0)</f>
        <v>968936</v>
      </c>
    </row>
    <row r="4295">
      <c r="A4295" s="3">
        <f>IFERROR(__xludf.DUMMYFUNCTION("""COMPUTED_VALUE"""),42867.64583333333)</f>
        <v>42867.64583</v>
      </c>
      <c r="B4295" s="2">
        <f>IFERROR(__xludf.DUMMYFUNCTION("""COMPUTED_VALUE"""),772.95)</f>
        <v>772.95</v>
      </c>
      <c r="C4295" s="2">
        <f>IFERROR(__xludf.DUMMYFUNCTION("""COMPUTED_VALUE"""),778.45)</f>
        <v>778.45</v>
      </c>
      <c r="D4295" s="2">
        <f>IFERROR(__xludf.DUMMYFUNCTION("""COMPUTED_VALUE"""),768.1)</f>
        <v>768.1</v>
      </c>
      <c r="E4295" s="2">
        <f>IFERROR(__xludf.DUMMYFUNCTION("""COMPUTED_VALUE"""),775.83)</f>
        <v>775.83</v>
      </c>
      <c r="F4295" s="2">
        <f>IFERROR(__xludf.DUMMYFUNCTION("""COMPUTED_VALUE"""),1536901.0)</f>
        <v>1536901</v>
      </c>
    </row>
    <row r="4296">
      <c r="A4296" s="3">
        <f>IFERROR(__xludf.DUMMYFUNCTION("""COMPUTED_VALUE"""),42870.64583333333)</f>
        <v>42870.64583</v>
      </c>
      <c r="B4296" s="2">
        <f>IFERROR(__xludf.DUMMYFUNCTION("""COMPUTED_VALUE"""),775.0)</f>
        <v>775</v>
      </c>
      <c r="C4296" s="2">
        <f>IFERROR(__xludf.DUMMYFUNCTION("""COMPUTED_VALUE"""),778.6)</f>
        <v>778.6</v>
      </c>
      <c r="D4296" s="2">
        <f>IFERROR(__xludf.DUMMYFUNCTION("""COMPUTED_VALUE"""),771.13)</f>
        <v>771.13</v>
      </c>
      <c r="E4296" s="2">
        <f>IFERROR(__xludf.DUMMYFUNCTION("""COMPUTED_VALUE"""),776.7)</f>
        <v>776.7</v>
      </c>
      <c r="F4296" s="2">
        <f>IFERROR(__xludf.DUMMYFUNCTION("""COMPUTED_VALUE"""),701195.0)</f>
        <v>701195</v>
      </c>
    </row>
    <row r="4297">
      <c r="A4297" s="3">
        <f>IFERROR(__xludf.DUMMYFUNCTION("""COMPUTED_VALUE"""),42871.64583333333)</f>
        <v>42871.64583</v>
      </c>
      <c r="B4297" s="2">
        <f>IFERROR(__xludf.DUMMYFUNCTION("""COMPUTED_VALUE"""),777.5)</f>
        <v>777.5</v>
      </c>
      <c r="C4297" s="2">
        <f>IFERROR(__xludf.DUMMYFUNCTION("""COMPUTED_VALUE"""),781.0)</f>
        <v>781</v>
      </c>
      <c r="D4297" s="2">
        <f>IFERROR(__xludf.DUMMYFUNCTION("""COMPUTED_VALUE"""),774.13)</f>
        <v>774.13</v>
      </c>
      <c r="E4297" s="2">
        <f>IFERROR(__xludf.DUMMYFUNCTION("""COMPUTED_VALUE"""),779.83)</f>
        <v>779.83</v>
      </c>
      <c r="F4297" s="2">
        <f>IFERROR(__xludf.DUMMYFUNCTION("""COMPUTED_VALUE"""),897594.0)</f>
        <v>897594</v>
      </c>
    </row>
    <row r="4298">
      <c r="A4298" s="3">
        <f>IFERROR(__xludf.DUMMYFUNCTION("""COMPUTED_VALUE"""),42872.64583333333)</f>
        <v>42872.64583</v>
      </c>
      <c r="B4298" s="2">
        <f>IFERROR(__xludf.DUMMYFUNCTION("""COMPUTED_VALUE"""),779.4)</f>
        <v>779.4</v>
      </c>
      <c r="C4298" s="2">
        <f>IFERROR(__xludf.DUMMYFUNCTION("""COMPUTED_VALUE"""),782.7)</f>
        <v>782.7</v>
      </c>
      <c r="D4298" s="2">
        <f>IFERROR(__xludf.DUMMYFUNCTION("""COMPUTED_VALUE"""),775.75)</f>
        <v>775.75</v>
      </c>
      <c r="E4298" s="2">
        <f>IFERROR(__xludf.DUMMYFUNCTION("""COMPUTED_VALUE"""),778.58)</f>
        <v>778.58</v>
      </c>
      <c r="F4298" s="2">
        <f>IFERROR(__xludf.DUMMYFUNCTION("""COMPUTED_VALUE"""),868118.0)</f>
        <v>868118</v>
      </c>
    </row>
    <row r="4299">
      <c r="A4299" s="3">
        <f>IFERROR(__xludf.DUMMYFUNCTION("""COMPUTED_VALUE"""),42873.64583333333)</f>
        <v>42873.64583</v>
      </c>
      <c r="B4299" s="2">
        <f>IFERROR(__xludf.DUMMYFUNCTION("""COMPUTED_VALUE"""),774.5)</f>
        <v>774.5</v>
      </c>
      <c r="C4299" s="2">
        <f>IFERROR(__xludf.DUMMYFUNCTION("""COMPUTED_VALUE"""),780.75)</f>
        <v>780.75</v>
      </c>
      <c r="D4299" s="2">
        <f>IFERROR(__xludf.DUMMYFUNCTION("""COMPUTED_VALUE"""),774.05)</f>
        <v>774.05</v>
      </c>
      <c r="E4299" s="2">
        <f>IFERROR(__xludf.DUMMYFUNCTION("""COMPUTED_VALUE"""),778.55)</f>
        <v>778.55</v>
      </c>
      <c r="F4299" s="2">
        <f>IFERROR(__xludf.DUMMYFUNCTION("""COMPUTED_VALUE"""),776820.0)</f>
        <v>776820</v>
      </c>
    </row>
    <row r="4300">
      <c r="A4300" s="3">
        <f>IFERROR(__xludf.DUMMYFUNCTION("""COMPUTED_VALUE"""),42874.64583333333)</f>
        <v>42874.64583</v>
      </c>
      <c r="B4300" s="2">
        <f>IFERROR(__xludf.DUMMYFUNCTION("""COMPUTED_VALUE"""),779.75)</f>
        <v>779.75</v>
      </c>
      <c r="C4300" s="2">
        <f>IFERROR(__xludf.DUMMYFUNCTION("""COMPUTED_VALUE"""),784.95)</f>
        <v>784.95</v>
      </c>
      <c r="D4300" s="2">
        <f>IFERROR(__xludf.DUMMYFUNCTION("""COMPUTED_VALUE"""),772.63)</f>
        <v>772.63</v>
      </c>
      <c r="E4300" s="2">
        <f>IFERROR(__xludf.DUMMYFUNCTION("""COMPUTED_VALUE"""),780.63)</f>
        <v>780.63</v>
      </c>
      <c r="F4300" s="2">
        <f>IFERROR(__xludf.DUMMYFUNCTION("""COMPUTED_VALUE"""),713534.0)</f>
        <v>713534</v>
      </c>
    </row>
    <row r="4301">
      <c r="A4301" s="3">
        <f>IFERROR(__xludf.DUMMYFUNCTION("""COMPUTED_VALUE"""),42877.64583333333)</f>
        <v>42877.64583</v>
      </c>
      <c r="B4301" s="2">
        <f>IFERROR(__xludf.DUMMYFUNCTION("""COMPUTED_VALUE"""),782.55)</f>
        <v>782.55</v>
      </c>
      <c r="C4301" s="2">
        <f>IFERROR(__xludf.DUMMYFUNCTION("""COMPUTED_VALUE"""),790.0)</f>
        <v>790</v>
      </c>
      <c r="D4301" s="2">
        <f>IFERROR(__xludf.DUMMYFUNCTION("""COMPUTED_VALUE"""),781.55)</f>
        <v>781.55</v>
      </c>
      <c r="E4301" s="2">
        <f>IFERROR(__xludf.DUMMYFUNCTION("""COMPUTED_VALUE"""),788.0)</f>
        <v>788</v>
      </c>
      <c r="F4301" s="2">
        <f>IFERROR(__xludf.DUMMYFUNCTION("""COMPUTED_VALUE"""),715013.0)</f>
        <v>715013</v>
      </c>
    </row>
    <row r="4302">
      <c r="A4302" s="3">
        <f>IFERROR(__xludf.DUMMYFUNCTION("""COMPUTED_VALUE"""),42878.64583333333)</f>
        <v>42878.64583</v>
      </c>
      <c r="B4302" s="2">
        <f>IFERROR(__xludf.DUMMYFUNCTION("""COMPUTED_VALUE"""),790.0)</f>
        <v>790</v>
      </c>
      <c r="C4302" s="2">
        <f>IFERROR(__xludf.DUMMYFUNCTION("""COMPUTED_VALUE"""),791.78)</f>
        <v>791.78</v>
      </c>
      <c r="D4302" s="2">
        <f>IFERROR(__xludf.DUMMYFUNCTION("""COMPUTED_VALUE"""),782.5)</f>
        <v>782.5</v>
      </c>
      <c r="E4302" s="2">
        <f>IFERROR(__xludf.DUMMYFUNCTION("""COMPUTED_VALUE"""),784.55)</f>
        <v>784.55</v>
      </c>
      <c r="F4302" s="2">
        <f>IFERROR(__xludf.DUMMYFUNCTION("""COMPUTED_VALUE"""),770043.0)</f>
        <v>770043</v>
      </c>
    </row>
    <row r="4303">
      <c r="A4303" s="3">
        <f>IFERROR(__xludf.DUMMYFUNCTION("""COMPUTED_VALUE"""),42879.64583333333)</f>
        <v>42879.64583</v>
      </c>
      <c r="B4303" s="2">
        <f>IFERROR(__xludf.DUMMYFUNCTION("""COMPUTED_VALUE"""),784.53)</f>
        <v>784.53</v>
      </c>
      <c r="C4303" s="2">
        <f>IFERROR(__xludf.DUMMYFUNCTION("""COMPUTED_VALUE"""),787.73)</f>
        <v>787.73</v>
      </c>
      <c r="D4303" s="2">
        <f>IFERROR(__xludf.DUMMYFUNCTION("""COMPUTED_VALUE"""),781.0)</f>
        <v>781</v>
      </c>
      <c r="E4303" s="2">
        <f>IFERROR(__xludf.DUMMYFUNCTION("""COMPUTED_VALUE"""),783.38)</f>
        <v>783.38</v>
      </c>
      <c r="F4303" s="2">
        <f>IFERROR(__xludf.DUMMYFUNCTION("""COMPUTED_VALUE"""),866847.0)</f>
        <v>866847</v>
      </c>
    </row>
    <row r="4304">
      <c r="A4304" s="3">
        <f>IFERROR(__xludf.DUMMYFUNCTION("""COMPUTED_VALUE"""),42880.64583333333)</f>
        <v>42880.64583</v>
      </c>
      <c r="B4304" s="2">
        <f>IFERROR(__xludf.DUMMYFUNCTION("""COMPUTED_VALUE"""),783.55)</f>
        <v>783.55</v>
      </c>
      <c r="C4304" s="2">
        <f>IFERROR(__xludf.DUMMYFUNCTION("""COMPUTED_VALUE"""),814.7)</f>
        <v>814.7</v>
      </c>
      <c r="D4304" s="2">
        <f>IFERROR(__xludf.DUMMYFUNCTION("""COMPUTED_VALUE"""),783.55)</f>
        <v>783.55</v>
      </c>
      <c r="E4304" s="2">
        <f>IFERROR(__xludf.DUMMYFUNCTION("""COMPUTED_VALUE"""),808.58)</f>
        <v>808.58</v>
      </c>
      <c r="F4304" s="2">
        <f>IFERROR(__xludf.DUMMYFUNCTION("""COMPUTED_VALUE"""),5022701.0)</f>
        <v>5022701</v>
      </c>
    </row>
    <row r="4305">
      <c r="A4305" s="3">
        <f>IFERROR(__xludf.DUMMYFUNCTION("""COMPUTED_VALUE"""),42881.64583333333)</f>
        <v>42881.64583</v>
      </c>
      <c r="B4305" s="2">
        <f>IFERROR(__xludf.DUMMYFUNCTION("""COMPUTED_VALUE"""),803.33)</f>
        <v>803.33</v>
      </c>
      <c r="C4305" s="2">
        <f>IFERROR(__xludf.DUMMYFUNCTION("""COMPUTED_VALUE"""),816.0)</f>
        <v>816</v>
      </c>
      <c r="D4305" s="2">
        <f>IFERROR(__xludf.DUMMYFUNCTION("""COMPUTED_VALUE"""),800.55)</f>
        <v>800.55</v>
      </c>
      <c r="E4305" s="2">
        <f>IFERROR(__xludf.DUMMYFUNCTION("""COMPUTED_VALUE"""),813.0)</f>
        <v>813</v>
      </c>
      <c r="F4305" s="2">
        <f>IFERROR(__xludf.DUMMYFUNCTION("""COMPUTED_VALUE"""),1360789.0)</f>
        <v>1360789</v>
      </c>
    </row>
    <row r="4306">
      <c r="A4306" s="3">
        <f>IFERROR(__xludf.DUMMYFUNCTION("""COMPUTED_VALUE"""),42884.64583333333)</f>
        <v>42884.64583</v>
      </c>
      <c r="B4306" s="2">
        <f>IFERROR(__xludf.DUMMYFUNCTION("""COMPUTED_VALUE"""),809.9)</f>
        <v>809.9</v>
      </c>
      <c r="C4306" s="2">
        <f>IFERROR(__xludf.DUMMYFUNCTION("""COMPUTED_VALUE"""),824.0)</f>
        <v>824</v>
      </c>
      <c r="D4306" s="2">
        <f>IFERROR(__xludf.DUMMYFUNCTION("""COMPUTED_VALUE"""),808.83)</f>
        <v>808.83</v>
      </c>
      <c r="E4306" s="2">
        <f>IFERROR(__xludf.DUMMYFUNCTION("""COMPUTED_VALUE"""),815.95)</f>
        <v>815.95</v>
      </c>
      <c r="F4306" s="2">
        <f>IFERROR(__xludf.DUMMYFUNCTION("""COMPUTED_VALUE"""),1479085.0)</f>
        <v>1479085</v>
      </c>
    </row>
    <row r="4307">
      <c r="A4307" s="3">
        <f>IFERROR(__xludf.DUMMYFUNCTION("""COMPUTED_VALUE"""),42885.64583333333)</f>
        <v>42885.64583</v>
      </c>
      <c r="B4307" s="2">
        <f>IFERROR(__xludf.DUMMYFUNCTION("""COMPUTED_VALUE"""),815.0)</f>
        <v>815</v>
      </c>
      <c r="C4307" s="2">
        <f>IFERROR(__xludf.DUMMYFUNCTION("""COMPUTED_VALUE"""),816.75)</f>
        <v>816.75</v>
      </c>
      <c r="D4307" s="2">
        <f>IFERROR(__xludf.DUMMYFUNCTION("""COMPUTED_VALUE"""),808.08)</f>
        <v>808.08</v>
      </c>
      <c r="E4307" s="2">
        <f>IFERROR(__xludf.DUMMYFUNCTION("""COMPUTED_VALUE"""),814.53)</f>
        <v>814.53</v>
      </c>
      <c r="F4307" s="2">
        <f>IFERROR(__xludf.DUMMYFUNCTION("""COMPUTED_VALUE"""),1108546.0)</f>
        <v>1108546</v>
      </c>
    </row>
    <row r="4308">
      <c r="A4308" s="3">
        <f>IFERROR(__xludf.DUMMYFUNCTION("""COMPUTED_VALUE"""),42886.64583333333)</f>
        <v>42886.64583</v>
      </c>
      <c r="B4308" s="2">
        <f>IFERROR(__xludf.DUMMYFUNCTION("""COMPUTED_VALUE"""),812.5)</f>
        <v>812.5</v>
      </c>
      <c r="C4308" s="2">
        <f>IFERROR(__xludf.DUMMYFUNCTION("""COMPUTED_VALUE"""),821.5)</f>
        <v>821.5</v>
      </c>
      <c r="D4308" s="2">
        <f>IFERROR(__xludf.DUMMYFUNCTION("""COMPUTED_VALUE"""),811.58)</f>
        <v>811.58</v>
      </c>
      <c r="E4308" s="2">
        <f>IFERROR(__xludf.DUMMYFUNCTION("""COMPUTED_VALUE"""),818.1)</f>
        <v>818.1</v>
      </c>
      <c r="F4308" s="2">
        <f>IFERROR(__xludf.DUMMYFUNCTION("""COMPUTED_VALUE"""),1329728.0)</f>
        <v>1329728</v>
      </c>
    </row>
    <row r="4309">
      <c r="A4309" s="3">
        <f>IFERROR(__xludf.DUMMYFUNCTION("""COMPUTED_VALUE"""),42887.64583333333)</f>
        <v>42887.64583</v>
      </c>
      <c r="B4309" s="2">
        <f>IFERROR(__xludf.DUMMYFUNCTION("""COMPUTED_VALUE"""),819.5)</f>
        <v>819.5</v>
      </c>
      <c r="C4309" s="2">
        <f>IFERROR(__xludf.DUMMYFUNCTION("""COMPUTED_VALUE"""),819.93)</f>
        <v>819.93</v>
      </c>
      <c r="D4309" s="2">
        <f>IFERROR(__xludf.DUMMYFUNCTION("""COMPUTED_VALUE"""),810.28)</f>
        <v>810.28</v>
      </c>
      <c r="E4309" s="2">
        <f>IFERROR(__xludf.DUMMYFUNCTION("""COMPUTED_VALUE"""),814.3)</f>
        <v>814.3</v>
      </c>
      <c r="F4309" s="2">
        <f>IFERROR(__xludf.DUMMYFUNCTION("""COMPUTED_VALUE"""),839885.0)</f>
        <v>839885</v>
      </c>
    </row>
    <row r="4310">
      <c r="A4310" s="3">
        <f>IFERROR(__xludf.DUMMYFUNCTION("""COMPUTED_VALUE"""),42888.64583333333)</f>
        <v>42888.64583</v>
      </c>
      <c r="B4310" s="2">
        <f>IFERROR(__xludf.DUMMYFUNCTION("""COMPUTED_VALUE"""),817.0)</f>
        <v>817</v>
      </c>
      <c r="C4310" s="2">
        <f>IFERROR(__xludf.DUMMYFUNCTION("""COMPUTED_VALUE"""),823.05)</f>
        <v>823.05</v>
      </c>
      <c r="D4310" s="2">
        <f>IFERROR(__xludf.DUMMYFUNCTION("""COMPUTED_VALUE"""),813.1)</f>
        <v>813.1</v>
      </c>
      <c r="E4310" s="2">
        <f>IFERROR(__xludf.DUMMYFUNCTION("""COMPUTED_VALUE"""),817.13)</f>
        <v>817.13</v>
      </c>
      <c r="F4310" s="2">
        <f>IFERROR(__xludf.DUMMYFUNCTION("""COMPUTED_VALUE"""),803386.0)</f>
        <v>803386</v>
      </c>
    </row>
    <row r="4311">
      <c r="A4311" s="3">
        <f>IFERROR(__xludf.DUMMYFUNCTION("""COMPUTED_VALUE"""),42891.64583333333)</f>
        <v>42891.64583</v>
      </c>
      <c r="B4311" s="2">
        <f>IFERROR(__xludf.DUMMYFUNCTION("""COMPUTED_VALUE"""),816.85)</f>
        <v>816.85</v>
      </c>
      <c r="C4311" s="2">
        <f>IFERROR(__xludf.DUMMYFUNCTION("""COMPUTED_VALUE"""),819.48)</f>
        <v>819.48</v>
      </c>
      <c r="D4311" s="2">
        <f>IFERROR(__xludf.DUMMYFUNCTION("""COMPUTED_VALUE"""),812.5)</f>
        <v>812.5</v>
      </c>
      <c r="E4311" s="2">
        <f>IFERROR(__xludf.DUMMYFUNCTION("""COMPUTED_VALUE"""),817.78)</f>
        <v>817.78</v>
      </c>
      <c r="F4311" s="2">
        <f>IFERROR(__xludf.DUMMYFUNCTION("""COMPUTED_VALUE"""),724975.0)</f>
        <v>724975</v>
      </c>
    </row>
    <row r="4312">
      <c r="A4312" s="3">
        <f>IFERROR(__xludf.DUMMYFUNCTION("""COMPUTED_VALUE"""),42892.64583333333)</f>
        <v>42892.64583</v>
      </c>
      <c r="B4312" s="2">
        <f>IFERROR(__xludf.DUMMYFUNCTION("""COMPUTED_VALUE"""),817.5)</f>
        <v>817.5</v>
      </c>
      <c r="C4312" s="2">
        <f>IFERROR(__xludf.DUMMYFUNCTION("""COMPUTED_VALUE"""),821.9)</f>
        <v>821.9</v>
      </c>
      <c r="D4312" s="2">
        <f>IFERROR(__xludf.DUMMYFUNCTION("""COMPUTED_VALUE"""),815.0)</f>
        <v>815</v>
      </c>
      <c r="E4312" s="2">
        <f>IFERROR(__xludf.DUMMYFUNCTION("""COMPUTED_VALUE"""),819.48)</f>
        <v>819.48</v>
      </c>
      <c r="F4312" s="2">
        <f>IFERROR(__xludf.DUMMYFUNCTION("""COMPUTED_VALUE"""),1250658.0)</f>
        <v>1250658</v>
      </c>
    </row>
    <row r="4313">
      <c r="A4313" s="3">
        <f>IFERROR(__xludf.DUMMYFUNCTION("""COMPUTED_VALUE"""),42893.64583333333)</f>
        <v>42893.64583</v>
      </c>
      <c r="B4313" s="2">
        <f>IFERROR(__xludf.DUMMYFUNCTION("""COMPUTED_VALUE"""),820.2)</f>
        <v>820.2</v>
      </c>
      <c r="C4313" s="2">
        <f>IFERROR(__xludf.DUMMYFUNCTION("""COMPUTED_VALUE"""),822.45)</f>
        <v>822.45</v>
      </c>
      <c r="D4313" s="2">
        <f>IFERROR(__xludf.DUMMYFUNCTION("""COMPUTED_VALUE"""),815.18)</f>
        <v>815.18</v>
      </c>
      <c r="E4313" s="2">
        <f>IFERROR(__xludf.DUMMYFUNCTION("""COMPUTED_VALUE"""),820.4)</f>
        <v>820.4</v>
      </c>
      <c r="F4313" s="2">
        <f>IFERROR(__xludf.DUMMYFUNCTION("""COMPUTED_VALUE"""),638569.0)</f>
        <v>638569</v>
      </c>
    </row>
    <row r="4314">
      <c r="A4314" s="3">
        <f>IFERROR(__xludf.DUMMYFUNCTION("""COMPUTED_VALUE"""),42894.64583333333)</f>
        <v>42894.64583</v>
      </c>
      <c r="B4314" s="2">
        <f>IFERROR(__xludf.DUMMYFUNCTION("""COMPUTED_VALUE"""),821.95)</f>
        <v>821.95</v>
      </c>
      <c r="C4314" s="2">
        <f>IFERROR(__xludf.DUMMYFUNCTION("""COMPUTED_VALUE"""),829.7)</f>
        <v>829.7</v>
      </c>
      <c r="D4314" s="2">
        <f>IFERROR(__xludf.DUMMYFUNCTION("""COMPUTED_VALUE"""),820.83)</f>
        <v>820.83</v>
      </c>
      <c r="E4314" s="2">
        <f>IFERROR(__xludf.DUMMYFUNCTION("""COMPUTED_VALUE"""),822.38)</f>
        <v>822.38</v>
      </c>
      <c r="F4314" s="2">
        <f>IFERROR(__xludf.DUMMYFUNCTION("""COMPUTED_VALUE"""),1062192.0)</f>
        <v>1062192</v>
      </c>
    </row>
    <row r="4315">
      <c r="A4315" s="3">
        <f>IFERROR(__xludf.DUMMYFUNCTION("""COMPUTED_VALUE"""),42895.64583333333)</f>
        <v>42895.64583</v>
      </c>
      <c r="B4315" s="2">
        <f>IFERROR(__xludf.DUMMYFUNCTION("""COMPUTED_VALUE"""),820.05)</f>
        <v>820.05</v>
      </c>
      <c r="C4315" s="2">
        <f>IFERROR(__xludf.DUMMYFUNCTION("""COMPUTED_VALUE"""),835.0)</f>
        <v>835</v>
      </c>
      <c r="D4315" s="2">
        <f>IFERROR(__xludf.DUMMYFUNCTION("""COMPUTED_VALUE"""),820.05)</f>
        <v>820.05</v>
      </c>
      <c r="E4315" s="2">
        <f>IFERROR(__xludf.DUMMYFUNCTION("""COMPUTED_VALUE"""),833.4)</f>
        <v>833.4</v>
      </c>
      <c r="F4315" s="2">
        <f>IFERROR(__xludf.DUMMYFUNCTION("""COMPUTED_VALUE"""),1326318.0)</f>
        <v>1326318</v>
      </c>
    </row>
    <row r="4316">
      <c r="A4316" s="3">
        <f>IFERROR(__xludf.DUMMYFUNCTION("""COMPUTED_VALUE"""),42898.64583333333)</f>
        <v>42898.64583</v>
      </c>
      <c r="B4316" s="2">
        <f>IFERROR(__xludf.DUMMYFUNCTION("""COMPUTED_VALUE"""),832.0)</f>
        <v>832</v>
      </c>
      <c r="C4316" s="2">
        <f>IFERROR(__xludf.DUMMYFUNCTION("""COMPUTED_VALUE"""),838.0)</f>
        <v>838</v>
      </c>
      <c r="D4316" s="2">
        <f>IFERROR(__xludf.DUMMYFUNCTION("""COMPUTED_VALUE"""),830.0)</f>
        <v>830</v>
      </c>
      <c r="E4316" s="2">
        <f>IFERROR(__xludf.DUMMYFUNCTION("""COMPUTED_VALUE"""),834.38)</f>
        <v>834.38</v>
      </c>
      <c r="F4316" s="2">
        <f>IFERROR(__xludf.DUMMYFUNCTION("""COMPUTED_VALUE"""),992853.0)</f>
        <v>992853</v>
      </c>
    </row>
    <row r="4317">
      <c r="A4317" s="3">
        <f>IFERROR(__xludf.DUMMYFUNCTION("""COMPUTED_VALUE"""),42899.64583333333)</f>
        <v>42899.64583</v>
      </c>
      <c r="B4317" s="2">
        <f>IFERROR(__xludf.DUMMYFUNCTION("""COMPUTED_VALUE"""),830.88)</f>
        <v>830.88</v>
      </c>
      <c r="C4317" s="2">
        <f>IFERROR(__xludf.DUMMYFUNCTION("""COMPUTED_VALUE"""),845.95)</f>
        <v>845.95</v>
      </c>
      <c r="D4317" s="2">
        <f>IFERROR(__xludf.DUMMYFUNCTION("""COMPUTED_VALUE"""),830.5)</f>
        <v>830.5</v>
      </c>
      <c r="E4317" s="2">
        <f>IFERROR(__xludf.DUMMYFUNCTION("""COMPUTED_VALUE"""),838.35)</f>
        <v>838.35</v>
      </c>
      <c r="F4317" s="2">
        <f>IFERROR(__xludf.DUMMYFUNCTION("""COMPUTED_VALUE"""),1262905.0)</f>
        <v>1262905</v>
      </c>
    </row>
    <row r="4318">
      <c r="A4318" s="3">
        <f>IFERROR(__xludf.DUMMYFUNCTION("""COMPUTED_VALUE"""),42900.64583333333)</f>
        <v>42900.64583</v>
      </c>
      <c r="B4318" s="2">
        <f>IFERROR(__xludf.DUMMYFUNCTION("""COMPUTED_VALUE"""),837.5)</f>
        <v>837.5</v>
      </c>
      <c r="C4318" s="2">
        <f>IFERROR(__xludf.DUMMYFUNCTION("""COMPUTED_VALUE"""),839.98)</f>
        <v>839.98</v>
      </c>
      <c r="D4318" s="2">
        <f>IFERROR(__xludf.DUMMYFUNCTION("""COMPUTED_VALUE"""),833.5)</f>
        <v>833.5</v>
      </c>
      <c r="E4318" s="2">
        <f>IFERROR(__xludf.DUMMYFUNCTION("""COMPUTED_VALUE"""),835.6)</f>
        <v>835.6</v>
      </c>
      <c r="F4318" s="2">
        <f>IFERROR(__xludf.DUMMYFUNCTION("""COMPUTED_VALUE"""),964590.0)</f>
        <v>964590</v>
      </c>
    </row>
    <row r="4319">
      <c r="A4319" s="3">
        <f>IFERROR(__xludf.DUMMYFUNCTION("""COMPUTED_VALUE"""),42901.64583333333)</f>
        <v>42901.64583</v>
      </c>
      <c r="B4319" s="2">
        <f>IFERROR(__xludf.DUMMYFUNCTION("""COMPUTED_VALUE"""),834.0)</f>
        <v>834</v>
      </c>
      <c r="C4319" s="2">
        <f>IFERROR(__xludf.DUMMYFUNCTION("""COMPUTED_VALUE"""),837.8)</f>
        <v>837.8</v>
      </c>
      <c r="D4319" s="2">
        <f>IFERROR(__xludf.DUMMYFUNCTION("""COMPUTED_VALUE"""),826.8)</f>
        <v>826.8</v>
      </c>
      <c r="E4319" s="2">
        <f>IFERROR(__xludf.DUMMYFUNCTION("""COMPUTED_VALUE"""),832.18)</f>
        <v>832.18</v>
      </c>
      <c r="F4319" s="2">
        <f>IFERROR(__xludf.DUMMYFUNCTION("""COMPUTED_VALUE"""),881673.0)</f>
        <v>881673</v>
      </c>
    </row>
    <row r="4320">
      <c r="A4320" s="3">
        <f>IFERROR(__xludf.DUMMYFUNCTION("""COMPUTED_VALUE"""),42902.64583333333)</f>
        <v>42902.64583</v>
      </c>
      <c r="B4320" s="2">
        <f>IFERROR(__xludf.DUMMYFUNCTION("""COMPUTED_VALUE"""),832.5)</f>
        <v>832.5</v>
      </c>
      <c r="C4320" s="2">
        <f>IFERROR(__xludf.DUMMYFUNCTION("""COMPUTED_VALUE"""),837.35)</f>
        <v>837.35</v>
      </c>
      <c r="D4320" s="2">
        <f>IFERROR(__xludf.DUMMYFUNCTION("""COMPUTED_VALUE"""),829.05)</f>
        <v>829.05</v>
      </c>
      <c r="E4320" s="2">
        <f>IFERROR(__xludf.DUMMYFUNCTION("""COMPUTED_VALUE"""),834.63)</f>
        <v>834.63</v>
      </c>
      <c r="F4320" s="2">
        <f>IFERROR(__xludf.DUMMYFUNCTION("""COMPUTED_VALUE"""),938776.0)</f>
        <v>938776</v>
      </c>
    </row>
    <row r="4321">
      <c r="A4321" s="3">
        <f>IFERROR(__xludf.DUMMYFUNCTION("""COMPUTED_VALUE"""),42905.64583333333)</f>
        <v>42905.64583</v>
      </c>
      <c r="B4321" s="2">
        <f>IFERROR(__xludf.DUMMYFUNCTION("""COMPUTED_VALUE"""),835.5)</f>
        <v>835.5</v>
      </c>
      <c r="C4321" s="2">
        <f>IFERROR(__xludf.DUMMYFUNCTION("""COMPUTED_VALUE"""),848.0)</f>
        <v>848</v>
      </c>
      <c r="D4321" s="2">
        <f>IFERROR(__xludf.DUMMYFUNCTION("""COMPUTED_VALUE"""),834.2)</f>
        <v>834.2</v>
      </c>
      <c r="E4321" s="2">
        <f>IFERROR(__xludf.DUMMYFUNCTION("""COMPUTED_VALUE"""),846.45)</f>
        <v>846.45</v>
      </c>
      <c r="F4321" s="2">
        <f>IFERROR(__xludf.DUMMYFUNCTION("""COMPUTED_VALUE"""),956383.0)</f>
        <v>956383</v>
      </c>
    </row>
    <row r="4322">
      <c r="A4322" s="3">
        <f>IFERROR(__xludf.DUMMYFUNCTION("""COMPUTED_VALUE"""),42906.64583333333)</f>
        <v>42906.64583</v>
      </c>
      <c r="B4322" s="2">
        <f>IFERROR(__xludf.DUMMYFUNCTION("""COMPUTED_VALUE"""),845.0)</f>
        <v>845</v>
      </c>
      <c r="C4322" s="2">
        <f>IFERROR(__xludf.DUMMYFUNCTION("""COMPUTED_VALUE"""),847.0)</f>
        <v>847</v>
      </c>
      <c r="D4322" s="2">
        <f>IFERROR(__xludf.DUMMYFUNCTION("""COMPUTED_VALUE"""),839.93)</f>
        <v>839.93</v>
      </c>
      <c r="E4322" s="2">
        <f>IFERROR(__xludf.DUMMYFUNCTION("""COMPUTED_VALUE"""),843.28)</f>
        <v>843.28</v>
      </c>
      <c r="F4322" s="2">
        <f>IFERROR(__xludf.DUMMYFUNCTION("""COMPUTED_VALUE"""),915066.0)</f>
        <v>915066</v>
      </c>
    </row>
    <row r="4323">
      <c r="A4323" s="3">
        <f>IFERROR(__xludf.DUMMYFUNCTION("""COMPUTED_VALUE"""),42907.64583333333)</f>
        <v>42907.64583</v>
      </c>
      <c r="B4323" s="2">
        <f>IFERROR(__xludf.DUMMYFUNCTION("""COMPUTED_VALUE"""),841.3)</f>
        <v>841.3</v>
      </c>
      <c r="C4323" s="2">
        <f>IFERROR(__xludf.DUMMYFUNCTION("""COMPUTED_VALUE"""),850.63)</f>
        <v>850.63</v>
      </c>
      <c r="D4323" s="2">
        <f>IFERROR(__xludf.DUMMYFUNCTION("""COMPUTED_VALUE"""),839.8)</f>
        <v>839.8</v>
      </c>
      <c r="E4323" s="2">
        <f>IFERROR(__xludf.DUMMYFUNCTION("""COMPUTED_VALUE"""),849.35)</f>
        <v>849.35</v>
      </c>
      <c r="F4323" s="2">
        <f>IFERROR(__xludf.DUMMYFUNCTION("""COMPUTED_VALUE"""),852733.0)</f>
        <v>852733</v>
      </c>
    </row>
    <row r="4324">
      <c r="A4324" s="3">
        <f>IFERROR(__xludf.DUMMYFUNCTION("""COMPUTED_VALUE"""),42908.64583333333)</f>
        <v>42908.64583</v>
      </c>
      <c r="B4324" s="2">
        <f>IFERROR(__xludf.DUMMYFUNCTION("""COMPUTED_VALUE"""),847.48)</f>
        <v>847.48</v>
      </c>
      <c r="C4324" s="2">
        <f>IFERROR(__xludf.DUMMYFUNCTION("""COMPUTED_VALUE"""),858.0)</f>
        <v>858</v>
      </c>
      <c r="D4324" s="2">
        <f>IFERROR(__xludf.DUMMYFUNCTION("""COMPUTED_VALUE"""),845.6)</f>
        <v>845.6</v>
      </c>
      <c r="E4324" s="2">
        <f>IFERROR(__xludf.DUMMYFUNCTION("""COMPUTED_VALUE"""),849.0)</f>
        <v>849</v>
      </c>
      <c r="F4324" s="2">
        <f>IFERROR(__xludf.DUMMYFUNCTION("""COMPUTED_VALUE"""),1668865.0)</f>
        <v>1668865</v>
      </c>
    </row>
    <row r="4325">
      <c r="A4325" s="3">
        <f>IFERROR(__xludf.DUMMYFUNCTION("""COMPUTED_VALUE"""),42909.64583333333)</f>
        <v>42909.64583</v>
      </c>
      <c r="B4325" s="2">
        <f>IFERROR(__xludf.DUMMYFUNCTION("""COMPUTED_VALUE"""),851.0)</f>
        <v>851</v>
      </c>
      <c r="C4325" s="2">
        <f>IFERROR(__xludf.DUMMYFUNCTION("""COMPUTED_VALUE"""),851.38)</f>
        <v>851.38</v>
      </c>
      <c r="D4325" s="2">
        <f>IFERROR(__xludf.DUMMYFUNCTION("""COMPUTED_VALUE"""),837.6)</f>
        <v>837.6</v>
      </c>
      <c r="E4325" s="2">
        <f>IFERROR(__xludf.DUMMYFUNCTION("""COMPUTED_VALUE"""),839.33)</f>
        <v>839.33</v>
      </c>
      <c r="F4325" s="2">
        <f>IFERROR(__xludf.DUMMYFUNCTION("""COMPUTED_VALUE"""),1304367.0)</f>
        <v>1304367</v>
      </c>
    </row>
    <row r="4326">
      <c r="A4326" s="3">
        <f>IFERROR(__xludf.DUMMYFUNCTION("""COMPUTED_VALUE"""),42913.64583333333)</f>
        <v>42913.64583</v>
      </c>
      <c r="B4326" s="2">
        <f>IFERROR(__xludf.DUMMYFUNCTION("""COMPUTED_VALUE"""),844.5)</f>
        <v>844.5</v>
      </c>
      <c r="C4326" s="2">
        <f>IFERROR(__xludf.DUMMYFUNCTION("""COMPUTED_VALUE"""),847.5)</f>
        <v>847.5</v>
      </c>
      <c r="D4326" s="2">
        <f>IFERROR(__xludf.DUMMYFUNCTION("""COMPUTED_VALUE"""),828.13)</f>
        <v>828.13</v>
      </c>
      <c r="E4326" s="2">
        <f>IFERROR(__xludf.DUMMYFUNCTION("""COMPUTED_VALUE"""),833.83)</f>
        <v>833.83</v>
      </c>
      <c r="F4326" s="2">
        <f>IFERROR(__xludf.DUMMYFUNCTION("""COMPUTED_VALUE"""),1500108.0)</f>
        <v>1500108</v>
      </c>
    </row>
    <row r="4327">
      <c r="A4327" s="3">
        <f>IFERROR(__xludf.DUMMYFUNCTION("""COMPUTED_VALUE"""),42914.64583333333)</f>
        <v>42914.64583</v>
      </c>
      <c r="B4327" s="2">
        <f>IFERROR(__xludf.DUMMYFUNCTION("""COMPUTED_VALUE"""),832.5)</f>
        <v>832.5</v>
      </c>
      <c r="C4327" s="2">
        <f>IFERROR(__xludf.DUMMYFUNCTION("""COMPUTED_VALUE"""),837.5)</f>
        <v>837.5</v>
      </c>
      <c r="D4327" s="2">
        <f>IFERROR(__xludf.DUMMYFUNCTION("""COMPUTED_VALUE"""),828.9)</f>
        <v>828.9</v>
      </c>
      <c r="E4327" s="2">
        <f>IFERROR(__xludf.DUMMYFUNCTION("""COMPUTED_VALUE"""),833.23)</f>
        <v>833.23</v>
      </c>
      <c r="F4327" s="2">
        <f>IFERROR(__xludf.DUMMYFUNCTION("""COMPUTED_VALUE"""),1112259.0)</f>
        <v>1112259</v>
      </c>
    </row>
    <row r="4328">
      <c r="A4328" s="3">
        <f>IFERROR(__xludf.DUMMYFUNCTION("""COMPUTED_VALUE"""),42915.64583333333)</f>
        <v>42915.64583</v>
      </c>
      <c r="B4328" s="2">
        <f>IFERROR(__xludf.DUMMYFUNCTION("""COMPUTED_VALUE"""),833.5)</f>
        <v>833.5</v>
      </c>
      <c r="C4328" s="2">
        <f>IFERROR(__xludf.DUMMYFUNCTION("""COMPUTED_VALUE"""),840.95)</f>
        <v>840.95</v>
      </c>
      <c r="D4328" s="2">
        <f>IFERROR(__xludf.DUMMYFUNCTION("""COMPUTED_VALUE"""),825.55)</f>
        <v>825.55</v>
      </c>
      <c r="E4328" s="2">
        <f>IFERROR(__xludf.DUMMYFUNCTION("""COMPUTED_VALUE"""),831.53)</f>
        <v>831.53</v>
      </c>
      <c r="F4328" s="2">
        <f>IFERROR(__xludf.DUMMYFUNCTION("""COMPUTED_VALUE"""),2296927.0)</f>
        <v>2296927</v>
      </c>
    </row>
    <row r="4329">
      <c r="A4329" s="3">
        <f>IFERROR(__xludf.DUMMYFUNCTION("""COMPUTED_VALUE"""),42916.64583333333)</f>
        <v>42916.64583</v>
      </c>
      <c r="B4329" s="2">
        <f>IFERROR(__xludf.DUMMYFUNCTION("""COMPUTED_VALUE"""),826.9)</f>
        <v>826.9</v>
      </c>
      <c r="C4329" s="2">
        <f>IFERROR(__xludf.DUMMYFUNCTION("""COMPUTED_VALUE"""),830.0)</f>
        <v>830</v>
      </c>
      <c r="D4329" s="2">
        <f>IFERROR(__xludf.DUMMYFUNCTION("""COMPUTED_VALUE"""),821.5)</f>
        <v>821.5</v>
      </c>
      <c r="E4329" s="2">
        <f>IFERROR(__xludf.DUMMYFUNCTION("""COMPUTED_VALUE"""),826.03)</f>
        <v>826.03</v>
      </c>
      <c r="F4329" s="2">
        <f>IFERROR(__xludf.DUMMYFUNCTION("""COMPUTED_VALUE"""),1082608.0)</f>
        <v>1082608</v>
      </c>
    </row>
    <row r="4330">
      <c r="A4330" s="3">
        <f>IFERROR(__xludf.DUMMYFUNCTION("""COMPUTED_VALUE"""),42919.64583333333)</f>
        <v>42919.64583</v>
      </c>
      <c r="B4330" s="2">
        <f>IFERROR(__xludf.DUMMYFUNCTION("""COMPUTED_VALUE"""),826.3)</f>
        <v>826.3</v>
      </c>
      <c r="C4330" s="2">
        <f>IFERROR(__xludf.DUMMYFUNCTION("""COMPUTED_VALUE"""),833.75)</f>
        <v>833.75</v>
      </c>
      <c r="D4330" s="2">
        <f>IFERROR(__xludf.DUMMYFUNCTION("""COMPUTED_VALUE"""),823.63)</f>
        <v>823.63</v>
      </c>
      <c r="E4330" s="2">
        <f>IFERROR(__xludf.DUMMYFUNCTION("""COMPUTED_VALUE"""),829.3)</f>
        <v>829.3</v>
      </c>
      <c r="F4330" s="2">
        <f>IFERROR(__xludf.DUMMYFUNCTION("""COMPUTED_VALUE"""),876083.0)</f>
        <v>876083</v>
      </c>
    </row>
    <row r="4331">
      <c r="A4331" s="3">
        <f>IFERROR(__xludf.DUMMYFUNCTION("""COMPUTED_VALUE"""),42920.64583333333)</f>
        <v>42920.64583</v>
      </c>
      <c r="B4331" s="2">
        <f>IFERROR(__xludf.DUMMYFUNCTION("""COMPUTED_VALUE"""),830.13)</f>
        <v>830.13</v>
      </c>
      <c r="C4331" s="2">
        <f>IFERROR(__xludf.DUMMYFUNCTION("""COMPUTED_VALUE"""),833.35)</f>
        <v>833.35</v>
      </c>
      <c r="D4331" s="2">
        <f>IFERROR(__xludf.DUMMYFUNCTION("""COMPUTED_VALUE"""),826.0)</f>
        <v>826</v>
      </c>
      <c r="E4331" s="2">
        <f>IFERROR(__xludf.DUMMYFUNCTION("""COMPUTED_VALUE"""),826.68)</f>
        <v>826.68</v>
      </c>
      <c r="F4331" s="2">
        <f>IFERROR(__xludf.DUMMYFUNCTION("""COMPUTED_VALUE"""),941520.0)</f>
        <v>941520</v>
      </c>
    </row>
    <row r="4332">
      <c r="A4332" s="3">
        <f>IFERROR(__xludf.DUMMYFUNCTION("""COMPUTED_VALUE"""),42921.64583333333)</f>
        <v>42921.64583</v>
      </c>
      <c r="B4332" s="2">
        <f>IFERROR(__xludf.DUMMYFUNCTION("""COMPUTED_VALUE"""),826.55)</f>
        <v>826.55</v>
      </c>
      <c r="C4332" s="2">
        <f>IFERROR(__xludf.DUMMYFUNCTION("""COMPUTED_VALUE"""),829.75)</f>
        <v>829.75</v>
      </c>
      <c r="D4332" s="2">
        <f>IFERROR(__xludf.DUMMYFUNCTION("""COMPUTED_VALUE"""),822.5)</f>
        <v>822.5</v>
      </c>
      <c r="E4332" s="2">
        <f>IFERROR(__xludf.DUMMYFUNCTION("""COMPUTED_VALUE"""),824.38)</f>
        <v>824.38</v>
      </c>
      <c r="F4332" s="2">
        <f>IFERROR(__xludf.DUMMYFUNCTION("""COMPUTED_VALUE"""),1003550.0)</f>
        <v>1003550</v>
      </c>
    </row>
    <row r="4333">
      <c r="A4333" s="3">
        <f>IFERROR(__xludf.DUMMYFUNCTION("""COMPUTED_VALUE"""),42922.64583333333)</f>
        <v>42922.64583</v>
      </c>
      <c r="B4333" s="2">
        <f>IFERROR(__xludf.DUMMYFUNCTION("""COMPUTED_VALUE"""),826.28)</f>
        <v>826.28</v>
      </c>
      <c r="C4333" s="2">
        <f>IFERROR(__xludf.DUMMYFUNCTION("""COMPUTED_VALUE"""),831.5)</f>
        <v>831.5</v>
      </c>
      <c r="D4333" s="2">
        <f>IFERROR(__xludf.DUMMYFUNCTION("""COMPUTED_VALUE"""),825.68)</f>
        <v>825.68</v>
      </c>
      <c r="E4333" s="2">
        <f>IFERROR(__xludf.DUMMYFUNCTION("""COMPUTED_VALUE"""),829.08)</f>
        <v>829.08</v>
      </c>
      <c r="F4333" s="2">
        <f>IFERROR(__xludf.DUMMYFUNCTION("""COMPUTED_VALUE"""),1142919.0)</f>
        <v>1142919</v>
      </c>
    </row>
    <row r="4334">
      <c r="A4334" s="3">
        <f>IFERROR(__xludf.DUMMYFUNCTION("""COMPUTED_VALUE"""),42923.64583333333)</f>
        <v>42923.64583</v>
      </c>
      <c r="B4334" s="2">
        <f>IFERROR(__xludf.DUMMYFUNCTION("""COMPUTED_VALUE"""),830.43)</f>
        <v>830.43</v>
      </c>
      <c r="C4334" s="2">
        <f>IFERROR(__xludf.DUMMYFUNCTION("""COMPUTED_VALUE"""),834.8)</f>
        <v>834.8</v>
      </c>
      <c r="D4334" s="2">
        <f>IFERROR(__xludf.DUMMYFUNCTION("""COMPUTED_VALUE"""),829.0)</f>
        <v>829</v>
      </c>
      <c r="E4334" s="2">
        <f>IFERROR(__xludf.DUMMYFUNCTION("""COMPUTED_VALUE"""),833.6)</f>
        <v>833.6</v>
      </c>
      <c r="F4334" s="2">
        <f>IFERROR(__xludf.DUMMYFUNCTION("""COMPUTED_VALUE"""),1379349.0)</f>
        <v>1379349</v>
      </c>
    </row>
    <row r="4335">
      <c r="A4335" s="3">
        <f>IFERROR(__xludf.DUMMYFUNCTION("""COMPUTED_VALUE"""),42926.64583333333)</f>
        <v>42926.64583</v>
      </c>
      <c r="B4335" s="2">
        <f>IFERROR(__xludf.DUMMYFUNCTION("""COMPUTED_VALUE"""),834.0)</f>
        <v>834</v>
      </c>
      <c r="C4335" s="2">
        <f>IFERROR(__xludf.DUMMYFUNCTION("""COMPUTED_VALUE"""),874.0)</f>
        <v>874</v>
      </c>
      <c r="D4335" s="2">
        <f>IFERROR(__xludf.DUMMYFUNCTION("""COMPUTED_VALUE"""),830.53)</f>
        <v>830.53</v>
      </c>
      <c r="E4335" s="2">
        <f>IFERROR(__xludf.DUMMYFUNCTION("""COMPUTED_VALUE"""),838.18)</f>
        <v>838.18</v>
      </c>
      <c r="F4335" s="2">
        <f>IFERROR(__xludf.DUMMYFUNCTION("""COMPUTED_VALUE"""),327313.0)</f>
        <v>327313</v>
      </c>
    </row>
    <row r="4336">
      <c r="A4336" s="3">
        <f>IFERROR(__xludf.DUMMYFUNCTION("""COMPUTED_VALUE"""),42927.64583333333)</f>
        <v>42927.64583</v>
      </c>
      <c r="B4336" s="2">
        <f>IFERROR(__xludf.DUMMYFUNCTION("""COMPUTED_VALUE"""),838.78)</f>
        <v>838.78</v>
      </c>
      <c r="C4336" s="2">
        <f>IFERROR(__xludf.DUMMYFUNCTION("""COMPUTED_VALUE"""),845.4)</f>
        <v>845.4</v>
      </c>
      <c r="D4336" s="2">
        <f>IFERROR(__xludf.DUMMYFUNCTION("""COMPUTED_VALUE"""),833.55)</f>
        <v>833.55</v>
      </c>
      <c r="E4336" s="2">
        <f>IFERROR(__xludf.DUMMYFUNCTION("""COMPUTED_VALUE"""),840.2)</f>
        <v>840.2</v>
      </c>
      <c r="F4336" s="2">
        <f>IFERROR(__xludf.DUMMYFUNCTION("""COMPUTED_VALUE"""),1102570.0)</f>
        <v>1102570</v>
      </c>
    </row>
    <row r="4337">
      <c r="A4337" s="3">
        <f>IFERROR(__xludf.DUMMYFUNCTION("""COMPUTED_VALUE"""),42928.64583333333)</f>
        <v>42928.64583</v>
      </c>
      <c r="B4337" s="2">
        <f>IFERROR(__xludf.DUMMYFUNCTION("""COMPUTED_VALUE"""),840.0)</f>
        <v>840</v>
      </c>
      <c r="C4337" s="2">
        <f>IFERROR(__xludf.DUMMYFUNCTION("""COMPUTED_VALUE"""),842.5)</f>
        <v>842.5</v>
      </c>
      <c r="D4337" s="2">
        <f>IFERROR(__xludf.DUMMYFUNCTION("""COMPUTED_VALUE"""),829.28)</f>
        <v>829.28</v>
      </c>
      <c r="E4337" s="2">
        <f>IFERROR(__xludf.DUMMYFUNCTION("""COMPUTED_VALUE"""),840.63)</f>
        <v>840.63</v>
      </c>
      <c r="F4337" s="2">
        <f>IFERROR(__xludf.DUMMYFUNCTION("""COMPUTED_VALUE"""),1434723.0)</f>
        <v>1434723</v>
      </c>
    </row>
    <row r="4338">
      <c r="A4338" s="3">
        <f>IFERROR(__xludf.DUMMYFUNCTION("""COMPUTED_VALUE"""),42929.64583333333)</f>
        <v>42929.64583</v>
      </c>
      <c r="B4338" s="2">
        <f>IFERROR(__xludf.DUMMYFUNCTION("""COMPUTED_VALUE"""),844.0)</f>
        <v>844</v>
      </c>
      <c r="C4338" s="2">
        <f>IFERROR(__xludf.DUMMYFUNCTION("""COMPUTED_VALUE"""),846.65)</f>
        <v>846.65</v>
      </c>
      <c r="D4338" s="2">
        <f>IFERROR(__xludf.DUMMYFUNCTION("""COMPUTED_VALUE"""),839.83)</f>
        <v>839.83</v>
      </c>
      <c r="E4338" s="2">
        <f>IFERROR(__xludf.DUMMYFUNCTION("""COMPUTED_VALUE"""),841.78)</f>
        <v>841.78</v>
      </c>
      <c r="F4338" s="2">
        <f>IFERROR(__xludf.DUMMYFUNCTION("""COMPUTED_VALUE"""),1120251.0)</f>
        <v>1120251</v>
      </c>
    </row>
    <row r="4339">
      <c r="A4339" s="3">
        <f>IFERROR(__xludf.DUMMYFUNCTION("""COMPUTED_VALUE"""),42930.64583333333)</f>
        <v>42930.64583</v>
      </c>
      <c r="B4339" s="2">
        <f>IFERROR(__xludf.DUMMYFUNCTION("""COMPUTED_VALUE"""),841.95)</f>
        <v>841.95</v>
      </c>
      <c r="C4339" s="2">
        <f>IFERROR(__xludf.DUMMYFUNCTION("""COMPUTED_VALUE"""),843.03)</f>
        <v>843.03</v>
      </c>
      <c r="D4339" s="2">
        <f>IFERROR(__xludf.DUMMYFUNCTION("""COMPUTED_VALUE"""),836.0)</f>
        <v>836</v>
      </c>
      <c r="E4339" s="2">
        <f>IFERROR(__xludf.DUMMYFUNCTION("""COMPUTED_VALUE"""),839.98)</f>
        <v>839.98</v>
      </c>
      <c r="F4339" s="2">
        <f>IFERROR(__xludf.DUMMYFUNCTION("""COMPUTED_VALUE"""),610813.0)</f>
        <v>610813</v>
      </c>
    </row>
    <row r="4340">
      <c r="A4340" s="3">
        <f>IFERROR(__xludf.DUMMYFUNCTION("""COMPUTED_VALUE"""),42933.64583333333)</f>
        <v>42933.64583</v>
      </c>
      <c r="B4340" s="2">
        <f>IFERROR(__xludf.DUMMYFUNCTION("""COMPUTED_VALUE"""),841.28)</f>
        <v>841.28</v>
      </c>
      <c r="C4340" s="2">
        <f>IFERROR(__xludf.DUMMYFUNCTION("""COMPUTED_VALUE"""),843.83)</f>
        <v>843.83</v>
      </c>
      <c r="D4340" s="2">
        <f>IFERROR(__xludf.DUMMYFUNCTION("""COMPUTED_VALUE"""),838.5)</f>
        <v>838.5</v>
      </c>
      <c r="E4340" s="2">
        <f>IFERROR(__xludf.DUMMYFUNCTION("""COMPUTED_VALUE"""),841.18)</f>
        <v>841.18</v>
      </c>
      <c r="F4340" s="2">
        <f>IFERROR(__xludf.DUMMYFUNCTION("""COMPUTED_VALUE"""),599835.0)</f>
        <v>599835</v>
      </c>
    </row>
    <row r="4341">
      <c r="A4341" s="3">
        <f>IFERROR(__xludf.DUMMYFUNCTION("""COMPUTED_VALUE"""),42934.64583333333)</f>
        <v>42934.64583</v>
      </c>
      <c r="B4341" s="2">
        <f>IFERROR(__xludf.DUMMYFUNCTION("""COMPUTED_VALUE"""),839.85)</f>
        <v>839.85</v>
      </c>
      <c r="C4341" s="2">
        <f>IFERROR(__xludf.DUMMYFUNCTION("""COMPUTED_VALUE"""),843.93)</f>
        <v>843.93</v>
      </c>
      <c r="D4341" s="2">
        <f>IFERROR(__xludf.DUMMYFUNCTION("""COMPUTED_VALUE"""),838.68)</f>
        <v>838.68</v>
      </c>
      <c r="E4341" s="2">
        <f>IFERROR(__xludf.DUMMYFUNCTION("""COMPUTED_VALUE"""),841.78)</f>
        <v>841.78</v>
      </c>
      <c r="F4341" s="2">
        <f>IFERROR(__xludf.DUMMYFUNCTION("""COMPUTED_VALUE"""),580547.0)</f>
        <v>580547</v>
      </c>
    </row>
    <row r="4342">
      <c r="A4342" s="3">
        <f>IFERROR(__xludf.DUMMYFUNCTION("""COMPUTED_VALUE"""),42935.64583333333)</f>
        <v>42935.64583</v>
      </c>
      <c r="B4342" s="2">
        <f>IFERROR(__xludf.DUMMYFUNCTION("""COMPUTED_VALUE"""),842.5)</f>
        <v>842.5</v>
      </c>
      <c r="C4342" s="2">
        <f>IFERROR(__xludf.DUMMYFUNCTION("""COMPUTED_VALUE"""),848.1)</f>
        <v>848.1</v>
      </c>
      <c r="D4342" s="2">
        <f>IFERROR(__xludf.DUMMYFUNCTION("""COMPUTED_VALUE"""),840.93)</f>
        <v>840.93</v>
      </c>
      <c r="E4342" s="2">
        <f>IFERROR(__xludf.DUMMYFUNCTION("""COMPUTED_VALUE"""),846.15)</f>
        <v>846.15</v>
      </c>
      <c r="F4342" s="2">
        <f>IFERROR(__xludf.DUMMYFUNCTION("""COMPUTED_VALUE"""),996811.0)</f>
        <v>996811</v>
      </c>
    </row>
    <row r="4343">
      <c r="A4343" s="3">
        <f>IFERROR(__xludf.DUMMYFUNCTION("""COMPUTED_VALUE"""),42936.64583333333)</f>
        <v>42936.64583</v>
      </c>
      <c r="B4343" s="2">
        <f>IFERROR(__xludf.DUMMYFUNCTION("""COMPUTED_VALUE"""),846.95)</f>
        <v>846.95</v>
      </c>
      <c r="C4343" s="2">
        <f>IFERROR(__xludf.DUMMYFUNCTION("""COMPUTED_VALUE"""),857.5)</f>
        <v>857.5</v>
      </c>
      <c r="D4343" s="2">
        <f>IFERROR(__xludf.DUMMYFUNCTION("""COMPUTED_VALUE"""),844.08)</f>
        <v>844.08</v>
      </c>
      <c r="E4343" s="2">
        <f>IFERROR(__xludf.DUMMYFUNCTION("""COMPUTED_VALUE"""),855.45)</f>
        <v>855.45</v>
      </c>
      <c r="F4343" s="2">
        <f>IFERROR(__xludf.DUMMYFUNCTION("""COMPUTED_VALUE"""),924619.0)</f>
        <v>924619</v>
      </c>
    </row>
    <row r="4344">
      <c r="A4344" s="3">
        <f>IFERROR(__xludf.DUMMYFUNCTION("""COMPUTED_VALUE"""),42937.64583333333)</f>
        <v>42937.64583</v>
      </c>
      <c r="B4344" s="2">
        <f>IFERROR(__xludf.DUMMYFUNCTION("""COMPUTED_VALUE"""),857.05)</f>
        <v>857.05</v>
      </c>
      <c r="C4344" s="2">
        <f>IFERROR(__xludf.DUMMYFUNCTION("""COMPUTED_VALUE"""),857.63)</f>
        <v>857.63</v>
      </c>
      <c r="D4344" s="2">
        <f>IFERROR(__xludf.DUMMYFUNCTION("""COMPUTED_VALUE"""),850.0)</f>
        <v>850</v>
      </c>
      <c r="E4344" s="2">
        <f>IFERROR(__xludf.DUMMYFUNCTION("""COMPUTED_VALUE"""),851.53)</f>
        <v>851.53</v>
      </c>
      <c r="F4344" s="2">
        <f>IFERROR(__xludf.DUMMYFUNCTION("""COMPUTED_VALUE"""),968377.0)</f>
        <v>968377</v>
      </c>
    </row>
    <row r="4345">
      <c r="A4345" s="3">
        <f>IFERROR(__xludf.DUMMYFUNCTION("""COMPUTED_VALUE"""),42940.64583333333)</f>
        <v>42940.64583</v>
      </c>
      <c r="B4345" s="2">
        <f>IFERROR(__xludf.DUMMYFUNCTION("""COMPUTED_VALUE"""),855.0)</f>
        <v>855</v>
      </c>
      <c r="C4345" s="2">
        <f>IFERROR(__xludf.DUMMYFUNCTION("""COMPUTED_VALUE"""),870.0)</f>
        <v>870</v>
      </c>
      <c r="D4345" s="2">
        <f>IFERROR(__xludf.DUMMYFUNCTION("""COMPUTED_VALUE"""),847.5)</f>
        <v>847.5</v>
      </c>
      <c r="E4345" s="2">
        <f>IFERROR(__xludf.DUMMYFUNCTION("""COMPUTED_VALUE"""),867.55)</f>
        <v>867.55</v>
      </c>
      <c r="F4345" s="2">
        <f>IFERROR(__xludf.DUMMYFUNCTION("""COMPUTED_VALUE"""),4919544.0)</f>
        <v>4919544</v>
      </c>
    </row>
    <row r="4346">
      <c r="A4346" s="3">
        <f>IFERROR(__xludf.DUMMYFUNCTION("""COMPUTED_VALUE"""),42941.64583333333)</f>
        <v>42941.64583</v>
      </c>
      <c r="B4346" s="2">
        <f>IFERROR(__xludf.DUMMYFUNCTION("""COMPUTED_VALUE"""),879.5)</f>
        <v>879.5</v>
      </c>
      <c r="C4346" s="2">
        <f>IFERROR(__xludf.DUMMYFUNCTION("""COMPUTED_VALUE"""),879.5)</f>
        <v>879.5</v>
      </c>
      <c r="D4346" s="2">
        <f>IFERROR(__xludf.DUMMYFUNCTION("""COMPUTED_VALUE"""),866.53)</f>
        <v>866.53</v>
      </c>
      <c r="E4346" s="2">
        <f>IFERROR(__xludf.DUMMYFUNCTION("""COMPUTED_VALUE"""),869.83)</f>
        <v>869.83</v>
      </c>
      <c r="F4346" s="2">
        <f>IFERROR(__xludf.DUMMYFUNCTION("""COMPUTED_VALUE"""),2790117.0)</f>
        <v>2790117</v>
      </c>
    </row>
    <row r="4347">
      <c r="A4347" s="3">
        <f>IFERROR(__xludf.DUMMYFUNCTION("""COMPUTED_VALUE"""),42942.64583333333)</f>
        <v>42942.64583</v>
      </c>
      <c r="B4347" s="2">
        <f>IFERROR(__xludf.DUMMYFUNCTION("""COMPUTED_VALUE"""),871.0)</f>
        <v>871</v>
      </c>
      <c r="C4347" s="2">
        <f>IFERROR(__xludf.DUMMYFUNCTION("""COMPUTED_VALUE"""),877.5)</f>
        <v>877.5</v>
      </c>
      <c r="D4347" s="2">
        <f>IFERROR(__xludf.DUMMYFUNCTION("""COMPUTED_VALUE"""),866.25)</f>
        <v>866.25</v>
      </c>
      <c r="E4347" s="2">
        <f>IFERROR(__xludf.DUMMYFUNCTION("""COMPUTED_VALUE"""),873.78)</f>
        <v>873.78</v>
      </c>
      <c r="F4347" s="2">
        <f>IFERROR(__xludf.DUMMYFUNCTION("""COMPUTED_VALUE"""),973836.0)</f>
        <v>973836</v>
      </c>
    </row>
    <row r="4348">
      <c r="A4348" s="3">
        <f>IFERROR(__xludf.DUMMYFUNCTION("""COMPUTED_VALUE"""),42943.64583333333)</f>
        <v>42943.64583</v>
      </c>
      <c r="B4348" s="2">
        <f>IFERROR(__xludf.DUMMYFUNCTION("""COMPUTED_VALUE"""),878.0)</f>
        <v>878</v>
      </c>
      <c r="C4348" s="2">
        <f>IFERROR(__xludf.DUMMYFUNCTION("""COMPUTED_VALUE"""),899.4)</f>
        <v>899.4</v>
      </c>
      <c r="D4348" s="2">
        <f>IFERROR(__xludf.DUMMYFUNCTION("""COMPUTED_VALUE"""),875.78)</f>
        <v>875.78</v>
      </c>
      <c r="E4348" s="2">
        <f>IFERROR(__xludf.DUMMYFUNCTION("""COMPUTED_VALUE"""),894.83)</f>
        <v>894.83</v>
      </c>
      <c r="F4348" s="2">
        <f>IFERROR(__xludf.DUMMYFUNCTION("""COMPUTED_VALUE"""),4490428.0)</f>
        <v>4490428</v>
      </c>
    </row>
    <row r="4349">
      <c r="A4349" s="3">
        <f>IFERROR(__xludf.DUMMYFUNCTION("""COMPUTED_VALUE"""),42944.64583333333)</f>
        <v>42944.64583</v>
      </c>
      <c r="B4349" s="2">
        <f>IFERROR(__xludf.DUMMYFUNCTION("""COMPUTED_VALUE"""),886.0)</f>
        <v>886</v>
      </c>
      <c r="C4349" s="2">
        <f>IFERROR(__xludf.DUMMYFUNCTION("""COMPUTED_VALUE"""),893.25)</f>
        <v>893.25</v>
      </c>
      <c r="D4349" s="2">
        <f>IFERROR(__xludf.DUMMYFUNCTION("""COMPUTED_VALUE"""),880.55)</f>
        <v>880.55</v>
      </c>
      <c r="E4349" s="2">
        <f>IFERROR(__xludf.DUMMYFUNCTION("""COMPUTED_VALUE"""),889.25)</f>
        <v>889.25</v>
      </c>
      <c r="F4349" s="2">
        <f>IFERROR(__xludf.DUMMYFUNCTION("""COMPUTED_VALUE"""),2313849.0)</f>
        <v>2313849</v>
      </c>
    </row>
    <row r="4350">
      <c r="A4350" s="3">
        <f>IFERROR(__xludf.DUMMYFUNCTION("""COMPUTED_VALUE"""),42947.64583333333)</f>
        <v>42947.64583</v>
      </c>
      <c r="B4350" s="2">
        <f>IFERROR(__xludf.DUMMYFUNCTION("""COMPUTED_VALUE"""),888.78)</f>
        <v>888.78</v>
      </c>
      <c r="C4350" s="2">
        <f>IFERROR(__xludf.DUMMYFUNCTION("""COMPUTED_VALUE"""),895.5)</f>
        <v>895.5</v>
      </c>
      <c r="D4350" s="2">
        <f>IFERROR(__xludf.DUMMYFUNCTION("""COMPUTED_VALUE"""),883.28)</f>
        <v>883.28</v>
      </c>
      <c r="E4350" s="2">
        <f>IFERROR(__xludf.DUMMYFUNCTION("""COMPUTED_VALUE"""),892.2)</f>
        <v>892.2</v>
      </c>
      <c r="F4350" s="2">
        <f>IFERROR(__xludf.DUMMYFUNCTION("""COMPUTED_VALUE"""),1842285.0)</f>
        <v>1842285</v>
      </c>
    </row>
    <row r="4351">
      <c r="A4351" s="3">
        <f>IFERROR(__xludf.DUMMYFUNCTION("""COMPUTED_VALUE"""),42948.64583333333)</f>
        <v>42948.64583</v>
      </c>
      <c r="B4351" s="2">
        <f>IFERROR(__xludf.DUMMYFUNCTION("""COMPUTED_VALUE"""),890.93)</f>
        <v>890.93</v>
      </c>
      <c r="C4351" s="2">
        <f>IFERROR(__xludf.DUMMYFUNCTION("""COMPUTED_VALUE"""),904.58)</f>
        <v>904.58</v>
      </c>
      <c r="D4351" s="2">
        <f>IFERROR(__xludf.DUMMYFUNCTION("""COMPUTED_VALUE"""),886.1)</f>
        <v>886.1</v>
      </c>
      <c r="E4351" s="2">
        <f>IFERROR(__xludf.DUMMYFUNCTION("""COMPUTED_VALUE"""),898.6)</f>
        <v>898.6</v>
      </c>
      <c r="F4351" s="2">
        <f>IFERROR(__xludf.DUMMYFUNCTION("""COMPUTED_VALUE"""),2129215.0)</f>
        <v>2129215</v>
      </c>
    </row>
    <row r="4352">
      <c r="A4352" s="3">
        <f>IFERROR(__xludf.DUMMYFUNCTION("""COMPUTED_VALUE"""),42949.64583333333)</f>
        <v>42949.64583</v>
      </c>
      <c r="B4352" s="2">
        <f>IFERROR(__xludf.DUMMYFUNCTION("""COMPUTED_VALUE"""),903.5)</f>
        <v>903.5</v>
      </c>
      <c r="C4352" s="2">
        <f>IFERROR(__xludf.DUMMYFUNCTION("""COMPUTED_VALUE"""),903.5)</f>
        <v>903.5</v>
      </c>
      <c r="D4352" s="2">
        <f>IFERROR(__xludf.DUMMYFUNCTION("""COMPUTED_VALUE"""),891.03)</f>
        <v>891.03</v>
      </c>
      <c r="E4352" s="2">
        <f>IFERROR(__xludf.DUMMYFUNCTION("""COMPUTED_VALUE"""),895.83)</f>
        <v>895.83</v>
      </c>
      <c r="F4352" s="2">
        <f>IFERROR(__xludf.DUMMYFUNCTION("""COMPUTED_VALUE"""),1849479.0)</f>
        <v>1849479</v>
      </c>
    </row>
    <row r="4353">
      <c r="A4353" s="3">
        <f>IFERROR(__xludf.DUMMYFUNCTION("""COMPUTED_VALUE"""),42950.64583333333)</f>
        <v>42950.64583</v>
      </c>
      <c r="B4353" s="2">
        <f>IFERROR(__xludf.DUMMYFUNCTION("""COMPUTED_VALUE"""),894.0)</f>
        <v>894</v>
      </c>
      <c r="C4353" s="2">
        <f>IFERROR(__xludf.DUMMYFUNCTION("""COMPUTED_VALUE"""),896.0)</f>
        <v>896</v>
      </c>
      <c r="D4353" s="2">
        <f>IFERROR(__xludf.DUMMYFUNCTION("""COMPUTED_VALUE"""),887.2)</f>
        <v>887.2</v>
      </c>
      <c r="E4353" s="2">
        <f>IFERROR(__xludf.DUMMYFUNCTION("""COMPUTED_VALUE"""),889.98)</f>
        <v>889.98</v>
      </c>
      <c r="F4353" s="2">
        <f>IFERROR(__xludf.DUMMYFUNCTION("""COMPUTED_VALUE"""),1064196.0)</f>
        <v>1064196</v>
      </c>
    </row>
    <row r="4354">
      <c r="A4354" s="3">
        <f>IFERROR(__xludf.DUMMYFUNCTION("""COMPUTED_VALUE"""),42951.64583333333)</f>
        <v>42951.64583</v>
      </c>
      <c r="B4354" s="2">
        <f>IFERROR(__xludf.DUMMYFUNCTION("""COMPUTED_VALUE"""),888.5)</f>
        <v>888.5</v>
      </c>
      <c r="C4354" s="2">
        <f>IFERROR(__xludf.DUMMYFUNCTION("""COMPUTED_VALUE"""),898.38)</f>
        <v>898.38</v>
      </c>
      <c r="D4354" s="2">
        <f>IFERROR(__xludf.DUMMYFUNCTION("""COMPUTED_VALUE"""),883.08)</f>
        <v>883.08</v>
      </c>
      <c r="E4354" s="2">
        <f>IFERROR(__xludf.DUMMYFUNCTION("""COMPUTED_VALUE"""),895.13)</f>
        <v>895.13</v>
      </c>
      <c r="F4354" s="2">
        <f>IFERROR(__xludf.DUMMYFUNCTION("""COMPUTED_VALUE"""),886267.0)</f>
        <v>886267</v>
      </c>
    </row>
    <row r="4355">
      <c r="A4355" s="3">
        <f>IFERROR(__xludf.DUMMYFUNCTION("""COMPUTED_VALUE"""),42954.64583333333)</f>
        <v>42954.64583</v>
      </c>
      <c r="B4355" s="2">
        <f>IFERROR(__xludf.DUMMYFUNCTION("""COMPUTED_VALUE"""),893.0)</f>
        <v>893</v>
      </c>
      <c r="C4355" s="2">
        <f>IFERROR(__xludf.DUMMYFUNCTION("""COMPUTED_VALUE"""),898.23)</f>
        <v>898.23</v>
      </c>
      <c r="D4355" s="2">
        <f>IFERROR(__xludf.DUMMYFUNCTION("""COMPUTED_VALUE"""),892.5)</f>
        <v>892.5</v>
      </c>
      <c r="E4355" s="2">
        <f>IFERROR(__xludf.DUMMYFUNCTION("""COMPUTED_VALUE"""),894.28)</f>
        <v>894.28</v>
      </c>
      <c r="F4355" s="2">
        <f>IFERROR(__xludf.DUMMYFUNCTION("""COMPUTED_VALUE"""),479665.0)</f>
        <v>479665</v>
      </c>
    </row>
    <row r="4356">
      <c r="A4356" s="3">
        <f>IFERROR(__xludf.DUMMYFUNCTION("""COMPUTED_VALUE"""),42955.64583333333)</f>
        <v>42955.64583</v>
      </c>
      <c r="B4356" s="2">
        <f>IFERROR(__xludf.DUMMYFUNCTION("""COMPUTED_VALUE"""),896.05)</f>
        <v>896.05</v>
      </c>
      <c r="C4356" s="2">
        <f>IFERROR(__xludf.DUMMYFUNCTION("""COMPUTED_VALUE"""),898.63)</f>
        <v>898.63</v>
      </c>
      <c r="D4356" s="2">
        <f>IFERROR(__xludf.DUMMYFUNCTION("""COMPUTED_VALUE"""),883.05)</f>
        <v>883.05</v>
      </c>
      <c r="E4356" s="2">
        <f>IFERROR(__xludf.DUMMYFUNCTION("""COMPUTED_VALUE"""),888.95)</f>
        <v>888.95</v>
      </c>
      <c r="F4356" s="2">
        <f>IFERROR(__xludf.DUMMYFUNCTION("""COMPUTED_VALUE"""),1008843.0)</f>
        <v>1008843</v>
      </c>
    </row>
    <row r="4357">
      <c r="A4357" s="3">
        <f>IFERROR(__xludf.DUMMYFUNCTION("""COMPUTED_VALUE"""),42956.64583333333)</f>
        <v>42956.64583</v>
      </c>
      <c r="B4357" s="2">
        <f>IFERROR(__xludf.DUMMYFUNCTION("""COMPUTED_VALUE"""),885.5)</f>
        <v>885.5</v>
      </c>
      <c r="C4357" s="2">
        <f>IFERROR(__xludf.DUMMYFUNCTION("""COMPUTED_VALUE"""),888.53)</f>
        <v>888.53</v>
      </c>
      <c r="D4357" s="2">
        <f>IFERROR(__xludf.DUMMYFUNCTION("""COMPUTED_VALUE"""),879.18)</f>
        <v>879.18</v>
      </c>
      <c r="E4357" s="2">
        <f>IFERROR(__xludf.DUMMYFUNCTION("""COMPUTED_VALUE"""),882.23)</f>
        <v>882.23</v>
      </c>
      <c r="F4357" s="2">
        <f>IFERROR(__xludf.DUMMYFUNCTION("""COMPUTED_VALUE"""),817514.0)</f>
        <v>817514</v>
      </c>
    </row>
    <row r="4358">
      <c r="A4358" s="3">
        <f>IFERROR(__xludf.DUMMYFUNCTION("""COMPUTED_VALUE"""),42957.64583333333)</f>
        <v>42957.64583</v>
      </c>
      <c r="B4358" s="2">
        <f>IFERROR(__xludf.DUMMYFUNCTION("""COMPUTED_VALUE"""),880.0)</f>
        <v>880</v>
      </c>
      <c r="C4358" s="2">
        <f>IFERROR(__xludf.DUMMYFUNCTION("""COMPUTED_VALUE"""),883.0)</f>
        <v>883</v>
      </c>
      <c r="D4358" s="2">
        <f>IFERROR(__xludf.DUMMYFUNCTION("""COMPUTED_VALUE"""),876.43)</f>
        <v>876.43</v>
      </c>
      <c r="E4358" s="2">
        <f>IFERROR(__xludf.DUMMYFUNCTION("""COMPUTED_VALUE"""),880.23)</f>
        <v>880.23</v>
      </c>
      <c r="F4358" s="2">
        <f>IFERROR(__xludf.DUMMYFUNCTION("""COMPUTED_VALUE"""),1947111.0)</f>
        <v>1947111</v>
      </c>
    </row>
    <row r="4359">
      <c r="A4359" s="3">
        <f>IFERROR(__xludf.DUMMYFUNCTION("""COMPUTED_VALUE"""),42958.64583333333)</f>
        <v>42958.64583</v>
      </c>
      <c r="B4359" s="2">
        <f>IFERROR(__xludf.DUMMYFUNCTION("""COMPUTED_VALUE"""),872.5)</f>
        <v>872.5</v>
      </c>
      <c r="C4359" s="2">
        <f>IFERROR(__xludf.DUMMYFUNCTION("""COMPUTED_VALUE"""),879.0)</f>
        <v>879</v>
      </c>
      <c r="D4359" s="2">
        <f>IFERROR(__xludf.DUMMYFUNCTION("""COMPUTED_VALUE"""),865.58)</f>
        <v>865.58</v>
      </c>
      <c r="E4359" s="2">
        <f>IFERROR(__xludf.DUMMYFUNCTION("""COMPUTED_VALUE"""),874.53)</f>
        <v>874.53</v>
      </c>
      <c r="F4359" s="2">
        <f>IFERROR(__xludf.DUMMYFUNCTION("""COMPUTED_VALUE"""),1589959.0)</f>
        <v>1589959</v>
      </c>
    </row>
    <row r="4360">
      <c r="A4360" s="3">
        <f>IFERROR(__xludf.DUMMYFUNCTION("""COMPUTED_VALUE"""),42961.64583333333)</f>
        <v>42961.64583</v>
      </c>
      <c r="B4360" s="2">
        <f>IFERROR(__xludf.DUMMYFUNCTION("""COMPUTED_VALUE"""),876.5)</f>
        <v>876.5</v>
      </c>
      <c r="C4360" s="2">
        <f>IFERROR(__xludf.DUMMYFUNCTION("""COMPUTED_VALUE"""),887.48)</f>
        <v>887.48</v>
      </c>
      <c r="D4360" s="2">
        <f>IFERROR(__xludf.DUMMYFUNCTION("""COMPUTED_VALUE"""),874.0)</f>
        <v>874</v>
      </c>
      <c r="E4360" s="2">
        <f>IFERROR(__xludf.DUMMYFUNCTION("""COMPUTED_VALUE"""),878.6)</f>
        <v>878.6</v>
      </c>
      <c r="F4360" s="2">
        <f>IFERROR(__xludf.DUMMYFUNCTION("""COMPUTED_VALUE"""),894271.0)</f>
        <v>894271</v>
      </c>
    </row>
    <row r="4361">
      <c r="A4361" s="3">
        <f>IFERROR(__xludf.DUMMYFUNCTION("""COMPUTED_VALUE"""),42963.64583333333)</f>
        <v>42963.64583</v>
      </c>
      <c r="B4361" s="2">
        <f>IFERROR(__xludf.DUMMYFUNCTION("""COMPUTED_VALUE"""),881.18)</f>
        <v>881.18</v>
      </c>
      <c r="C4361" s="2">
        <f>IFERROR(__xludf.DUMMYFUNCTION("""COMPUTED_VALUE"""),894.9)</f>
        <v>894.9</v>
      </c>
      <c r="D4361" s="2">
        <f>IFERROR(__xludf.DUMMYFUNCTION("""COMPUTED_VALUE"""),874.28)</f>
        <v>874.28</v>
      </c>
      <c r="E4361" s="2">
        <f>IFERROR(__xludf.DUMMYFUNCTION("""COMPUTED_VALUE"""),890.63)</f>
        <v>890.63</v>
      </c>
      <c r="F4361" s="2">
        <f>IFERROR(__xludf.DUMMYFUNCTION("""COMPUTED_VALUE"""),1106708.0)</f>
        <v>1106708</v>
      </c>
    </row>
    <row r="4362">
      <c r="A4362" s="3">
        <f>IFERROR(__xludf.DUMMYFUNCTION("""COMPUTED_VALUE"""),42964.64583333333)</f>
        <v>42964.64583</v>
      </c>
      <c r="B4362" s="2">
        <f>IFERROR(__xludf.DUMMYFUNCTION("""COMPUTED_VALUE"""),888.13)</f>
        <v>888.13</v>
      </c>
      <c r="C4362" s="2">
        <f>IFERROR(__xludf.DUMMYFUNCTION("""COMPUTED_VALUE"""),890.48)</f>
        <v>890.48</v>
      </c>
      <c r="D4362" s="2">
        <f>IFERROR(__xludf.DUMMYFUNCTION("""COMPUTED_VALUE"""),876.88)</f>
        <v>876.88</v>
      </c>
      <c r="E4362" s="2">
        <f>IFERROR(__xludf.DUMMYFUNCTION("""COMPUTED_VALUE"""),882.7)</f>
        <v>882.7</v>
      </c>
      <c r="F4362" s="2">
        <f>IFERROR(__xludf.DUMMYFUNCTION("""COMPUTED_VALUE"""),1363717.0)</f>
        <v>1363717</v>
      </c>
    </row>
    <row r="4363">
      <c r="A4363" s="3">
        <f>IFERROR(__xludf.DUMMYFUNCTION("""COMPUTED_VALUE"""),42965.64583333333)</f>
        <v>42965.64583</v>
      </c>
      <c r="B4363" s="2">
        <f>IFERROR(__xludf.DUMMYFUNCTION("""COMPUTED_VALUE"""),880.0)</f>
        <v>880</v>
      </c>
      <c r="C4363" s="2">
        <f>IFERROR(__xludf.DUMMYFUNCTION("""COMPUTED_VALUE"""),880.5)</f>
        <v>880.5</v>
      </c>
      <c r="D4363" s="2">
        <f>IFERROR(__xludf.DUMMYFUNCTION("""COMPUTED_VALUE"""),871.5)</f>
        <v>871.5</v>
      </c>
      <c r="E4363" s="2">
        <f>IFERROR(__xludf.DUMMYFUNCTION("""COMPUTED_VALUE"""),876.08)</f>
        <v>876.08</v>
      </c>
      <c r="F4363" s="2">
        <f>IFERROR(__xludf.DUMMYFUNCTION("""COMPUTED_VALUE"""),926866.0)</f>
        <v>926866</v>
      </c>
    </row>
    <row r="4364">
      <c r="A4364" s="3">
        <f>IFERROR(__xludf.DUMMYFUNCTION("""COMPUTED_VALUE"""),42968.64583333333)</f>
        <v>42968.64583</v>
      </c>
      <c r="B4364" s="2">
        <f>IFERROR(__xludf.DUMMYFUNCTION("""COMPUTED_VALUE"""),877.0)</f>
        <v>877</v>
      </c>
      <c r="C4364" s="2">
        <f>IFERROR(__xludf.DUMMYFUNCTION("""COMPUTED_VALUE"""),879.5)</f>
        <v>879.5</v>
      </c>
      <c r="D4364" s="2">
        <f>IFERROR(__xludf.DUMMYFUNCTION("""COMPUTED_VALUE"""),869.1)</f>
        <v>869.1</v>
      </c>
      <c r="E4364" s="2">
        <f>IFERROR(__xludf.DUMMYFUNCTION("""COMPUTED_VALUE"""),871.6)</f>
        <v>871.6</v>
      </c>
      <c r="F4364" s="2">
        <f>IFERROR(__xludf.DUMMYFUNCTION("""COMPUTED_VALUE"""),1002431.0)</f>
        <v>1002431</v>
      </c>
    </row>
    <row r="4365">
      <c r="A4365" s="3">
        <f>IFERROR(__xludf.DUMMYFUNCTION("""COMPUTED_VALUE"""),42969.64583333333)</f>
        <v>42969.64583</v>
      </c>
      <c r="B4365" s="2">
        <f>IFERROR(__xludf.DUMMYFUNCTION("""COMPUTED_VALUE"""),875.65)</f>
        <v>875.65</v>
      </c>
      <c r="C4365" s="2">
        <f>IFERROR(__xludf.DUMMYFUNCTION("""COMPUTED_VALUE"""),877.0)</f>
        <v>877</v>
      </c>
      <c r="D4365" s="2">
        <f>IFERROR(__xludf.DUMMYFUNCTION("""COMPUTED_VALUE"""),868.4)</f>
        <v>868.4</v>
      </c>
      <c r="E4365" s="2">
        <f>IFERROR(__xludf.DUMMYFUNCTION("""COMPUTED_VALUE"""),873.5)</f>
        <v>873.5</v>
      </c>
      <c r="F4365" s="2">
        <f>IFERROR(__xludf.DUMMYFUNCTION("""COMPUTED_VALUE"""),1652389.0)</f>
        <v>1652389</v>
      </c>
    </row>
    <row r="4366">
      <c r="A4366" s="3">
        <f>IFERROR(__xludf.DUMMYFUNCTION("""COMPUTED_VALUE"""),42970.64583333333)</f>
        <v>42970.64583</v>
      </c>
      <c r="B4366" s="2">
        <f>IFERROR(__xludf.DUMMYFUNCTION("""COMPUTED_VALUE"""),875.0)</f>
        <v>875</v>
      </c>
      <c r="C4366" s="2">
        <f>IFERROR(__xludf.DUMMYFUNCTION("""COMPUTED_VALUE"""),888.98)</f>
        <v>888.98</v>
      </c>
      <c r="D4366" s="2">
        <f>IFERROR(__xludf.DUMMYFUNCTION("""COMPUTED_VALUE"""),875.0)</f>
        <v>875</v>
      </c>
      <c r="E4366" s="2">
        <f>IFERROR(__xludf.DUMMYFUNCTION("""COMPUTED_VALUE"""),886.23)</f>
        <v>886.23</v>
      </c>
      <c r="F4366" s="2">
        <f>IFERROR(__xludf.DUMMYFUNCTION("""COMPUTED_VALUE"""),840131.0)</f>
        <v>840131</v>
      </c>
    </row>
    <row r="4367">
      <c r="A4367" s="3">
        <f>IFERROR(__xludf.DUMMYFUNCTION("""COMPUTED_VALUE"""),42971.64583333333)</f>
        <v>42971.64583</v>
      </c>
      <c r="B4367" s="2">
        <f>IFERROR(__xludf.DUMMYFUNCTION("""COMPUTED_VALUE"""),887.45)</f>
        <v>887.45</v>
      </c>
      <c r="C4367" s="2">
        <f>IFERROR(__xludf.DUMMYFUNCTION("""COMPUTED_VALUE"""),887.48)</f>
        <v>887.48</v>
      </c>
      <c r="D4367" s="2">
        <f>IFERROR(__xludf.DUMMYFUNCTION("""COMPUTED_VALUE"""),879.58)</f>
        <v>879.58</v>
      </c>
      <c r="E4367" s="2">
        <f>IFERROR(__xludf.DUMMYFUNCTION("""COMPUTED_VALUE"""),881.25)</f>
        <v>881.25</v>
      </c>
      <c r="F4367" s="2">
        <f>IFERROR(__xludf.DUMMYFUNCTION("""COMPUTED_VALUE"""),1969569.0)</f>
        <v>1969569</v>
      </c>
    </row>
    <row r="4368">
      <c r="A4368" s="3">
        <f>IFERROR(__xludf.DUMMYFUNCTION("""COMPUTED_VALUE"""),42975.64583333333)</f>
        <v>42975.64583</v>
      </c>
      <c r="B4368" s="2">
        <f>IFERROR(__xludf.DUMMYFUNCTION("""COMPUTED_VALUE"""),881.2)</f>
        <v>881.2</v>
      </c>
      <c r="C4368" s="2">
        <f>IFERROR(__xludf.DUMMYFUNCTION("""COMPUTED_VALUE"""),885.58)</f>
        <v>885.58</v>
      </c>
      <c r="D4368" s="2">
        <f>IFERROR(__xludf.DUMMYFUNCTION("""COMPUTED_VALUE"""),879.18)</f>
        <v>879.18</v>
      </c>
      <c r="E4368" s="2">
        <f>IFERROR(__xludf.DUMMYFUNCTION("""COMPUTED_VALUE"""),881.13)</f>
        <v>881.13</v>
      </c>
      <c r="F4368" s="2">
        <f>IFERROR(__xludf.DUMMYFUNCTION("""COMPUTED_VALUE"""),376946.0)</f>
        <v>376946</v>
      </c>
    </row>
    <row r="4369">
      <c r="A4369" s="3">
        <f>IFERROR(__xludf.DUMMYFUNCTION("""COMPUTED_VALUE"""),42976.64583333333)</f>
        <v>42976.64583</v>
      </c>
      <c r="B4369" s="2">
        <f>IFERROR(__xludf.DUMMYFUNCTION("""COMPUTED_VALUE"""),879.5)</f>
        <v>879.5</v>
      </c>
      <c r="C4369" s="2">
        <f>IFERROR(__xludf.DUMMYFUNCTION("""COMPUTED_VALUE"""),879.5)</f>
        <v>879.5</v>
      </c>
      <c r="D4369" s="2">
        <f>IFERROR(__xludf.DUMMYFUNCTION("""COMPUTED_VALUE"""),869.0)</f>
        <v>869</v>
      </c>
      <c r="E4369" s="2">
        <f>IFERROR(__xludf.DUMMYFUNCTION("""COMPUTED_VALUE"""),873.08)</f>
        <v>873.08</v>
      </c>
      <c r="F4369" s="2">
        <f>IFERROR(__xludf.DUMMYFUNCTION("""COMPUTED_VALUE"""),1229649.0)</f>
        <v>1229649</v>
      </c>
    </row>
    <row r="4370">
      <c r="A4370" s="3">
        <f>IFERROR(__xludf.DUMMYFUNCTION("""COMPUTED_VALUE"""),42977.64583333333)</f>
        <v>42977.64583</v>
      </c>
      <c r="B4370" s="2">
        <f>IFERROR(__xludf.DUMMYFUNCTION("""COMPUTED_VALUE"""),875.98)</f>
        <v>875.98</v>
      </c>
      <c r="C4370" s="2">
        <f>IFERROR(__xludf.DUMMYFUNCTION("""COMPUTED_VALUE"""),885.0)</f>
        <v>885</v>
      </c>
      <c r="D4370" s="2">
        <f>IFERROR(__xludf.DUMMYFUNCTION("""COMPUTED_VALUE"""),875.03)</f>
        <v>875.03</v>
      </c>
      <c r="E4370" s="2">
        <f>IFERROR(__xludf.DUMMYFUNCTION("""COMPUTED_VALUE"""),884.28)</f>
        <v>884.28</v>
      </c>
      <c r="F4370" s="2">
        <f>IFERROR(__xludf.DUMMYFUNCTION("""COMPUTED_VALUE"""),673580.0)</f>
        <v>673580</v>
      </c>
    </row>
    <row r="4371">
      <c r="A4371" s="3">
        <f>IFERROR(__xludf.DUMMYFUNCTION("""COMPUTED_VALUE"""),42978.64583333333)</f>
        <v>42978.64583</v>
      </c>
      <c r="B4371" s="2">
        <f>IFERROR(__xludf.DUMMYFUNCTION("""COMPUTED_VALUE"""),886.0)</f>
        <v>886</v>
      </c>
      <c r="C4371" s="2">
        <f>IFERROR(__xludf.DUMMYFUNCTION("""COMPUTED_VALUE"""),889.93)</f>
        <v>889.93</v>
      </c>
      <c r="D4371" s="2">
        <f>IFERROR(__xludf.DUMMYFUNCTION("""COMPUTED_VALUE"""),878.2)</f>
        <v>878.2</v>
      </c>
      <c r="E4371" s="2">
        <f>IFERROR(__xludf.DUMMYFUNCTION("""COMPUTED_VALUE"""),888.23)</f>
        <v>888.23</v>
      </c>
      <c r="F4371" s="2">
        <f>IFERROR(__xludf.DUMMYFUNCTION("""COMPUTED_VALUE"""),1825859.0)</f>
        <v>1825859</v>
      </c>
    </row>
    <row r="4372">
      <c r="A4372" s="3">
        <f>IFERROR(__xludf.DUMMYFUNCTION("""COMPUTED_VALUE"""),42979.64583333333)</f>
        <v>42979.64583</v>
      </c>
      <c r="B4372" s="2">
        <f>IFERROR(__xludf.DUMMYFUNCTION("""COMPUTED_VALUE"""),890.5)</f>
        <v>890.5</v>
      </c>
      <c r="C4372" s="2">
        <f>IFERROR(__xludf.DUMMYFUNCTION("""COMPUTED_VALUE"""),890.73)</f>
        <v>890.73</v>
      </c>
      <c r="D4372" s="2">
        <f>IFERROR(__xludf.DUMMYFUNCTION("""COMPUTED_VALUE"""),880.55)</f>
        <v>880.55</v>
      </c>
      <c r="E4372" s="2">
        <f>IFERROR(__xludf.DUMMYFUNCTION("""COMPUTED_VALUE"""),883.8)</f>
        <v>883.8</v>
      </c>
      <c r="F4372" s="2">
        <f>IFERROR(__xludf.DUMMYFUNCTION("""COMPUTED_VALUE"""),573793.0)</f>
        <v>573793</v>
      </c>
    </row>
    <row r="4373">
      <c r="A4373" s="3">
        <f>IFERROR(__xludf.DUMMYFUNCTION("""COMPUTED_VALUE"""),42982.64583333333)</f>
        <v>42982.64583</v>
      </c>
      <c r="B4373" s="2">
        <f>IFERROR(__xludf.DUMMYFUNCTION("""COMPUTED_VALUE"""),882.5)</f>
        <v>882.5</v>
      </c>
      <c r="C4373" s="2">
        <f>IFERROR(__xludf.DUMMYFUNCTION("""COMPUTED_VALUE"""),882.5)</f>
        <v>882.5</v>
      </c>
      <c r="D4373" s="2">
        <f>IFERROR(__xludf.DUMMYFUNCTION("""COMPUTED_VALUE"""),873.05)</f>
        <v>873.05</v>
      </c>
      <c r="E4373" s="2">
        <f>IFERROR(__xludf.DUMMYFUNCTION("""COMPUTED_VALUE"""),875.45)</f>
        <v>875.45</v>
      </c>
      <c r="F4373" s="2">
        <f>IFERROR(__xludf.DUMMYFUNCTION("""COMPUTED_VALUE"""),910631.0)</f>
        <v>910631</v>
      </c>
    </row>
    <row r="4374">
      <c r="A4374" s="3">
        <f>IFERROR(__xludf.DUMMYFUNCTION("""COMPUTED_VALUE"""),42983.64583333333)</f>
        <v>42983.64583</v>
      </c>
      <c r="B4374" s="2">
        <f>IFERROR(__xludf.DUMMYFUNCTION("""COMPUTED_VALUE"""),878.5)</f>
        <v>878.5</v>
      </c>
      <c r="C4374" s="2">
        <f>IFERROR(__xludf.DUMMYFUNCTION("""COMPUTED_VALUE"""),882.45)</f>
        <v>882.45</v>
      </c>
      <c r="D4374" s="2">
        <f>IFERROR(__xludf.DUMMYFUNCTION("""COMPUTED_VALUE"""),875.5)</f>
        <v>875.5</v>
      </c>
      <c r="E4374" s="2">
        <f>IFERROR(__xludf.DUMMYFUNCTION("""COMPUTED_VALUE"""),877.68)</f>
        <v>877.68</v>
      </c>
      <c r="F4374" s="2">
        <f>IFERROR(__xludf.DUMMYFUNCTION("""COMPUTED_VALUE"""),920609.0)</f>
        <v>920609</v>
      </c>
    </row>
    <row r="4375">
      <c r="A4375" s="3">
        <f>IFERROR(__xludf.DUMMYFUNCTION("""COMPUTED_VALUE"""),42984.64583333333)</f>
        <v>42984.64583</v>
      </c>
      <c r="B4375" s="2">
        <f>IFERROR(__xludf.DUMMYFUNCTION("""COMPUTED_VALUE"""),871.88)</f>
        <v>871.88</v>
      </c>
      <c r="C4375" s="2">
        <f>IFERROR(__xludf.DUMMYFUNCTION("""COMPUTED_VALUE"""),881.4)</f>
        <v>881.4</v>
      </c>
      <c r="D4375" s="2">
        <f>IFERROR(__xludf.DUMMYFUNCTION("""COMPUTED_VALUE"""),869.0)</f>
        <v>869</v>
      </c>
      <c r="E4375" s="2">
        <f>IFERROR(__xludf.DUMMYFUNCTION("""COMPUTED_VALUE"""),879.95)</f>
        <v>879.95</v>
      </c>
      <c r="F4375" s="2">
        <f>IFERROR(__xludf.DUMMYFUNCTION("""COMPUTED_VALUE"""),1437908.0)</f>
        <v>1437908</v>
      </c>
    </row>
    <row r="4376">
      <c r="A4376" s="3">
        <f>IFERROR(__xludf.DUMMYFUNCTION("""COMPUTED_VALUE"""),42985.64583333333)</f>
        <v>42985.64583</v>
      </c>
      <c r="B4376" s="2">
        <f>IFERROR(__xludf.DUMMYFUNCTION("""COMPUTED_VALUE"""),880.05)</f>
        <v>880.05</v>
      </c>
      <c r="C4376" s="2">
        <f>IFERROR(__xludf.DUMMYFUNCTION("""COMPUTED_VALUE"""),888.38)</f>
        <v>888.38</v>
      </c>
      <c r="D4376" s="2">
        <f>IFERROR(__xludf.DUMMYFUNCTION("""COMPUTED_VALUE"""),880.05)</f>
        <v>880.05</v>
      </c>
      <c r="E4376" s="2">
        <f>IFERROR(__xludf.DUMMYFUNCTION("""COMPUTED_VALUE"""),883.28)</f>
        <v>883.28</v>
      </c>
      <c r="F4376" s="2">
        <f>IFERROR(__xludf.DUMMYFUNCTION("""COMPUTED_VALUE"""),1736605.0)</f>
        <v>1736605</v>
      </c>
    </row>
    <row r="4377">
      <c r="A4377" s="3">
        <f>IFERROR(__xludf.DUMMYFUNCTION("""COMPUTED_VALUE"""),42986.64583333333)</f>
        <v>42986.64583</v>
      </c>
      <c r="B4377" s="2">
        <f>IFERROR(__xludf.DUMMYFUNCTION("""COMPUTED_VALUE"""),886.7)</f>
        <v>886.7</v>
      </c>
      <c r="C4377" s="2">
        <f>IFERROR(__xludf.DUMMYFUNCTION("""COMPUTED_VALUE"""),895.0)</f>
        <v>895</v>
      </c>
      <c r="D4377" s="2">
        <f>IFERROR(__xludf.DUMMYFUNCTION("""COMPUTED_VALUE"""),885.5)</f>
        <v>885.5</v>
      </c>
      <c r="E4377" s="2">
        <f>IFERROR(__xludf.DUMMYFUNCTION("""COMPUTED_VALUE"""),893.83)</f>
        <v>893.83</v>
      </c>
      <c r="F4377" s="2">
        <f>IFERROR(__xludf.DUMMYFUNCTION("""COMPUTED_VALUE"""),2077916.0)</f>
        <v>2077916</v>
      </c>
    </row>
    <row r="4378">
      <c r="A4378" s="3">
        <f>IFERROR(__xludf.DUMMYFUNCTION("""COMPUTED_VALUE"""),42989.64583333333)</f>
        <v>42989.64583</v>
      </c>
      <c r="B4378" s="2">
        <f>IFERROR(__xludf.DUMMYFUNCTION("""COMPUTED_VALUE"""),896.5)</f>
        <v>896.5</v>
      </c>
      <c r="C4378" s="2">
        <f>IFERROR(__xludf.DUMMYFUNCTION("""COMPUTED_VALUE"""),914.5)</f>
        <v>914.5</v>
      </c>
      <c r="D4378" s="2">
        <f>IFERROR(__xludf.DUMMYFUNCTION("""COMPUTED_VALUE"""),895.1)</f>
        <v>895.1</v>
      </c>
      <c r="E4378" s="2">
        <f>IFERROR(__xludf.DUMMYFUNCTION("""COMPUTED_VALUE"""),911.68)</f>
        <v>911.68</v>
      </c>
      <c r="F4378" s="2">
        <f>IFERROR(__xludf.DUMMYFUNCTION("""COMPUTED_VALUE"""),2869419.0)</f>
        <v>2869419</v>
      </c>
    </row>
    <row r="4379">
      <c r="A4379" s="3">
        <f>IFERROR(__xludf.DUMMYFUNCTION("""COMPUTED_VALUE"""),42990.64583333333)</f>
        <v>42990.64583</v>
      </c>
      <c r="B4379" s="2">
        <f>IFERROR(__xludf.DUMMYFUNCTION("""COMPUTED_VALUE"""),913.85)</f>
        <v>913.85</v>
      </c>
      <c r="C4379" s="2">
        <f>IFERROR(__xludf.DUMMYFUNCTION("""COMPUTED_VALUE"""),919.95)</f>
        <v>919.95</v>
      </c>
      <c r="D4379" s="2">
        <f>IFERROR(__xludf.DUMMYFUNCTION("""COMPUTED_VALUE"""),909.15)</f>
        <v>909.15</v>
      </c>
      <c r="E4379" s="2">
        <f>IFERROR(__xludf.DUMMYFUNCTION("""COMPUTED_VALUE"""),917.6)</f>
        <v>917.6</v>
      </c>
      <c r="F4379" s="2">
        <f>IFERROR(__xludf.DUMMYFUNCTION("""COMPUTED_VALUE"""),1671920.0)</f>
        <v>1671920</v>
      </c>
    </row>
    <row r="4380">
      <c r="A4380" s="3">
        <f>IFERROR(__xludf.DUMMYFUNCTION("""COMPUTED_VALUE"""),42991.64583333333)</f>
        <v>42991.64583</v>
      </c>
      <c r="B4380" s="2">
        <f>IFERROR(__xludf.DUMMYFUNCTION("""COMPUTED_VALUE"""),917.5)</f>
        <v>917.5</v>
      </c>
      <c r="C4380" s="2">
        <f>IFERROR(__xludf.DUMMYFUNCTION("""COMPUTED_VALUE"""),924.5)</f>
        <v>924.5</v>
      </c>
      <c r="D4380" s="2">
        <f>IFERROR(__xludf.DUMMYFUNCTION("""COMPUTED_VALUE"""),912.0)</f>
        <v>912</v>
      </c>
      <c r="E4380" s="2">
        <f>IFERROR(__xludf.DUMMYFUNCTION("""COMPUTED_VALUE"""),920.93)</f>
        <v>920.93</v>
      </c>
      <c r="F4380" s="2">
        <f>IFERROR(__xludf.DUMMYFUNCTION("""COMPUTED_VALUE"""),1248844.0)</f>
        <v>1248844</v>
      </c>
    </row>
    <row r="4381">
      <c r="A4381" s="3">
        <f>IFERROR(__xludf.DUMMYFUNCTION("""COMPUTED_VALUE"""),42992.64583333333)</f>
        <v>42992.64583</v>
      </c>
      <c r="B4381" s="2">
        <f>IFERROR(__xludf.DUMMYFUNCTION("""COMPUTED_VALUE"""),920.08)</f>
        <v>920.08</v>
      </c>
      <c r="C4381" s="2">
        <f>IFERROR(__xludf.DUMMYFUNCTION("""COMPUTED_VALUE"""),926.25)</f>
        <v>926.25</v>
      </c>
      <c r="D4381" s="2">
        <f>IFERROR(__xludf.DUMMYFUNCTION("""COMPUTED_VALUE"""),915.75)</f>
        <v>915.75</v>
      </c>
      <c r="E4381" s="2">
        <f>IFERROR(__xludf.DUMMYFUNCTION("""COMPUTED_VALUE"""),919.7)</f>
        <v>919.7</v>
      </c>
      <c r="F4381" s="2">
        <f>IFERROR(__xludf.DUMMYFUNCTION("""COMPUTED_VALUE"""),2038504.0)</f>
        <v>2038504</v>
      </c>
    </row>
    <row r="4382">
      <c r="A4382" s="3">
        <f>IFERROR(__xludf.DUMMYFUNCTION("""COMPUTED_VALUE"""),42993.64583333333)</f>
        <v>42993.64583</v>
      </c>
      <c r="B4382" s="2">
        <f>IFERROR(__xludf.DUMMYFUNCTION("""COMPUTED_VALUE"""),918.0)</f>
        <v>918</v>
      </c>
      <c r="C4382" s="2">
        <f>IFERROR(__xludf.DUMMYFUNCTION("""COMPUTED_VALUE"""),925.9)</f>
        <v>925.9</v>
      </c>
      <c r="D4382" s="2">
        <f>IFERROR(__xludf.DUMMYFUNCTION("""COMPUTED_VALUE"""),916.73)</f>
        <v>916.73</v>
      </c>
      <c r="E4382" s="2">
        <f>IFERROR(__xludf.DUMMYFUNCTION("""COMPUTED_VALUE"""),924.48)</f>
        <v>924.48</v>
      </c>
      <c r="F4382" s="2">
        <f>IFERROR(__xludf.DUMMYFUNCTION("""COMPUTED_VALUE"""),941833.0)</f>
        <v>941833</v>
      </c>
    </row>
    <row r="4383">
      <c r="A4383" s="3">
        <f>IFERROR(__xludf.DUMMYFUNCTION("""COMPUTED_VALUE"""),42996.64583333333)</f>
        <v>42996.64583</v>
      </c>
      <c r="B4383" s="2">
        <f>IFERROR(__xludf.DUMMYFUNCTION("""COMPUTED_VALUE"""),926.78)</f>
        <v>926.78</v>
      </c>
      <c r="C4383" s="2">
        <f>IFERROR(__xludf.DUMMYFUNCTION("""COMPUTED_VALUE"""),932.23)</f>
        <v>932.23</v>
      </c>
      <c r="D4383" s="2">
        <f>IFERROR(__xludf.DUMMYFUNCTION("""COMPUTED_VALUE"""),926.25)</f>
        <v>926.25</v>
      </c>
      <c r="E4383" s="2">
        <f>IFERROR(__xludf.DUMMYFUNCTION("""COMPUTED_VALUE"""),930.23)</f>
        <v>930.23</v>
      </c>
      <c r="F4383" s="2">
        <f>IFERROR(__xludf.DUMMYFUNCTION("""COMPUTED_VALUE"""),1021232.0)</f>
        <v>1021232</v>
      </c>
    </row>
    <row r="4384">
      <c r="A4384" s="3">
        <f>IFERROR(__xludf.DUMMYFUNCTION("""COMPUTED_VALUE"""),42997.64583333333)</f>
        <v>42997.64583</v>
      </c>
      <c r="B4384" s="2">
        <f>IFERROR(__xludf.DUMMYFUNCTION("""COMPUTED_VALUE"""),932.45)</f>
        <v>932.45</v>
      </c>
      <c r="C4384" s="2">
        <f>IFERROR(__xludf.DUMMYFUNCTION("""COMPUTED_VALUE"""),934.0)</f>
        <v>934</v>
      </c>
      <c r="D4384" s="2">
        <f>IFERROR(__xludf.DUMMYFUNCTION("""COMPUTED_VALUE"""),923.78)</f>
        <v>923.78</v>
      </c>
      <c r="E4384" s="2">
        <f>IFERROR(__xludf.DUMMYFUNCTION("""COMPUTED_VALUE"""),924.85)</f>
        <v>924.85</v>
      </c>
      <c r="F4384" s="2">
        <f>IFERROR(__xludf.DUMMYFUNCTION("""COMPUTED_VALUE"""),1060367.0)</f>
        <v>1060367</v>
      </c>
    </row>
    <row r="4385">
      <c r="A4385" s="3">
        <f>IFERROR(__xludf.DUMMYFUNCTION("""COMPUTED_VALUE"""),42998.64583333333)</f>
        <v>42998.64583</v>
      </c>
      <c r="B4385" s="2">
        <f>IFERROR(__xludf.DUMMYFUNCTION("""COMPUTED_VALUE"""),924.0)</f>
        <v>924</v>
      </c>
      <c r="C4385" s="2">
        <f>IFERROR(__xludf.DUMMYFUNCTION("""COMPUTED_VALUE"""),930.73)</f>
        <v>930.73</v>
      </c>
      <c r="D4385" s="2">
        <f>IFERROR(__xludf.DUMMYFUNCTION("""COMPUTED_VALUE"""),922.63)</f>
        <v>922.63</v>
      </c>
      <c r="E4385" s="2">
        <f>IFERROR(__xludf.DUMMYFUNCTION("""COMPUTED_VALUE"""),924.43)</f>
        <v>924.43</v>
      </c>
      <c r="F4385" s="2">
        <f>IFERROR(__xludf.DUMMYFUNCTION("""COMPUTED_VALUE"""),861532.0)</f>
        <v>861532</v>
      </c>
    </row>
    <row r="4386">
      <c r="A4386" s="3">
        <f>IFERROR(__xludf.DUMMYFUNCTION("""COMPUTED_VALUE"""),42999.64583333333)</f>
        <v>42999.64583</v>
      </c>
      <c r="B4386" s="2">
        <f>IFERROR(__xludf.DUMMYFUNCTION("""COMPUTED_VALUE"""),924.0)</f>
        <v>924</v>
      </c>
      <c r="C4386" s="2">
        <f>IFERROR(__xludf.DUMMYFUNCTION("""COMPUTED_VALUE"""),924.25)</f>
        <v>924.25</v>
      </c>
      <c r="D4386" s="2">
        <f>IFERROR(__xludf.DUMMYFUNCTION("""COMPUTED_VALUE"""),915.35)</f>
        <v>915.35</v>
      </c>
      <c r="E4386" s="2">
        <f>IFERROR(__xludf.DUMMYFUNCTION("""COMPUTED_VALUE"""),919.55)</f>
        <v>919.55</v>
      </c>
      <c r="F4386" s="2">
        <f>IFERROR(__xludf.DUMMYFUNCTION("""COMPUTED_VALUE"""),1928124.0)</f>
        <v>1928124</v>
      </c>
    </row>
    <row r="4387">
      <c r="A4387" s="3">
        <f>IFERROR(__xludf.DUMMYFUNCTION("""COMPUTED_VALUE"""),43000.64583333333)</f>
        <v>43000.64583</v>
      </c>
      <c r="B4387" s="2">
        <f>IFERROR(__xludf.DUMMYFUNCTION("""COMPUTED_VALUE"""),917.4)</f>
        <v>917.4</v>
      </c>
      <c r="C4387" s="2">
        <f>IFERROR(__xludf.DUMMYFUNCTION("""COMPUTED_VALUE"""),919.48)</f>
        <v>919.48</v>
      </c>
      <c r="D4387" s="2">
        <f>IFERROR(__xludf.DUMMYFUNCTION("""COMPUTED_VALUE"""),910.0)</f>
        <v>910</v>
      </c>
      <c r="E4387" s="2">
        <f>IFERROR(__xludf.DUMMYFUNCTION("""COMPUTED_VALUE"""),912.05)</f>
        <v>912.05</v>
      </c>
      <c r="F4387" s="2">
        <f>IFERROR(__xludf.DUMMYFUNCTION("""COMPUTED_VALUE"""),2060881.0)</f>
        <v>2060881</v>
      </c>
    </row>
    <row r="4388">
      <c r="A4388" s="3">
        <f>IFERROR(__xludf.DUMMYFUNCTION("""COMPUTED_VALUE"""),43003.64583333333)</f>
        <v>43003.64583</v>
      </c>
      <c r="B4388" s="2">
        <f>IFERROR(__xludf.DUMMYFUNCTION("""COMPUTED_VALUE"""),911.23)</f>
        <v>911.23</v>
      </c>
      <c r="C4388" s="2">
        <f>IFERROR(__xludf.DUMMYFUNCTION("""COMPUTED_VALUE"""),911.23)</f>
        <v>911.23</v>
      </c>
      <c r="D4388" s="2">
        <f>IFERROR(__xludf.DUMMYFUNCTION("""COMPUTED_VALUE"""),896.3)</f>
        <v>896.3</v>
      </c>
      <c r="E4388" s="2">
        <f>IFERROR(__xludf.DUMMYFUNCTION("""COMPUTED_VALUE"""),899.88)</f>
        <v>899.88</v>
      </c>
      <c r="F4388" s="2">
        <f>IFERROR(__xludf.DUMMYFUNCTION("""COMPUTED_VALUE"""),2537307.0)</f>
        <v>2537307</v>
      </c>
    </row>
    <row r="4389">
      <c r="A4389" s="3">
        <f>IFERROR(__xludf.DUMMYFUNCTION("""COMPUTED_VALUE"""),43004.64583333333)</f>
        <v>43004.64583</v>
      </c>
      <c r="B4389" s="2">
        <f>IFERROR(__xludf.DUMMYFUNCTION("""COMPUTED_VALUE"""),894.53)</f>
        <v>894.53</v>
      </c>
      <c r="C4389" s="2">
        <f>IFERROR(__xludf.DUMMYFUNCTION("""COMPUTED_VALUE"""),898.3)</f>
        <v>898.3</v>
      </c>
      <c r="D4389" s="2">
        <f>IFERROR(__xludf.DUMMYFUNCTION("""COMPUTED_VALUE"""),892.5)</f>
        <v>892.5</v>
      </c>
      <c r="E4389" s="2">
        <f>IFERROR(__xludf.DUMMYFUNCTION("""COMPUTED_VALUE"""),896.15)</f>
        <v>896.15</v>
      </c>
      <c r="F4389" s="2">
        <f>IFERROR(__xludf.DUMMYFUNCTION("""COMPUTED_VALUE"""),2859683.0)</f>
        <v>2859683</v>
      </c>
    </row>
    <row r="4390">
      <c r="A4390" s="3">
        <f>IFERROR(__xludf.DUMMYFUNCTION("""COMPUTED_VALUE"""),43005.64583333333)</f>
        <v>43005.64583</v>
      </c>
      <c r="B4390" s="2">
        <f>IFERROR(__xludf.DUMMYFUNCTION("""COMPUTED_VALUE"""),898.0)</f>
        <v>898</v>
      </c>
      <c r="C4390" s="2">
        <f>IFERROR(__xludf.DUMMYFUNCTION("""COMPUTED_VALUE"""),902.8)</f>
        <v>902.8</v>
      </c>
      <c r="D4390" s="2">
        <f>IFERROR(__xludf.DUMMYFUNCTION("""COMPUTED_VALUE"""),885.0)</f>
        <v>885</v>
      </c>
      <c r="E4390" s="2">
        <f>IFERROR(__xludf.DUMMYFUNCTION("""COMPUTED_VALUE"""),888.25)</f>
        <v>888.25</v>
      </c>
      <c r="F4390" s="2">
        <f>IFERROR(__xludf.DUMMYFUNCTION("""COMPUTED_VALUE"""),1834305.0)</f>
        <v>1834305</v>
      </c>
    </row>
    <row r="4391">
      <c r="A4391" s="3">
        <f>IFERROR(__xludf.DUMMYFUNCTION("""COMPUTED_VALUE"""),43006.64583333333)</f>
        <v>43006.64583</v>
      </c>
      <c r="B4391" s="2">
        <f>IFERROR(__xludf.DUMMYFUNCTION("""COMPUTED_VALUE"""),887.0)</f>
        <v>887</v>
      </c>
      <c r="C4391" s="2">
        <f>IFERROR(__xludf.DUMMYFUNCTION("""COMPUTED_VALUE"""),899.5)</f>
        <v>899.5</v>
      </c>
      <c r="D4391" s="2">
        <f>IFERROR(__xludf.DUMMYFUNCTION("""COMPUTED_VALUE"""),881.65)</f>
        <v>881.65</v>
      </c>
      <c r="E4391" s="2">
        <f>IFERROR(__xludf.DUMMYFUNCTION("""COMPUTED_VALUE"""),897.65)</f>
        <v>897.65</v>
      </c>
      <c r="F4391" s="2">
        <f>IFERROR(__xludf.DUMMYFUNCTION("""COMPUTED_VALUE"""),6911616.0)</f>
        <v>6911616</v>
      </c>
    </row>
    <row r="4392">
      <c r="A4392" s="3">
        <f>IFERROR(__xludf.DUMMYFUNCTION("""COMPUTED_VALUE"""),43007.64583333333)</f>
        <v>43007.64583</v>
      </c>
      <c r="B4392" s="2">
        <f>IFERROR(__xludf.DUMMYFUNCTION("""COMPUTED_VALUE"""),900.05)</f>
        <v>900.05</v>
      </c>
      <c r="C4392" s="2">
        <f>IFERROR(__xludf.DUMMYFUNCTION("""COMPUTED_VALUE"""),911.0)</f>
        <v>911</v>
      </c>
      <c r="D4392" s="2">
        <f>IFERROR(__xludf.DUMMYFUNCTION("""COMPUTED_VALUE"""),898.13)</f>
        <v>898.13</v>
      </c>
      <c r="E4392" s="2">
        <f>IFERROR(__xludf.DUMMYFUNCTION("""COMPUTED_VALUE"""),902.85)</f>
        <v>902.85</v>
      </c>
      <c r="F4392" s="2">
        <f>IFERROR(__xludf.DUMMYFUNCTION("""COMPUTED_VALUE"""),1553408.0)</f>
        <v>1553408</v>
      </c>
    </row>
    <row r="4393">
      <c r="A4393" s="3">
        <f>IFERROR(__xludf.DUMMYFUNCTION("""COMPUTED_VALUE"""),43011.64583333333)</f>
        <v>43011.64583</v>
      </c>
      <c r="B4393" s="2">
        <f>IFERROR(__xludf.DUMMYFUNCTION("""COMPUTED_VALUE"""),904.0)</f>
        <v>904</v>
      </c>
      <c r="C4393" s="2">
        <f>IFERROR(__xludf.DUMMYFUNCTION("""COMPUTED_VALUE"""),910.5)</f>
        <v>910.5</v>
      </c>
      <c r="D4393" s="2">
        <f>IFERROR(__xludf.DUMMYFUNCTION("""COMPUTED_VALUE"""),898.55)</f>
        <v>898.55</v>
      </c>
      <c r="E4393" s="2">
        <f>IFERROR(__xludf.DUMMYFUNCTION("""COMPUTED_VALUE"""),904.43)</f>
        <v>904.43</v>
      </c>
      <c r="F4393" s="2">
        <f>IFERROR(__xludf.DUMMYFUNCTION("""COMPUTED_VALUE"""),1098606.0)</f>
        <v>1098606</v>
      </c>
    </row>
    <row r="4394">
      <c r="A4394" s="3">
        <f>IFERROR(__xludf.DUMMYFUNCTION("""COMPUTED_VALUE"""),43012.64583333333)</f>
        <v>43012.64583</v>
      </c>
      <c r="B4394" s="2">
        <f>IFERROR(__xludf.DUMMYFUNCTION("""COMPUTED_VALUE"""),903.95)</f>
        <v>903.95</v>
      </c>
      <c r="C4394" s="2">
        <f>IFERROR(__xludf.DUMMYFUNCTION("""COMPUTED_VALUE"""),905.95)</f>
        <v>905.95</v>
      </c>
      <c r="D4394" s="2">
        <f>IFERROR(__xludf.DUMMYFUNCTION("""COMPUTED_VALUE"""),896.68)</f>
        <v>896.68</v>
      </c>
      <c r="E4394" s="2">
        <f>IFERROR(__xludf.DUMMYFUNCTION("""COMPUTED_VALUE"""),898.5)</f>
        <v>898.5</v>
      </c>
      <c r="F4394" s="2">
        <f>IFERROR(__xludf.DUMMYFUNCTION("""COMPUTED_VALUE"""),1656276.0)</f>
        <v>1656276</v>
      </c>
    </row>
    <row r="4395">
      <c r="A4395" s="3">
        <f>IFERROR(__xludf.DUMMYFUNCTION("""COMPUTED_VALUE"""),43013.64583333333)</f>
        <v>43013.64583</v>
      </c>
      <c r="B4395" s="2">
        <f>IFERROR(__xludf.DUMMYFUNCTION("""COMPUTED_VALUE"""),897.5)</f>
        <v>897.5</v>
      </c>
      <c r="C4395" s="2">
        <f>IFERROR(__xludf.DUMMYFUNCTION("""COMPUTED_VALUE"""),902.5)</f>
        <v>902.5</v>
      </c>
      <c r="D4395" s="2">
        <f>IFERROR(__xludf.DUMMYFUNCTION("""COMPUTED_VALUE"""),896.55)</f>
        <v>896.55</v>
      </c>
      <c r="E4395" s="2">
        <f>IFERROR(__xludf.DUMMYFUNCTION("""COMPUTED_VALUE"""),899.3)</f>
        <v>899.3</v>
      </c>
      <c r="F4395" s="2">
        <f>IFERROR(__xludf.DUMMYFUNCTION("""COMPUTED_VALUE"""),834049.0)</f>
        <v>834049</v>
      </c>
    </row>
    <row r="4396">
      <c r="A4396" s="3">
        <f>IFERROR(__xludf.DUMMYFUNCTION("""COMPUTED_VALUE"""),43014.64583333333)</f>
        <v>43014.64583</v>
      </c>
      <c r="B4396" s="2">
        <f>IFERROR(__xludf.DUMMYFUNCTION("""COMPUTED_VALUE"""),899.0)</f>
        <v>899</v>
      </c>
      <c r="C4396" s="2">
        <f>IFERROR(__xludf.DUMMYFUNCTION("""COMPUTED_VALUE"""),902.23)</f>
        <v>902.23</v>
      </c>
      <c r="D4396" s="2">
        <f>IFERROR(__xludf.DUMMYFUNCTION("""COMPUTED_VALUE"""),897.0)</f>
        <v>897</v>
      </c>
      <c r="E4396" s="2">
        <f>IFERROR(__xludf.DUMMYFUNCTION("""COMPUTED_VALUE"""),900.05)</f>
        <v>900.05</v>
      </c>
      <c r="F4396" s="2">
        <f>IFERROR(__xludf.DUMMYFUNCTION("""COMPUTED_VALUE"""),757665.0)</f>
        <v>757665</v>
      </c>
    </row>
    <row r="4397">
      <c r="A4397" s="3">
        <f>IFERROR(__xludf.DUMMYFUNCTION("""COMPUTED_VALUE"""),43017.64583333333)</f>
        <v>43017.64583</v>
      </c>
      <c r="B4397" s="2">
        <f>IFERROR(__xludf.DUMMYFUNCTION("""COMPUTED_VALUE"""),899.4)</f>
        <v>899.4</v>
      </c>
      <c r="C4397" s="2">
        <f>IFERROR(__xludf.DUMMYFUNCTION("""COMPUTED_VALUE"""),901.5)</f>
        <v>901.5</v>
      </c>
      <c r="D4397" s="2">
        <f>IFERROR(__xludf.DUMMYFUNCTION("""COMPUTED_VALUE"""),895.25)</f>
        <v>895.25</v>
      </c>
      <c r="E4397" s="2">
        <f>IFERROR(__xludf.DUMMYFUNCTION("""COMPUTED_VALUE"""),897.75)</f>
        <v>897.75</v>
      </c>
      <c r="F4397" s="2">
        <f>IFERROR(__xludf.DUMMYFUNCTION("""COMPUTED_VALUE"""),765623.0)</f>
        <v>765623</v>
      </c>
    </row>
    <row r="4398">
      <c r="A4398" s="3">
        <f>IFERROR(__xludf.DUMMYFUNCTION("""COMPUTED_VALUE"""),43018.64583333333)</f>
        <v>43018.64583</v>
      </c>
      <c r="B4398" s="2">
        <f>IFERROR(__xludf.DUMMYFUNCTION("""COMPUTED_VALUE"""),899.5)</f>
        <v>899.5</v>
      </c>
      <c r="C4398" s="2">
        <f>IFERROR(__xludf.DUMMYFUNCTION("""COMPUTED_VALUE"""),907.48)</f>
        <v>907.48</v>
      </c>
      <c r="D4398" s="2">
        <f>IFERROR(__xludf.DUMMYFUNCTION("""COMPUTED_VALUE"""),896.33)</f>
        <v>896.33</v>
      </c>
      <c r="E4398" s="2">
        <f>IFERROR(__xludf.DUMMYFUNCTION("""COMPUTED_VALUE"""),901.35)</f>
        <v>901.35</v>
      </c>
      <c r="F4398" s="2">
        <f>IFERROR(__xludf.DUMMYFUNCTION("""COMPUTED_VALUE"""),949545.0)</f>
        <v>949545</v>
      </c>
    </row>
    <row r="4399">
      <c r="A4399" s="3">
        <f>IFERROR(__xludf.DUMMYFUNCTION("""COMPUTED_VALUE"""),43019.64583333333)</f>
        <v>43019.64583</v>
      </c>
      <c r="B4399" s="2">
        <f>IFERROR(__xludf.DUMMYFUNCTION("""COMPUTED_VALUE"""),901.63)</f>
        <v>901.63</v>
      </c>
      <c r="C4399" s="2">
        <f>IFERROR(__xludf.DUMMYFUNCTION("""COMPUTED_VALUE"""),907.63)</f>
        <v>907.63</v>
      </c>
      <c r="D4399" s="2">
        <f>IFERROR(__xludf.DUMMYFUNCTION("""COMPUTED_VALUE"""),893.8)</f>
        <v>893.8</v>
      </c>
      <c r="E4399" s="2">
        <f>IFERROR(__xludf.DUMMYFUNCTION("""COMPUTED_VALUE"""),895.08)</f>
        <v>895.08</v>
      </c>
      <c r="F4399" s="2">
        <f>IFERROR(__xludf.DUMMYFUNCTION("""COMPUTED_VALUE"""),1316860.0)</f>
        <v>1316860</v>
      </c>
    </row>
    <row r="4400">
      <c r="A4400" s="3">
        <f>IFERROR(__xludf.DUMMYFUNCTION("""COMPUTED_VALUE"""),43020.64583333333)</f>
        <v>43020.64583</v>
      </c>
      <c r="B4400" s="2">
        <f>IFERROR(__xludf.DUMMYFUNCTION("""COMPUTED_VALUE"""),897.55)</f>
        <v>897.55</v>
      </c>
      <c r="C4400" s="2">
        <f>IFERROR(__xludf.DUMMYFUNCTION("""COMPUTED_VALUE"""),910.73)</f>
        <v>910.73</v>
      </c>
      <c r="D4400" s="2">
        <f>IFERROR(__xludf.DUMMYFUNCTION("""COMPUTED_VALUE"""),894.0)</f>
        <v>894</v>
      </c>
      <c r="E4400" s="2">
        <f>IFERROR(__xludf.DUMMYFUNCTION("""COMPUTED_VALUE"""),909.4)</f>
        <v>909.4</v>
      </c>
      <c r="F4400" s="2">
        <f>IFERROR(__xludf.DUMMYFUNCTION("""COMPUTED_VALUE"""),1345390.0)</f>
        <v>1345390</v>
      </c>
    </row>
    <row r="4401">
      <c r="A4401" s="3">
        <f>IFERROR(__xludf.DUMMYFUNCTION("""COMPUTED_VALUE"""),43021.64583333333)</f>
        <v>43021.64583</v>
      </c>
      <c r="B4401" s="2">
        <f>IFERROR(__xludf.DUMMYFUNCTION("""COMPUTED_VALUE"""),913.35)</f>
        <v>913.35</v>
      </c>
      <c r="C4401" s="2">
        <f>IFERROR(__xludf.DUMMYFUNCTION("""COMPUTED_VALUE"""),928.28)</f>
        <v>928.28</v>
      </c>
      <c r="D4401" s="2">
        <f>IFERROR(__xludf.DUMMYFUNCTION("""COMPUTED_VALUE"""),911.0)</f>
        <v>911</v>
      </c>
      <c r="E4401" s="2">
        <f>IFERROR(__xludf.DUMMYFUNCTION("""COMPUTED_VALUE"""),925.4)</f>
        <v>925.4</v>
      </c>
      <c r="F4401" s="2">
        <f>IFERROR(__xludf.DUMMYFUNCTION("""COMPUTED_VALUE"""),1608366.0)</f>
        <v>1608366</v>
      </c>
    </row>
    <row r="4402">
      <c r="A4402" s="3">
        <f>IFERROR(__xludf.DUMMYFUNCTION("""COMPUTED_VALUE"""),43024.64583333333)</f>
        <v>43024.64583</v>
      </c>
      <c r="B4402" s="2">
        <f>IFERROR(__xludf.DUMMYFUNCTION("""COMPUTED_VALUE"""),930.0)</f>
        <v>930</v>
      </c>
      <c r="C4402" s="2">
        <f>IFERROR(__xludf.DUMMYFUNCTION("""COMPUTED_VALUE"""),936.63)</f>
        <v>936.63</v>
      </c>
      <c r="D4402" s="2">
        <f>IFERROR(__xludf.DUMMYFUNCTION("""COMPUTED_VALUE"""),921.0)</f>
        <v>921</v>
      </c>
      <c r="E4402" s="2">
        <f>IFERROR(__xludf.DUMMYFUNCTION("""COMPUTED_VALUE"""),928.58)</f>
        <v>928.58</v>
      </c>
      <c r="F4402" s="2">
        <f>IFERROR(__xludf.DUMMYFUNCTION("""COMPUTED_VALUE"""),818636.0)</f>
        <v>818636</v>
      </c>
    </row>
    <row r="4403">
      <c r="A4403" s="3">
        <f>IFERROR(__xludf.DUMMYFUNCTION("""COMPUTED_VALUE"""),43025.83333333333)</f>
        <v>43025.83333</v>
      </c>
      <c r="B4403" s="2">
        <f>IFERROR(__xludf.DUMMYFUNCTION("""COMPUTED_VALUE"""),925.0)</f>
        <v>925</v>
      </c>
      <c r="C4403" s="2">
        <f>IFERROR(__xludf.DUMMYFUNCTION("""COMPUTED_VALUE"""),926.85)</f>
        <v>926.85</v>
      </c>
      <c r="D4403" s="2">
        <f>IFERROR(__xludf.DUMMYFUNCTION("""COMPUTED_VALUE"""),919.55)</f>
        <v>919.55</v>
      </c>
      <c r="E4403" s="2">
        <f>IFERROR(__xludf.DUMMYFUNCTION("""COMPUTED_VALUE"""),925.63)</f>
        <v>925.63</v>
      </c>
      <c r="F4403" s="2">
        <f>IFERROR(__xludf.DUMMYFUNCTION("""COMPUTED_VALUE"""),653322.0)</f>
        <v>653322</v>
      </c>
    </row>
    <row r="4404">
      <c r="A4404" s="3">
        <f>IFERROR(__xludf.DUMMYFUNCTION("""COMPUTED_VALUE"""),43026.64583333333)</f>
        <v>43026.64583</v>
      </c>
      <c r="B4404" s="2">
        <f>IFERROR(__xludf.DUMMYFUNCTION("""COMPUTED_VALUE"""),920.5)</f>
        <v>920.5</v>
      </c>
      <c r="C4404" s="2">
        <f>IFERROR(__xludf.DUMMYFUNCTION("""COMPUTED_VALUE"""),937.5)</f>
        <v>937.5</v>
      </c>
      <c r="D4404" s="2">
        <f>IFERROR(__xludf.DUMMYFUNCTION("""COMPUTED_VALUE"""),919.5)</f>
        <v>919.5</v>
      </c>
      <c r="E4404" s="2">
        <f>IFERROR(__xludf.DUMMYFUNCTION("""COMPUTED_VALUE"""),934.25)</f>
        <v>934.25</v>
      </c>
      <c r="F4404" s="2">
        <f>IFERROR(__xludf.DUMMYFUNCTION("""COMPUTED_VALUE"""),981680.0)</f>
        <v>981680</v>
      </c>
    </row>
    <row r="4405">
      <c r="A4405" s="3">
        <f>IFERROR(__xludf.DUMMYFUNCTION("""COMPUTED_VALUE"""),43027.83333333333)</f>
        <v>43027.83333</v>
      </c>
      <c r="B4405" s="2">
        <f>IFERROR(__xludf.DUMMYFUNCTION("""COMPUTED_VALUE"""),930.9)</f>
        <v>930.9</v>
      </c>
      <c r="C4405" s="2">
        <f>IFERROR(__xludf.DUMMYFUNCTION("""COMPUTED_VALUE"""),932.5)</f>
        <v>932.5</v>
      </c>
      <c r="D4405" s="2">
        <f>IFERROR(__xludf.DUMMYFUNCTION("""COMPUTED_VALUE"""),920.33)</f>
        <v>920.33</v>
      </c>
      <c r="E4405" s="2">
        <f>IFERROR(__xludf.DUMMYFUNCTION("""COMPUTED_VALUE"""),922.5)</f>
        <v>922.5</v>
      </c>
      <c r="F4405" s="2">
        <f>IFERROR(__xludf.DUMMYFUNCTION("""COMPUTED_VALUE"""),142502.0)</f>
        <v>142502</v>
      </c>
    </row>
    <row r="4406">
      <c r="A4406" s="3">
        <f>IFERROR(__xludf.DUMMYFUNCTION("""COMPUTED_VALUE"""),43031.64583333333)</f>
        <v>43031.64583</v>
      </c>
      <c r="B4406" s="2">
        <f>IFERROR(__xludf.DUMMYFUNCTION("""COMPUTED_VALUE"""),929.95)</f>
        <v>929.95</v>
      </c>
      <c r="C4406" s="2">
        <f>IFERROR(__xludf.DUMMYFUNCTION("""COMPUTED_VALUE"""),934.85)</f>
        <v>934.85</v>
      </c>
      <c r="D4406" s="2">
        <f>IFERROR(__xludf.DUMMYFUNCTION("""COMPUTED_VALUE"""),918.03)</f>
        <v>918.03</v>
      </c>
      <c r="E4406" s="2">
        <f>IFERROR(__xludf.DUMMYFUNCTION("""COMPUTED_VALUE"""),931.65)</f>
        <v>931.65</v>
      </c>
      <c r="F4406" s="2">
        <f>IFERROR(__xludf.DUMMYFUNCTION("""COMPUTED_VALUE"""),1040723.0)</f>
        <v>1040723</v>
      </c>
    </row>
    <row r="4407">
      <c r="A4407" s="3">
        <f>IFERROR(__xludf.DUMMYFUNCTION("""COMPUTED_VALUE"""),43032.64583333333)</f>
        <v>43032.64583</v>
      </c>
      <c r="B4407" s="2">
        <f>IFERROR(__xludf.DUMMYFUNCTION("""COMPUTED_VALUE"""),931.5)</f>
        <v>931.5</v>
      </c>
      <c r="C4407" s="2">
        <f>IFERROR(__xludf.DUMMYFUNCTION("""COMPUTED_VALUE"""),939.8)</f>
        <v>939.8</v>
      </c>
      <c r="D4407" s="2">
        <f>IFERROR(__xludf.DUMMYFUNCTION("""COMPUTED_VALUE"""),926.5)</f>
        <v>926.5</v>
      </c>
      <c r="E4407" s="2">
        <f>IFERROR(__xludf.DUMMYFUNCTION("""COMPUTED_VALUE"""),933.55)</f>
        <v>933.55</v>
      </c>
      <c r="F4407" s="2">
        <f>IFERROR(__xludf.DUMMYFUNCTION("""COMPUTED_VALUE"""),2832218.0)</f>
        <v>2832218</v>
      </c>
    </row>
    <row r="4408">
      <c r="A4408" s="3">
        <f>IFERROR(__xludf.DUMMYFUNCTION("""COMPUTED_VALUE"""),43033.64583333333)</f>
        <v>43033.64583</v>
      </c>
      <c r="B4408" s="2">
        <f>IFERROR(__xludf.DUMMYFUNCTION("""COMPUTED_VALUE"""),930.0)</f>
        <v>930</v>
      </c>
      <c r="C4408" s="2">
        <f>IFERROR(__xludf.DUMMYFUNCTION("""COMPUTED_VALUE"""),931.5)</f>
        <v>931.5</v>
      </c>
      <c r="D4408" s="2">
        <f>IFERROR(__xludf.DUMMYFUNCTION("""COMPUTED_VALUE"""),892.5)</f>
        <v>892.5</v>
      </c>
      <c r="E4408" s="2">
        <f>IFERROR(__xludf.DUMMYFUNCTION("""COMPUTED_VALUE"""),897.55)</f>
        <v>897.55</v>
      </c>
      <c r="F4408" s="2">
        <f>IFERROR(__xludf.DUMMYFUNCTION("""COMPUTED_VALUE"""),5341802.0)</f>
        <v>5341802</v>
      </c>
    </row>
    <row r="4409">
      <c r="A4409" s="3">
        <f>IFERROR(__xludf.DUMMYFUNCTION("""COMPUTED_VALUE"""),43034.64583333333)</f>
        <v>43034.64583</v>
      </c>
      <c r="B4409" s="2">
        <f>IFERROR(__xludf.DUMMYFUNCTION("""COMPUTED_VALUE"""),884.0)</f>
        <v>884</v>
      </c>
      <c r="C4409" s="2">
        <f>IFERROR(__xludf.DUMMYFUNCTION("""COMPUTED_VALUE"""),905.0)</f>
        <v>905</v>
      </c>
      <c r="D4409" s="2">
        <f>IFERROR(__xludf.DUMMYFUNCTION("""COMPUTED_VALUE"""),878.93)</f>
        <v>878.93</v>
      </c>
      <c r="E4409" s="2">
        <f>IFERROR(__xludf.DUMMYFUNCTION("""COMPUTED_VALUE"""),897.68)</f>
        <v>897.68</v>
      </c>
      <c r="F4409" s="2">
        <f>IFERROR(__xludf.DUMMYFUNCTION("""COMPUTED_VALUE"""),7142866.0)</f>
        <v>7142866</v>
      </c>
    </row>
    <row r="4410">
      <c r="A4410" s="3">
        <f>IFERROR(__xludf.DUMMYFUNCTION("""COMPUTED_VALUE"""),43035.64583333333)</f>
        <v>43035.64583</v>
      </c>
      <c r="B4410" s="2">
        <f>IFERROR(__xludf.DUMMYFUNCTION("""COMPUTED_VALUE"""),902.2)</f>
        <v>902.2</v>
      </c>
      <c r="C4410" s="2">
        <f>IFERROR(__xludf.DUMMYFUNCTION("""COMPUTED_VALUE"""),903.75)</f>
        <v>903.75</v>
      </c>
      <c r="D4410" s="2">
        <f>IFERROR(__xludf.DUMMYFUNCTION("""COMPUTED_VALUE"""),889.5)</f>
        <v>889.5</v>
      </c>
      <c r="E4410" s="2">
        <f>IFERROR(__xludf.DUMMYFUNCTION("""COMPUTED_VALUE"""),895.53)</f>
        <v>895.53</v>
      </c>
      <c r="F4410" s="2">
        <f>IFERROR(__xludf.DUMMYFUNCTION("""COMPUTED_VALUE"""),1868022.0)</f>
        <v>1868022</v>
      </c>
    </row>
    <row r="4411">
      <c r="A4411" s="3">
        <f>IFERROR(__xludf.DUMMYFUNCTION("""COMPUTED_VALUE"""),43038.64583333333)</f>
        <v>43038.64583</v>
      </c>
      <c r="B4411" s="2">
        <f>IFERROR(__xludf.DUMMYFUNCTION("""COMPUTED_VALUE"""),899.13)</f>
        <v>899.13</v>
      </c>
      <c r="C4411" s="2">
        <f>IFERROR(__xludf.DUMMYFUNCTION("""COMPUTED_VALUE"""),908.0)</f>
        <v>908</v>
      </c>
      <c r="D4411" s="2">
        <f>IFERROR(__xludf.DUMMYFUNCTION("""COMPUTED_VALUE"""),896.2)</f>
        <v>896.2</v>
      </c>
      <c r="E4411" s="2">
        <f>IFERROR(__xludf.DUMMYFUNCTION("""COMPUTED_VALUE"""),907.5)</f>
        <v>907.5</v>
      </c>
      <c r="F4411" s="2">
        <f>IFERROR(__xludf.DUMMYFUNCTION("""COMPUTED_VALUE"""),1355588.0)</f>
        <v>1355588</v>
      </c>
    </row>
    <row r="4412">
      <c r="A4412" s="3">
        <f>IFERROR(__xludf.DUMMYFUNCTION("""COMPUTED_VALUE"""),43039.64583333333)</f>
        <v>43039.64583</v>
      </c>
      <c r="B4412" s="2">
        <f>IFERROR(__xludf.DUMMYFUNCTION("""COMPUTED_VALUE"""),905.75)</f>
        <v>905.75</v>
      </c>
      <c r="C4412" s="2">
        <f>IFERROR(__xludf.DUMMYFUNCTION("""COMPUTED_VALUE"""),905.75)</f>
        <v>905.75</v>
      </c>
      <c r="D4412" s="2">
        <f>IFERROR(__xludf.DUMMYFUNCTION("""COMPUTED_VALUE"""),899.63)</f>
        <v>899.63</v>
      </c>
      <c r="E4412" s="2">
        <f>IFERROR(__xludf.DUMMYFUNCTION("""COMPUTED_VALUE"""),904.25)</f>
        <v>904.25</v>
      </c>
      <c r="F4412" s="2">
        <f>IFERROR(__xludf.DUMMYFUNCTION("""COMPUTED_VALUE"""),1170615.0)</f>
        <v>1170615</v>
      </c>
    </row>
    <row r="4413">
      <c r="A4413" s="3">
        <f>IFERROR(__xludf.DUMMYFUNCTION("""COMPUTED_VALUE"""),43040.64583333333)</f>
        <v>43040.64583</v>
      </c>
      <c r="B4413" s="2">
        <f>IFERROR(__xludf.DUMMYFUNCTION("""COMPUTED_VALUE"""),907.55)</f>
        <v>907.55</v>
      </c>
      <c r="C4413" s="2">
        <f>IFERROR(__xludf.DUMMYFUNCTION("""COMPUTED_VALUE"""),912.5)</f>
        <v>912.5</v>
      </c>
      <c r="D4413" s="2">
        <f>IFERROR(__xludf.DUMMYFUNCTION("""COMPUTED_VALUE"""),906.0)</f>
        <v>906</v>
      </c>
      <c r="E4413" s="2">
        <f>IFERROR(__xludf.DUMMYFUNCTION("""COMPUTED_VALUE"""),910.6)</f>
        <v>910.6</v>
      </c>
      <c r="F4413" s="2">
        <f>IFERROR(__xludf.DUMMYFUNCTION("""COMPUTED_VALUE"""),1047653.0)</f>
        <v>1047653</v>
      </c>
    </row>
    <row r="4414">
      <c r="A4414" s="3">
        <f>IFERROR(__xludf.DUMMYFUNCTION("""COMPUTED_VALUE"""),43041.64583333333)</f>
        <v>43041.64583</v>
      </c>
      <c r="B4414" s="2">
        <f>IFERROR(__xludf.DUMMYFUNCTION("""COMPUTED_VALUE"""),911.5)</f>
        <v>911.5</v>
      </c>
      <c r="C4414" s="2">
        <f>IFERROR(__xludf.DUMMYFUNCTION("""COMPUTED_VALUE"""),914.9)</f>
        <v>914.9</v>
      </c>
      <c r="D4414" s="2">
        <f>IFERROR(__xludf.DUMMYFUNCTION("""COMPUTED_VALUE"""),908.48)</f>
        <v>908.48</v>
      </c>
      <c r="E4414" s="2">
        <f>IFERROR(__xludf.DUMMYFUNCTION("""COMPUTED_VALUE"""),911.05)</f>
        <v>911.05</v>
      </c>
      <c r="F4414" s="2">
        <f>IFERROR(__xludf.DUMMYFUNCTION("""COMPUTED_VALUE"""),1184486.0)</f>
        <v>1184486</v>
      </c>
    </row>
    <row r="4415">
      <c r="A4415" s="3">
        <f>IFERROR(__xludf.DUMMYFUNCTION("""COMPUTED_VALUE"""),43042.64583333333)</f>
        <v>43042.64583</v>
      </c>
      <c r="B4415" s="2">
        <f>IFERROR(__xludf.DUMMYFUNCTION("""COMPUTED_VALUE"""),912.85)</f>
        <v>912.85</v>
      </c>
      <c r="C4415" s="2">
        <f>IFERROR(__xludf.DUMMYFUNCTION("""COMPUTED_VALUE"""),920.0)</f>
        <v>920</v>
      </c>
      <c r="D4415" s="2">
        <f>IFERROR(__xludf.DUMMYFUNCTION("""COMPUTED_VALUE"""),910.8)</f>
        <v>910.8</v>
      </c>
      <c r="E4415" s="2">
        <f>IFERROR(__xludf.DUMMYFUNCTION("""COMPUTED_VALUE"""),915.35)</f>
        <v>915.35</v>
      </c>
      <c r="F4415" s="2">
        <f>IFERROR(__xludf.DUMMYFUNCTION("""COMPUTED_VALUE"""),952622.0)</f>
        <v>952622</v>
      </c>
    </row>
    <row r="4416">
      <c r="A4416" s="3">
        <f>IFERROR(__xludf.DUMMYFUNCTION("""COMPUTED_VALUE"""),43045.64583333333)</f>
        <v>43045.64583</v>
      </c>
      <c r="B4416" s="2">
        <f>IFERROR(__xludf.DUMMYFUNCTION("""COMPUTED_VALUE"""),912.5)</f>
        <v>912.5</v>
      </c>
      <c r="C4416" s="2">
        <f>IFERROR(__xludf.DUMMYFUNCTION("""COMPUTED_VALUE"""),920.0)</f>
        <v>920</v>
      </c>
      <c r="D4416" s="2">
        <f>IFERROR(__xludf.DUMMYFUNCTION("""COMPUTED_VALUE"""),911.3)</f>
        <v>911.3</v>
      </c>
      <c r="E4416" s="2">
        <f>IFERROR(__xludf.DUMMYFUNCTION("""COMPUTED_VALUE"""),914.3)</f>
        <v>914.3</v>
      </c>
      <c r="F4416" s="2">
        <f>IFERROR(__xludf.DUMMYFUNCTION("""COMPUTED_VALUE"""),1537061.0)</f>
        <v>1537061</v>
      </c>
    </row>
    <row r="4417">
      <c r="A4417" s="3">
        <f>IFERROR(__xludf.DUMMYFUNCTION("""COMPUTED_VALUE"""),43046.64583333333)</f>
        <v>43046.64583</v>
      </c>
      <c r="B4417" s="2">
        <f>IFERROR(__xludf.DUMMYFUNCTION("""COMPUTED_VALUE"""),919.0)</f>
        <v>919</v>
      </c>
      <c r="C4417" s="2">
        <f>IFERROR(__xludf.DUMMYFUNCTION("""COMPUTED_VALUE"""),922.48)</f>
        <v>922.48</v>
      </c>
      <c r="D4417" s="2">
        <f>IFERROR(__xludf.DUMMYFUNCTION("""COMPUTED_VALUE"""),910.38)</f>
        <v>910.38</v>
      </c>
      <c r="E4417" s="2">
        <f>IFERROR(__xludf.DUMMYFUNCTION("""COMPUTED_VALUE"""),911.85)</f>
        <v>911.85</v>
      </c>
      <c r="F4417" s="2">
        <f>IFERROR(__xludf.DUMMYFUNCTION("""COMPUTED_VALUE"""),1861594.0)</f>
        <v>1861594</v>
      </c>
    </row>
    <row r="4418">
      <c r="A4418" s="3">
        <f>IFERROR(__xludf.DUMMYFUNCTION("""COMPUTED_VALUE"""),43047.64583333333)</f>
        <v>43047.64583</v>
      </c>
      <c r="B4418" s="2">
        <f>IFERROR(__xludf.DUMMYFUNCTION("""COMPUTED_VALUE"""),912.6)</f>
        <v>912.6</v>
      </c>
      <c r="C4418" s="2">
        <f>IFERROR(__xludf.DUMMYFUNCTION("""COMPUTED_VALUE"""),916.8)</f>
        <v>916.8</v>
      </c>
      <c r="D4418" s="2">
        <f>IFERROR(__xludf.DUMMYFUNCTION("""COMPUTED_VALUE"""),909.5)</f>
        <v>909.5</v>
      </c>
      <c r="E4418" s="2">
        <f>IFERROR(__xludf.DUMMYFUNCTION("""COMPUTED_VALUE"""),912.98)</f>
        <v>912.98</v>
      </c>
      <c r="F4418" s="2">
        <f>IFERROR(__xludf.DUMMYFUNCTION("""COMPUTED_VALUE"""),820786.0)</f>
        <v>820786</v>
      </c>
    </row>
    <row r="4419">
      <c r="A4419" s="3">
        <f>IFERROR(__xludf.DUMMYFUNCTION("""COMPUTED_VALUE"""),43048.64583333333)</f>
        <v>43048.64583</v>
      </c>
      <c r="B4419" s="2">
        <f>IFERROR(__xludf.DUMMYFUNCTION("""COMPUTED_VALUE"""),913.5)</f>
        <v>913.5</v>
      </c>
      <c r="C4419" s="2">
        <f>IFERROR(__xludf.DUMMYFUNCTION("""COMPUTED_VALUE"""),917.5)</f>
        <v>917.5</v>
      </c>
      <c r="D4419" s="2">
        <f>IFERROR(__xludf.DUMMYFUNCTION("""COMPUTED_VALUE"""),910.55)</f>
        <v>910.55</v>
      </c>
      <c r="E4419" s="2">
        <f>IFERROR(__xludf.DUMMYFUNCTION("""COMPUTED_VALUE"""),913.93)</f>
        <v>913.93</v>
      </c>
      <c r="F4419" s="2">
        <f>IFERROR(__xludf.DUMMYFUNCTION("""COMPUTED_VALUE"""),778327.0)</f>
        <v>778327</v>
      </c>
    </row>
    <row r="4420">
      <c r="A4420" s="3">
        <f>IFERROR(__xludf.DUMMYFUNCTION("""COMPUTED_VALUE"""),43049.64583333333)</f>
        <v>43049.64583</v>
      </c>
      <c r="B4420" s="2">
        <f>IFERROR(__xludf.DUMMYFUNCTION("""COMPUTED_VALUE"""),910.85)</f>
        <v>910.85</v>
      </c>
      <c r="C4420" s="2">
        <f>IFERROR(__xludf.DUMMYFUNCTION("""COMPUTED_VALUE"""),917.4)</f>
        <v>917.4</v>
      </c>
      <c r="D4420" s="2">
        <f>IFERROR(__xludf.DUMMYFUNCTION("""COMPUTED_VALUE"""),906.18)</f>
        <v>906.18</v>
      </c>
      <c r="E4420" s="2">
        <f>IFERROR(__xludf.DUMMYFUNCTION("""COMPUTED_VALUE"""),911.0)</f>
        <v>911</v>
      </c>
      <c r="F4420" s="2">
        <f>IFERROR(__xludf.DUMMYFUNCTION("""COMPUTED_VALUE"""),1936090.0)</f>
        <v>1936090</v>
      </c>
    </row>
    <row r="4421">
      <c r="A4421" s="3">
        <f>IFERROR(__xludf.DUMMYFUNCTION("""COMPUTED_VALUE"""),43052.64583333333)</f>
        <v>43052.64583</v>
      </c>
      <c r="B4421" s="2">
        <f>IFERROR(__xludf.DUMMYFUNCTION("""COMPUTED_VALUE"""),911.0)</f>
        <v>911</v>
      </c>
      <c r="C4421" s="2">
        <f>IFERROR(__xludf.DUMMYFUNCTION("""COMPUTED_VALUE"""),911.58)</f>
        <v>911.58</v>
      </c>
      <c r="D4421" s="2">
        <f>IFERROR(__xludf.DUMMYFUNCTION("""COMPUTED_VALUE"""),897.5)</f>
        <v>897.5</v>
      </c>
      <c r="E4421" s="2">
        <f>IFERROR(__xludf.DUMMYFUNCTION("""COMPUTED_VALUE"""),906.78)</f>
        <v>906.78</v>
      </c>
      <c r="F4421" s="2">
        <f>IFERROR(__xludf.DUMMYFUNCTION("""COMPUTED_VALUE"""),833968.0)</f>
        <v>833968</v>
      </c>
    </row>
    <row r="4422">
      <c r="A4422" s="3">
        <f>IFERROR(__xludf.DUMMYFUNCTION("""COMPUTED_VALUE"""),43053.64583333333)</f>
        <v>43053.64583</v>
      </c>
      <c r="B4422" s="2">
        <f>IFERROR(__xludf.DUMMYFUNCTION("""COMPUTED_VALUE"""),907.95)</f>
        <v>907.95</v>
      </c>
      <c r="C4422" s="2">
        <f>IFERROR(__xludf.DUMMYFUNCTION("""COMPUTED_VALUE"""),909.5)</f>
        <v>909.5</v>
      </c>
      <c r="D4422" s="2">
        <f>IFERROR(__xludf.DUMMYFUNCTION("""COMPUTED_VALUE"""),900.0)</f>
        <v>900</v>
      </c>
      <c r="E4422" s="2">
        <f>IFERROR(__xludf.DUMMYFUNCTION("""COMPUTED_VALUE"""),901.18)</f>
        <v>901.18</v>
      </c>
      <c r="F4422" s="2">
        <f>IFERROR(__xludf.DUMMYFUNCTION("""COMPUTED_VALUE"""),1178117.0)</f>
        <v>1178117</v>
      </c>
    </row>
    <row r="4423">
      <c r="A4423" s="3">
        <f>IFERROR(__xludf.DUMMYFUNCTION("""COMPUTED_VALUE"""),43054.64583333333)</f>
        <v>43054.64583</v>
      </c>
      <c r="B4423" s="2">
        <f>IFERROR(__xludf.DUMMYFUNCTION("""COMPUTED_VALUE"""),899.0)</f>
        <v>899</v>
      </c>
      <c r="C4423" s="2">
        <f>IFERROR(__xludf.DUMMYFUNCTION("""COMPUTED_VALUE"""),901.83)</f>
        <v>901.83</v>
      </c>
      <c r="D4423" s="2">
        <f>IFERROR(__xludf.DUMMYFUNCTION("""COMPUTED_VALUE"""),894.0)</f>
        <v>894</v>
      </c>
      <c r="E4423" s="2">
        <f>IFERROR(__xludf.DUMMYFUNCTION("""COMPUTED_VALUE"""),900.13)</f>
        <v>900.13</v>
      </c>
      <c r="F4423" s="2">
        <f>IFERROR(__xludf.DUMMYFUNCTION("""COMPUTED_VALUE"""),1537092.0)</f>
        <v>1537092</v>
      </c>
    </row>
    <row r="4424">
      <c r="A4424" s="3">
        <f>IFERROR(__xludf.DUMMYFUNCTION("""COMPUTED_VALUE"""),43055.64583333333)</f>
        <v>43055.64583</v>
      </c>
      <c r="B4424" s="2">
        <f>IFERROR(__xludf.DUMMYFUNCTION("""COMPUTED_VALUE"""),902.0)</f>
        <v>902</v>
      </c>
      <c r="C4424" s="2">
        <f>IFERROR(__xludf.DUMMYFUNCTION("""COMPUTED_VALUE"""),908.0)</f>
        <v>908</v>
      </c>
      <c r="D4424" s="2">
        <f>IFERROR(__xludf.DUMMYFUNCTION("""COMPUTED_VALUE"""),897.6)</f>
        <v>897.6</v>
      </c>
      <c r="E4424" s="2">
        <f>IFERROR(__xludf.DUMMYFUNCTION("""COMPUTED_VALUE"""),903.85)</f>
        <v>903.85</v>
      </c>
      <c r="F4424" s="2">
        <f>IFERROR(__xludf.DUMMYFUNCTION("""COMPUTED_VALUE"""),1003243.0)</f>
        <v>1003243</v>
      </c>
    </row>
    <row r="4425">
      <c r="A4425" s="3">
        <f>IFERROR(__xludf.DUMMYFUNCTION("""COMPUTED_VALUE"""),43056.64583333333)</f>
        <v>43056.64583</v>
      </c>
      <c r="B4425" s="2">
        <f>IFERROR(__xludf.DUMMYFUNCTION("""COMPUTED_VALUE"""),914.35)</f>
        <v>914.35</v>
      </c>
      <c r="C4425" s="2">
        <f>IFERROR(__xludf.DUMMYFUNCTION("""COMPUTED_VALUE"""),919.15)</f>
        <v>919.15</v>
      </c>
      <c r="D4425" s="2">
        <f>IFERROR(__xludf.DUMMYFUNCTION("""COMPUTED_VALUE"""),906.58)</f>
        <v>906.58</v>
      </c>
      <c r="E4425" s="2">
        <f>IFERROR(__xludf.DUMMYFUNCTION("""COMPUTED_VALUE"""),912.78)</f>
        <v>912.78</v>
      </c>
      <c r="F4425" s="2">
        <f>IFERROR(__xludf.DUMMYFUNCTION("""COMPUTED_VALUE"""),1589693.0)</f>
        <v>1589693</v>
      </c>
    </row>
    <row r="4426">
      <c r="A4426" s="3">
        <f>IFERROR(__xludf.DUMMYFUNCTION("""COMPUTED_VALUE"""),43059.64583333333)</f>
        <v>43059.64583</v>
      </c>
      <c r="B4426" s="2">
        <f>IFERROR(__xludf.DUMMYFUNCTION("""COMPUTED_VALUE"""),914.5)</f>
        <v>914.5</v>
      </c>
      <c r="C4426" s="2">
        <f>IFERROR(__xludf.DUMMYFUNCTION("""COMPUTED_VALUE"""),919.85)</f>
        <v>919.85</v>
      </c>
      <c r="D4426" s="2">
        <f>IFERROR(__xludf.DUMMYFUNCTION("""COMPUTED_VALUE"""),914.5)</f>
        <v>914.5</v>
      </c>
      <c r="E4426" s="2">
        <f>IFERROR(__xludf.DUMMYFUNCTION("""COMPUTED_VALUE"""),919.08)</f>
        <v>919.08</v>
      </c>
      <c r="F4426" s="2">
        <f>IFERROR(__xludf.DUMMYFUNCTION("""COMPUTED_VALUE"""),598106.0)</f>
        <v>598106</v>
      </c>
    </row>
    <row r="4427">
      <c r="A4427" s="3">
        <f>IFERROR(__xludf.DUMMYFUNCTION("""COMPUTED_VALUE"""),43060.64583333333)</f>
        <v>43060.64583</v>
      </c>
      <c r="B4427" s="2">
        <f>IFERROR(__xludf.DUMMYFUNCTION("""COMPUTED_VALUE"""),918.73)</f>
        <v>918.73</v>
      </c>
      <c r="C4427" s="2">
        <f>IFERROR(__xludf.DUMMYFUNCTION("""COMPUTED_VALUE"""),925.0)</f>
        <v>925</v>
      </c>
      <c r="D4427" s="2">
        <f>IFERROR(__xludf.DUMMYFUNCTION("""COMPUTED_VALUE"""),918.05)</f>
        <v>918.05</v>
      </c>
      <c r="E4427" s="2">
        <f>IFERROR(__xludf.DUMMYFUNCTION("""COMPUTED_VALUE"""),923.13)</f>
        <v>923.13</v>
      </c>
      <c r="F4427" s="2">
        <f>IFERROR(__xludf.DUMMYFUNCTION("""COMPUTED_VALUE"""),568883.0)</f>
        <v>568883</v>
      </c>
    </row>
    <row r="4428">
      <c r="A4428" s="3">
        <f>IFERROR(__xludf.DUMMYFUNCTION("""COMPUTED_VALUE"""),43061.64583333333)</f>
        <v>43061.64583</v>
      </c>
      <c r="B4428" s="2">
        <f>IFERROR(__xludf.DUMMYFUNCTION("""COMPUTED_VALUE"""),924.85)</f>
        <v>924.85</v>
      </c>
      <c r="C4428" s="2">
        <f>IFERROR(__xludf.DUMMYFUNCTION("""COMPUTED_VALUE"""),930.0)</f>
        <v>930</v>
      </c>
      <c r="D4428" s="2">
        <f>IFERROR(__xludf.DUMMYFUNCTION("""COMPUTED_VALUE"""),922.28)</f>
        <v>922.28</v>
      </c>
      <c r="E4428" s="2">
        <f>IFERROR(__xludf.DUMMYFUNCTION("""COMPUTED_VALUE"""),927.63)</f>
        <v>927.63</v>
      </c>
      <c r="F4428" s="2">
        <f>IFERROR(__xludf.DUMMYFUNCTION("""COMPUTED_VALUE"""),1415199.0)</f>
        <v>1415199</v>
      </c>
    </row>
    <row r="4429">
      <c r="A4429" s="3">
        <f>IFERROR(__xludf.DUMMYFUNCTION("""COMPUTED_VALUE"""),43062.64583333333)</f>
        <v>43062.64583</v>
      </c>
      <c r="B4429" s="2">
        <f>IFERROR(__xludf.DUMMYFUNCTION("""COMPUTED_VALUE"""),929.5)</f>
        <v>929.5</v>
      </c>
      <c r="C4429" s="2">
        <f>IFERROR(__xludf.DUMMYFUNCTION("""COMPUTED_VALUE"""),930.0)</f>
        <v>930</v>
      </c>
      <c r="D4429" s="2">
        <f>IFERROR(__xludf.DUMMYFUNCTION("""COMPUTED_VALUE"""),919.0)</f>
        <v>919</v>
      </c>
      <c r="E4429" s="2">
        <f>IFERROR(__xludf.DUMMYFUNCTION("""COMPUTED_VALUE"""),921.43)</f>
        <v>921.43</v>
      </c>
      <c r="F4429" s="2">
        <f>IFERROR(__xludf.DUMMYFUNCTION("""COMPUTED_VALUE"""),808145.0)</f>
        <v>808145</v>
      </c>
    </row>
    <row r="4430">
      <c r="A4430" s="3">
        <f>IFERROR(__xludf.DUMMYFUNCTION("""COMPUTED_VALUE"""),43063.64583333333)</f>
        <v>43063.64583</v>
      </c>
      <c r="B4430" s="2">
        <f>IFERROR(__xludf.DUMMYFUNCTION("""COMPUTED_VALUE"""),921.5)</f>
        <v>921.5</v>
      </c>
      <c r="C4430" s="2">
        <f>IFERROR(__xludf.DUMMYFUNCTION("""COMPUTED_VALUE"""),928.9)</f>
        <v>928.9</v>
      </c>
      <c r="D4430" s="2">
        <f>IFERROR(__xludf.DUMMYFUNCTION("""COMPUTED_VALUE"""),920.5)</f>
        <v>920.5</v>
      </c>
      <c r="E4430" s="2">
        <f>IFERROR(__xludf.DUMMYFUNCTION("""COMPUTED_VALUE"""),925.7)</f>
        <v>925.7</v>
      </c>
      <c r="F4430" s="2">
        <f>IFERROR(__xludf.DUMMYFUNCTION("""COMPUTED_VALUE"""),1300921.0)</f>
        <v>1300921</v>
      </c>
    </row>
    <row r="4431">
      <c r="A4431" s="3">
        <f>IFERROR(__xludf.DUMMYFUNCTION("""COMPUTED_VALUE"""),43066.64583333333)</f>
        <v>43066.64583</v>
      </c>
      <c r="B4431" s="2">
        <f>IFERROR(__xludf.DUMMYFUNCTION("""COMPUTED_VALUE"""),924.5)</f>
        <v>924.5</v>
      </c>
      <c r="C4431" s="2">
        <f>IFERROR(__xludf.DUMMYFUNCTION("""COMPUTED_VALUE"""),931.0)</f>
        <v>931</v>
      </c>
      <c r="D4431" s="2">
        <f>IFERROR(__xludf.DUMMYFUNCTION("""COMPUTED_VALUE"""),922.8)</f>
        <v>922.8</v>
      </c>
      <c r="E4431" s="2">
        <f>IFERROR(__xludf.DUMMYFUNCTION("""COMPUTED_VALUE"""),928.78)</f>
        <v>928.78</v>
      </c>
      <c r="F4431" s="2">
        <f>IFERROR(__xludf.DUMMYFUNCTION("""COMPUTED_VALUE"""),967618.0)</f>
        <v>967618</v>
      </c>
    </row>
    <row r="4432">
      <c r="A4432" s="3">
        <f>IFERROR(__xludf.DUMMYFUNCTION("""COMPUTED_VALUE"""),43067.64583333333)</f>
        <v>43067.64583</v>
      </c>
      <c r="B4432" s="2">
        <f>IFERROR(__xludf.DUMMYFUNCTION("""COMPUTED_VALUE"""),928.0)</f>
        <v>928</v>
      </c>
      <c r="C4432" s="2">
        <f>IFERROR(__xludf.DUMMYFUNCTION("""COMPUTED_VALUE"""),935.5)</f>
        <v>935.5</v>
      </c>
      <c r="D4432" s="2">
        <f>IFERROR(__xludf.DUMMYFUNCTION("""COMPUTED_VALUE"""),927.93)</f>
        <v>927.93</v>
      </c>
      <c r="E4432" s="2">
        <f>IFERROR(__xludf.DUMMYFUNCTION("""COMPUTED_VALUE"""),932.68)</f>
        <v>932.68</v>
      </c>
      <c r="F4432" s="2">
        <f>IFERROR(__xludf.DUMMYFUNCTION("""COMPUTED_VALUE"""),1272635.0)</f>
        <v>1272635</v>
      </c>
    </row>
    <row r="4433">
      <c r="A4433" s="3">
        <f>IFERROR(__xludf.DUMMYFUNCTION("""COMPUTED_VALUE"""),43068.64583333333)</f>
        <v>43068.64583</v>
      </c>
      <c r="B4433" s="2">
        <f>IFERROR(__xludf.DUMMYFUNCTION("""COMPUTED_VALUE"""),932.5)</f>
        <v>932.5</v>
      </c>
      <c r="C4433" s="2">
        <f>IFERROR(__xludf.DUMMYFUNCTION("""COMPUTED_VALUE"""),937.75)</f>
        <v>937.75</v>
      </c>
      <c r="D4433" s="2">
        <f>IFERROR(__xludf.DUMMYFUNCTION("""COMPUTED_VALUE"""),927.9)</f>
        <v>927.9</v>
      </c>
      <c r="E4433" s="2">
        <f>IFERROR(__xludf.DUMMYFUNCTION("""COMPUTED_VALUE"""),936.65)</f>
        <v>936.65</v>
      </c>
      <c r="F4433" s="2">
        <f>IFERROR(__xludf.DUMMYFUNCTION("""COMPUTED_VALUE"""),818646.0)</f>
        <v>818646</v>
      </c>
    </row>
    <row r="4434">
      <c r="A4434" s="3">
        <f>IFERROR(__xludf.DUMMYFUNCTION("""COMPUTED_VALUE"""),43069.64583333333)</f>
        <v>43069.64583</v>
      </c>
      <c r="B4434" s="2">
        <f>IFERROR(__xludf.DUMMYFUNCTION("""COMPUTED_VALUE"""),934.35)</f>
        <v>934.35</v>
      </c>
      <c r="C4434" s="2">
        <f>IFERROR(__xludf.DUMMYFUNCTION("""COMPUTED_VALUE"""),936.98)</f>
        <v>936.98</v>
      </c>
      <c r="D4434" s="2">
        <f>IFERROR(__xludf.DUMMYFUNCTION("""COMPUTED_VALUE"""),920.0)</f>
        <v>920</v>
      </c>
      <c r="E4434" s="2">
        <f>IFERROR(__xludf.DUMMYFUNCTION("""COMPUTED_VALUE"""),926.85)</f>
        <v>926.85</v>
      </c>
      <c r="F4434" s="2">
        <f>IFERROR(__xludf.DUMMYFUNCTION("""COMPUTED_VALUE"""),1449078.0)</f>
        <v>1449078</v>
      </c>
    </row>
    <row r="4435">
      <c r="A4435" s="3">
        <f>IFERROR(__xludf.DUMMYFUNCTION("""COMPUTED_VALUE"""),43070.64583333333)</f>
        <v>43070.64583</v>
      </c>
      <c r="B4435" s="2">
        <f>IFERROR(__xludf.DUMMYFUNCTION("""COMPUTED_VALUE"""),927.45)</f>
        <v>927.45</v>
      </c>
      <c r="C4435" s="2">
        <f>IFERROR(__xludf.DUMMYFUNCTION("""COMPUTED_VALUE"""),930.0)</f>
        <v>930</v>
      </c>
      <c r="D4435" s="2">
        <f>IFERROR(__xludf.DUMMYFUNCTION("""COMPUTED_VALUE"""),922.05)</f>
        <v>922.05</v>
      </c>
      <c r="E4435" s="2">
        <f>IFERROR(__xludf.DUMMYFUNCTION("""COMPUTED_VALUE"""),924.1)</f>
        <v>924.1</v>
      </c>
      <c r="F4435" s="2">
        <f>IFERROR(__xludf.DUMMYFUNCTION("""COMPUTED_VALUE"""),964537.0)</f>
        <v>964537</v>
      </c>
    </row>
    <row r="4436">
      <c r="A4436" s="3">
        <f>IFERROR(__xludf.DUMMYFUNCTION("""COMPUTED_VALUE"""),43073.64583333333)</f>
        <v>43073.64583</v>
      </c>
      <c r="B4436" s="2">
        <f>IFERROR(__xludf.DUMMYFUNCTION("""COMPUTED_VALUE"""),927.45)</f>
        <v>927.45</v>
      </c>
      <c r="C4436" s="2">
        <f>IFERROR(__xludf.DUMMYFUNCTION("""COMPUTED_VALUE"""),927.45)</f>
        <v>927.45</v>
      </c>
      <c r="D4436" s="2">
        <f>IFERROR(__xludf.DUMMYFUNCTION("""COMPUTED_VALUE"""),915.05)</f>
        <v>915.05</v>
      </c>
      <c r="E4436" s="2">
        <f>IFERROR(__xludf.DUMMYFUNCTION("""COMPUTED_VALUE"""),917.05)</f>
        <v>917.05</v>
      </c>
      <c r="F4436" s="2">
        <f>IFERROR(__xludf.DUMMYFUNCTION("""COMPUTED_VALUE"""),910483.0)</f>
        <v>910483</v>
      </c>
    </row>
    <row r="4437">
      <c r="A4437" s="3">
        <f>IFERROR(__xludf.DUMMYFUNCTION("""COMPUTED_VALUE"""),43074.64583333333)</f>
        <v>43074.64583</v>
      </c>
      <c r="B4437" s="2">
        <f>IFERROR(__xludf.DUMMYFUNCTION("""COMPUTED_VALUE"""),913.0)</f>
        <v>913</v>
      </c>
      <c r="C4437" s="2">
        <f>IFERROR(__xludf.DUMMYFUNCTION("""COMPUTED_VALUE"""),914.28)</f>
        <v>914.28</v>
      </c>
      <c r="D4437" s="2">
        <f>IFERROR(__xludf.DUMMYFUNCTION("""COMPUTED_VALUE"""),903.5)</f>
        <v>903.5</v>
      </c>
      <c r="E4437" s="2">
        <f>IFERROR(__xludf.DUMMYFUNCTION("""COMPUTED_VALUE"""),910.23)</f>
        <v>910.23</v>
      </c>
      <c r="F4437" s="2">
        <f>IFERROR(__xludf.DUMMYFUNCTION("""COMPUTED_VALUE"""),973340.0)</f>
        <v>973340</v>
      </c>
    </row>
    <row r="4438">
      <c r="A4438" s="3">
        <f>IFERROR(__xludf.DUMMYFUNCTION("""COMPUTED_VALUE"""),43075.64583333333)</f>
        <v>43075.64583</v>
      </c>
      <c r="B4438" s="2">
        <f>IFERROR(__xludf.DUMMYFUNCTION("""COMPUTED_VALUE"""),909.98)</f>
        <v>909.98</v>
      </c>
      <c r="C4438" s="2">
        <f>IFERROR(__xludf.DUMMYFUNCTION("""COMPUTED_VALUE"""),910.68)</f>
        <v>910.68</v>
      </c>
      <c r="D4438" s="2">
        <f>IFERROR(__xludf.DUMMYFUNCTION("""COMPUTED_VALUE"""),899.5)</f>
        <v>899.5</v>
      </c>
      <c r="E4438" s="2">
        <f>IFERROR(__xludf.DUMMYFUNCTION("""COMPUTED_VALUE"""),901.65)</f>
        <v>901.65</v>
      </c>
      <c r="F4438" s="2">
        <f>IFERROR(__xludf.DUMMYFUNCTION("""COMPUTED_VALUE"""),1598780.0)</f>
        <v>1598780</v>
      </c>
    </row>
    <row r="4439">
      <c r="A4439" s="3">
        <f>IFERROR(__xludf.DUMMYFUNCTION("""COMPUTED_VALUE"""),43076.64583333333)</f>
        <v>43076.64583</v>
      </c>
      <c r="B4439" s="2">
        <f>IFERROR(__xludf.DUMMYFUNCTION("""COMPUTED_VALUE"""),903.33)</f>
        <v>903.33</v>
      </c>
      <c r="C4439" s="2">
        <f>IFERROR(__xludf.DUMMYFUNCTION("""COMPUTED_VALUE"""),908.3)</f>
        <v>908.3</v>
      </c>
      <c r="D4439" s="2">
        <f>IFERROR(__xludf.DUMMYFUNCTION("""COMPUTED_VALUE"""),901.55)</f>
        <v>901.55</v>
      </c>
      <c r="E4439" s="2">
        <f>IFERROR(__xludf.DUMMYFUNCTION("""COMPUTED_VALUE"""),905.45)</f>
        <v>905.45</v>
      </c>
      <c r="F4439" s="2">
        <f>IFERROR(__xludf.DUMMYFUNCTION("""COMPUTED_VALUE"""),1057826.0)</f>
        <v>1057826</v>
      </c>
    </row>
    <row r="4440">
      <c r="A4440" s="3">
        <f>IFERROR(__xludf.DUMMYFUNCTION("""COMPUTED_VALUE"""),43077.64583333333)</f>
        <v>43077.64583</v>
      </c>
      <c r="B4440" s="2">
        <f>IFERROR(__xludf.DUMMYFUNCTION("""COMPUTED_VALUE"""),907.0)</f>
        <v>907</v>
      </c>
      <c r="C4440" s="2">
        <f>IFERROR(__xludf.DUMMYFUNCTION("""COMPUTED_VALUE"""),926.5)</f>
        <v>926.5</v>
      </c>
      <c r="D4440" s="2">
        <f>IFERROR(__xludf.DUMMYFUNCTION("""COMPUTED_VALUE"""),907.0)</f>
        <v>907</v>
      </c>
      <c r="E4440" s="2">
        <f>IFERROR(__xludf.DUMMYFUNCTION("""COMPUTED_VALUE"""),920.2)</f>
        <v>920.2</v>
      </c>
      <c r="F4440" s="2">
        <f>IFERROR(__xludf.DUMMYFUNCTION("""COMPUTED_VALUE"""),2239100.0)</f>
        <v>2239100</v>
      </c>
    </row>
    <row r="4441">
      <c r="A4441" s="3">
        <f>IFERROR(__xludf.DUMMYFUNCTION("""COMPUTED_VALUE"""),43080.64583333333)</f>
        <v>43080.64583</v>
      </c>
      <c r="B4441" s="2">
        <f>IFERROR(__xludf.DUMMYFUNCTION("""COMPUTED_VALUE"""),924.0)</f>
        <v>924</v>
      </c>
      <c r="C4441" s="2">
        <f>IFERROR(__xludf.DUMMYFUNCTION("""COMPUTED_VALUE"""),925.88)</f>
        <v>925.88</v>
      </c>
      <c r="D4441" s="2">
        <f>IFERROR(__xludf.DUMMYFUNCTION("""COMPUTED_VALUE"""),920.0)</f>
        <v>920</v>
      </c>
      <c r="E4441" s="2">
        <f>IFERROR(__xludf.DUMMYFUNCTION("""COMPUTED_VALUE"""),923.2)</f>
        <v>923.2</v>
      </c>
      <c r="F4441" s="2">
        <f>IFERROR(__xludf.DUMMYFUNCTION("""COMPUTED_VALUE"""),799558.0)</f>
        <v>799558</v>
      </c>
    </row>
    <row r="4442">
      <c r="A4442" s="3">
        <f>IFERROR(__xludf.DUMMYFUNCTION("""COMPUTED_VALUE"""),43081.64583333333)</f>
        <v>43081.64583</v>
      </c>
      <c r="B4442" s="2">
        <f>IFERROR(__xludf.DUMMYFUNCTION("""COMPUTED_VALUE"""),924.55)</f>
        <v>924.55</v>
      </c>
      <c r="C4442" s="2">
        <f>IFERROR(__xludf.DUMMYFUNCTION("""COMPUTED_VALUE"""),924.95)</f>
        <v>924.95</v>
      </c>
      <c r="D4442" s="2">
        <f>IFERROR(__xludf.DUMMYFUNCTION("""COMPUTED_VALUE"""),907.98)</f>
        <v>907.98</v>
      </c>
      <c r="E4442" s="2">
        <f>IFERROR(__xludf.DUMMYFUNCTION("""COMPUTED_VALUE"""),909.95)</f>
        <v>909.95</v>
      </c>
      <c r="F4442" s="2">
        <f>IFERROR(__xludf.DUMMYFUNCTION("""COMPUTED_VALUE"""),602647.0)</f>
        <v>602647</v>
      </c>
    </row>
    <row r="4443">
      <c r="A4443" s="3">
        <f>IFERROR(__xludf.DUMMYFUNCTION("""COMPUTED_VALUE"""),43082.64583333333)</f>
        <v>43082.64583</v>
      </c>
      <c r="B4443" s="2">
        <f>IFERROR(__xludf.DUMMYFUNCTION("""COMPUTED_VALUE"""),910.03)</f>
        <v>910.03</v>
      </c>
      <c r="C4443" s="2">
        <f>IFERROR(__xludf.DUMMYFUNCTION("""COMPUTED_VALUE"""),922.5)</f>
        <v>922.5</v>
      </c>
      <c r="D4443" s="2">
        <f>IFERROR(__xludf.DUMMYFUNCTION("""COMPUTED_VALUE"""),907.55)</f>
        <v>907.55</v>
      </c>
      <c r="E4443" s="2">
        <f>IFERROR(__xludf.DUMMYFUNCTION("""COMPUTED_VALUE"""),910.68)</f>
        <v>910.68</v>
      </c>
      <c r="F4443" s="2">
        <f>IFERROR(__xludf.DUMMYFUNCTION("""COMPUTED_VALUE"""),726865.0)</f>
        <v>726865</v>
      </c>
    </row>
    <row r="4444">
      <c r="A4444" s="3">
        <f>IFERROR(__xludf.DUMMYFUNCTION("""COMPUTED_VALUE"""),43083.64583333333)</f>
        <v>43083.64583</v>
      </c>
      <c r="B4444" s="2">
        <f>IFERROR(__xludf.DUMMYFUNCTION("""COMPUTED_VALUE"""),912.0)</f>
        <v>912</v>
      </c>
      <c r="C4444" s="2">
        <f>IFERROR(__xludf.DUMMYFUNCTION("""COMPUTED_VALUE"""),920.0)</f>
        <v>920</v>
      </c>
      <c r="D4444" s="2">
        <f>IFERROR(__xludf.DUMMYFUNCTION("""COMPUTED_VALUE"""),906.0)</f>
        <v>906</v>
      </c>
      <c r="E4444" s="2">
        <f>IFERROR(__xludf.DUMMYFUNCTION("""COMPUTED_VALUE"""),919.03)</f>
        <v>919.03</v>
      </c>
      <c r="F4444" s="2">
        <f>IFERROR(__xludf.DUMMYFUNCTION("""COMPUTED_VALUE"""),920773.0)</f>
        <v>920773</v>
      </c>
    </row>
    <row r="4445">
      <c r="A4445" s="3">
        <f>IFERROR(__xludf.DUMMYFUNCTION("""COMPUTED_VALUE"""),43084.64583333333)</f>
        <v>43084.64583</v>
      </c>
      <c r="B4445" s="2">
        <f>IFERROR(__xludf.DUMMYFUNCTION("""COMPUTED_VALUE"""),928.0)</f>
        <v>928</v>
      </c>
      <c r="C4445" s="2">
        <f>IFERROR(__xludf.DUMMYFUNCTION("""COMPUTED_VALUE"""),944.0)</f>
        <v>944</v>
      </c>
      <c r="D4445" s="2">
        <f>IFERROR(__xludf.DUMMYFUNCTION("""COMPUTED_VALUE"""),927.75)</f>
        <v>927.75</v>
      </c>
      <c r="E4445" s="2">
        <f>IFERROR(__xludf.DUMMYFUNCTION("""COMPUTED_VALUE"""),936.73)</f>
        <v>936.73</v>
      </c>
      <c r="F4445" s="2">
        <f>IFERROR(__xludf.DUMMYFUNCTION("""COMPUTED_VALUE"""),3112531.0)</f>
        <v>3112531</v>
      </c>
    </row>
    <row r="4446">
      <c r="A4446" s="3">
        <f>IFERROR(__xludf.DUMMYFUNCTION("""COMPUTED_VALUE"""),43087.64583333333)</f>
        <v>43087.64583</v>
      </c>
      <c r="B4446" s="2">
        <f>IFERROR(__xludf.DUMMYFUNCTION("""COMPUTED_VALUE"""),927.5)</f>
        <v>927.5</v>
      </c>
      <c r="C4446" s="2">
        <f>IFERROR(__xludf.DUMMYFUNCTION("""COMPUTED_VALUE"""),949.5)</f>
        <v>949.5</v>
      </c>
      <c r="D4446" s="2">
        <f>IFERROR(__xludf.DUMMYFUNCTION("""COMPUTED_VALUE"""),904.65)</f>
        <v>904.65</v>
      </c>
      <c r="E4446" s="2">
        <f>IFERROR(__xludf.DUMMYFUNCTION("""COMPUTED_VALUE"""),939.48)</f>
        <v>939.48</v>
      </c>
      <c r="F4446" s="2">
        <f>IFERROR(__xludf.DUMMYFUNCTION("""COMPUTED_VALUE"""),3074497.0)</f>
        <v>3074497</v>
      </c>
    </row>
    <row r="4447">
      <c r="A4447" s="3">
        <f>IFERROR(__xludf.DUMMYFUNCTION("""COMPUTED_VALUE"""),43088.64583333333)</f>
        <v>43088.64583</v>
      </c>
      <c r="B4447" s="2">
        <f>IFERROR(__xludf.DUMMYFUNCTION("""COMPUTED_VALUE"""),939.9)</f>
        <v>939.9</v>
      </c>
      <c r="C4447" s="2">
        <f>IFERROR(__xludf.DUMMYFUNCTION("""COMPUTED_VALUE"""),946.83)</f>
        <v>946.83</v>
      </c>
      <c r="D4447" s="2">
        <f>IFERROR(__xludf.DUMMYFUNCTION("""COMPUTED_VALUE"""),938.08)</f>
        <v>938.08</v>
      </c>
      <c r="E4447" s="2">
        <f>IFERROR(__xludf.DUMMYFUNCTION("""COMPUTED_VALUE"""),942.25)</f>
        <v>942.25</v>
      </c>
      <c r="F4447" s="2">
        <f>IFERROR(__xludf.DUMMYFUNCTION("""COMPUTED_VALUE"""),1238028.0)</f>
        <v>1238028</v>
      </c>
    </row>
    <row r="4448">
      <c r="A4448" s="3">
        <f>IFERROR(__xludf.DUMMYFUNCTION("""COMPUTED_VALUE"""),43089.64583333333)</f>
        <v>43089.64583</v>
      </c>
      <c r="B4448" s="2">
        <f>IFERROR(__xludf.DUMMYFUNCTION("""COMPUTED_VALUE"""),949.45)</f>
        <v>949.45</v>
      </c>
      <c r="C4448" s="2">
        <f>IFERROR(__xludf.DUMMYFUNCTION("""COMPUTED_VALUE"""),951.55)</f>
        <v>951.55</v>
      </c>
      <c r="D4448" s="2">
        <f>IFERROR(__xludf.DUMMYFUNCTION("""COMPUTED_VALUE"""),931.83)</f>
        <v>931.83</v>
      </c>
      <c r="E4448" s="2">
        <f>IFERROR(__xludf.DUMMYFUNCTION("""COMPUTED_VALUE"""),934.08)</f>
        <v>934.08</v>
      </c>
      <c r="F4448" s="2">
        <f>IFERROR(__xludf.DUMMYFUNCTION("""COMPUTED_VALUE"""),2335876.0)</f>
        <v>2335876</v>
      </c>
    </row>
    <row r="4449">
      <c r="A4449" s="3">
        <f>IFERROR(__xludf.DUMMYFUNCTION("""COMPUTED_VALUE"""),43090.64583333333)</f>
        <v>43090.64583</v>
      </c>
      <c r="B4449" s="2">
        <f>IFERROR(__xludf.DUMMYFUNCTION("""COMPUTED_VALUE"""),939.95)</f>
        <v>939.95</v>
      </c>
      <c r="C4449" s="2">
        <f>IFERROR(__xludf.DUMMYFUNCTION("""COMPUTED_VALUE"""),942.5)</f>
        <v>942.5</v>
      </c>
      <c r="D4449" s="2">
        <f>IFERROR(__xludf.DUMMYFUNCTION("""COMPUTED_VALUE"""),932.6)</f>
        <v>932.6</v>
      </c>
      <c r="E4449" s="2">
        <f>IFERROR(__xludf.DUMMYFUNCTION("""COMPUTED_VALUE"""),934.15)</f>
        <v>934.15</v>
      </c>
      <c r="F4449" s="2">
        <f>IFERROR(__xludf.DUMMYFUNCTION("""COMPUTED_VALUE"""),1713636.0)</f>
        <v>1713636</v>
      </c>
    </row>
    <row r="4450">
      <c r="A4450" s="3">
        <f>IFERROR(__xludf.DUMMYFUNCTION("""COMPUTED_VALUE"""),43091.64583333333)</f>
        <v>43091.64583</v>
      </c>
      <c r="B4450" s="2">
        <f>IFERROR(__xludf.DUMMYFUNCTION("""COMPUTED_VALUE"""),939.5)</f>
        <v>939.5</v>
      </c>
      <c r="C4450" s="2">
        <f>IFERROR(__xludf.DUMMYFUNCTION("""COMPUTED_VALUE"""),940.0)</f>
        <v>940</v>
      </c>
      <c r="D4450" s="2">
        <f>IFERROR(__xludf.DUMMYFUNCTION("""COMPUTED_VALUE"""),930.88)</f>
        <v>930.88</v>
      </c>
      <c r="E4450" s="2">
        <f>IFERROR(__xludf.DUMMYFUNCTION("""COMPUTED_VALUE"""),938.33)</f>
        <v>938.33</v>
      </c>
      <c r="F4450" s="2">
        <f>IFERROR(__xludf.DUMMYFUNCTION("""COMPUTED_VALUE"""),1117726.0)</f>
        <v>1117726</v>
      </c>
    </row>
    <row r="4451">
      <c r="A4451" s="3">
        <f>IFERROR(__xludf.DUMMYFUNCTION("""COMPUTED_VALUE"""),43095.64583333333)</f>
        <v>43095.64583</v>
      </c>
      <c r="B4451" s="2">
        <f>IFERROR(__xludf.DUMMYFUNCTION("""COMPUTED_VALUE"""),940.5)</f>
        <v>940.5</v>
      </c>
      <c r="C4451" s="2">
        <f>IFERROR(__xludf.DUMMYFUNCTION("""COMPUTED_VALUE"""),941.4)</f>
        <v>941.4</v>
      </c>
      <c r="D4451" s="2">
        <f>IFERROR(__xludf.DUMMYFUNCTION("""COMPUTED_VALUE"""),928.35)</f>
        <v>928.35</v>
      </c>
      <c r="E4451" s="2">
        <f>IFERROR(__xludf.DUMMYFUNCTION("""COMPUTED_VALUE"""),934.18)</f>
        <v>934.18</v>
      </c>
      <c r="F4451" s="2">
        <f>IFERROR(__xludf.DUMMYFUNCTION("""COMPUTED_VALUE"""),1696424.0)</f>
        <v>1696424</v>
      </c>
    </row>
    <row r="4452">
      <c r="A4452" s="3">
        <f>IFERROR(__xludf.DUMMYFUNCTION("""COMPUTED_VALUE"""),43096.64583333333)</f>
        <v>43096.64583</v>
      </c>
      <c r="B4452" s="2">
        <f>IFERROR(__xludf.DUMMYFUNCTION("""COMPUTED_VALUE"""),935.05)</f>
        <v>935.05</v>
      </c>
      <c r="C4452" s="2">
        <f>IFERROR(__xludf.DUMMYFUNCTION("""COMPUTED_VALUE"""),935.15)</f>
        <v>935.15</v>
      </c>
      <c r="D4452" s="2">
        <f>IFERROR(__xludf.DUMMYFUNCTION("""COMPUTED_VALUE"""),925.58)</f>
        <v>925.58</v>
      </c>
      <c r="E4452" s="2">
        <f>IFERROR(__xludf.DUMMYFUNCTION("""COMPUTED_VALUE"""),928.38)</f>
        <v>928.38</v>
      </c>
      <c r="F4452" s="2">
        <f>IFERROR(__xludf.DUMMYFUNCTION("""COMPUTED_VALUE"""),872346.0)</f>
        <v>872346</v>
      </c>
    </row>
    <row r="4453">
      <c r="A4453" s="3">
        <f>IFERROR(__xludf.DUMMYFUNCTION("""COMPUTED_VALUE"""),43097.64583333333)</f>
        <v>43097.64583</v>
      </c>
      <c r="B4453" s="2">
        <f>IFERROR(__xludf.DUMMYFUNCTION("""COMPUTED_VALUE"""),929.45)</f>
        <v>929.45</v>
      </c>
      <c r="C4453" s="2">
        <f>IFERROR(__xludf.DUMMYFUNCTION("""COMPUTED_VALUE"""),940.45)</f>
        <v>940.45</v>
      </c>
      <c r="D4453" s="2">
        <f>IFERROR(__xludf.DUMMYFUNCTION("""COMPUTED_VALUE"""),929.0)</f>
        <v>929</v>
      </c>
      <c r="E4453" s="2">
        <f>IFERROR(__xludf.DUMMYFUNCTION("""COMPUTED_VALUE"""),939.03)</f>
        <v>939.03</v>
      </c>
      <c r="F4453" s="2">
        <f>IFERROR(__xludf.DUMMYFUNCTION("""COMPUTED_VALUE"""),2175130.0)</f>
        <v>2175130</v>
      </c>
    </row>
    <row r="4454">
      <c r="A4454" s="3">
        <f>IFERROR(__xludf.DUMMYFUNCTION("""COMPUTED_VALUE"""),43098.64583333333)</f>
        <v>43098.64583</v>
      </c>
      <c r="B4454" s="2">
        <f>IFERROR(__xludf.DUMMYFUNCTION("""COMPUTED_VALUE"""),938.4)</f>
        <v>938.4</v>
      </c>
      <c r="C4454" s="2">
        <f>IFERROR(__xludf.DUMMYFUNCTION("""COMPUTED_VALUE"""),939.6)</f>
        <v>939.6</v>
      </c>
      <c r="D4454" s="2">
        <f>IFERROR(__xludf.DUMMYFUNCTION("""COMPUTED_VALUE"""),934.08)</f>
        <v>934.08</v>
      </c>
      <c r="E4454" s="2">
        <f>IFERROR(__xludf.DUMMYFUNCTION("""COMPUTED_VALUE"""),936.2)</f>
        <v>936.2</v>
      </c>
      <c r="F4454" s="2">
        <f>IFERROR(__xludf.DUMMYFUNCTION("""COMPUTED_VALUE"""),1586468.0)</f>
        <v>1586468</v>
      </c>
    </row>
    <row r="4455">
      <c r="A4455" s="3">
        <f>IFERROR(__xludf.DUMMYFUNCTION("""COMPUTED_VALUE"""),43101.64583333333)</f>
        <v>43101.64583</v>
      </c>
      <c r="B4455" s="2">
        <f>IFERROR(__xludf.DUMMYFUNCTION("""COMPUTED_VALUE"""),936.35)</f>
        <v>936.35</v>
      </c>
      <c r="C4455" s="2">
        <f>IFERROR(__xludf.DUMMYFUNCTION("""COMPUTED_VALUE"""),940.38)</f>
        <v>940.38</v>
      </c>
      <c r="D4455" s="2">
        <f>IFERROR(__xludf.DUMMYFUNCTION("""COMPUTED_VALUE"""),925.25)</f>
        <v>925.25</v>
      </c>
      <c r="E4455" s="2">
        <f>IFERROR(__xludf.DUMMYFUNCTION("""COMPUTED_VALUE"""),927.25)</f>
        <v>927.25</v>
      </c>
      <c r="F4455" s="2">
        <f>IFERROR(__xludf.DUMMYFUNCTION("""COMPUTED_VALUE"""),1645129.0)</f>
        <v>1645129</v>
      </c>
    </row>
    <row r="4456">
      <c r="A4456" s="3">
        <f>IFERROR(__xludf.DUMMYFUNCTION("""COMPUTED_VALUE"""),43102.64583333333)</f>
        <v>43102.64583</v>
      </c>
      <c r="B4456" s="2">
        <f>IFERROR(__xludf.DUMMYFUNCTION("""COMPUTED_VALUE"""),929.28)</f>
        <v>929.28</v>
      </c>
      <c r="C4456" s="2">
        <f>IFERROR(__xludf.DUMMYFUNCTION("""COMPUTED_VALUE"""),937.5)</f>
        <v>937.5</v>
      </c>
      <c r="D4456" s="2">
        <f>IFERROR(__xludf.DUMMYFUNCTION("""COMPUTED_VALUE"""),929.28)</f>
        <v>929.28</v>
      </c>
      <c r="E4456" s="2">
        <f>IFERROR(__xludf.DUMMYFUNCTION("""COMPUTED_VALUE"""),936.18)</f>
        <v>936.18</v>
      </c>
      <c r="F4456" s="2">
        <f>IFERROR(__xludf.DUMMYFUNCTION("""COMPUTED_VALUE"""),1194079.0)</f>
        <v>1194079</v>
      </c>
    </row>
    <row r="4457">
      <c r="A4457" s="3">
        <f>IFERROR(__xludf.DUMMYFUNCTION("""COMPUTED_VALUE"""),43103.64583333333)</f>
        <v>43103.64583</v>
      </c>
      <c r="B4457" s="2">
        <f>IFERROR(__xludf.DUMMYFUNCTION("""COMPUTED_VALUE"""),937.5)</f>
        <v>937.5</v>
      </c>
      <c r="C4457" s="2">
        <f>IFERROR(__xludf.DUMMYFUNCTION("""COMPUTED_VALUE"""),939.13)</f>
        <v>939.13</v>
      </c>
      <c r="D4457" s="2">
        <f>IFERROR(__xludf.DUMMYFUNCTION("""COMPUTED_VALUE"""),925.6)</f>
        <v>925.6</v>
      </c>
      <c r="E4457" s="2">
        <f>IFERROR(__xludf.DUMMYFUNCTION("""COMPUTED_VALUE"""),926.33)</f>
        <v>926.33</v>
      </c>
      <c r="F4457" s="2">
        <f>IFERROR(__xludf.DUMMYFUNCTION("""COMPUTED_VALUE"""),1132822.0)</f>
        <v>1132822</v>
      </c>
    </row>
    <row r="4458">
      <c r="A4458" s="3">
        <f>IFERROR(__xludf.DUMMYFUNCTION("""COMPUTED_VALUE"""),43104.64583333333)</f>
        <v>43104.64583</v>
      </c>
      <c r="B4458" s="2">
        <f>IFERROR(__xludf.DUMMYFUNCTION("""COMPUTED_VALUE"""),926.5)</f>
        <v>926.5</v>
      </c>
      <c r="C4458" s="2">
        <f>IFERROR(__xludf.DUMMYFUNCTION("""COMPUTED_VALUE"""),932.75)</f>
        <v>932.75</v>
      </c>
      <c r="D4458" s="2">
        <f>IFERROR(__xludf.DUMMYFUNCTION("""COMPUTED_VALUE"""),926.5)</f>
        <v>926.5</v>
      </c>
      <c r="E4458" s="2">
        <f>IFERROR(__xludf.DUMMYFUNCTION("""COMPUTED_VALUE"""),929.95)</f>
        <v>929.95</v>
      </c>
      <c r="F4458" s="2">
        <f>IFERROR(__xludf.DUMMYFUNCTION("""COMPUTED_VALUE"""),593444.0)</f>
        <v>593444</v>
      </c>
    </row>
    <row r="4459">
      <c r="A4459" s="3">
        <f>IFERROR(__xludf.DUMMYFUNCTION("""COMPUTED_VALUE"""),43105.64583333333)</f>
        <v>43105.64583</v>
      </c>
      <c r="B4459" s="2">
        <f>IFERROR(__xludf.DUMMYFUNCTION("""COMPUTED_VALUE"""),931.5)</f>
        <v>931.5</v>
      </c>
      <c r="C4459" s="2">
        <f>IFERROR(__xludf.DUMMYFUNCTION("""COMPUTED_VALUE"""),934.03)</f>
        <v>934.03</v>
      </c>
      <c r="D4459" s="2">
        <f>IFERROR(__xludf.DUMMYFUNCTION("""COMPUTED_VALUE"""),927.78)</f>
        <v>927.78</v>
      </c>
      <c r="E4459" s="2">
        <f>IFERROR(__xludf.DUMMYFUNCTION("""COMPUTED_VALUE"""),931.8)</f>
        <v>931.8</v>
      </c>
      <c r="F4459" s="2">
        <f>IFERROR(__xludf.DUMMYFUNCTION("""COMPUTED_VALUE"""),717717.0)</f>
        <v>717717</v>
      </c>
    </row>
    <row r="4460">
      <c r="A4460" s="3">
        <f>IFERROR(__xludf.DUMMYFUNCTION("""COMPUTED_VALUE"""),43108.64583333333)</f>
        <v>43108.64583</v>
      </c>
      <c r="B4460" s="2">
        <f>IFERROR(__xludf.DUMMYFUNCTION("""COMPUTED_VALUE"""),932.5)</f>
        <v>932.5</v>
      </c>
      <c r="C4460" s="2">
        <f>IFERROR(__xludf.DUMMYFUNCTION("""COMPUTED_VALUE"""),935.35)</f>
        <v>935.35</v>
      </c>
      <c r="D4460" s="2">
        <f>IFERROR(__xludf.DUMMYFUNCTION("""COMPUTED_VALUE"""),928.88)</f>
        <v>928.88</v>
      </c>
      <c r="E4460" s="2">
        <f>IFERROR(__xludf.DUMMYFUNCTION("""COMPUTED_VALUE"""),930.3)</f>
        <v>930.3</v>
      </c>
      <c r="F4460" s="2">
        <f>IFERROR(__xludf.DUMMYFUNCTION("""COMPUTED_VALUE"""),1142577.0)</f>
        <v>1142577</v>
      </c>
    </row>
    <row r="4461">
      <c r="A4461" s="3">
        <f>IFERROR(__xludf.DUMMYFUNCTION("""COMPUTED_VALUE"""),43109.64583333333)</f>
        <v>43109.64583</v>
      </c>
      <c r="B4461" s="2">
        <f>IFERROR(__xludf.DUMMYFUNCTION("""COMPUTED_VALUE"""),931.0)</f>
        <v>931</v>
      </c>
      <c r="C4461" s="2">
        <f>IFERROR(__xludf.DUMMYFUNCTION("""COMPUTED_VALUE"""),934.93)</f>
        <v>934.93</v>
      </c>
      <c r="D4461" s="2">
        <f>IFERROR(__xludf.DUMMYFUNCTION("""COMPUTED_VALUE"""),927.5)</f>
        <v>927.5</v>
      </c>
      <c r="E4461" s="2">
        <f>IFERROR(__xludf.DUMMYFUNCTION("""COMPUTED_VALUE"""),931.85)</f>
        <v>931.85</v>
      </c>
      <c r="F4461" s="2">
        <f>IFERROR(__xludf.DUMMYFUNCTION("""COMPUTED_VALUE"""),1326382.0)</f>
        <v>1326382</v>
      </c>
    </row>
    <row r="4462">
      <c r="A4462" s="3">
        <f>IFERROR(__xludf.DUMMYFUNCTION("""COMPUTED_VALUE"""),43110.64583333333)</f>
        <v>43110.64583</v>
      </c>
      <c r="B4462" s="2">
        <f>IFERROR(__xludf.DUMMYFUNCTION("""COMPUTED_VALUE"""),932.6)</f>
        <v>932.6</v>
      </c>
      <c r="C4462" s="2">
        <f>IFERROR(__xludf.DUMMYFUNCTION("""COMPUTED_VALUE"""),933.95)</f>
        <v>933.95</v>
      </c>
      <c r="D4462" s="2">
        <f>IFERROR(__xludf.DUMMYFUNCTION("""COMPUTED_VALUE"""),928.65)</f>
        <v>928.65</v>
      </c>
      <c r="E4462" s="2">
        <f>IFERROR(__xludf.DUMMYFUNCTION("""COMPUTED_VALUE"""),932.1)</f>
        <v>932.1</v>
      </c>
      <c r="F4462" s="2">
        <f>IFERROR(__xludf.DUMMYFUNCTION("""COMPUTED_VALUE"""),1153972.0)</f>
        <v>1153972</v>
      </c>
    </row>
    <row r="4463">
      <c r="A4463" s="3">
        <f>IFERROR(__xludf.DUMMYFUNCTION("""COMPUTED_VALUE"""),43111.64583333333)</f>
        <v>43111.64583</v>
      </c>
      <c r="B4463" s="2">
        <f>IFERROR(__xludf.DUMMYFUNCTION("""COMPUTED_VALUE"""),932.1)</f>
        <v>932.1</v>
      </c>
      <c r="C4463" s="2">
        <f>IFERROR(__xludf.DUMMYFUNCTION("""COMPUTED_VALUE"""),938.0)</f>
        <v>938</v>
      </c>
      <c r="D4463" s="2">
        <f>IFERROR(__xludf.DUMMYFUNCTION("""COMPUTED_VALUE"""),928.13)</f>
        <v>928.13</v>
      </c>
      <c r="E4463" s="2">
        <f>IFERROR(__xludf.DUMMYFUNCTION("""COMPUTED_VALUE"""),936.28)</f>
        <v>936.28</v>
      </c>
      <c r="F4463" s="2">
        <f>IFERROR(__xludf.DUMMYFUNCTION("""COMPUTED_VALUE"""),1014774.0)</f>
        <v>1014774</v>
      </c>
    </row>
    <row r="4464">
      <c r="A4464" s="3">
        <f>IFERROR(__xludf.DUMMYFUNCTION("""COMPUTED_VALUE"""),43112.64583333333)</f>
        <v>43112.64583</v>
      </c>
      <c r="B4464" s="2">
        <f>IFERROR(__xludf.DUMMYFUNCTION("""COMPUTED_VALUE"""),936.5)</f>
        <v>936.5</v>
      </c>
      <c r="C4464" s="2">
        <f>IFERROR(__xludf.DUMMYFUNCTION("""COMPUTED_VALUE"""),939.08)</f>
        <v>939.08</v>
      </c>
      <c r="D4464" s="2">
        <f>IFERROR(__xludf.DUMMYFUNCTION("""COMPUTED_VALUE"""),930.0)</f>
        <v>930</v>
      </c>
      <c r="E4464" s="2">
        <f>IFERROR(__xludf.DUMMYFUNCTION("""COMPUTED_VALUE"""),932.65)</f>
        <v>932.65</v>
      </c>
      <c r="F4464" s="2">
        <f>IFERROR(__xludf.DUMMYFUNCTION("""COMPUTED_VALUE"""),1084177.0)</f>
        <v>1084177</v>
      </c>
    </row>
    <row r="4465">
      <c r="A4465" s="3">
        <f>IFERROR(__xludf.DUMMYFUNCTION("""COMPUTED_VALUE"""),43115.64583333333)</f>
        <v>43115.64583</v>
      </c>
      <c r="B4465" s="2">
        <f>IFERROR(__xludf.DUMMYFUNCTION("""COMPUTED_VALUE"""),934.98)</f>
        <v>934.98</v>
      </c>
      <c r="C4465" s="2">
        <f>IFERROR(__xludf.DUMMYFUNCTION("""COMPUTED_VALUE"""),952.2)</f>
        <v>952.2</v>
      </c>
      <c r="D4465" s="2">
        <f>IFERROR(__xludf.DUMMYFUNCTION("""COMPUTED_VALUE"""),929.93)</f>
        <v>929.93</v>
      </c>
      <c r="E4465" s="2">
        <f>IFERROR(__xludf.DUMMYFUNCTION("""COMPUTED_VALUE"""),948.88)</f>
        <v>948.88</v>
      </c>
      <c r="F4465" s="2">
        <f>IFERROR(__xludf.DUMMYFUNCTION("""COMPUTED_VALUE"""),3144111.0)</f>
        <v>3144111</v>
      </c>
    </row>
    <row r="4466">
      <c r="A4466" s="3">
        <f>IFERROR(__xludf.DUMMYFUNCTION("""COMPUTED_VALUE"""),43116.64583333333)</f>
        <v>43116.64583</v>
      </c>
      <c r="B4466" s="2">
        <f>IFERROR(__xludf.DUMMYFUNCTION("""COMPUTED_VALUE"""),951.73)</f>
        <v>951.73</v>
      </c>
      <c r="C4466" s="2">
        <f>IFERROR(__xludf.DUMMYFUNCTION("""COMPUTED_VALUE"""),955.0)</f>
        <v>955</v>
      </c>
      <c r="D4466" s="2">
        <f>IFERROR(__xludf.DUMMYFUNCTION("""COMPUTED_VALUE"""),942.63)</f>
        <v>942.63</v>
      </c>
      <c r="E4466" s="2">
        <f>IFERROR(__xludf.DUMMYFUNCTION("""COMPUTED_VALUE"""),950.08)</f>
        <v>950.08</v>
      </c>
      <c r="F4466" s="2">
        <f>IFERROR(__xludf.DUMMYFUNCTION("""COMPUTED_VALUE"""),1611346.0)</f>
        <v>1611346</v>
      </c>
    </row>
    <row r="4467">
      <c r="A4467" s="3">
        <f>IFERROR(__xludf.DUMMYFUNCTION("""COMPUTED_VALUE"""),43117.64583333333)</f>
        <v>43117.64583</v>
      </c>
      <c r="B4467" s="2">
        <f>IFERROR(__xludf.DUMMYFUNCTION("""COMPUTED_VALUE"""),948.5)</f>
        <v>948.5</v>
      </c>
      <c r="C4467" s="2">
        <f>IFERROR(__xludf.DUMMYFUNCTION("""COMPUTED_VALUE"""),951.28)</f>
        <v>951.28</v>
      </c>
      <c r="D4467" s="2">
        <f>IFERROR(__xludf.DUMMYFUNCTION("""COMPUTED_VALUE"""),943.5)</f>
        <v>943.5</v>
      </c>
      <c r="E4467" s="2">
        <f>IFERROR(__xludf.DUMMYFUNCTION("""COMPUTED_VALUE"""),945.25)</f>
        <v>945.25</v>
      </c>
      <c r="F4467" s="2">
        <f>IFERROR(__xludf.DUMMYFUNCTION("""COMPUTED_VALUE"""),726374.0)</f>
        <v>726374</v>
      </c>
    </row>
    <row r="4468">
      <c r="A4468" s="3">
        <f>IFERROR(__xludf.DUMMYFUNCTION("""COMPUTED_VALUE"""),43118.64583333333)</f>
        <v>43118.64583</v>
      </c>
      <c r="B4468" s="2">
        <f>IFERROR(__xludf.DUMMYFUNCTION("""COMPUTED_VALUE"""),962.0)</f>
        <v>962</v>
      </c>
      <c r="C4468" s="2">
        <f>IFERROR(__xludf.DUMMYFUNCTION("""COMPUTED_VALUE"""),977.0)</f>
        <v>977</v>
      </c>
      <c r="D4468" s="2">
        <f>IFERROR(__xludf.DUMMYFUNCTION("""COMPUTED_VALUE"""),959.03)</f>
        <v>959.03</v>
      </c>
      <c r="E4468" s="2">
        <f>IFERROR(__xludf.DUMMYFUNCTION("""COMPUTED_VALUE"""),967.15)</f>
        <v>967.15</v>
      </c>
      <c r="F4468" s="2">
        <f>IFERROR(__xludf.DUMMYFUNCTION("""COMPUTED_VALUE"""),4162385.0)</f>
        <v>4162385</v>
      </c>
    </row>
    <row r="4469">
      <c r="A4469" s="3">
        <f>IFERROR(__xludf.DUMMYFUNCTION("""COMPUTED_VALUE"""),43119.64583333333)</f>
        <v>43119.64583</v>
      </c>
      <c r="B4469" s="2">
        <f>IFERROR(__xludf.DUMMYFUNCTION("""COMPUTED_VALUE"""),967.58)</f>
        <v>967.58</v>
      </c>
      <c r="C4469" s="2">
        <f>IFERROR(__xludf.DUMMYFUNCTION("""COMPUTED_VALUE"""),979.95)</f>
        <v>979.95</v>
      </c>
      <c r="D4469" s="2">
        <f>IFERROR(__xludf.DUMMYFUNCTION("""COMPUTED_VALUE"""),959.63)</f>
        <v>959.63</v>
      </c>
      <c r="E4469" s="2">
        <f>IFERROR(__xludf.DUMMYFUNCTION("""COMPUTED_VALUE"""),976.1)</f>
        <v>976.1</v>
      </c>
      <c r="F4469" s="2">
        <f>IFERROR(__xludf.DUMMYFUNCTION("""COMPUTED_VALUE"""),2863997.0)</f>
        <v>2863997</v>
      </c>
    </row>
    <row r="4470">
      <c r="A4470" s="3">
        <f>IFERROR(__xludf.DUMMYFUNCTION("""COMPUTED_VALUE"""),43122.64583333333)</f>
        <v>43122.64583</v>
      </c>
      <c r="B4470" s="2">
        <f>IFERROR(__xludf.DUMMYFUNCTION("""COMPUTED_VALUE"""),980.0)</f>
        <v>980</v>
      </c>
      <c r="C4470" s="2">
        <f>IFERROR(__xludf.DUMMYFUNCTION("""COMPUTED_VALUE"""),994.0)</f>
        <v>994</v>
      </c>
      <c r="D4470" s="2">
        <f>IFERROR(__xludf.DUMMYFUNCTION("""COMPUTED_VALUE"""),976.58)</f>
        <v>976.58</v>
      </c>
      <c r="E4470" s="2">
        <f>IFERROR(__xludf.DUMMYFUNCTION("""COMPUTED_VALUE"""),981.68)</f>
        <v>981.68</v>
      </c>
      <c r="F4470" s="2">
        <f>IFERROR(__xludf.DUMMYFUNCTION("""COMPUTED_VALUE"""),2212442.0)</f>
        <v>2212442</v>
      </c>
    </row>
    <row r="4471">
      <c r="A4471" s="3">
        <f>IFERROR(__xludf.DUMMYFUNCTION("""COMPUTED_VALUE"""),43123.64583333333)</f>
        <v>43123.64583</v>
      </c>
      <c r="B4471" s="2">
        <f>IFERROR(__xludf.DUMMYFUNCTION("""COMPUTED_VALUE"""),982.5)</f>
        <v>982.5</v>
      </c>
      <c r="C4471" s="2">
        <f>IFERROR(__xludf.DUMMYFUNCTION("""COMPUTED_VALUE"""),983.35)</f>
        <v>983.35</v>
      </c>
      <c r="D4471" s="2">
        <f>IFERROR(__xludf.DUMMYFUNCTION("""COMPUTED_VALUE"""),971.65)</f>
        <v>971.65</v>
      </c>
      <c r="E4471" s="2">
        <f>IFERROR(__xludf.DUMMYFUNCTION("""COMPUTED_VALUE"""),975.65)</f>
        <v>975.65</v>
      </c>
      <c r="F4471" s="2">
        <f>IFERROR(__xludf.DUMMYFUNCTION("""COMPUTED_VALUE"""),1261949.0)</f>
        <v>1261949</v>
      </c>
    </row>
    <row r="4472">
      <c r="A4472" s="3">
        <f>IFERROR(__xludf.DUMMYFUNCTION("""COMPUTED_VALUE"""),43124.64583333333)</f>
        <v>43124.64583</v>
      </c>
      <c r="B4472" s="2">
        <f>IFERROR(__xludf.DUMMYFUNCTION("""COMPUTED_VALUE"""),976.28)</f>
        <v>976.28</v>
      </c>
      <c r="C4472" s="2">
        <f>IFERROR(__xludf.DUMMYFUNCTION("""COMPUTED_VALUE"""),984.5)</f>
        <v>984.5</v>
      </c>
      <c r="D4472" s="2">
        <f>IFERROR(__xludf.DUMMYFUNCTION("""COMPUTED_VALUE"""),975.3)</f>
        <v>975.3</v>
      </c>
      <c r="E4472" s="2">
        <f>IFERROR(__xludf.DUMMYFUNCTION("""COMPUTED_VALUE"""),978.83)</f>
        <v>978.83</v>
      </c>
      <c r="F4472" s="2">
        <f>IFERROR(__xludf.DUMMYFUNCTION("""COMPUTED_VALUE"""),1197642.0)</f>
        <v>1197642</v>
      </c>
    </row>
    <row r="4473">
      <c r="A4473" s="3">
        <f>IFERROR(__xludf.DUMMYFUNCTION("""COMPUTED_VALUE"""),43125.64583333333)</f>
        <v>43125.64583</v>
      </c>
      <c r="B4473" s="2">
        <f>IFERROR(__xludf.DUMMYFUNCTION("""COMPUTED_VALUE"""),976.95)</f>
        <v>976.95</v>
      </c>
      <c r="C4473" s="2">
        <f>IFERROR(__xludf.DUMMYFUNCTION("""COMPUTED_VALUE"""),990.0)</f>
        <v>990</v>
      </c>
      <c r="D4473" s="2">
        <f>IFERROR(__xludf.DUMMYFUNCTION("""COMPUTED_VALUE"""),975.25)</f>
        <v>975.25</v>
      </c>
      <c r="E4473" s="2">
        <f>IFERROR(__xludf.DUMMYFUNCTION("""COMPUTED_VALUE"""),987.48)</f>
        <v>987.48</v>
      </c>
      <c r="F4473" s="2">
        <f>IFERROR(__xludf.DUMMYFUNCTION("""COMPUTED_VALUE"""),2180917.0)</f>
        <v>2180917</v>
      </c>
    </row>
    <row r="4474">
      <c r="A4474" s="3">
        <f>IFERROR(__xludf.DUMMYFUNCTION("""COMPUTED_VALUE"""),43129.64583333333)</f>
        <v>43129.64583</v>
      </c>
      <c r="B4474" s="2">
        <f>IFERROR(__xludf.DUMMYFUNCTION("""COMPUTED_VALUE"""),989.0)</f>
        <v>989</v>
      </c>
      <c r="C4474" s="2">
        <f>IFERROR(__xludf.DUMMYFUNCTION("""COMPUTED_VALUE"""),1003.48)</f>
        <v>1003.48</v>
      </c>
      <c r="D4474" s="2">
        <f>IFERROR(__xludf.DUMMYFUNCTION("""COMPUTED_VALUE"""),989.0)</f>
        <v>989</v>
      </c>
      <c r="E4474" s="2">
        <f>IFERROR(__xludf.DUMMYFUNCTION("""COMPUTED_VALUE"""),999.83)</f>
        <v>999.83</v>
      </c>
      <c r="F4474" s="2">
        <f>IFERROR(__xludf.DUMMYFUNCTION("""COMPUTED_VALUE"""),2058973.0)</f>
        <v>2058973</v>
      </c>
    </row>
    <row r="4475">
      <c r="A4475" s="3">
        <f>IFERROR(__xludf.DUMMYFUNCTION("""COMPUTED_VALUE"""),43130.64583333333)</f>
        <v>43130.64583</v>
      </c>
      <c r="B4475" s="2">
        <f>IFERROR(__xludf.DUMMYFUNCTION("""COMPUTED_VALUE"""),998.9)</f>
        <v>998.9</v>
      </c>
      <c r="C4475" s="2">
        <f>IFERROR(__xludf.DUMMYFUNCTION("""COMPUTED_VALUE"""),1000.95)</f>
        <v>1000.95</v>
      </c>
      <c r="D4475" s="2">
        <f>IFERROR(__xludf.DUMMYFUNCTION("""COMPUTED_VALUE"""),992.08)</f>
        <v>992.08</v>
      </c>
      <c r="E4475" s="2">
        <f>IFERROR(__xludf.DUMMYFUNCTION("""COMPUTED_VALUE"""),997.75)</f>
        <v>997.75</v>
      </c>
      <c r="F4475" s="2">
        <f>IFERROR(__xludf.DUMMYFUNCTION("""COMPUTED_VALUE"""),1599390.0)</f>
        <v>1599390</v>
      </c>
    </row>
    <row r="4476">
      <c r="A4476" s="3">
        <f>IFERROR(__xludf.DUMMYFUNCTION("""COMPUTED_VALUE"""),43131.64583333333)</f>
        <v>43131.64583</v>
      </c>
      <c r="B4476" s="2">
        <f>IFERROR(__xludf.DUMMYFUNCTION("""COMPUTED_VALUE"""),994.7)</f>
        <v>994.7</v>
      </c>
      <c r="C4476" s="2">
        <f>IFERROR(__xludf.DUMMYFUNCTION("""COMPUTED_VALUE"""),1006.75)</f>
        <v>1006.75</v>
      </c>
      <c r="D4476" s="2">
        <f>IFERROR(__xludf.DUMMYFUNCTION("""COMPUTED_VALUE"""),993.5)</f>
        <v>993.5</v>
      </c>
      <c r="E4476" s="2">
        <f>IFERROR(__xludf.DUMMYFUNCTION("""COMPUTED_VALUE"""),1002.85)</f>
        <v>1002.85</v>
      </c>
      <c r="F4476" s="2">
        <f>IFERROR(__xludf.DUMMYFUNCTION("""COMPUTED_VALUE"""),1735837.0)</f>
        <v>1735837</v>
      </c>
    </row>
    <row r="4477">
      <c r="A4477" s="3">
        <f>IFERROR(__xludf.DUMMYFUNCTION("""COMPUTED_VALUE"""),43132.64583333333)</f>
        <v>43132.64583</v>
      </c>
      <c r="B4477" s="2">
        <f>IFERROR(__xludf.DUMMYFUNCTION("""COMPUTED_VALUE"""),1003.0)</f>
        <v>1003</v>
      </c>
      <c r="C4477" s="2">
        <f>IFERROR(__xludf.DUMMYFUNCTION("""COMPUTED_VALUE"""),1007.5)</f>
        <v>1007.5</v>
      </c>
      <c r="D4477" s="2">
        <f>IFERROR(__xludf.DUMMYFUNCTION("""COMPUTED_VALUE"""),992.65)</f>
        <v>992.65</v>
      </c>
      <c r="E4477" s="2">
        <f>IFERROR(__xludf.DUMMYFUNCTION("""COMPUTED_VALUE"""),995.58)</f>
        <v>995.58</v>
      </c>
      <c r="F4477" s="2">
        <f>IFERROR(__xludf.DUMMYFUNCTION("""COMPUTED_VALUE"""),1630355.0)</f>
        <v>1630355</v>
      </c>
    </row>
    <row r="4478">
      <c r="A4478" s="3">
        <f>IFERROR(__xludf.DUMMYFUNCTION("""COMPUTED_VALUE"""),43133.64583333333)</f>
        <v>43133.64583</v>
      </c>
      <c r="B4478" s="2">
        <f>IFERROR(__xludf.DUMMYFUNCTION("""COMPUTED_VALUE"""),993.0)</f>
        <v>993</v>
      </c>
      <c r="C4478" s="2">
        <f>IFERROR(__xludf.DUMMYFUNCTION("""COMPUTED_VALUE"""),994.95)</f>
        <v>994.95</v>
      </c>
      <c r="D4478" s="2">
        <f>IFERROR(__xludf.DUMMYFUNCTION("""COMPUTED_VALUE"""),970.75)</f>
        <v>970.75</v>
      </c>
      <c r="E4478" s="2">
        <f>IFERROR(__xludf.DUMMYFUNCTION("""COMPUTED_VALUE"""),974.0)</f>
        <v>974</v>
      </c>
      <c r="F4478" s="2">
        <f>IFERROR(__xludf.DUMMYFUNCTION("""COMPUTED_VALUE"""),1836531.0)</f>
        <v>1836531</v>
      </c>
    </row>
    <row r="4479">
      <c r="A4479" s="3">
        <f>IFERROR(__xludf.DUMMYFUNCTION("""COMPUTED_VALUE"""),43136.64583333333)</f>
        <v>43136.64583</v>
      </c>
      <c r="B4479" s="2">
        <f>IFERROR(__xludf.DUMMYFUNCTION("""COMPUTED_VALUE"""),959.0)</f>
        <v>959</v>
      </c>
      <c r="C4479" s="2">
        <f>IFERROR(__xludf.DUMMYFUNCTION("""COMPUTED_VALUE"""),967.63)</f>
        <v>967.63</v>
      </c>
      <c r="D4479" s="2">
        <f>IFERROR(__xludf.DUMMYFUNCTION("""COMPUTED_VALUE"""),952.93)</f>
        <v>952.93</v>
      </c>
      <c r="E4479" s="2">
        <f>IFERROR(__xludf.DUMMYFUNCTION("""COMPUTED_VALUE"""),956.93)</f>
        <v>956.93</v>
      </c>
      <c r="F4479" s="2">
        <f>IFERROR(__xludf.DUMMYFUNCTION("""COMPUTED_VALUE"""),1981696.0)</f>
        <v>1981696</v>
      </c>
    </row>
    <row r="4480">
      <c r="A4480" s="3">
        <f>IFERROR(__xludf.DUMMYFUNCTION("""COMPUTED_VALUE"""),43137.64583333333)</f>
        <v>43137.64583</v>
      </c>
      <c r="B4480" s="2">
        <f>IFERROR(__xludf.DUMMYFUNCTION("""COMPUTED_VALUE"""),930.0)</f>
        <v>930</v>
      </c>
      <c r="C4480" s="2">
        <f>IFERROR(__xludf.DUMMYFUNCTION("""COMPUTED_VALUE"""),956.0)</f>
        <v>956</v>
      </c>
      <c r="D4480" s="2">
        <f>IFERROR(__xludf.DUMMYFUNCTION("""COMPUTED_VALUE"""),918.15)</f>
        <v>918.15</v>
      </c>
      <c r="E4480" s="2">
        <f>IFERROR(__xludf.DUMMYFUNCTION("""COMPUTED_VALUE"""),948.4)</f>
        <v>948.4</v>
      </c>
      <c r="F4480" s="2">
        <f>IFERROR(__xludf.DUMMYFUNCTION("""COMPUTED_VALUE"""),2687451.0)</f>
        <v>2687451</v>
      </c>
    </row>
    <row r="4481">
      <c r="A4481" s="3">
        <f>IFERROR(__xludf.DUMMYFUNCTION("""COMPUTED_VALUE"""),43138.64583333333)</f>
        <v>43138.64583</v>
      </c>
      <c r="B4481" s="2">
        <f>IFERROR(__xludf.DUMMYFUNCTION("""COMPUTED_VALUE"""),953.5)</f>
        <v>953.5</v>
      </c>
      <c r="C4481" s="2">
        <f>IFERROR(__xludf.DUMMYFUNCTION("""COMPUTED_VALUE"""),953.5)</f>
        <v>953.5</v>
      </c>
      <c r="D4481" s="2">
        <f>IFERROR(__xludf.DUMMYFUNCTION("""COMPUTED_VALUE"""),931.2)</f>
        <v>931.2</v>
      </c>
      <c r="E4481" s="2">
        <f>IFERROR(__xludf.DUMMYFUNCTION("""COMPUTED_VALUE"""),936.4)</f>
        <v>936.4</v>
      </c>
      <c r="F4481" s="2">
        <f>IFERROR(__xludf.DUMMYFUNCTION("""COMPUTED_VALUE"""),2091243.0)</f>
        <v>2091243</v>
      </c>
    </row>
    <row r="4482">
      <c r="A4482" s="3">
        <f>IFERROR(__xludf.DUMMYFUNCTION("""COMPUTED_VALUE"""),43139.64583333333)</f>
        <v>43139.64583</v>
      </c>
      <c r="B4482" s="2">
        <f>IFERROR(__xludf.DUMMYFUNCTION("""COMPUTED_VALUE"""),942.0)</f>
        <v>942</v>
      </c>
      <c r="C4482" s="2">
        <f>IFERROR(__xludf.DUMMYFUNCTION("""COMPUTED_VALUE"""),949.3)</f>
        <v>949.3</v>
      </c>
      <c r="D4482" s="2">
        <f>IFERROR(__xludf.DUMMYFUNCTION("""COMPUTED_VALUE"""),933.25)</f>
        <v>933.25</v>
      </c>
      <c r="E4482" s="2">
        <f>IFERROR(__xludf.DUMMYFUNCTION("""COMPUTED_VALUE"""),940.48)</f>
        <v>940.48</v>
      </c>
      <c r="F4482" s="2">
        <f>IFERROR(__xludf.DUMMYFUNCTION("""COMPUTED_VALUE"""),1292861.0)</f>
        <v>1292861</v>
      </c>
    </row>
    <row r="4483">
      <c r="A4483" s="3">
        <f>IFERROR(__xludf.DUMMYFUNCTION("""COMPUTED_VALUE"""),43140.64583333333)</f>
        <v>43140.64583</v>
      </c>
      <c r="B4483" s="2">
        <f>IFERROR(__xludf.DUMMYFUNCTION("""COMPUTED_VALUE"""),923.95)</f>
        <v>923.95</v>
      </c>
      <c r="C4483" s="2">
        <f>IFERROR(__xludf.DUMMYFUNCTION("""COMPUTED_VALUE"""),932.35)</f>
        <v>932.35</v>
      </c>
      <c r="D4483" s="2">
        <f>IFERROR(__xludf.DUMMYFUNCTION("""COMPUTED_VALUE"""),922.05)</f>
        <v>922.05</v>
      </c>
      <c r="E4483" s="2">
        <f>IFERROR(__xludf.DUMMYFUNCTION("""COMPUTED_VALUE"""),924.75)</f>
        <v>924.75</v>
      </c>
      <c r="F4483" s="2">
        <f>IFERROR(__xludf.DUMMYFUNCTION("""COMPUTED_VALUE"""),1602238.0)</f>
        <v>1602238</v>
      </c>
    </row>
    <row r="4484">
      <c r="A4484" s="3">
        <f>IFERROR(__xludf.DUMMYFUNCTION("""COMPUTED_VALUE"""),43143.64583333333)</f>
        <v>43143.64583</v>
      </c>
      <c r="B4484" s="2">
        <f>IFERROR(__xludf.DUMMYFUNCTION("""COMPUTED_VALUE"""),930.0)</f>
        <v>930</v>
      </c>
      <c r="C4484" s="2">
        <f>IFERROR(__xludf.DUMMYFUNCTION("""COMPUTED_VALUE"""),943.0)</f>
        <v>943</v>
      </c>
      <c r="D4484" s="2">
        <f>IFERROR(__xludf.DUMMYFUNCTION("""COMPUTED_VALUE"""),927.58)</f>
        <v>927.58</v>
      </c>
      <c r="E4484" s="2">
        <f>IFERROR(__xludf.DUMMYFUNCTION("""COMPUTED_VALUE"""),938.33)</f>
        <v>938.33</v>
      </c>
      <c r="F4484" s="2">
        <f>IFERROR(__xludf.DUMMYFUNCTION("""COMPUTED_VALUE"""),1095277.0)</f>
        <v>1095277</v>
      </c>
    </row>
    <row r="4485">
      <c r="A4485" s="3">
        <f>IFERROR(__xludf.DUMMYFUNCTION("""COMPUTED_VALUE"""),43145.64583333333)</f>
        <v>43145.64583</v>
      </c>
      <c r="B4485" s="2">
        <f>IFERROR(__xludf.DUMMYFUNCTION("""COMPUTED_VALUE"""),944.9)</f>
        <v>944.9</v>
      </c>
      <c r="C4485" s="2">
        <f>IFERROR(__xludf.DUMMYFUNCTION("""COMPUTED_VALUE"""),948.95)</f>
        <v>948.95</v>
      </c>
      <c r="D4485" s="2">
        <f>IFERROR(__xludf.DUMMYFUNCTION("""COMPUTED_VALUE"""),937.33)</f>
        <v>937.33</v>
      </c>
      <c r="E4485" s="2">
        <f>IFERROR(__xludf.DUMMYFUNCTION("""COMPUTED_VALUE"""),941.58)</f>
        <v>941.58</v>
      </c>
      <c r="F4485" s="2">
        <f>IFERROR(__xludf.DUMMYFUNCTION("""COMPUTED_VALUE"""),894297.0)</f>
        <v>894297</v>
      </c>
    </row>
    <row r="4486">
      <c r="A4486" s="3">
        <f>IFERROR(__xludf.DUMMYFUNCTION("""COMPUTED_VALUE"""),43146.64583333333)</f>
        <v>43146.64583</v>
      </c>
      <c r="B4486" s="2">
        <f>IFERROR(__xludf.DUMMYFUNCTION("""COMPUTED_VALUE"""),944.85)</f>
        <v>944.85</v>
      </c>
      <c r="C4486" s="2">
        <f>IFERROR(__xludf.DUMMYFUNCTION("""COMPUTED_VALUE"""),947.38)</f>
        <v>947.38</v>
      </c>
      <c r="D4486" s="2">
        <f>IFERROR(__xludf.DUMMYFUNCTION("""COMPUTED_VALUE"""),937.5)</f>
        <v>937.5</v>
      </c>
      <c r="E4486" s="2">
        <f>IFERROR(__xludf.DUMMYFUNCTION("""COMPUTED_VALUE"""),940.95)</f>
        <v>940.95</v>
      </c>
      <c r="F4486" s="2">
        <f>IFERROR(__xludf.DUMMYFUNCTION("""COMPUTED_VALUE"""),1228806.0)</f>
        <v>1228806</v>
      </c>
    </row>
    <row r="4487">
      <c r="A4487" s="3">
        <f>IFERROR(__xludf.DUMMYFUNCTION("""COMPUTED_VALUE"""),43147.64583333333)</f>
        <v>43147.64583</v>
      </c>
      <c r="B4487" s="2">
        <f>IFERROR(__xludf.DUMMYFUNCTION("""COMPUTED_VALUE"""),941.95)</f>
        <v>941.95</v>
      </c>
      <c r="C4487" s="2">
        <f>IFERROR(__xludf.DUMMYFUNCTION("""COMPUTED_VALUE"""),947.43)</f>
        <v>947.43</v>
      </c>
      <c r="D4487" s="2">
        <f>IFERROR(__xludf.DUMMYFUNCTION("""COMPUTED_VALUE"""),937.83)</f>
        <v>937.83</v>
      </c>
      <c r="E4487" s="2">
        <f>IFERROR(__xludf.DUMMYFUNCTION("""COMPUTED_VALUE"""),939.3)</f>
        <v>939.3</v>
      </c>
      <c r="F4487" s="2">
        <f>IFERROR(__xludf.DUMMYFUNCTION("""COMPUTED_VALUE"""),895880.0)</f>
        <v>895880</v>
      </c>
    </row>
    <row r="4488">
      <c r="A4488" s="3">
        <f>IFERROR(__xludf.DUMMYFUNCTION("""COMPUTED_VALUE"""),43150.64583333333)</f>
        <v>43150.64583</v>
      </c>
      <c r="B4488" s="2">
        <f>IFERROR(__xludf.DUMMYFUNCTION("""COMPUTED_VALUE"""),941.3)</f>
        <v>941.3</v>
      </c>
      <c r="C4488" s="2">
        <f>IFERROR(__xludf.DUMMYFUNCTION("""COMPUTED_VALUE"""),943.8)</f>
        <v>943.8</v>
      </c>
      <c r="D4488" s="2">
        <f>IFERROR(__xludf.DUMMYFUNCTION("""COMPUTED_VALUE"""),929.53)</f>
        <v>929.53</v>
      </c>
      <c r="E4488" s="2">
        <f>IFERROR(__xludf.DUMMYFUNCTION("""COMPUTED_VALUE"""),939.1)</f>
        <v>939.1</v>
      </c>
      <c r="F4488" s="2">
        <f>IFERROR(__xludf.DUMMYFUNCTION("""COMPUTED_VALUE"""),913638.0)</f>
        <v>913638</v>
      </c>
    </row>
    <row r="4489">
      <c r="A4489" s="3">
        <f>IFERROR(__xludf.DUMMYFUNCTION("""COMPUTED_VALUE"""),43151.64583333333)</f>
        <v>43151.64583</v>
      </c>
      <c r="B4489" s="2">
        <f>IFERROR(__xludf.DUMMYFUNCTION("""COMPUTED_VALUE"""),942.38)</f>
        <v>942.38</v>
      </c>
      <c r="C4489" s="2">
        <f>IFERROR(__xludf.DUMMYFUNCTION("""COMPUTED_VALUE"""),942.93)</f>
        <v>942.93</v>
      </c>
      <c r="D4489" s="2">
        <f>IFERROR(__xludf.DUMMYFUNCTION("""COMPUTED_VALUE"""),929.4)</f>
        <v>929.4</v>
      </c>
      <c r="E4489" s="2">
        <f>IFERROR(__xludf.DUMMYFUNCTION("""COMPUTED_VALUE"""),931.6)</f>
        <v>931.6</v>
      </c>
      <c r="F4489" s="2">
        <f>IFERROR(__xludf.DUMMYFUNCTION("""COMPUTED_VALUE"""),1021017.0)</f>
        <v>1021017</v>
      </c>
    </row>
    <row r="4490">
      <c r="A4490" s="3">
        <f>IFERROR(__xludf.DUMMYFUNCTION("""COMPUTED_VALUE"""),43152.64583333333)</f>
        <v>43152.64583</v>
      </c>
      <c r="B4490" s="2">
        <f>IFERROR(__xludf.DUMMYFUNCTION("""COMPUTED_VALUE"""),933.98)</f>
        <v>933.98</v>
      </c>
      <c r="C4490" s="2">
        <f>IFERROR(__xludf.DUMMYFUNCTION("""COMPUTED_VALUE"""),934.28)</f>
        <v>934.28</v>
      </c>
      <c r="D4490" s="2">
        <f>IFERROR(__xludf.DUMMYFUNCTION("""COMPUTED_VALUE"""),926.1)</f>
        <v>926.1</v>
      </c>
      <c r="E4490" s="2">
        <f>IFERROR(__xludf.DUMMYFUNCTION("""COMPUTED_VALUE"""),928.7)</f>
        <v>928.7</v>
      </c>
      <c r="F4490" s="2">
        <f>IFERROR(__xludf.DUMMYFUNCTION("""COMPUTED_VALUE"""),688268.0)</f>
        <v>688268</v>
      </c>
    </row>
    <row r="4491">
      <c r="A4491" s="3">
        <f>IFERROR(__xludf.DUMMYFUNCTION("""COMPUTED_VALUE"""),43153.64583333333)</f>
        <v>43153.64583</v>
      </c>
      <c r="B4491" s="2">
        <f>IFERROR(__xludf.DUMMYFUNCTION("""COMPUTED_VALUE"""),925.0)</f>
        <v>925</v>
      </c>
      <c r="C4491" s="2">
        <f>IFERROR(__xludf.DUMMYFUNCTION("""COMPUTED_VALUE"""),930.0)</f>
        <v>930</v>
      </c>
      <c r="D4491" s="2">
        <f>IFERROR(__xludf.DUMMYFUNCTION("""COMPUTED_VALUE"""),920.78)</f>
        <v>920.78</v>
      </c>
      <c r="E4491" s="2">
        <f>IFERROR(__xludf.DUMMYFUNCTION("""COMPUTED_VALUE"""),926.6)</f>
        <v>926.6</v>
      </c>
      <c r="F4491" s="2">
        <f>IFERROR(__xludf.DUMMYFUNCTION("""COMPUTED_VALUE"""),3313399.0)</f>
        <v>3313399</v>
      </c>
    </row>
    <row r="4492">
      <c r="A4492" s="3">
        <f>IFERROR(__xludf.DUMMYFUNCTION("""COMPUTED_VALUE"""),43154.64583333333)</f>
        <v>43154.64583</v>
      </c>
      <c r="B4492" s="2">
        <f>IFERROR(__xludf.DUMMYFUNCTION("""COMPUTED_VALUE"""),928.45)</f>
        <v>928.45</v>
      </c>
      <c r="C4492" s="2">
        <f>IFERROR(__xludf.DUMMYFUNCTION("""COMPUTED_VALUE"""),942.43)</f>
        <v>942.43</v>
      </c>
      <c r="D4492" s="2">
        <f>IFERROR(__xludf.DUMMYFUNCTION("""COMPUTED_VALUE"""),925.2)</f>
        <v>925.2</v>
      </c>
      <c r="E4492" s="2">
        <f>IFERROR(__xludf.DUMMYFUNCTION("""COMPUTED_VALUE"""),940.28)</f>
        <v>940.28</v>
      </c>
      <c r="F4492" s="2">
        <f>IFERROR(__xludf.DUMMYFUNCTION("""COMPUTED_VALUE"""),1019187.0)</f>
        <v>1019187</v>
      </c>
    </row>
    <row r="4493">
      <c r="A4493" s="3">
        <f>IFERROR(__xludf.DUMMYFUNCTION("""COMPUTED_VALUE"""),43157.64583333333)</f>
        <v>43157.64583</v>
      </c>
      <c r="B4493" s="2">
        <f>IFERROR(__xludf.DUMMYFUNCTION("""COMPUTED_VALUE"""),944.05)</f>
        <v>944.05</v>
      </c>
      <c r="C4493" s="2">
        <f>IFERROR(__xludf.DUMMYFUNCTION("""COMPUTED_VALUE"""),957.4)</f>
        <v>957.4</v>
      </c>
      <c r="D4493" s="2">
        <f>IFERROR(__xludf.DUMMYFUNCTION("""COMPUTED_VALUE"""),941.78)</f>
        <v>941.78</v>
      </c>
      <c r="E4493" s="2">
        <f>IFERROR(__xludf.DUMMYFUNCTION("""COMPUTED_VALUE"""),955.78)</f>
        <v>955.78</v>
      </c>
      <c r="F4493" s="2">
        <f>IFERROR(__xludf.DUMMYFUNCTION("""COMPUTED_VALUE"""),1197221.0)</f>
        <v>1197221</v>
      </c>
    </row>
    <row r="4494">
      <c r="A4494" s="3">
        <f>IFERROR(__xludf.DUMMYFUNCTION("""COMPUTED_VALUE"""),43158.64583333333)</f>
        <v>43158.64583</v>
      </c>
      <c r="B4494" s="2">
        <f>IFERROR(__xludf.DUMMYFUNCTION("""COMPUTED_VALUE"""),957.38)</f>
        <v>957.38</v>
      </c>
      <c r="C4494" s="2">
        <f>IFERROR(__xludf.DUMMYFUNCTION("""COMPUTED_VALUE"""),960.88)</f>
        <v>960.88</v>
      </c>
      <c r="D4494" s="2">
        <f>IFERROR(__xludf.DUMMYFUNCTION("""COMPUTED_VALUE"""),950.0)</f>
        <v>950</v>
      </c>
      <c r="E4494" s="2">
        <f>IFERROR(__xludf.DUMMYFUNCTION("""COMPUTED_VALUE"""),951.28)</f>
        <v>951.28</v>
      </c>
      <c r="F4494" s="2">
        <f>IFERROR(__xludf.DUMMYFUNCTION("""COMPUTED_VALUE"""),1196832.0)</f>
        <v>1196832</v>
      </c>
    </row>
    <row r="4495">
      <c r="A4495" s="3">
        <f>IFERROR(__xludf.DUMMYFUNCTION("""COMPUTED_VALUE"""),43159.64583333333)</f>
        <v>43159.64583</v>
      </c>
      <c r="B4495" s="2">
        <f>IFERROR(__xludf.DUMMYFUNCTION("""COMPUTED_VALUE"""),944.78)</f>
        <v>944.78</v>
      </c>
      <c r="C4495" s="2">
        <f>IFERROR(__xludf.DUMMYFUNCTION("""COMPUTED_VALUE"""),947.73)</f>
        <v>947.73</v>
      </c>
      <c r="D4495" s="2">
        <f>IFERROR(__xludf.DUMMYFUNCTION("""COMPUTED_VALUE"""),939.0)</f>
        <v>939</v>
      </c>
      <c r="E4495" s="2">
        <f>IFERROR(__xludf.DUMMYFUNCTION("""COMPUTED_VALUE"""),942.1)</f>
        <v>942.1</v>
      </c>
      <c r="F4495" s="2">
        <f>IFERROR(__xludf.DUMMYFUNCTION("""COMPUTED_VALUE"""),1016591.0)</f>
        <v>1016591</v>
      </c>
    </row>
    <row r="4496">
      <c r="A4496" s="3">
        <f>IFERROR(__xludf.DUMMYFUNCTION("""COMPUTED_VALUE"""),43160.64583333333)</f>
        <v>43160.64583</v>
      </c>
      <c r="B4496" s="2">
        <f>IFERROR(__xludf.DUMMYFUNCTION("""COMPUTED_VALUE"""),939.65)</f>
        <v>939.65</v>
      </c>
      <c r="C4496" s="2">
        <f>IFERROR(__xludf.DUMMYFUNCTION("""COMPUTED_VALUE"""),946.65)</f>
        <v>946.65</v>
      </c>
      <c r="D4496" s="2">
        <f>IFERROR(__xludf.DUMMYFUNCTION("""COMPUTED_VALUE"""),934.0)</f>
        <v>934</v>
      </c>
      <c r="E4496" s="2">
        <f>IFERROR(__xludf.DUMMYFUNCTION("""COMPUTED_VALUE"""),937.18)</f>
        <v>937.18</v>
      </c>
      <c r="F4496" s="2">
        <f>IFERROR(__xludf.DUMMYFUNCTION("""COMPUTED_VALUE"""),977460.0)</f>
        <v>977460</v>
      </c>
    </row>
    <row r="4497">
      <c r="A4497" s="3">
        <f>IFERROR(__xludf.DUMMYFUNCTION("""COMPUTED_VALUE"""),43164.64583333333)</f>
        <v>43164.64583</v>
      </c>
      <c r="B4497" s="2">
        <f>IFERROR(__xludf.DUMMYFUNCTION("""COMPUTED_VALUE"""),937.08)</f>
        <v>937.08</v>
      </c>
      <c r="C4497" s="2">
        <f>IFERROR(__xludf.DUMMYFUNCTION("""COMPUTED_VALUE"""),939.0)</f>
        <v>939</v>
      </c>
      <c r="D4497" s="2">
        <f>IFERROR(__xludf.DUMMYFUNCTION("""COMPUTED_VALUE"""),929.13)</f>
        <v>929.13</v>
      </c>
      <c r="E4497" s="2">
        <f>IFERROR(__xludf.DUMMYFUNCTION("""COMPUTED_VALUE"""),934.98)</f>
        <v>934.98</v>
      </c>
      <c r="F4497" s="2">
        <f>IFERROR(__xludf.DUMMYFUNCTION("""COMPUTED_VALUE"""),945366.0)</f>
        <v>945366</v>
      </c>
    </row>
    <row r="4498">
      <c r="A4498" s="3">
        <f>IFERROR(__xludf.DUMMYFUNCTION("""COMPUTED_VALUE"""),43165.64583333333)</f>
        <v>43165.64583</v>
      </c>
      <c r="B4498" s="2">
        <f>IFERROR(__xludf.DUMMYFUNCTION("""COMPUTED_VALUE"""),935.0)</f>
        <v>935</v>
      </c>
      <c r="C4498" s="2">
        <f>IFERROR(__xludf.DUMMYFUNCTION("""COMPUTED_VALUE"""),939.95)</f>
        <v>939.95</v>
      </c>
      <c r="D4498" s="2">
        <f>IFERROR(__xludf.DUMMYFUNCTION("""COMPUTED_VALUE"""),919.75)</f>
        <v>919.75</v>
      </c>
      <c r="E4498" s="2">
        <f>IFERROR(__xludf.DUMMYFUNCTION("""COMPUTED_VALUE"""),923.13)</f>
        <v>923.13</v>
      </c>
      <c r="F4498" s="2">
        <f>IFERROR(__xludf.DUMMYFUNCTION("""COMPUTED_VALUE"""),1144207.0)</f>
        <v>1144207</v>
      </c>
    </row>
    <row r="4499">
      <c r="A4499" s="3">
        <f>IFERROR(__xludf.DUMMYFUNCTION("""COMPUTED_VALUE"""),43166.64583333333)</f>
        <v>43166.64583</v>
      </c>
      <c r="B4499" s="2">
        <f>IFERROR(__xludf.DUMMYFUNCTION("""COMPUTED_VALUE"""),920.0)</f>
        <v>920</v>
      </c>
      <c r="C4499" s="2">
        <f>IFERROR(__xludf.DUMMYFUNCTION("""COMPUTED_VALUE"""),926.7)</f>
        <v>926.7</v>
      </c>
      <c r="D4499" s="2">
        <f>IFERROR(__xludf.DUMMYFUNCTION("""COMPUTED_VALUE"""),914.25)</f>
        <v>914.25</v>
      </c>
      <c r="E4499" s="2">
        <f>IFERROR(__xludf.DUMMYFUNCTION("""COMPUTED_VALUE"""),916.3)</f>
        <v>916.3</v>
      </c>
      <c r="F4499" s="2">
        <f>IFERROR(__xludf.DUMMYFUNCTION("""COMPUTED_VALUE"""),1407041.0)</f>
        <v>1407041</v>
      </c>
    </row>
    <row r="4500">
      <c r="A4500" s="3">
        <f>IFERROR(__xludf.DUMMYFUNCTION("""COMPUTED_VALUE"""),43167.64583333333)</f>
        <v>43167.64583</v>
      </c>
      <c r="B4500" s="2">
        <f>IFERROR(__xludf.DUMMYFUNCTION("""COMPUTED_VALUE"""),919.9)</f>
        <v>919.9</v>
      </c>
      <c r="C4500" s="2">
        <f>IFERROR(__xludf.DUMMYFUNCTION("""COMPUTED_VALUE"""),929.25)</f>
        <v>929.25</v>
      </c>
      <c r="D4500" s="2">
        <f>IFERROR(__xludf.DUMMYFUNCTION("""COMPUTED_VALUE"""),916.0)</f>
        <v>916</v>
      </c>
      <c r="E4500" s="2">
        <f>IFERROR(__xludf.DUMMYFUNCTION("""COMPUTED_VALUE"""),926.43)</f>
        <v>926.43</v>
      </c>
      <c r="F4500" s="2">
        <f>IFERROR(__xludf.DUMMYFUNCTION("""COMPUTED_VALUE"""),1379681.0)</f>
        <v>1379681</v>
      </c>
    </row>
    <row r="4501">
      <c r="A4501" s="3">
        <f>IFERROR(__xludf.DUMMYFUNCTION("""COMPUTED_VALUE"""),43168.64583333333)</f>
        <v>43168.64583</v>
      </c>
      <c r="B4501" s="2">
        <f>IFERROR(__xludf.DUMMYFUNCTION("""COMPUTED_VALUE"""),927.48)</f>
        <v>927.48</v>
      </c>
      <c r="C4501" s="2">
        <f>IFERROR(__xludf.DUMMYFUNCTION("""COMPUTED_VALUE"""),932.63)</f>
        <v>932.63</v>
      </c>
      <c r="D4501" s="2">
        <f>IFERROR(__xludf.DUMMYFUNCTION("""COMPUTED_VALUE"""),922.0)</f>
        <v>922</v>
      </c>
      <c r="E4501" s="2">
        <f>IFERROR(__xludf.DUMMYFUNCTION("""COMPUTED_VALUE"""),925.53)</f>
        <v>925.53</v>
      </c>
      <c r="F4501" s="2">
        <f>IFERROR(__xludf.DUMMYFUNCTION("""COMPUTED_VALUE"""),1027027.0)</f>
        <v>1027027</v>
      </c>
    </row>
    <row r="4502">
      <c r="A4502" s="3">
        <f>IFERROR(__xludf.DUMMYFUNCTION("""COMPUTED_VALUE"""),43171.64583333333)</f>
        <v>43171.64583</v>
      </c>
      <c r="B4502" s="2">
        <f>IFERROR(__xludf.DUMMYFUNCTION("""COMPUTED_VALUE"""),930.1)</f>
        <v>930.1</v>
      </c>
      <c r="C4502" s="2">
        <f>IFERROR(__xludf.DUMMYFUNCTION("""COMPUTED_VALUE"""),934.73)</f>
        <v>934.73</v>
      </c>
      <c r="D4502" s="2">
        <f>IFERROR(__xludf.DUMMYFUNCTION("""COMPUTED_VALUE"""),926.7)</f>
        <v>926.7</v>
      </c>
      <c r="E4502" s="2">
        <f>IFERROR(__xludf.DUMMYFUNCTION("""COMPUTED_VALUE"""),933.63)</f>
        <v>933.63</v>
      </c>
      <c r="F4502" s="2">
        <f>IFERROR(__xludf.DUMMYFUNCTION("""COMPUTED_VALUE"""),1639279.0)</f>
        <v>1639279</v>
      </c>
    </row>
    <row r="4503">
      <c r="A4503" s="3">
        <f>IFERROR(__xludf.DUMMYFUNCTION("""COMPUTED_VALUE"""),43172.64583333333)</f>
        <v>43172.64583</v>
      </c>
      <c r="B4503" s="2">
        <f>IFERROR(__xludf.DUMMYFUNCTION("""COMPUTED_VALUE"""),933.73)</f>
        <v>933.73</v>
      </c>
      <c r="C4503" s="2">
        <f>IFERROR(__xludf.DUMMYFUNCTION("""COMPUTED_VALUE"""),942.38)</f>
        <v>942.38</v>
      </c>
      <c r="D4503" s="2">
        <f>IFERROR(__xludf.DUMMYFUNCTION("""COMPUTED_VALUE"""),927.5)</f>
        <v>927.5</v>
      </c>
      <c r="E4503" s="2">
        <f>IFERROR(__xludf.DUMMYFUNCTION("""COMPUTED_VALUE"""),930.13)</f>
        <v>930.13</v>
      </c>
      <c r="F4503" s="2">
        <f>IFERROR(__xludf.DUMMYFUNCTION("""COMPUTED_VALUE"""),1281050.0)</f>
        <v>1281050</v>
      </c>
    </row>
    <row r="4504">
      <c r="A4504" s="3">
        <f>IFERROR(__xludf.DUMMYFUNCTION("""COMPUTED_VALUE"""),43173.64583333333)</f>
        <v>43173.64583</v>
      </c>
      <c r="B4504" s="2">
        <f>IFERROR(__xludf.DUMMYFUNCTION("""COMPUTED_VALUE"""),928.0)</f>
        <v>928</v>
      </c>
      <c r="C4504" s="2">
        <f>IFERROR(__xludf.DUMMYFUNCTION("""COMPUTED_VALUE"""),933.95)</f>
        <v>933.95</v>
      </c>
      <c r="D4504" s="2">
        <f>IFERROR(__xludf.DUMMYFUNCTION("""COMPUTED_VALUE"""),924.0)</f>
        <v>924</v>
      </c>
      <c r="E4504" s="2">
        <f>IFERROR(__xludf.DUMMYFUNCTION("""COMPUTED_VALUE"""),932.25)</f>
        <v>932.25</v>
      </c>
      <c r="F4504" s="2">
        <f>IFERROR(__xludf.DUMMYFUNCTION("""COMPUTED_VALUE"""),920098.0)</f>
        <v>920098</v>
      </c>
    </row>
    <row r="4505">
      <c r="A4505" s="3">
        <f>IFERROR(__xludf.DUMMYFUNCTION("""COMPUTED_VALUE"""),43174.64583333333)</f>
        <v>43174.64583</v>
      </c>
      <c r="B4505" s="2">
        <f>IFERROR(__xludf.DUMMYFUNCTION("""COMPUTED_VALUE"""),932.6)</f>
        <v>932.6</v>
      </c>
      <c r="C4505" s="2">
        <f>IFERROR(__xludf.DUMMYFUNCTION("""COMPUTED_VALUE"""),943.75)</f>
        <v>943.75</v>
      </c>
      <c r="D4505" s="2">
        <f>IFERROR(__xludf.DUMMYFUNCTION("""COMPUTED_VALUE"""),932.6)</f>
        <v>932.6</v>
      </c>
      <c r="E4505" s="2">
        <f>IFERROR(__xludf.DUMMYFUNCTION("""COMPUTED_VALUE"""),940.4)</f>
        <v>940.4</v>
      </c>
      <c r="F4505" s="2">
        <f>IFERROR(__xludf.DUMMYFUNCTION("""COMPUTED_VALUE"""),1467731.0)</f>
        <v>1467731</v>
      </c>
    </row>
    <row r="4506">
      <c r="A4506" s="3">
        <f>IFERROR(__xludf.DUMMYFUNCTION("""COMPUTED_VALUE"""),43175.64583333333)</f>
        <v>43175.64583</v>
      </c>
      <c r="B4506" s="2">
        <f>IFERROR(__xludf.DUMMYFUNCTION("""COMPUTED_VALUE"""),940.0)</f>
        <v>940</v>
      </c>
      <c r="C4506" s="2">
        <f>IFERROR(__xludf.DUMMYFUNCTION("""COMPUTED_VALUE"""),940.55)</f>
        <v>940.55</v>
      </c>
      <c r="D4506" s="2">
        <f>IFERROR(__xludf.DUMMYFUNCTION("""COMPUTED_VALUE"""),923.28)</f>
        <v>923.28</v>
      </c>
      <c r="E4506" s="2">
        <f>IFERROR(__xludf.DUMMYFUNCTION("""COMPUTED_VALUE"""),926.5)</f>
        <v>926.5</v>
      </c>
      <c r="F4506" s="2">
        <f>IFERROR(__xludf.DUMMYFUNCTION("""COMPUTED_VALUE"""),1974084.0)</f>
        <v>1974084</v>
      </c>
    </row>
    <row r="4507">
      <c r="A4507" s="3">
        <f>IFERROR(__xludf.DUMMYFUNCTION("""COMPUTED_VALUE"""),43178.64583333333)</f>
        <v>43178.64583</v>
      </c>
      <c r="B4507" s="2">
        <f>IFERROR(__xludf.DUMMYFUNCTION("""COMPUTED_VALUE"""),926.5)</f>
        <v>926.5</v>
      </c>
      <c r="C4507" s="2">
        <f>IFERROR(__xludf.DUMMYFUNCTION("""COMPUTED_VALUE"""),930.0)</f>
        <v>930</v>
      </c>
      <c r="D4507" s="2">
        <f>IFERROR(__xludf.DUMMYFUNCTION("""COMPUTED_VALUE"""),921.58)</f>
        <v>921.58</v>
      </c>
      <c r="E4507" s="2">
        <f>IFERROR(__xludf.DUMMYFUNCTION("""COMPUTED_VALUE"""),923.63)</f>
        <v>923.63</v>
      </c>
      <c r="F4507" s="2">
        <f>IFERROR(__xludf.DUMMYFUNCTION("""COMPUTED_VALUE"""),1959685.0)</f>
        <v>1959685</v>
      </c>
    </row>
    <row r="4508">
      <c r="A4508" s="3">
        <f>IFERROR(__xludf.DUMMYFUNCTION("""COMPUTED_VALUE"""),43179.64583333333)</f>
        <v>43179.64583</v>
      </c>
      <c r="B4508" s="2">
        <f>IFERROR(__xludf.DUMMYFUNCTION("""COMPUTED_VALUE"""),922.55)</f>
        <v>922.55</v>
      </c>
      <c r="C4508" s="2">
        <f>IFERROR(__xludf.DUMMYFUNCTION("""COMPUTED_VALUE"""),927.95)</f>
        <v>927.95</v>
      </c>
      <c r="D4508" s="2">
        <f>IFERROR(__xludf.DUMMYFUNCTION("""COMPUTED_VALUE"""),917.63)</f>
        <v>917.63</v>
      </c>
      <c r="E4508" s="2">
        <f>IFERROR(__xludf.DUMMYFUNCTION("""COMPUTED_VALUE"""),919.75)</f>
        <v>919.75</v>
      </c>
      <c r="F4508" s="2">
        <f>IFERROR(__xludf.DUMMYFUNCTION("""COMPUTED_VALUE"""),914343.0)</f>
        <v>914343</v>
      </c>
    </row>
    <row r="4509">
      <c r="A4509" s="3">
        <f>IFERROR(__xludf.DUMMYFUNCTION("""COMPUTED_VALUE"""),43180.64583333333)</f>
        <v>43180.64583</v>
      </c>
      <c r="B4509" s="2">
        <f>IFERROR(__xludf.DUMMYFUNCTION("""COMPUTED_VALUE"""),924.0)</f>
        <v>924</v>
      </c>
      <c r="C4509" s="2">
        <f>IFERROR(__xludf.DUMMYFUNCTION("""COMPUTED_VALUE"""),931.6)</f>
        <v>931.6</v>
      </c>
      <c r="D4509" s="2">
        <f>IFERROR(__xludf.DUMMYFUNCTION("""COMPUTED_VALUE"""),921.65)</f>
        <v>921.65</v>
      </c>
      <c r="E4509" s="2">
        <f>IFERROR(__xludf.DUMMYFUNCTION("""COMPUTED_VALUE"""),929.45)</f>
        <v>929.45</v>
      </c>
      <c r="F4509" s="2">
        <f>IFERROR(__xludf.DUMMYFUNCTION("""COMPUTED_VALUE"""),1480285.0)</f>
        <v>1480285</v>
      </c>
    </row>
    <row r="4510">
      <c r="A4510" s="3">
        <f>IFERROR(__xludf.DUMMYFUNCTION("""COMPUTED_VALUE"""),43181.64583333333)</f>
        <v>43181.64583</v>
      </c>
      <c r="B4510" s="2">
        <f>IFERROR(__xludf.DUMMYFUNCTION("""COMPUTED_VALUE"""),929.45)</f>
        <v>929.45</v>
      </c>
      <c r="C4510" s="2">
        <f>IFERROR(__xludf.DUMMYFUNCTION("""COMPUTED_VALUE"""),940.0)</f>
        <v>940</v>
      </c>
      <c r="D4510" s="2">
        <f>IFERROR(__xludf.DUMMYFUNCTION("""COMPUTED_VALUE"""),927.55)</f>
        <v>927.55</v>
      </c>
      <c r="E4510" s="2">
        <f>IFERROR(__xludf.DUMMYFUNCTION("""COMPUTED_VALUE"""),933.88)</f>
        <v>933.88</v>
      </c>
      <c r="F4510" s="2">
        <f>IFERROR(__xludf.DUMMYFUNCTION("""COMPUTED_VALUE"""),1668306.0)</f>
        <v>1668306</v>
      </c>
    </row>
    <row r="4511">
      <c r="A4511" s="3">
        <f>IFERROR(__xludf.DUMMYFUNCTION("""COMPUTED_VALUE"""),43182.64583333333)</f>
        <v>43182.64583</v>
      </c>
      <c r="B4511" s="2">
        <f>IFERROR(__xludf.DUMMYFUNCTION("""COMPUTED_VALUE"""),923.33)</f>
        <v>923.33</v>
      </c>
      <c r="C4511" s="2">
        <f>IFERROR(__xludf.DUMMYFUNCTION("""COMPUTED_VALUE"""),926.55)</f>
        <v>926.55</v>
      </c>
      <c r="D4511" s="2">
        <f>IFERROR(__xludf.DUMMYFUNCTION("""COMPUTED_VALUE"""),918.63)</f>
        <v>918.63</v>
      </c>
      <c r="E4511" s="2">
        <f>IFERROR(__xludf.DUMMYFUNCTION("""COMPUTED_VALUE"""),920.78)</f>
        <v>920.78</v>
      </c>
      <c r="F4511" s="2">
        <f>IFERROR(__xludf.DUMMYFUNCTION("""COMPUTED_VALUE"""),1797538.0)</f>
        <v>1797538</v>
      </c>
    </row>
    <row r="4512">
      <c r="A4512" s="3">
        <f>IFERROR(__xludf.DUMMYFUNCTION("""COMPUTED_VALUE"""),43185.64583333333)</f>
        <v>43185.64583</v>
      </c>
      <c r="B4512" s="2">
        <f>IFERROR(__xludf.DUMMYFUNCTION("""COMPUTED_VALUE"""),919.95)</f>
        <v>919.95</v>
      </c>
      <c r="C4512" s="2">
        <f>IFERROR(__xludf.DUMMYFUNCTION("""COMPUTED_VALUE"""),950.0)</f>
        <v>950</v>
      </c>
      <c r="D4512" s="2">
        <f>IFERROR(__xludf.DUMMYFUNCTION("""COMPUTED_VALUE"""),916.75)</f>
        <v>916.75</v>
      </c>
      <c r="E4512" s="2">
        <f>IFERROR(__xludf.DUMMYFUNCTION("""COMPUTED_VALUE"""),946.73)</f>
        <v>946.73</v>
      </c>
      <c r="F4512" s="2">
        <f>IFERROR(__xludf.DUMMYFUNCTION("""COMPUTED_VALUE"""),2625442.0)</f>
        <v>2625442</v>
      </c>
    </row>
    <row r="4513">
      <c r="A4513" s="3">
        <f>IFERROR(__xludf.DUMMYFUNCTION("""COMPUTED_VALUE"""),43186.64583333333)</f>
        <v>43186.64583</v>
      </c>
      <c r="B4513" s="2">
        <f>IFERROR(__xludf.DUMMYFUNCTION("""COMPUTED_VALUE"""),946.9)</f>
        <v>946.9</v>
      </c>
      <c r="C4513" s="2">
        <f>IFERROR(__xludf.DUMMYFUNCTION("""COMPUTED_VALUE"""),949.5)</f>
        <v>949.5</v>
      </c>
      <c r="D4513" s="2">
        <f>IFERROR(__xludf.DUMMYFUNCTION("""COMPUTED_VALUE"""),938.0)</f>
        <v>938</v>
      </c>
      <c r="E4513" s="2">
        <f>IFERROR(__xludf.DUMMYFUNCTION("""COMPUTED_VALUE"""),946.3)</f>
        <v>946.3</v>
      </c>
      <c r="F4513" s="2">
        <f>IFERROR(__xludf.DUMMYFUNCTION("""COMPUTED_VALUE"""),1534209.0)</f>
        <v>1534209</v>
      </c>
    </row>
    <row r="4514">
      <c r="A4514" s="3">
        <f>IFERROR(__xludf.DUMMYFUNCTION("""COMPUTED_VALUE"""),43187.64583333333)</f>
        <v>43187.64583</v>
      </c>
      <c r="B4514" s="2">
        <f>IFERROR(__xludf.DUMMYFUNCTION("""COMPUTED_VALUE"""),941.48)</f>
        <v>941.48</v>
      </c>
      <c r="C4514" s="2">
        <f>IFERROR(__xludf.DUMMYFUNCTION("""COMPUTED_VALUE"""),949.85)</f>
        <v>949.85</v>
      </c>
      <c r="D4514" s="2">
        <f>IFERROR(__xludf.DUMMYFUNCTION("""COMPUTED_VALUE"""),938.03)</f>
        <v>938.03</v>
      </c>
      <c r="E4514" s="2">
        <f>IFERROR(__xludf.DUMMYFUNCTION("""COMPUTED_VALUE"""),943.05)</f>
        <v>943.05</v>
      </c>
      <c r="F4514" s="2">
        <f>IFERROR(__xludf.DUMMYFUNCTION("""COMPUTED_VALUE"""),2209377.0)</f>
        <v>2209377</v>
      </c>
    </row>
    <row r="4515">
      <c r="A4515" s="3">
        <f>IFERROR(__xludf.DUMMYFUNCTION("""COMPUTED_VALUE"""),43192.64583333333)</f>
        <v>43192.64583</v>
      </c>
      <c r="B4515" s="2">
        <f>IFERROR(__xludf.DUMMYFUNCTION("""COMPUTED_VALUE"""),945.25)</f>
        <v>945.25</v>
      </c>
      <c r="C4515" s="2">
        <f>IFERROR(__xludf.DUMMYFUNCTION("""COMPUTED_VALUE"""),967.88)</f>
        <v>967.88</v>
      </c>
      <c r="D4515" s="2">
        <f>IFERROR(__xludf.DUMMYFUNCTION("""COMPUTED_VALUE"""),945.25)</f>
        <v>945.25</v>
      </c>
      <c r="E4515" s="2">
        <f>IFERROR(__xludf.DUMMYFUNCTION("""COMPUTED_VALUE"""),965.6)</f>
        <v>965.6</v>
      </c>
      <c r="F4515" s="2">
        <f>IFERROR(__xludf.DUMMYFUNCTION("""COMPUTED_VALUE"""),1149092.0)</f>
        <v>1149092</v>
      </c>
    </row>
    <row r="4516">
      <c r="A4516" s="3">
        <f>IFERROR(__xludf.DUMMYFUNCTION("""COMPUTED_VALUE"""),43193.64583333333)</f>
        <v>43193.64583</v>
      </c>
      <c r="B4516" s="2">
        <f>IFERROR(__xludf.DUMMYFUNCTION("""COMPUTED_VALUE"""),961.98)</f>
        <v>961.98</v>
      </c>
      <c r="C4516" s="2">
        <f>IFERROR(__xludf.DUMMYFUNCTION("""COMPUTED_VALUE"""),962.85)</f>
        <v>962.85</v>
      </c>
      <c r="D4516" s="2">
        <f>IFERROR(__xludf.DUMMYFUNCTION("""COMPUTED_VALUE"""),955.5)</f>
        <v>955.5</v>
      </c>
      <c r="E4516" s="2">
        <f>IFERROR(__xludf.DUMMYFUNCTION("""COMPUTED_VALUE"""),957.95)</f>
        <v>957.95</v>
      </c>
      <c r="F4516" s="2">
        <f>IFERROR(__xludf.DUMMYFUNCTION("""COMPUTED_VALUE"""),1019971.0)</f>
        <v>1019971</v>
      </c>
    </row>
    <row r="4517">
      <c r="A4517" s="3">
        <f>IFERROR(__xludf.DUMMYFUNCTION("""COMPUTED_VALUE"""),43194.64583333333)</f>
        <v>43194.64583</v>
      </c>
      <c r="B4517" s="2">
        <f>IFERROR(__xludf.DUMMYFUNCTION("""COMPUTED_VALUE"""),956.48)</f>
        <v>956.48</v>
      </c>
      <c r="C4517" s="2">
        <f>IFERROR(__xludf.DUMMYFUNCTION("""COMPUTED_VALUE"""),962.48)</f>
        <v>962.48</v>
      </c>
      <c r="D4517" s="2">
        <f>IFERROR(__xludf.DUMMYFUNCTION("""COMPUTED_VALUE"""),939.23)</f>
        <v>939.23</v>
      </c>
      <c r="E4517" s="2">
        <f>IFERROR(__xludf.DUMMYFUNCTION("""COMPUTED_VALUE"""),941.63)</f>
        <v>941.63</v>
      </c>
      <c r="F4517" s="2">
        <f>IFERROR(__xludf.DUMMYFUNCTION("""COMPUTED_VALUE"""),928527.0)</f>
        <v>928527</v>
      </c>
    </row>
    <row r="4518">
      <c r="A4518" s="3">
        <f>IFERROR(__xludf.DUMMYFUNCTION("""COMPUTED_VALUE"""),43195.64583333333)</f>
        <v>43195.64583</v>
      </c>
      <c r="B4518" s="2">
        <f>IFERROR(__xludf.DUMMYFUNCTION("""COMPUTED_VALUE"""),950.65)</f>
        <v>950.65</v>
      </c>
      <c r="C4518" s="2">
        <f>IFERROR(__xludf.DUMMYFUNCTION("""COMPUTED_VALUE"""),957.0)</f>
        <v>957</v>
      </c>
      <c r="D4518" s="2">
        <f>IFERROR(__xludf.DUMMYFUNCTION("""COMPUTED_VALUE"""),945.1)</f>
        <v>945.1</v>
      </c>
      <c r="E4518" s="2">
        <f>IFERROR(__xludf.DUMMYFUNCTION("""COMPUTED_VALUE"""),954.45)</f>
        <v>954.45</v>
      </c>
      <c r="F4518" s="2">
        <f>IFERROR(__xludf.DUMMYFUNCTION("""COMPUTED_VALUE"""),1214723.0)</f>
        <v>1214723</v>
      </c>
    </row>
    <row r="4519">
      <c r="A4519" s="3">
        <f>IFERROR(__xludf.DUMMYFUNCTION("""COMPUTED_VALUE"""),43196.64583333333)</f>
        <v>43196.64583</v>
      </c>
      <c r="B4519" s="2">
        <f>IFERROR(__xludf.DUMMYFUNCTION("""COMPUTED_VALUE"""),956.1)</f>
        <v>956.1</v>
      </c>
      <c r="C4519" s="2">
        <f>IFERROR(__xludf.DUMMYFUNCTION("""COMPUTED_VALUE"""),963.23)</f>
        <v>963.23</v>
      </c>
      <c r="D4519" s="2">
        <f>IFERROR(__xludf.DUMMYFUNCTION("""COMPUTED_VALUE"""),952.9)</f>
        <v>952.9</v>
      </c>
      <c r="E4519" s="2">
        <f>IFERROR(__xludf.DUMMYFUNCTION("""COMPUTED_VALUE"""),961.7)</f>
        <v>961.7</v>
      </c>
      <c r="F4519" s="2">
        <f>IFERROR(__xludf.DUMMYFUNCTION("""COMPUTED_VALUE"""),930002.0)</f>
        <v>930002</v>
      </c>
    </row>
    <row r="4520">
      <c r="A4520" s="3">
        <f>IFERROR(__xludf.DUMMYFUNCTION("""COMPUTED_VALUE"""),43199.64583333333)</f>
        <v>43199.64583</v>
      </c>
      <c r="B4520" s="2">
        <f>IFERROR(__xludf.DUMMYFUNCTION("""COMPUTED_VALUE"""),959.4)</f>
        <v>959.4</v>
      </c>
      <c r="C4520" s="2">
        <f>IFERROR(__xludf.DUMMYFUNCTION("""COMPUTED_VALUE"""),971.0)</f>
        <v>971</v>
      </c>
      <c r="D4520" s="2">
        <f>IFERROR(__xludf.DUMMYFUNCTION("""COMPUTED_VALUE"""),958.2)</f>
        <v>958.2</v>
      </c>
      <c r="E4520" s="2">
        <f>IFERROR(__xludf.DUMMYFUNCTION("""COMPUTED_VALUE"""),969.53)</f>
        <v>969.53</v>
      </c>
      <c r="F4520" s="2">
        <f>IFERROR(__xludf.DUMMYFUNCTION("""COMPUTED_VALUE"""),1000884.0)</f>
        <v>1000884</v>
      </c>
    </row>
    <row r="4521">
      <c r="A4521" s="3">
        <f>IFERROR(__xludf.DUMMYFUNCTION("""COMPUTED_VALUE"""),43200.64583333333)</f>
        <v>43200.64583</v>
      </c>
      <c r="B4521" s="2">
        <f>IFERROR(__xludf.DUMMYFUNCTION("""COMPUTED_VALUE"""),971.5)</f>
        <v>971.5</v>
      </c>
      <c r="C4521" s="2">
        <f>IFERROR(__xludf.DUMMYFUNCTION("""COMPUTED_VALUE"""),971.5)</f>
        <v>971.5</v>
      </c>
      <c r="D4521" s="2">
        <f>IFERROR(__xludf.DUMMYFUNCTION("""COMPUTED_VALUE"""),956.75)</f>
        <v>956.75</v>
      </c>
      <c r="E4521" s="2">
        <f>IFERROR(__xludf.DUMMYFUNCTION("""COMPUTED_VALUE"""),960.43)</f>
        <v>960.43</v>
      </c>
      <c r="F4521" s="2">
        <f>IFERROR(__xludf.DUMMYFUNCTION("""COMPUTED_VALUE"""),1516809.0)</f>
        <v>1516809</v>
      </c>
    </row>
    <row r="4522">
      <c r="A4522" s="3">
        <f>IFERROR(__xludf.DUMMYFUNCTION("""COMPUTED_VALUE"""),43201.64583333333)</f>
        <v>43201.64583</v>
      </c>
      <c r="B4522" s="2">
        <f>IFERROR(__xludf.DUMMYFUNCTION("""COMPUTED_VALUE"""),957.95)</f>
        <v>957.95</v>
      </c>
      <c r="C4522" s="2">
        <f>IFERROR(__xludf.DUMMYFUNCTION("""COMPUTED_VALUE"""),960.0)</f>
        <v>960</v>
      </c>
      <c r="D4522" s="2">
        <f>IFERROR(__xludf.DUMMYFUNCTION("""COMPUTED_VALUE"""),952.7)</f>
        <v>952.7</v>
      </c>
      <c r="E4522" s="2">
        <f>IFERROR(__xludf.DUMMYFUNCTION("""COMPUTED_VALUE"""),959.43)</f>
        <v>959.43</v>
      </c>
      <c r="F4522" s="2">
        <f>IFERROR(__xludf.DUMMYFUNCTION("""COMPUTED_VALUE"""),717703.0)</f>
        <v>717703</v>
      </c>
    </row>
    <row r="4523">
      <c r="A4523" s="3">
        <f>IFERROR(__xludf.DUMMYFUNCTION("""COMPUTED_VALUE"""),43202.64583333333)</f>
        <v>43202.64583</v>
      </c>
      <c r="B4523" s="2">
        <f>IFERROR(__xludf.DUMMYFUNCTION("""COMPUTED_VALUE"""),958.0)</f>
        <v>958</v>
      </c>
      <c r="C4523" s="2">
        <f>IFERROR(__xludf.DUMMYFUNCTION("""COMPUTED_VALUE"""),966.45)</f>
        <v>966.45</v>
      </c>
      <c r="D4523" s="2">
        <f>IFERROR(__xludf.DUMMYFUNCTION("""COMPUTED_VALUE"""),952.95)</f>
        <v>952.95</v>
      </c>
      <c r="E4523" s="2">
        <f>IFERROR(__xludf.DUMMYFUNCTION("""COMPUTED_VALUE"""),964.4)</f>
        <v>964.4</v>
      </c>
      <c r="F4523" s="2">
        <f>IFERROR(__xludf.DUMMYFUNCTION("""COMPUTED_VALUE"""),1178129.0)</f>
        <v>1178129</v>
      </c>
    </row>
    <row r="4524">
      <c r="A4524" s="3">
        <f>IFERROR(__xludf.DUMMYFUNCTION("""COMPUTED_VALUE"""),43203.64583333333)</f>
        <v>43203.64583</v>
      </c>
      <c r="B4524" s="2">
        <f>IFERROR(__xludf.DUMMYFUNCTION("""COMPUTED_VALUE"""),964.0)</f>
        <v>964</v>
      </c>
      <c r="C4524" s="2">
        <f>IFERROR(__xludf.DUMMYFUNCTION("""COMPUTED_VALUE"""),970.0)</f>
        <v>970</v>
      </c>
      <c r="D4524" s="2">
        <f>IFERROR(__xludf.DUMMYFUNCTION("""COMPUTED_VALUE"""),959.55)</f>
        <v>959.55</v>
      </c>
      <c r="E4524" s="2">
        <f>IFERROR(__xludf.DUMMYFUNCTION("""COMPUTED_VALUE"""),962.5)</f>
        <v>962.5</v>
      </c>
      <c r="F4524" s="2">
        <f>IFERROR(__xludf.DUMMYFUNCTION("""COMPUTED_VALUE"""),824293.0)</f>
        <v>824293</v>
      </c>
    </row>
    <row r="4525">
      <c r="A4525" s="3">
        <f>IFERROR(__xludf.DUMMYFUNCTION("""COMPUTED_VALUE"""),43206.64583333333)</f>
        <v>43206.64583</v>
      </c>
      <c r="B4525" s="2">
        <f>IFERROR(__xludf.DUMMYFUNCTION("""COMPUTED_VALUE"""),960.0)</f>
        <v>960</v>
      </c>
      <c r="C4525" s="2">
        <f>IFERROR(__xludf.DUMMYFUNCTION("""COMPUTED_VALUE"""),975.0)</f>
        <v>975</v>
      </c>
      <c r="D4525" s="2">
        <f>IFERROR(__xludf.DUMMYFUNCTION("""COMPUTED_VALUE"""),959.93)</f>
        <v>959.93</v>
      </c>
      <c r="E4525" s="2">
        <f>IFERROR(__xludf.DUMMYFUNCTION("""COMPUTED_VALUE"""),971.05)</f>
        <v>971.05</v>
      </c>
      <c r="F4525" s="2">
        <f>IFERROR(__xludf.DUMMYFUNCTION("""COMPUTED_VALUE"""),711936.0)</f>
        <v>711936</v>
      </c>
    </row>
    <row r="4526">
      <c r="A4526" s="3">
        <f>IFERROR(__xludf.DUMMYFUNCTION("""COMPUTED_VALUE"""),43207.64583333333)</f>
        <v>43207.64583</v>
      </c>
      <c r="B4526" s="2">
        <f>IFERROR(__xludf.DUMMYFUNCTION("""COMPUTED_VALUE"""),971.75)</f>
        <v>971.75</v>
      </c>
      <c r="C4526" s="2">
        <f>IFERROR(__xludf.DUMMYFUNCTION("""COMPUTED_VALUE"""),975.5)</f>
        <v>975.5</v>
      </c>
      <c r="D4526" s="2">
        <f>IFERROR(__xludf.DUMMYFUNCTION("""COMPUTED_VALUE"""),967.05)</f>
        <v>967.05</v>
      </c>
      <c r="E4526" s="2">
        <f>IFERROR(__xludf.DUMMYFUNCTION("""COMPUTED_VALUE"""),974.25)</f>
        <v>974.25</v>
      </c>
      <c r="F4526" s="2">
        <f>IFERROR(__xludf.DUMMYFUNCTION("""COMPUTED_VALUE"""),666958.0)</f>
        <v>666958</v>
      </c>
    </row>
    <row r="4527">
      <c r="A4527" s="3">
        <f>IFERROR(__xludf.DUMMYFUNCTION("""COMPUTED_VALUE"""),43208.64583333333)</f>
        <v>43208.64583</v>
      </c>
      <c r="B4527" s="2">
        <f>IFERROR(__xludf.DUMMYFUNCTION("""COMPUTED_VALUE"""),975.5)</f>
        <v>975.5</v>
      </c>
      <c r="C4527" s="2">
        <f>IFERROR(__xludf.DUMMYFUNCTION("""COMPUTED_VALUE"""),976.75)</f>
        <v>976.75</v>
      </c>
      <c r="D4527" s="2">
        <f>IFERROR(__xludf.DUMMYFUNCTION("""COMPUTED_VALUE"""),965.03)</f>
        <v>965.03</v>
      </c>
      <c r="E4527" s="2">
        <f>IFERROR(__xludf.DUMMYFUNCTION("""COMPUTED_VALUE"""),966.3)</f>
        <v>966.3</v>
      </c>
      <c r="F4527" s="2">
        <f>IFERROR(__xludf.DUMMYFUNCTION("""COMPUTED_VALUE"""),678180.0)</f>
        <v>678180</v>
      </c>
    </row>
    <row r="4528">
      <c r="A4528" s="3">
        <f>IFERROR(__xludf.DUMMYFUNCTION("""COMPUTED_VALUE"""),43209.64583333333)</f>
        <v>43209.64583</v>
      </c>
      <c r="B4528" s="2">
        <f>IFERROR(__xludf.DUMMYFUNCTION("""COMPUTED_VALUE"""),970.0)</f>
        <v>970</v>
      </c>
      <c r="C4528" s="2">
        <f>IFERROR(__xludf.DUMMYFUNCTION("""COMPUTED_VALUE"""),972.4)</f>
        <v>972.4</v>
      </c>
      <c r="D4528" s="2">
        <f>IFERROR(__xludf.DUMMYFUNCTION("""COMPUTED_VALUE"""),966.5)</f>
        <v>966.5</v>
      </c>
      <c r="E4528" s="2">
        <f>IFERROR(__xludf.DUMMYFUNCTION("""COMPUTED_VALUE"""),969.5)</f>
        <v>969.5</v>
      </c>
      <c r="F4528" s="2">
        <f>IFERROR(__xludf.DUMMYFUNCTION("""COMPUTED_VALUE"""),792258.0)</f>
        <v>792258</v>
      </c>
    </row>
    <row r="4529">
      <c r="A4529" s="3">
        <f>IFERROR(__xludf.DUMMYFUNCTION("""COMPUTED_VALUE"""),43210.64583333333)</f>
        <v>43210.64583</v>
      </c>
      <c r="B4529" s="2">
        <f>IFERROR(__xludf.DUMMYFUNCTION("""COMPUTED_VALUE"""),970.5)</f>
        <v>970.5</v>
      </c>
      <c r="C4529" s="2">
        <f>IFERROR(__xludf.DUMMYFUNCTION("""COMPUTED_VALUE"""),980.5)</f>
        <v>980.5</v>
      </c>
      <c r="D4529" s="2">
        <f>IFERROR(__xludf.DUMMYFUNCTION("""COMPUTED_VALUE"""),966.08)</f>
        <v>966.08</v>
      </c>
      <c r="E4529" s="2">
        <f>IFERROR(__xludf.DUMMYFUNCTION("""COMPUTED_VALUE"""),977.95)</f>
        <v>977.95</v>
      </c>
      <c r="F4529" s="2">
        <f>IFERROR(__xludf.DUMMYFUNCTION("""COMPUTED_VALUE"""),2340345.0)</f>
        <v>2340345</v>
      </c>
    </row>
    <row r="4530">
      <c r="A4530" s="3">
        <f>IFERROR(__xludf.DUMMYFUNCTION("""COMPUTED_VALUE"""),43213.64583333333)</f>
        <v>43213.64583</v>
      </c>
      <c r="B4530" s="2">
        <f>IFERROR(__xludf.DUMMYFUNCTION("""COMPUTED_VALUE"""),989.5)</f>
        <v>989.5</v>
      </c>
      <c r="C4530" s="2">
        <f>IFERROR(__xludf.DUMMYFUNCTION("""COMPUTED_VALUE"""),989.5)</f>
        <v>989.5</v>
      </c>
      <c r="D4530" s="2">
        <f>IFERROR(__xludf.DUMMYFUNCTION("""COMPUTED_VALUE"""),930.15)</f>
        <v>930.15</v>
      </c>
      <c r="E4530" s="2">
        <f>IFERROR(__xludf.DUMMYFUNCTION("""COMPUTED_VALUE"""),967.88)</f>
        <v>967.88</v>
      </c>
      <c r="F4530" s="2">
        <f>IFERROR(__xludf.DUMMYFUNCTION("""COMPUTED_VALUE"""),3826155.0)</f>
        <v>3826155</v>
      </c>
    </row>
    <row r="4531">
      <c r="A4531" s="3">
        <f>IFERROR(__xludf.DUMMYFUNCTION("""COMPUTED_VALUE"""),43214.64583333333)</f>
        <v>43214.64583</v>
      </c>
      <c r="B4531" s="2">
        <f>IFERROR(__xludf.DUMMYFUNCTION("""COMPUTED_VALUE"""),967.5)</f>
        <v>967.5</v>
      </c>
      <c r="C4531" s="2">
        <f>IFERROR(__xludf.DUMMYFUNCTION("""COMPUTED_VALUE"""),974.03)</f>
        <v>974.03</v>
      </c>
      <c r="D4531" s="2">
        <f>IFERROR(__xludf.DUMMYFUNCTION("""COMPUTED_VALUE"""),963.0)</f>
        <v>963</v>
      </c>
      <c r="E4531" s="2">
        <f>IFERROR(__xludf.DUMMYFUNCTION("""COMPUTED_VALUE"""),967.5)</f>
        <v>967.5</v>
      </c>
      <c r="F4531" s="2">
        <f>IFERROR(__xludf.DUMMYFUNCTION("""COMPUTED_VALUE"""),1259354.0)</f>
        <v>1259354</v>
      </c>
    </row>
    <row r="4532">
      <c r="A4532" s="3">
        <f>IFERROR(__xludf.DUMMYFUNCTION("""COMPUTED_VALUE"""),43215.64583333333)</f>
        <v>43215.64583</v>
      </c>
      <c r="B4532" s="2">
        <f>IFERROR(__xludf.DUMMYFUNCTION("""COMPUTED_VALUE"""),963.95)</f>
        <v>963.95</v>
      </c>
      <c r="C4532" s="2">
        <f>IFERROR(__xludf.DUMMYFUNCTION("""COMPUTED_VALUE"""),969.0)</f>
        <v>969</v>
      </c>
      <c r="D4532" s="2">
        <f>IFERROR(__xludf.DUMMYFUNCTION("""COMPUTED_VALUE"""),956.0)</f>
        <v>956</v>
      </c>
      <c r="E4532" s="2">
        <f>IFERROR(__xludf.DUMMYFUNCTION("""COMPUTED_VALUE"""),960.38)</f>
        <v>960.38</v>
      </c>
      <c r="F4532" s="2">
        <f>IFERROR(__xludf.DUMMYFUNCTION("""COMPUTED_VALUE"""),1005148.0)</f>
        <v>1005148</v>
      </c>
    </row>
    <row r="4533">
      <c r="A4533" s="3">
        <f>IFERROR(__xludf.DUMMYFUNCTION("""COMPUTED_VALUE"""),43216.64583333333)</f>
        <v>43216.64583</v>
      </c>
      <c r="B4533" s="2">
        <f>IFERROR(__xludf.DUMMYFUNCTION("""COMPUTED_VALUE"""),958.4)</f>
        <v>958.4</v>
      </c>
      <c r="C4533" s="2">
        <f>IFERROR(__xludf.DUMMYFUNCTION("""COMPUTED_VALUE"""),969.6)</f>
        <v>969.6</v>
      </c>
      <c r="D4533" s="2">
        <f>IFERROR(__xludf.DUMMYFUNCTION("""COMPUTED_VALUE"""),955.63)</f>
        <v>955.63</v>
      </c>
      <c r="E4533" s="2">
        <f>IFERROR(__xludf.DUMMYFUNCTION("""COMPUTED_VALUE"""),965.13)</f>
        <v>965.13</v>
      </c>
      <c r="F4533" s="2">
        <f>IFERROR(__xludf.DUMMYFUNCTION("""COMPUTED_VALUE"""),1961870.0)</f>
        <v>1961870</v>
      </c>
    </row>
    <row r="4534">
      <c r="A4534" s="3">
        <f>IFERROR(__xludf.DUMMYFUNCTION("""COMPUTED_VALUE"""),43217.64583333333)</f>
        <v>43217.64583</v>
      </c>
      <c r="B4534" s="2">
        <f>IFERROR(__xludf.DUMMYFUNCTION("""COMPUTED_VALUE"""),966.5)</f>
        <v>966.5</v>
      </c>
      <c r="C4534" s="2">
        <f>IFERROR(__xludf.DUMMYFUNCTION("""COMPUTED_VALUE"""),967.75)</f>
        <v>967.75</v>
      </c>
      <c r="D4534" s="2">
        <f>IFERROR(__xludf.DUMMYFUNCTION("""COMPUTED_VALUE"""),956.25)</f>
        <v>956.25</v>
      </c>
      <c r="E4534" s="2">
        <f>IFERROR(__xludf.DUMMYFUNCTION("""COMPUTED_VALUE"""),961.7)</f>
        <v>961.7</v>
      </c>
      <c r="F4534" s="2">
        <f>IFERROR(__xludf.DUMMYFUNCTION("""COMPUTED_VALUE"""),1444252.0)</f>
        <v>1444252</v>
      </c>
    </row>
    <row r="4535">
      <c r="A4535" s="3">
        <f>IFERROR(__xludf.DUMMYFUNCTION("""COMPUTED_VALUE"""),43220.64583333333)</f>
        <v>43220.64583</v>
      </c>
      <c r="B4535" s="2">
        <f>IFERROR(__xludf.DUMMYFUNCTION("""COMPUTED_VALUE"""),965.0)</f>
        <v>965</v>
      </c>
      <c r="C4535" s="2">
        <f>IFERROR(__xludf.DUMMYFUNCTION("""COMPUTED_VALUE"""),977.4)</f>
        <v>977.4</v>
      </c>
      <c r="D4535" s="2">
        <f>IFERROR(__xludf.DUMMYFUNCTION("""COMPUTED_VALUE"""),964.4)</f>
        <v>964.4</v>
      </c>
      <c r="E4535" s="2">
        <f>IFERROR(__xludf.DUMMYFUNCTION("""COMPUTED_VALUE"""),972.15)</f>
        <v>972.15</v>
      </c>
      <c r="F4535" s="2">
        <f>IFERROR(__xludf.DUMMYFUNCTION("""COMPUTED_VALUE"""),1152388.0)</f>
        <v>1152388</v>
      </c>
    </row>
    <row r="4536">
      <c r="A4536" s="3">
        <f>IFERROR(__xludf.DUMMYFUNCTION("""COMPUTED_VALUE"""),43222.64583333333)</f>
        <v>43222.64583</v>
      </c>
      <c r="B4536" s="2">
        <f>IFERROR(__xludf.DUMMYFUNCTION("""COMPUTED_VALUE"""),975.0)</f>
        <v>975</v>
      </c>
      <c r="C4536" s="2">
        <f>IFERROR(__xludf.DUMMYFUNCTION("""COMPUTED_VALUE"""),989.0)</f>
        <v>989</v>
      </c>
      <c r="D4536" s="2">
        <f>IFERROR(__xludf.DUMMYFUNCTION("""COMPUTED_VALUE"""),973.0)</f>
        <v>973</v>
      </c>
      <c r="E4536" s="2">
        <f>IFERROR(__xludf.DUMMYFUNCTION("""COMPUTED_VALUE"""),984.75)</f>
        <v>984.75</v>
      </c>
      <c r="F4536" s="2">
        <f>IFERROR(__xludf.DUMMYFUNCTION("""COMPUTED_VALUE"""),1775012.0)</f>
        <v>1775012</v>
      </c>
    </row>
    <row r="4537">
      <c r="A4537" s="3">
        <f>IFERROR(__xludf.DUMMYFUNCTION("""COMPUTED_VALUE"""),43223.64583333333)</f>
        <v>43223.64583</v>
      </c>
      <c r="B4537" s="2">
        <f>IFERROR(__xludf.DUMMYFUNCTION("""COMPUTED_VALUE"""),984.03)</f>
        <v>984.03</v>
      </c>
      <c r="C4537" s="2">
        <f>IFERROR(__xludf.DUMMYFUNCTION("""COMPUTED_VALUE"""),987.45)</f>
        <v>987.45</v>
      </c>
      <c r="D4537" s="2">
        <f>IFERROR(__xludf.DUMMYFUNCTION("""COMPUTED_VALUE"""),973.0)</f>
        <v>973</v>
      </c>
      <c r="E4537" s="2">
        <f>IFERROR(__xludf.DUMMYFUNCTION("""COMPUTED_VALUE"""),983.95)</f>
        <v>983.95</v>
      </c>
      <c r="F4537" s="2">
        <f>IFERROR(__xludf.DUMMYFUNCTION("""COMPUTED_VALUE"""),1038193.0)</f>
        <v>1038193</v>
      </c>
    </row>
    <row r="4538">
      <c r="A4538" s="3">
        <f>IFERROR(__xludf.DUMMYFUNCTION("""COMPUTED_VALUE"""),43224.64583333333)</f>
        <v>43224.64583</v>
      </c>
      <c r="B4538" s="2">
        <f>IFERROR(__xludf.DUMMYFUNCTION("""COMPUTED_VALUE"""),985.0)</f>
        <v>985</v>
      </c>
      <c r="C4538" s="2">
        <f>IFERROR(__xludf.DUMMYFUNCTION("""COMPUTED_VALUE"""),995.0)</f>
        <v>995</v>
      </c>
      <c r="D4538" s="2">
        <f>IFERROR(__xludf.DUMMYFUNCTION("""COMPUTED_VALUE"""),983.15)</f>
        <v>983.15</v>
      </c>
      <c r="E4538" s="2">
        <f>IFERROR(__xludf.DUMMYFUNCTION("""COMPUTED_VALUE"""),994.25)</f>
        <v>994.25</v>
      </c>
      <c r="F4538" s="2">
        <f>IFERROR(__xludf.DUMMYFUNCTION("""COMPUTED_VALUE"""),1720359.0)</f>
        <v>1720359</v>
      </c>
    </row>
    <row r="4539">
      <c r="A4539" s="3">
        <f>IFERROR(__xludf.DUMMYFUNCTION("""COMPUTED_VALUE"""),43227.64583333333)</f>
        <v>43227.64583</v>
      </c>
      <c r="B4539" s="2">
        <f>IFERROR(__xludf.DUMMYFUNCTION("""COMPUTED_VALUE"""),990.83)</f>
        <v>990.83</v>
      </c>
      <c r="C4539" s="2">
        <f>IFERROR(__xludf.DUMMYFUNCTION("""COMPUTED_VALUE"""),993.65)</f>
        <v>993.65</v>
      </c>
      <c r="D4539" s="2">
        <f>IFERROR(__xludf.DUMMYFUNCTION("""COMPUTED_VALUE"""),987.5)</f>
        <v>987.5</v>
      </c>
      <c r="E4539" s="2">
        <f>IFERROR(__xludf.DUMMYFUNCTION("""COMPUTED_VALUE"""),988.7)</f>
        <v>988.7</v>
      </c>
      <c r="F4539" s="2">
        <f>IFERROR(__xludf.DUMMYFUNCTION("""COMPUTED_VALUE"""),1316032.0)</f>
        <v>1316032</v>
      </c>
    </row>
    <row r="4540">
      <c r="A4540" s="3">
        <f>IFERROR(__xludf.DUMMYFUNCTION("""COMPUTED_VALUE"""),43228.64583333333)</f>
        <v>43228.64583</v>
      </c>
      <c r="B4540" s="2">
        <f>IFERROR(__xludf.DUMMYFUNCTION("""COMPUTED_VALUE"""),989.63)</f>
        <v>989.63</v>
      </c>
      <c r="C4540" s="2">
        <f>IFERROR(__xludf.DUMMYFUNCTION("""COMPUTED_VALUE"""),989.95)</f>
        <v>989.95</v>
      </c>
      <c r="D4540" s="2">
        <f>IFERROR(__xludf.DUMMYFUNCTION("""COMPUTED_VALUE"""),977.3)</f>
        <v>977.3</v>
      </c>
      <c r="E4540" s="2">
        <f>IFERROR(__xludf.DUMMYFUNCTION("""COMPUTED_VALUE"""),983.53)</f>
        <v>983.53</v>
      </c>
      <c r="F4540" s="2">
        <f>IFERROR(__xludf.DUMMYFUNCTION("""COMPUTED_VALUE"""),1775141.0)</f>
        <v>1775141</v>
      </c>
    </row>
    <row r="4541">
      <c r="A4541" s="3">
        <f>IFERROR(__xludf.DUMMYFUNCTION("""COMPUTED_VALUE"""),43229.64583333333)</f>
        <v>43229.64583</v>
      </c>
      <c r="B4541" s="2">
        <f>IFERROR(__xludf.DUMMYFUNCTION("""COMPUTED_VALUE"""),978.08)</f>
        <v>978.08</v>
      </c>
      <c r="C4541" s="2">
        <f>IFERROR(__xludf.DUMMYFUNCTION("""COMPUTED_VALUE"""),990.25)</f>
        <v>990.25</v>
      </c>
      <c r="D4541" s="2">
        <f>IFERROR(__xludf.DUMMYFUNCTION("""COMPUTED_VALUE"""),978.08)</f>
        <v>978.08</v>
      </c>
      <c r="E4541" s="2">
        <f>IFERROR(__xludf.DUMMYFUNCTION("""COMPUTED_VALUE"""),989.2)</f>
        <v>989.2</v>
      </c>
      <c r="F4541" s="2">
        <f>IFERROR(__xludf.DUMMYFUNCTION("""COMPUTED_VALUE"""),1081833.0)</f>
        <v>1081833</v>
      </c>
    </row>
    <row r="4542">
      <c r="A4542" s="3">
        <f>IFERROR(__xludf.DUMMYFUNCTION("""COMPUTED_VALUE"""),43230.64583333333)</f>
        <v>43230.64583</v>
      </c>
      <c r="B4542" s="2">
        <f>IFERROR(__xludf.DUMMYFUNCTION("""COMPUTED_VALUE"""),994.3)</f>
        <v>994.3</v>
      </c>
      <c r="C4542" s="2">
        <f>IFERROR(__xludf.DUMMYFUNCTION("""COMPUTED_VALUE"""),999.5)</f>
        <v>999.5</v>
      </c>
      <c r="D4542" s="2">
        <f>IFERROR(__xludf.DUMMYFUNCTION("""COMPUTED_VALUE"""),991.0)</f>
        <v>991</v>
      </c>
      <c r="E4542" s="2">
        <f>IFERROR(__xludf.DUMMYFUNCTION("""COMPUTED_VALUE"""),996.35)</f>
        <v>996.35</v>
      </c>
      <c r="F4542" s="2">
        <f>IFERROR(__xludf.DUMMYFUNCTION("""COMPUTED_VALUE"""),1792918.0)</f>
        <v>1792918</v>
      </c>
    </row>
    <row r="4543">
      <c r="A4543" s="3">
        <f>IFERROR(__xludf.DUMMYFUNCTION("""COMPUTED_VALUE"""),43231.64583333333)</f>
        <v>43231.64583</v>
      </c>
      <c r="B4543" s="2">
        <f>IFERROR(__xludf.DUMMYFUNCTION("""COMPUTED_VALUE"""),996.35)</f>
        <v>996.35</v>
      </c>
      <c r="C4543" s="2">
        <f>IFERROR(__xludf.DUMMYFUNCTION("""COMPUTED_VALUE"""),1008.5)</f>
        <v>1008.5</v>
      </c>
      <c r="D4543" s="2">
        <f>IFERROR(__xludf.DUMMYFUNCTION("""COMPUTED_VALUE"""),993.0)</f>
        <v>993</v>
      </c>
      <c r="E4543" s="2">
        <f>IFERROR(__xludf.DUMMYFUNCTION("""COMPUTED_VALUE"""),1005.88)</f>
        <v>1005.88</v>
      </c>
      <c r="F4543" s="2">
        <f>IFERROR(__xludf.DUMMYFUNCTION("""COMPUTED_VALUE"""),1514267.0)</f>
        <v>1514267</v>
      </c>
    </row>
    <row r="4544">
      <c r="A4544" s="3">
        <f>IFERROR(__xludf.DUMMYFUNCTION("""COMPUTED_VALUE"""),43234.64583333333)</f>
        <v>43234.64583</v>
      </c>
      <c r="B4544" s="2">
        <f>IFERROR(__xludf.DUMMYFUNCTION("""COMPUTED_VALUE"""),1008.6)</f>
        <v>1008.6</v>
      </c>
      <c r="C4544" s="2">
        <f>IFERROR(__xludf.DUMMYFUNCTION("""COMPUTED_VALUE"""),1013.7)</f>
        <v>1013.7</v>
      </c>
      <c r="D4544" s="2">
        <f>IFERROR(__xludf.DUMMYFUNCTION("""COMPUTED_VALUE"""),1006.2)</f>
        <v>1006.2</v>
      </c>
      <c r="E4544" s="2">
        <f>IFERROR(__xludf.DUMMYFUNCTION("""COMPUTED_VALUE"""),1010.88)</f>
        <v>1010.88</v>
      </c>
      <c r="F4544" s="2">
        <f>IFERROR(__xludf.DUMMYFUNCTION("""COMPUTED_VALUE"""),1185729.0)</f>
        <v>1185729</v>
      </c>
    </row>
    <row r="4545">
      <c r="A4545" s="3">
        <f>IFERROR(__xludf.DUMMYFUNCTION("""COMPUTED_VALUE"""),43235.64583333333)</f>
        <v>43235.64583</v>
      </c>
      <c r="B4545" s="2">
        <f>IFERROR(__xludf.DUMMYFUNCTION("""COMPUTED_VALUE"""),1013.53)</f>
        <v>1013.53</v>
      </c>
      <c r="C4545" s="2">
        <f>IFERROR(__xludf.DUMMYFUNCTION("""COMPUTED_VALUE"""),1032.5)</f>
        <v>1032.5</v>
      </c>
      <c r="D4545" s="2">
        <f>IFERROR(__xludf.DUMMYFUNCTION("""COMPUTED_VALUE"""),1013.35)</f>
        <v>1013.35</v>
      </c>
      <c r="E4545" s="2">
        <f>IFERROR(__xludf.DUMMYFUNCTION("""COMPUTED_VALUE"""),1018.9)</f>
        <v>1018.9</v>
      </c>
      <c r="F4545" s="2">
        <f>IFERROR(__xludf.DUMMYFUNCTION("""COMPUTED_VALUE"""),2456671.0)</f>
        <v>2456671</v>
      </c>
    </row>
    <row r="4546">
      <c r="A4546" s="3">
        <f>IFERROR(__xludf.DUMMYFUNCTION("""COMPUTED_VALUE"""),43236.64583333333)</f>
        <v>43236.64583</v>
      </c>
      <c r="B4546" s="2">
        <f>IFERROR(__xludf.DUMMYFUNCTION("""COMPUTED_VALUE"""),1015.28)</f>
        <v>1015.28</v>
      </c>
      <c r="C4546" s="2">
        <f>IFERROR(__xludf.DUMMYFUNCTION("""COMPUTED_VALUE"""),1024.5)</f>
        <v>1024.5</v>
      </c>
      <c r="D4546" s="2">
        <f>IFERROR(__xludf.DUMMYFUNCTION("""COMPUTED_VALUE"""),1008.58)</f>
        <v>1008.58</v>
      </c>
      <c r="E4546" s="2">
        <f>IFERROR(__xludf.DUMMYFUNCTION("""COMPUTED_VALUE"""),1011.68)</f>
        <v>1011.68</v>
      </c>
      <c r="F4546" s="2">
        <f>IFERROR(__xludf.DUMMYFUNCTION("""COMPUTED_VALUE"""),1710401.0)</f>
        <v>1710401</v>
      </c>
    </row>
    <row r="4547">
      <c r="A4547" s="3">
        <f>IFERROR(__xludf.DUMMYFUNCTION("""COMPUTED_VALUE"""),43237.64583333333)</f>
        <v>43237.64583</v>
      </c>
      <c r="B4547" s="2">
        <f>IFERROR(__xludf.DUMMYFUNCTION("""COMPUTED_VALUE"""),1011.93)</f>
        <v>1011.93</v>
      </c>
      <c r="C4547" s="2">
        <f>IFERROR(__xludf.DUMMYFUNCTION("""COMPUTED_VALUE"""),1022.23)</f>
        <v>1022.23</v>
      </c>
      <c r="D4547" s="2">
        <f>IFERROR(__xludf.DUMMYFUNCTION("""COMPUTED_VALUE"""),1006.25)</f>
        <v>1006.25</v>
      </c>
      <c r="E4547" s="2">
        <f>IFERROR(__xludf.DUMMYFUNCTION("""COMPUTED_VALUE"""),1013.88)</f>
        <v>1013.88</v>
      </c>
      <c r="F4547" s="2">
        <f>IFERROR(__xludf.DUMMYFUNCTION("""COMPUTED_VALUE"""),1653869.0)</f>
        <v>1653869</v>
      </c>
    </row>
    <row r="4548">
      <c r="A4548" s="3">
        <f>IFERROR(__xludf.DUMMYFUNCTION("""COMPUTED_VALUE"""),43238.64583333333)</f>
        <v>43238.64583</v>
      </c>
      <c r="B4548" s="2">
        <f>IFERROR(__xludf.DUMMYFUNCTION("""COMPUTED_VALUE"""),1012.35)</f>
        <v>1012.35</v>
      </c>
      <c r="C4548" s="2">
        <f>IFERROR(__xludf.DUMMYFUNCTION("""COMPUTED_VALUE"""),1012.35)</f>
        <v>1012.35</v>
      </c>
      <c r="D4548" s="2">
        <f>IFERROR(__xludf.DUMMYFUNCTION("""COMPUTED_VALUE"""),1001.75)</f>
        <v>1001.75</v>
      </c>
      <c r="E4548" s="2">
        <f>IFERROR(__xludf.DUMMYFUNCTION("""COMPUTED_VALUE"""),1006.08)</f>
        <v>1006.08</v>
      </c>
      <c r="F4548" s="2">
        <f>IFERROR(__xludf.DUMMYFUNCTION("""COMPUTED_VALUE"""),1304365.0)</f>
        <v>1304365</v>
      </c>
    </row>
    <row r="4549">
      <c r="A4549" s="3">
        <f>IFERROR(__xludf.DUMMYFUNCTION("""COMPUTED_VALUE"""),43241.64583333333)</f>
        <v>43241.64583</v>
      </c>
      <c r="B4549" s="2">
        <f>IFERROR(__xludf.DUMMYFUNCTION("""COMPUTED_VALUE"""),1008.05)</f>
        <v>1008.05</v>
      </c>
      <c r="C4549" s="2">
        <f>IFERROR(__xludf.DUMMYFUNCTION("""COMPUTED_VALUE"""),1010.5)</f>
        <v>1010.5</v>
      </c>
      <c r="D4549" s="2">
        <f>IFERROR(__xludf.DUMMYFUNCTION("""COMPUTED_VALUE"""),993.03)</f>
        <v>993.03</v>
      </c>
      <c r="E4549" s="2">
        <f>IFERROR(__xludf.DUMMYFUNCTION("""COMPUTED_VALUE"""),996.53)</f>
        <v>996.53</v>
      </c>
      <c r="F4549" s="2">
        <f>IFERROR(__xludf.DUMMYFUNCTION("""COMPUTED_VALUE"""),1212027.0)</f>
        <v>1212027</v>
      </c>
    </row>
    <row r="4550">
      <c r="A4550" s="3">
        <f>IFERROR(__xludf.DUMMYFUNCTION("""COMPUTED_VALUE"""),43242.64583333333)</f>
        <v>43242.64583</v>
      </c>
      <c r="B4550" s="2">
        <f>IFERROR(__xludf.DUMMYFUNCTION("""COMPUTED_VALUE"""),999.35)</f>
        <v>999.35</v>
      </c>
      <c r="C4550" s="2">
        <f>IFERROR(__xludf.DUMMYFUNCTION("""COMPUTED_VALUE"""),1006.98)</f>
        <v>1006.98</v>
      </c>
      <c r="D4550" s="2">
        <f>IFERROR(__xludf.DUMMYFUNCTION("""COMPUTED_VALUE"""),992.75)</f>
        <v>992.75</v>
      </c>
      <c r="E4550" s="2">
        <f>IFERROR(__xludf.DUMMYFUNCTION("""COMPUTED_VALUE"""),994.95)</f>
        <v>994.95</v>
      </c>
      <c r="F4550" s="2">
        <f>IFERROR(__xludf.DUMMYFUNCTION("""COMPUTED_VALUE"""),990093.0)</f>
        <v>990093</v>
      </c>
    </row>
    <row r="4551">
      <c r="A4551" s="3">
        <f>IFERROR(__xludf.DUMMYFUNCTION("""COMPUTED_VALUE"""),43243.64583333333)</f>
        <v>43243.64583</v>
      </c>
      <c r="B4551" s="2">
        <f>IFERROR(__xludf.DUMMYFUNCTION("""COMPUTED_VALUE"""),993.9)</f>
        <v>993.9</v>
      </c>
      <c r="C4551" s="2">
        <f>IFERROR(__xludf.DUMMYFUNCTION("""COMPUTED_VALUE"""),997.0)</f>
        <v>997</v>
      </c>
      <c r="D4551" s="2">
        <f>IFERROR(__xludf.DUMMYFUNCTION("""COMPUTED_VALUE"""),981.7)</f>
        <v>981.7</v>
      </c>
      <c r="E4551" s="2">
        <f>IFERROR(__xludf.DUMMYFUNCTION("""COMPUTED_VALUE"""),983.75)</f>
        <v>983.75</v>
      </c>
      <c r="F4551" s="2">
        <f>IFERROR(__xludf.DUMMYFUNCTION("""COMPUTED_VALUE"""),1431573.0)</f>
        <v>1431573</v>
      </c>
    </row>
    <row r="4552">
      <c r="A4552" s="3">
        <f>IFERROR(__xludf.DUMMYFUNCTION("""COMPUTED_VALUE"""),43244.64583333333)</f>
        <v>43244.64583</v>
      </c>
      <c r="B4552" s="2">
        <f>IFERROR(__xludf.DUMMYFUNCTION("""COMPUTED_VALUE"""),983.55)</f>
        <v>983.55</v>
      </c>
      <c r="C4552" s="2">
        <f>IFERROR(__xludf.DUMMYFUNCTION("""COMPUTED_VALUE"""),995.13)</f>
        <v>995.13</v>
      </c>
      <c r="D4552" s="2">
        <f>IFERROR(__xludf.DUMMYFUNCTION("""COMPUTED_VALUE"""),978.18)</f>
        <v>978.18</v>
      </c>
      <c r="E4552" s="2">
        <f>IFERROR(__xludf.DUMMYFUNCTION("""COMPUTED_VALUE"""),993.0)</f>
        <v>993</v>
      </c>
      <c r="F4552" s="2">
        <f>IFERROR(__xludf.DUMMYFUNCTION("""COMPUTED_VALUE"""),1130186.0)</f>
        <v>1130186</v>
      </c>
    </row>
    <row r="4553">
      <c r="A4553" s="3">
        <f>IFERROR(__xludf.DUMMYFUNCTION("""COMPUTED_VALUE"""),43245.64583333333)</f>
        <v>43245.64583</v>
      </c>
      <c r="B4553" s="2">
        <f>IFERROR(__xludf.DUMMYFUNCTION("""COMPUTED_VALUE"""),995.0)</f>
        <v>995</v>
      </c>
      <c r="C4553" s="2">
        <f>IFERROR(__xludf.DUMMYFUNCTION("""COMPUTED_VALUE"""),1008.0)</f>
        <v>1008</v>
      </c>
      <c r="D4553" s="2">
        <f>IFERROR(__xludf.DUMMYFUNCTION("""COMPUTED_VALUE"""),994.95)</f>
        <v>994.95</v>
      </c>
      <c r="E4553" s="2">
        <f>IFERROR(__xludf.DUMMYFUNCTION("""COMPUTED_VALUE"""),1004.35)</f>
        <v>1004.35</v>
      </c>
      <c r="F4553" s="2">
        <f>IFERROR(__xludf.DUMMYFUNCTION("""COMPUTED_VALUE"""),1189897.0)</f>
        <v>1189897</v>
      </c>
    </row>
    <row r="4554">
      <c r="A4554" s="3">
        <f>IFERROR(__xludf.DUMMYFUNCTION("""COMPUTED_VALUE"""),43248.64583333333)</f>
        <v>43248.64583</v>
      </c>
      <c r="B4554" s="2">
        <f>IFERROR(__xludf.DUMMYFUNCTION("""COMPUTED_VALUE"""),1003.9)</f>
        <v>1003.9</v>
      </c>
      <c r="C4554" s="2">
        <f>IFERROR(__xludf.DUMMYFUNCTION("""COMPUTED_VALUE"""),1026.0)</f>
        <v>1026</v>
      </c>
      <c r="D4554" s="2">
        <f>IFERROR(__xludf.DUMMYFUNCTION("""COMPUTED_VALUE"""),1003.0)</f>
        <v>1003</v>
      </c>
      <c r="E4554" s="2">
        <f>IFERROR(__xludf.DUMMYFUNCTION("""COMPUTED_VALUE"""),1021.1)</f>
        <v>1021.1</v>
      </c>
      <c r="F4554" s="2">
        <f>IFERROR(__xludf.DUMMYFUNCTION("""COMPUTED_VALUE"""),1275985.0)</f>
        <v>1275985</v>
      </c>
    </row>
    <row r="4555">
      <c r="A4555" s="3">
        <f>IFERROR(__xludf.DUMMYFUNCTION("""COMPUTED_VALUE"""),43249.64583333333)</f>
        <v>43249.64583</v>
      </c>
      <c r="B4555" s="2">
        <f>IFERROR(__xludf.DUMMYFUNCTION("""COMPUTED_VALUE"""),1019.0)</f>
        <v>1019</v>
      </c>
      <c r="C4555" s="2">
        <f>IFERROR(__xludf.DUMMYFUNCTION("""COMPUTED_VALUE"""),1026.35)</f>
        <v>1026.35</v>
      </c>
      <c r="D4555" s="2">
        <f>IFERROR(__xludf.DUMMYFUNCTION("""COMPUTED_VALUE"""),1014.4)</f>
        <v>1014.4</v>
      </c>
      <c r="E4555" s="2">
        <f>IFERROR(__xludf.DUMMYFUNCTION("""COMPUTED_VALUE"""),1016.3)</f>
        <v>1016.3</v>
      </c>
      <c r="F4555" s="2">
        <f>IFERROR(__xludf.DUMMYFUNCTION("""COMPUTED_VALUE"""),837811.0)</f>
        <v>837811</v>
      </c>
    </row>
    <row r="4556">
      <c r="A4556" s="3">
        <f>IFERROR(__xludf.DUMMYFUNCTION("""COMPUTED_VALUE"""),43250.64583333333)</f>
        <v>43250.64583</v>
      </c>
      <c r="B4556" s="2">
        <f>IFERROR(__xludf.DUMMYFUNCTION("""COMPUTED_VALUE"""),1009.85)</f>
        <v>1009.85</v>
      </c>
      <c r="C4556" s="2">
        <f>IFERROR(__xludf.DUMMYFUNCTION("""COMPUTED_VALUE"""),1026.5)</f>
        <v>1026.5</v>
      </c>
      <c r="D4556" s="2">
        <f>IFERROR(__xludf.DUMMYFUNCTION("""COMPUTED_VALUE"""),1008.15)</f>
        <v>1008.15</v>
      </c>
      <c r="E4556" s="2">
        <f>IFERROR(__xludf.DUMMYFUNCTION("""COMPUTED_VALUE"""),1024.18)</f>
        <v>1024.18</v>
      </c>
      <c r="F4556" s="2">
        <f>IFERROR(__xludf.DUMMYFUNCTION("""COMPUTED_VALUE"""),1216749.0)</f>
        <v>1216749</v>
      </c>
    </row>
    <row r="4557">
      <c r="A4557" s="3">
        <f>IFERROR(__xludf.DUMMYFUNCTION("""COMPUTED_VALUE"""),43251.64583333333)</f>
        <v>43251.64583</v>
      </c>
      <c r="B4557" s="2">
        <f>IFERROR(__xludf.DUMMYFUNCTION("""COMPUTED_VALUE"""),1050.0)</f>
        <v>1050</v>
      </c>
      <c r="C4557" s="2">
        <f>IFERROR(__xludf.DUMMYFUNCTION("""COMPUTED_VALUE"""),1080.0)</f>
        <v>1080</v>
      </c>
      <c r="D4557" s="2">
        <f>IFERROR(__xludf.DUMMYFUNCTION("""COMPUTED_VALUE"""),1040.0)</f>
        <v>1040</v>
      </c>
      <c r="E4557" s="2">
        <f>IFERROR(__xludf.DUMMYFUNCTION("""COMPUTED_VALUE"""),1069.72)</f>
        <v>1069.72</v>
      </c>
      <c r="F4557" s="2">
        <f>IFERROR(__xludf.DUMMYFUNCTION("""COMPUTED_VALUE"""),9909798.0)</f>
        <v>9909798</v>
      </c>
    </row>
    <row r="4558">
      <c r="A4558" s="3">
        <f>IFERROR(__xludf.DUMMYFUNCTION("""COMPUTED_VALUE"""),43252.64583333333)</f>
        <v>43252.64583</v>
      </c>
      <c r="B4558" s="2">
        <f>IFERROR(__xludf.DUMMYFUNCTION("""COMPUTED_VALUE"""),1058.0)</f>
        <v>1058</v>
      </c>
      <c r="C4558" s="2">
        <f>IFERROR(__xludf.DUMMYFUNCTION("""COMPUTED_VALUE"""),1069.0)</f>
        <v>1069</v>
      </c>
      <c r="D4558" s="2">
        <f>IFERROR(__xludf.DUMMYFUNCTION("""COMPUTED_VALUE"""),1050.5)</f>
        <v>1050.5</v>
      </c>
      <c r="E4558" s="2">
        <f>IFERROR(__xludf.DUMMYFUNCTION("""COMPUTED_VALUE"""),1055.3)</f>
        <v>1055.3</v>
      </c>
      <c r="F4558" s="2">
        <f>IFERROR(__xludf.DUMMYFUNCTION("""COMPUTED_VALUE"""),5287839.0)</f>
        <v>5287839</v>
      </c>
    </row>
    <row r="4559">
      <c r="A4559" s="3">
        <f>IFERROR(__xludf.DUMMYFUNCTION("""COMPUTED_VALUE"""),43255.64583333333)</f>
        <v>43255.64583</v>
      </c>
      <c r="B4559" s="2">
        <f>IFERROR(__xludf.DUMMYFUNCTION("""COMPUTED_VALUE"""),1075.0)</f>
        <v>1075</v>
      </c>
      <c r="C4559" s="2">
        <f>IFERROR(__xludf.DUMMYFUNCTION("""COMPUTED_VALUE"""),1078.5)</f>
        <v>1078.5</v>
      </c>
      <c r="D4559" s="2">
        <f>IFERROR(__xludf.DUMMYFUNCTION("""COMPUTED_VALUE"""),1018.98)</f>
        <v>1018.98</v>
      </c>
      <c r="E4559" s="2">
        <f>IFERROR(__xludf.DUMMYFUNCTION("""COMPUTED_VALUE"""),1023.1)</f>
        <v>1023.1</v>
      </c>
      <c r="F4559" s="2">
        <f>IFERROR(__xludf.DUMMYFUNCTION("""COMPUTED_VALUE"""),2.2199081E7)</f>
        <v>22199081</v>
      </c>
    </row>
    <row r="4560">
      <c r="A4560" s="3">
        <f>IFERROR(__xludf.DUMMYFUNCTION("""COMPUTED_VALUE"""),43256.64583333333)</f>
        <v>43256.64583</v>
      </c>
      <c r="B4560" s="2">
        <f>IFERROR(__xludf.DUMMYFUNCTION("""COMPUTED_VALUE"""),1025.0)</f>
        <v>1025</v>
      </c>
      <c r="C4560" s="2">
        <f>IFERROR(__xludf.DUMMYFUNCTION("""COMPUTED_VALUE"""),1033.47)</f>
        <v>1033.47</v>
      </c>
      <c r="D4560" s="2">
        <f>IFERROR(__xludf.DUMMYFUNCTION("""COMPUTED_VALUE"""),1011.5)</f>
        <v>1011.5</v>
      </c>
      <c r="E4560" s="2">
        <f>IFERROR(__xludf.DUMMYFUNCTION("""COMPUTED_VALUE"""),1031.8)</f>
        <v>1031.8</v>
      </c>
      <c r="F4560" s="2">
        <f>IFERROR(__xludf.DUMMYFUNCTION("""COMPUTED_VALUE"""),4276365.0)</f>
        <v>4276365</v>
      </c>
    </row>
    <row r="4561">
      <c r="A4561" s="3">
        <f>IFERROR(__xludf.DUMMYFUNCTION("""COMPUTED_VALUE"""),43257.64583333333)</f>
        <v>43257.64583</v>
      </c>
      <c r="B4561" s="2">
        <f>IFERROR(__xludf.DUMMYFUNCTION("""COMPUTED_VALUE"""),1030.1)</f>
        <v>1030.1</v>
      </c>
      <c r="C4561" s="2">
        <f>IFERROR(__xludf.DUMMYFUNCTION("""COMPUTED_VALUE"""),1032.4)</f>
        <v>1032.4</v>
      </c>
      <c r="D4561" s="2">
        <f>IFERROR(__xludf.DUMMYFUNCTION("""COMPUTED_VALUE"""),1022.5)</f>
        <v>1022.5</v>
      </c>
      <c r="E4561" s="2">
        <f>IFERROR(__xludf.DUMMYFUNCTION("""COMPUTED_VALUE"""),1028.68)</f>
        <v>1028.68</v>
      </c>
      <c r="F4561" s="2">
        <f>IFERROR(__xludf.DUMMYFUNCTION("""COMPUTED_VALUE"""),2445500.0)</f>
        <v>2445500</v>
      </c>
    </row>
    <row r="4562">
      <c r="A4562" s="3">
        <f>IFERROR(__xludf.DUMMYFUNCTION("""COMPUTED_VALUE"""),43258.64583333333)</f>
        <v>43258.64583</v>
      </c>
      <c r="B4562" s="2">
        <f>IFERROR(__xludf.DUMMYFUNCTION("""COMPUTED_VALUE"""),1036.6)</f>
        <v>1036.6</v>
      </c>
      <c r="C4562" s="2">
        <f>IFERROR(__xludf.DUMMYFUNCTION("""COMPUTED_VALUE"""),1039.9)</f>
        <v>1039.9</v>
      </c>
      <c r="D4562" s="2">
        <f>IFERROR(__xludf.DUMMYFUNCTION("""COMPUTED_VALUE"""),1026.6)</f>
        <v>1026.6</v>
      </c>
      <c r="E4562" s="2">
        <f>IFERROR(__xludf.DUMMYFUNCTION("""COMPUTED_VALUE"""),1031.1)</f>
        <v>1031.1</v>
      </c>
      <c r="F4562" s="2">
        <f>IFERROR(__xludf.DUMMYFUNCTION("""COMPUTED_VALUE"""),2640974.0)</f>
        <v>2640974</v>
      </c>
    </row>
    <row r="4563">
      <c r="A4563" s="3">
        <f>IFERROR(__xludf.DUMMYFUNCTION("""COMPUTED_VALUE"""),43259.64583333333)</f>
        <v>43259.64583</v>
      </c>
      <c r="B4563" s="2">
        <f>IFERROR(__xludf.DUMMYFUNCTION("""COMPUTED_VALUE"""),1029.5)</f>
        <v>1029.5</v>
      </c>
      <c r="C4563" s="2">
        <f>IFERROR(__xludf.DUMMYFUNCTION("""COMPUTED_VALUE"""),1030.63)</f>
        <v>1030.63</v>
      </c>
      <c r="D4563" s="2">
        <f>IFERROR(__xludf.DUMMYFUNCTION("""COMPUTED_VALUE"""),1017.5)</f>
        <v>1017.5</v>
      </c>
      <c r="E4563" s="2">
        <f>IFERROR(__xludf.DUMMYFUNCTION("""COMPUTED_VALUE"""),1024.68)</f>
        <v>1024.68</v>
      </c>
      <c r="F4563" s="2">
        <f>IFERROR(__xludf.DUMMYFUNCTION("""COMPUTED_VALUE"""),1545222.0)</f>
        <v>1545222</v>
      </c>
    </row>
    <row r="4564">
      <c r="A4564" s="3">
        <f>IFERROR(__xludf.DUMMYFUNCTION("""COMPUTED_VALUE"""),43262.64583333333)</f>
        <v>43262.64583</v>
      </c>
      <c r="B4564" s="2">
        <f>IFERROR(__xludf.DUMMYFUNCTION("""COMPUTED_VALUE"""),1025.95)</f>
        <v>1025.95</v>
      </c>
      <c r="C4564" s="2">
        <f>IFERROR(__xludf.DUMMYFUNCTION("""COMPUTED_VALUE"""),1031.47)</f>
        <v>1031.47</v>
      </c>
      <c r="D4564" s="2">
        <f>IFERROR(__xludf.DUMMYFUNCTION("""COMPUTED_VALUE"""),1019.4)</f>
        <v>1019.4</v>
      </c>
      <c r="E4564" s="2">
        <f>IFERROR(__xludf.DUMMYFUNCTION("""COMPUTED_VALUE"""),1021.15)</f>
        <v>1021.15</v>
      </c>
      <c r="F4564" s="2">
        <f>IFERROR(__xludf.DUMMYFUNCTION("""COMPUTED_VALUE"""),1772797.0)</f>
        <v>1772797</v>
      </c>
    </row>
    <row r="4565">
      <c r="A4565" s="3">
        <f>IFERROR(__xludf.DUMMYFUNCTION("""COMPUTED_VALUE"""),43263.64583333333)</f>
        <v>43263.64583</v>
      </c>
      <c r="B4565" s="2">
        <f>IFERROR(__xludf.DUMMYFUNCTION("""COMPUTED_VALUE"""),1025.95)</f>
        <v>1025.95</v>
      </c>
      <c r="C4565" s="2">
        <f>IFERROR(__xludf.DUMMYFUNCTION("""COMPUTED_VALUE"""),1026.35)</f>
        <v>1026.35</v>
      </c>
      <c r="D4565" s="2">
        <f>IFERROR(__xludf.DUMMYFUNCTION("""COMPUTED_VALUE"""),1019.2)</f>
        <v>1019.2</v>
      </c>
      <c r="E4565" s="2">
        <f>IFERROR(__xludf.DUMMYFUNCTION("""COMPUTED_VALUE"""),1021.93)</f>
        <v>1021.93</v>
      </c>
      <c r="F4565" s="2">
        <f>IFERROR(__xludf.DUMMYFUNCTION("""COMPUTED_VALUE"""),1308564.0)</f>
        <v>1308564</v>
      </c>
    </row>
    <row r="4566">
      <c r="A4566" s="3">
        <f>IFERROR(__xludf.DUMMYFUNCTION("""COMPUTED_VALUE"""),43264.64583333333)</f>
        <v>43264.64583</v>
      </c>
      <c r="B4566" s="2">
        <f>IFERROR(__xludf.DUMMYFUNCTION("""COMPUTED_VALUE"""),1026.0)</f>
        <v>1026</v>
      </c>
      <c r="C4566" s="2">
        <f>IFERROR(__xludf.DUMMYFUNCTION("""COMPUTED_VALUE"""),1027.4)</f>
        <v>1027.4</v>
      </c>
      <c r="D4566" s="2">
        <f>IFERROR(__xludf.DUMMYFUNCTION("""COMPUTED_VALUE"""),1012.05)</f>
        <v>1012.05</v>
      </c>
      <c r="E4566" s="2">
        <f>IFERROR(__xludf.DUMMYFUNCTION("""COMPUTED_VALUE"""),1015.73)</f>
        <v>1015.73</v>
      </c>
      <c r="F4566" s="2">
        <f>IFERROR(__xludf.DUMMYFUNCTION("""COMPUTED_VALUE"""),1974490.0)</f>
        <v>1974490</v>
      </c>
    </row>
    <row r="4567">
      <c r="A4567" s="3">
        <f>IFERROR(__xludf.DUMMYFUNCTION("""COMPUTED_VALUE"""),43265.64583333333)</f>
        <v>43265.64583</v>
      </c>
      <c r="B4567" s="2">
        <f>IFERROR(__xludf.DUMMYFUNCTION("""COMPUTED_VALUE"""),1015.0)</f>
        <v>1015</v>
      </c>
      <c r="C4567" s="2">
        <f>IFERROR(__xludf.DUMMYFUNCTION("""COMPUTED_VALUE"""),1022.5)</f>
        <v>1022.5</v>
      </c>
      <c r="D4567" s="2">
        <f>IFERROR(__xludf.DUMMYFUNCTION("""COMPUTED_VALUE"""),1012.5)</f>
        <v>1012.5</v>
      </c>
      <c r="E4567" s="2">
        <f>IFERROR(__xludf.DUMMYFUNCTION("""COMPUTED_VALUE"""),1018.7)</f>
        <v>1018.7</v>
      </c>
      <c r="F4567" s="2">
        <f>IFERROR(__xludf.DUMMYFUNCTION("""COMPUTED_VALUE"""),4231894.0)</f>
        <v>4231894</v>
      </c>
    </row>
    <row r="4568">
      <c r="A4568" s="3">
        <f>IFERROR(__xludf.DUMMYFUNCTION("""COMPUTED_VALUE"""),43266.64583333333)</f>
        <v>43266.64583</v>
      </c>
      <c r="B4568" s="2">
        <f>IFERROR(__xludf.DUMMYFUNCTION("""COMPUTED_VALUE"""),1013.0)</f>
        <v>1013</v>
      </c>
      <c r="C4568" s="2">
        <f>IFERROR(__xludf.DUMMYFUNCTION("""COMPUTED_VALUE"""),1019.45)</f>
        <v>1019.45</v>
      </c>
      <c r="D4568" s="2">
        <f>IFERROR(__xludf.DUMMYFUNCTION("""COMPUTED_VALUE"""),1011.15)</f>
        <v>1011.15</v>
      </c>
      <c r="E4568" s="2">
        <f>IFERROR(__xludf.DUMMYFUNCTION("""COMPUTED_VALUE"""),1014.8)</f>
        <v>1014.8</v>
      </c>
      <c r="F4568" s="2">
        <f>IFERROR(__xludf.DUMMYFUNCTION("""COMPUTED_VALUE"""),2720204.0)</f>
        <v>2720204</v>
      </c>
    </row>
    <row r="4569">
      <c r="A4569" s="3">
        <f>IFERROR(__xludf.DUMMYFUNCTION("""COMPUTED_VALUE"""),43269.64583333333)</f>
        <v>43269.64583</v>
      </c>
      <c r="B4569" s="2">
        <f>IFERROR(__xludf.DUMMYFUNCTION("""COMPUTED_VALUE"""),1015.05)</f>
        <v>1015.05</v>
      </c>
      <c r="C4569" s="2">
        <f>IFERROR(__xludf.DUMMYFUNCTION("""COMPUTED_VALUE"""),1019.4)</f>
        <v>1019.4</v>
      </c>
      <c r="D4569" s="2">
        <f>IFERROR(__xludf.DUMMYFUNCTION("""COMPUTED_VALUE"""),1004.55)</f>
        <v>1004.55</v>
      </c>
      <c r="E4569" s="2">
        <f>IFERROR(__xludf.DUMMYFUNCTION("""COMPUTED_VALUE"""),1009.58)</f>
        <v>1009.58</v>
      </c>
      <c r="F4569" s="2">
        <f>IFERROR(__xludf.DUMMYFUNCTION("""COMPUTED_VALUE"""),1871851.0)</f>
        <v>1871851</v>
      </c>
    </row>
    <row r="4570">
      <c r="A4570" s="3">
        <f>IFERROR(__xludf.DUMMYFUNCTION("""COMPUTED_VALUE"""),43270.64583333333)</f>
        <v>43270.64583</v>
      </c>
      <c r="B4570" s="2">
        <f>IFERROR(__xludf.DUMMYFUNCTION("""COMPUTED_VALUE"""),1012.48)</f>
        <v>1012.48</v>
      </c>
      <c r="C4570" s="2">
        <f>IFERROR(__xludf.DUMMYFUNCTION("""COMPUTED_VALUE"""),1020.35)</f>
        <v>1020.35</v>
      </c>
      <c r="D4570" s="2">
        <f>IFERROR(__xludf.DUMMYFUNCTION("""COMPUTED_VALUE"""),1009.65)</f>
        <v>1009.65</v>
      </c>
      <c r="E4570" s="2">
        <f>IFERROR(__xludf.DUMMYFUNCTION("""COMPUTED_VALUE"""),1011.75)</f>
        <v>1011.75</v>
      </c>
      <c r="F4570" s="2">
        <f>IFERROR(__xludf.DUMMYFUNCTION("""COMPUTED_VALUE"""),2745288.0)</f>
        <v>2745288</v>
      </c>
    </row>
    <row r="4571">
      <c r="A4571" s="3">
        <f>IFERROR(__xludf.DUMMYFUNCTION("""COMPUTED_VALUE"""),43271.64583333333)</f>
        <v>43271.64583</v>
      </c>
      <c r="B4571" s="2">
        <f>IFERROR(__xludf.DUMMYFUNCTION("""COMPUTED_VALUE"""),1013.0)</f>
        <v>1013</v>
      </c>
      <c r="C4571" s="2">
        <f>IFERROR(__xludf.DUMMYFUNCTION("""COMPUTED_VALUE"""),1029.0)</f>
        <v>1029</v>
      </c>
      <c r="D4571" s="2">
        <f>IFERROR(__xludf.DUMMYFUNCTION("""COMPUTED_VALUE"""),1012.5)</f>
        <v>1012.5</v>
      </c>
      <c r="E4571" s="2">
        <f>IFERROR(__xludf.DUMMYFUNCTION("""COMPUTED_VALUE"""),1028.08)</f>
        <v>1028.08</v>
      </c>
      <c r="F4571" s="2">
        <f>IFERROR(__xludf.DUMMYFUNCTION("""COMPUTED_VALUE"""),2262928.0)</f>
        <v>2262928</v>
      </c>
    </row>
    <row r="4572">
      <c r="A4572" s="3">
        <f>IFERROR(__xludf.DUMMYFUNCTION("""COMPUTED_VALUE"""),43272.64583333333)</f>
        <v>43272.64583</v>
      </c>
      <c r="B4572" s="2">
        <f>IFERROR(__xludf.DUMMYFUNCTION("""COMPUTED_VALUE"""),1030.0)</f>
        <v>1030</v>
      </c>
      <c r="C4572" s="2">
        <f>IFERROR(__xludf.DUMMYFUNCTION("""COMPUTED_VALUE"""),1035.4)</f>
        <v>1035.4</v>
      </c>
      <c r="D4572" s="2">
        <f>IFERROR(__xludf.DUMMYFUNCTION("""COMPUTED_VALUE"""),1023.53)</f>
        <v>1023.53</v>
      </c>
      <c r="E4572" s="2">
        <f>IFERROR(__xludf.DUMMYFUNCTION("""COMPUTED_VALUE"""),1028.8)</f>
        <v>1028.8</v>
      </c>
      <c r="F4572" s="2">
        <f>IFERROR(__xludf.DUMMYFUNCTION("""COMPUTED_VALUE"""),3377676.0)</f>
        <v>3377676</v>
      </c>
    </row>
    <row r="4573">
      <c r="A4573" s="3">
        <f>IFERROR(__xludf.DUMMYFUNCTION("""COMPUTED_VALUE"""),43273.64583333333)</f>
        <v>43273.64583</v>
      </c>
      <c r="B4573" s="2">
        <f>IFERROR(__xludf.DUMMYFUNCTION("""COMPUTED_VALUE"""),1028.47)</f>
        <v>1028.47</v>
      </c>
      <c r="C4573" s="2">
        <f>IFERROR(__xludf.DUMMYFUNCTION("""COMPUTED_VALUE"""),1044.4)</f>
        <v>1044.4</v>
      </c>
      <c r="D4573" s="2">
        <f>IFERROR(__xludf.DUMMYFUNCTION("""COMPUTED_VALUE"""),1024.93)</f>
        <v>1024.93</v>
      </c>
      <c r="E4573" s="2">
        <f>IFERROR(__xludf.DUMMYFUNCTION("""COMPUTED_VALUE"""),1041.68)</f>
        <v>1041.68</v>
      </c>
      <c r="F4573" s="2">
        <f>IFERROR(__xludf.DUMMYFUNCTION("""COMPUTED_VALUE"""),1962245.0)</f>
        <v>1962245</v>
      </c>
    </row>
    <row r="4574">
      <c r="A4574" s="3">
        <f>IFERROR(__xludf.DUMMYFUNCTION("""COMPUTED_VALUE"""),43276.64583333333)</f>
        <v>43276.64583</v>
      </c>
      <c r="B4574" s="2">
        <f>IFERROR(__xludf.DUMMYFUNCTION("""COMPUTED_VALUE"""),1041.53)</f>
        <v>1041.53</v>
      </c>
      <c r="C4574" s="2">
        <f>IFERROR(__xludf.DUMMYFUNCTION("""COMPUTED_VALUE"""),1048.9)</f>
        <v>1048.9</v>
      </c>
      <c r="D4574" s="2">
        <f>IFERROR(__xludf.DUMMYFUNCTION("""COMPUTED_VALUE"""),1036.53)</f>
        <v>1036.53</v>
      </c>
      <c r="E4574" s="2">
        <f>IFERROR(__xludf.DUMMYFUNCTION("""COMPUTED_VALUE"""),1047.47)</f>
        <v>1047.47</v>
      </c>
      <c r="F4574" s="2">
        <f>IFERROR(__xludf.DUMMYFUNCTION("""COMPUTED_VALUE"""),1748084.0)</f>
        <v>1748084</v>
      </c>
    </row>
    <row r="4575">
      <c r="A4575" s="3">
        <f>IFERROR(__xludf.DUMMYFUNCTION("""COMPUTED_VALUE"""),43277.64583333333)</f>
        <v>43277.64583</v>
      </c>
      <c r="B4575" s="2">
        <f>IFERROR(__xludf.DUMMYFUNCTION("""COMPUTED_VALUE"""),1043.03)</f>
        <v>1043.03</v>
      </c>
      <c r="C4575" s="2">
        <f>IFERROR(__xludf.DUMMYFUNCTION("""COMPUTED_VALUE"""),1051.5)</f>
        <v>1051.5</v>
      </c>
      <c r="D4575" s="2">
        <f>IFERROR(__xludf.DUMMYFUNCTION("""COMPUTED_VALUE"""),1039.93)</f>
        <v>1039.93</v>
      </c>
      <c r="E4575" s="2">
        <f>IFERROR(__xludf.DUMMYFUNCTION("""COMPUTED_VALUE"""),1046.85)</f>
        <v>1046.85</v>
      </c>
      <c r="F4575" s="2">
        <f>IFERROR(__xludf.DUMMYFUNCTION("""COMPUTED_VALUE"""),2290483.0)</f>
        <v>2290483</v>
      </c>
    </row>
    <row r="4576">
      <c r="A4576" s="3">
        <f>IFERROR(__xludf.DUMMYFUNCTION("""COMPUTED_VALUE"""),43278.64583333333)</f>
        <v>43278.64583</v>
      </c>
      <c r="B4576" s="2">
        <f>IFERROR(__xludf.DUMMYFUNCTION("""COMPUTED_VALUE"""),1046.5)</f>
        <v>1046.5</v>
      </c>
      <c r="C4576" s="2">
        <f>IFERROR(__xludf.DUMMYFUNCTION("""COMPUTED_VALUE"""),1059.75)</f>
        <v>1059.75</v>
      </c>
      <c r="D4576" s="2">
        <f>IFERROR(__xludf.DUMMYFUNCTION("""COMPUTED_VALUE"""),1045.0)</f>
        <v>1045</v>
      </c>
      <c r="E4576" s="2">
        <f>IFERROR(__xludf.DUMMYFUNCTION("""COMPUTED_VALUE"""),1056.3)</f>
        <v>1056.3</v>
      </c>
      <c r="F4576" s="2">
        <f>IFERROR(__xludf.DUMMYFUNCTION("""COMPUTED_VALUE"""),4781701.0)</f>
        <v>4781701</v>
      </c>
    </row>
    <row r="4577">
      <c r="A4577" s="3">
        <f>IFERROR(__xludf.DUMMYFUNCTION("""COMPUTED_VALUE"""),43279.64583333333)</f>
        <v>43279.64583</v>
      </c>
      <c r="B4577" s="2">
        <f>IFERROR(__xludf.DUMMYFUNCTION("""COMPUTED_VALUE"""),1057.5)</f>
        <v>1057.5</v>
      </c>
      <c r="C4577" s="2">
        <f>IFERROR(__xludf.DUMMYFUNCTION("""COMPUTED_VALUE"""),1070.0)</f>
        <v>1070</v>
      </c>
      <c r="D4577" s="2">
        <f>IFERROR(__xludf.DUMMYFUNCTION("""COMPUTED_VALUE"""),1055.6)</f>
        <v>1055.6</v>
      </c>
      <c r="E4577" s="2">
        <f>IFERROR(__xludf.DUMMYFUNCTION("""COMPUTED_VALUE"""),1065.43)</f>
        <v>1065.43</v>
      </c>
      <c r="F4577" s="2">
        <f>IFERROR(__xludf.DUMMYFUNCTION("""COMPUTED_VALUE"""),9383385.0)</f>
        <v>9383385</v>
      </c>
    </row>
    <row r="4578">
      <c r="A4578" s="3">
        <f>IFERROR(__xludf.DUMMYFUNCTION("""COMPUTED_VALUE"""),43280.64583333333)</f>
        <v>43280.64583</v>
      </c>
      <c r="B4578" s="2">
        <f>IFERROR(__xludf.DUMMYFUNCTION("""COMPUTED_VALUE"""),1060.85)</f>
        <v>1060.85</v>
      </c>
      <c r="C4578" s="2">
        <f>IFERROR(__xludf.DUMMYFUNCTION("""COMPUTED_VALUE"""),1070.0)</f>
        <v>1070</v>
      </c>
      <c r="D4578" s="2">
        <f>IFERROR(__xludf.DUMMYFUNCTION("""COMPUTED_VALUE"""),1052.55)</f>
        <v>1052.55</v>
      </c>
      <c r="E4578" s="2">
        <f>IFERROR(__xludf.DUMMYFUNCTION("""COMPUTED_VALUE"""),1054.22)</f>
        <v>1054.22</v>
      </c>
      <c r="F4578" s="2">
        <f>IFERROR(__xludf.DUMMYFUNCTION("""COMPUTED_VALUE"""),4864530.0)</f>
        <v>4864530</v>
      </c>
    </row>
    <row r="4579">
      <c r="A4579" s="3">
        <f>IFERROR(__xludf.DUMMYFUNCTION("""COMPUTED_VALUE"""),43283.64583333333)</f>
        <v>43283.64583</v>
      </c>
      <c r="B4579" s="2">
        <f>IFERROR(__xludf.DUMMYFUNCTION("""COMPUTED_VALUE"""),1054.18)</f>
        <v>1054.18</v>
      </c>
      <c r="C4579" s="2">
        <f>IFERROR(__xludf.DUMMYFUNCTION("""COMPUTED_VALUE"""),1054.2)</f>
        <v>1054.2</v>
      </c>
      <c r="D4579" s="2">
        <f>IFERROR(__xludf.DUMMYFUNCTION("""COMPUTED_VALUE"""),1031.63)</f>
        <v>1031.63</v>
      </c>
      <c r="E4579" s="2">
        <f>IFERROR(__xludf.DUMMYFUNCTION("""COMPUTED_VALUE"""),1036.63)</f>
        <v>1036.63</v>
      </c>
      <c r="F4579" s="2">
        <f>IFERROR(__xludf.DUMMYFUNCTION("""COMPUTED_VALUE"""),2466219.0)</f>
        <v>2466219</v>
      </c>
    </row>
    <row r="4580">
      <c r="A4580" s="3">
        <f>IFERROR(__xludf.DUMMYFUNCTION("""COMPUTED_VALUE"""),43284.64583333333)</f>
        <v>43284.64583</v>
      </c>
      <c r="B4580" s="2">
        <f>IFERROR(__xludf.DUMMYFUNCTION("""COMPUTED_VALUE"""),1036.63)</f>
        <v>1036.63</v>
      </c>
      <c r="C4580" s="2">
        <f>IFERROR(__xludf.DUMMYFUNCTION("""COMPUTED_VALUE"""),1042.5)</f>
        <v>1042.5</v>
      </c>
      <c r="D4580" s="2">
        <f>IFERROR(__xludf.DUMMYFUNCTION("""COMPUTED_VALUE"""),1032.8)</f>
        <v>1032.8</v>
      </c>
      <c r="E4580" s="2">
        <f>IFERROR(__xludf.DUMMYFUNCTION("""COMPUTED_VALUE"""),1035.1)</f>
        <v>1035.1</v>
      </c>
      <c r="F4580" s="2">
        <f>IFERROR(__xludf.DUMMYFUNCTION("""COMPUTED_VALUE"""),1715775.0)</f>
        <v>1715775</v>
      </c>
    </row>
    <row r="4581">
      <c r="A4581" s="3">
        <f>IFERROR(__xludf.DUMMYFUNCTION("""COMPUTED_VALUE"""),43285.64583333333)</f>
        <v>43285.64583</v>
      </c>
      <c r="B4581" s="2">
        <f>IFERROR(__xludf.DUMMYFUNCTION("""COMPUTED_VALUE"""),1038.13)</f>
        <v>1038.13</v>
      </c>
      <c r="C4581" s="2">
        <f>IFERROR(__xludf.DUMMYFUNCTION("""COMPUTED_VALUE"""),1054.03)</f>
        <v>1054.03</v>
      </c>
      <c r="D4581" s="2">
        <f>IFERROR(__xludf.DUMMYFUNCTION("""COMPUTED_VALUE"""),1034.5)</f>
        <v>1034.5</v>
      </c>
      <c r="E4581" s="2">
        <f>IFERROR(__xludf.DUMMYFUNCTION("""COMPUTED_VALUE"""),1051.78)</f>
        <v>1051.78</v>
      </c>
      <c r="F4581" s="2">
        <f>IFERROR(__xludf.DUMMYFUNCTION("""COMPUTED_VALUE"""),1524498.0)</f>
        <v>1524498</v>
      </c>
    </row>
    <row r="4582">
      <c r="A4582" s="3">
        <f>IFERROR(__xludf.DUMMYFUNCTION("""COMPUTED_VALUE"""),43286.64583333333)</f>
        <v>43286.64583</v>
      </c>
      <c r="B4582" s="2">
        <f>IFERROR(__xludf.DUMMYFUNCTION("""COMPUTED_VALUE"""),1052.5)</f>
        <v>1052.5</v>
      </c>
      <c r="C4582" s="2">
        <f>IFERROR(__xludf.DUMMYFUNCTION("""COMPUTED_VALUE"""),1064.5)</f>
        <v>1064.5</v>
      </c>
      <c r="D4582" s="2">
        <f>IFERROR(__xludf.DUMMYFUNCTION("""COMPUTED_VALUE"""),1046.28)</f>
        <v>1046.28</v>
      </c>
      <c r="E4582" s="2">
        <f>IFERROR(__xludf.DUMMYFUNCTION("""COMPUTED_VALUE"""),1061.88)</f>
        <v>1061.88</v>
      </c>
      <c r="F4582" s="2">
        <f>IFERROR(__xludf.DUMMYFUNCTION("""COMPUTED_VALUE"""),2433992.0)</f>
        <v>2433992</v>
      </c>
    </row>
    <row r="4583">
      <c r="A4583" s="3">
        <f>IFERROR(__xludf.DUMMYFUNCTION("""COMPUTED_VALUE"""),43287.64583333333)</f>
        <v>43287.64583</v>
      </c>
      <c r="B4583" s="2">
        <f>IFERROR(__xludf.DUMMYFUNCTION("""COMPUTED_VALUE"""),1056.65)</f>
        <v>1056.65</v>
      </c>
      <c r="C4583" s="2">
        <f>IFERROR(__xludf.DUMMYFUNCTION("""COMPUTED_VALUE"""),1067.78)</f>
        <v>1067.78</v>
      </c>
      <c r="D4583" s="2">
        <f>IFERROR(__xludf.DUMMYFUNCTION("""COMPUTED_VALUE"""),1055.68)</f>
        <v>1055.68</v>
      </c>
      <c r="E4583" s="2">
        <f>IFERROR(__xludf.DUMMYFUNCTION("""COMPUTED_VALUE"""),1057.58)</f>
        <v>1057.58</v>
      </c>
      <c r="F4583" s="2">
        <f>IFERROR(__xludf.DUMMYFUNCTION("""COMPUTED_VALUE"""),2030336.0)</f>
        <v>2030336</v>
      </c>
    </row>
    <row r="4584">
      <c r="A4584" s="3">
        <f>IFERROR(__xludf.DUMMYFUNCTION("""COMPUTED_VALUE"""),43290.64583333333)</f>
        <v>43290.64583</v>
      </c>
      <c r="B4584" s="2">
        <f>IFERROR(__xludf.DUMMYFUNCTION("""COMPUTED_VALUE"""),1060.93)</f>
        <v>1060.93</v>
      </c>
      <c r="C4584" s="2">
        <f>IFERROR(__xludf.DUMMYFUNCTION("""COMPUTED_VALUE"""),1065.0)</f>
        <v>1065</v>
      </c>
      <c r="D4584" s="2">
        <f>IFERROR(__xludf.DUMMYFUNCTION("""COMPUTED_VALUE"""),1053.88)</f>
        <v>1053.88</v>
      </c>
      <c r="E4584" s="2">
        <f>IFERROR(__xludf.DUMMYFUNCTION("""COMPUTED_VALUE"""),1062.83)</f>
        <v>1062.83</v>
      </c>
      <c r="F4584" s="2">
        <f>IFERROR(__xludf.DUMMYFUNCTION("""COMPUTED_VALUE"""),1545574.0)</f>
        <v>1545574</v>
      </c>
    </row>
    <row r="4585">
      <c r="A4585" s="3">
        <f>IFERROR(__xludf.DUMMYFUNCTION("""COMPUTED_VALUE"""),43291.64583333333)</f>
        <v>43291.64583</v>
      </c>
      <c r="B4585" s="2">
        <f>IFERROR(__xludf.DUMMYFUNCTION("""COMPUTED_VALUE"""),1064.95)</f>
        <v>1064.95</v>
      </c>
      <c r="C4585" s="2">
        <f>IFERROR(__xludf.DUMMYFUNCTION("""COMPUTED_VALUE"""),1074.8)</f>
        <v>1074.8</v>
      </c>
      <c r="D4585" s="2">
        <f>IFERROR(__xludf.DUMMYFUNCTION("""COMPUTED_VALUE"""),1062.5)</f>
        <v>1062.5</v>
      </c>
      <c r="E4585" s="2">
        <f>IFERROR(__xludf.DUMMYFUNCTION("""COMPUTED_VALUE"""),1073.2)</f>
        <v>1073.2</v>
      </c>
      <c r="F4585" s="2">
        <f>IFERROR(__xludf.DUMMYFUNCTION("""COMPUTED_VALUE"""),2737684.0)</f>
        <v>2737684</v>
      </c>
    </row>
    <row r="4586">
      <c r="A4586" s="3">
        <f>IFERROR(__xludf.DUMMYFUNCTION("""COMPUTED_VALUE"""),43292.64583333333)</f>
        <v>43292.64583</v>
      </c>
      <c r="B4586" s="2">
        <f>IFERROR(__xludf.DUMMYFUNCTION("""COMPUTED_VALUE"""),1072.53)</f>
        <v>1072.53</v>
      </c>
      <c r="C4586" s="2">
        <f>IFERROR(__xludf.DUMMYFUNCTION("""COMPUTED_VALUE"""),1077.85)</f>
        <v>1077.85</v>
      </c>
      <c r="D4586" s="2">
        <f>IFERROR(__xludf.DUMMYFUNCTION("""COMPUTED_VALUE"""),1067.4)</f>
        <v>1067.4</v>
      </c>
      <c r="E4586" s="2">
        <f>IFERROR(__xludf.DUMMYFUNCTION("""COMPUTED_VALUE"""),1074.13)</f>
        <v>1074.13</v>
      </c>
      <c r="F4586" s="2">
        <f>IFERROR(__xludf.DUMMYFUNCTION("""COMPUTED_VALUE"""),1464480.0)</f>
        <v>1464480</v>
      </c>
    </row>
    <row r="4587">
      <c r="A4587" s="3">
        <f>IFERROR(__xludf.DUMMYFUNCTION("""COMPUTED_VALUE"""),43293.64583333333)</f>
        <v>43293.64583</v>
      </c>
      <c r="B4587" s="2">
        <f>IFERROR(__xludf.DUMMYFUNCTION("""COMPUTED_VALUE"""),1076.45)</f>
        <v>1076.45</v>
      </c>
      <c r="C4587" s="2">
        <f>IFERROR(__xludf.DUMMYFUNCTION("""COMPUTED_VALUE"""),1089.93)</f>
        <v>1089.93</v>
      </c>
      <c r="D4587" s="2">
        <f>IFERROR(__xludf.DUMMYFUNCTION("""COMPUTED_VALUE"""),1076.0)</f>
        <v>1076</v>
      </c>
      <c r="E4587" s="2">
        <f>IFERROR(__xludf.DUMMYFUNCTION("""COMPUTED_VALUE"""),1082.97)</f>
        <v>1082.97</v>
      </c>
      <c r="F4587" s="2">
        <f>IFERROR(__xludf.DUMMYFUNCTION("""COMPUTED_VALUE"""),2005167.0)</f>
        <v>2005167</v>
      </c>
    </row>
    <row r="4588">
      <c r="A4588" s="3">
        <f>IFERROR(__xludf.DUMMYFUNCTION("""COMPUTED_VALUE"""),43294.64583333333)</f>
        <v>43294.64583</v>
      </c>
      <c r="B4588" s="2">
        <f>IFERROR(__xludf.DUMMYFUNCTION("""COMPUTED_VALUE"""),1084.2)</f>
        <v>1084.2</v>
      </c>
      <c r="C4588" s="2">
        <f>IFERROR(__xludf.DUMMYFUNCTION("""COMPUTED_VALUE"""),1095.4)</f>
        <v>1095.4</v>
      </c>
      <c r="D4588" s="2">
        <f>IFERROR(__xludf.DUMMYFUNCTION("""COMPUTED_VALUE"""),1081.55)</f>
        <v>1081.55</v>
      </c>
      <c r="E4588" s="2">
        <f>IFERROR(__xludf.DUMMYFUNCTION("""COMPUTED_VALUE"""),1090.45)</f>
        <v>1090.45</v>
      </c>
      <c r="F4588" s="2">
        <f>IFERROR(__xludf.DUMMYFUNCTION("""COMPUTED_VALUE"""),1790297.0)</f>
        <v>1790297</v>
      </c>
    </row>
    <row r="4589">
      <c r="A4589" s="3">
        <f>IFERROR(__xludf.DUMMYFUNCTION("""COMPUTED_VALUE"""),43297.64583333333)</f>
        <v>43297.64583</v>
      </c>
      <c r="B4589" s="2">
        <f>IFERROR(__xludf.DUMMYFUNCTION("""COMPUTED_VALUE"""),1089.7)</f>
        <v>1089.7</v>
      </c>
      <c r="C4589" s="2">
        <f>IFERROR(__xludf.DUMMYFUNCTION("""COMPUTED_VALUE"""),1095.03)</f>
        <v>1095.03</v>
      </c>
      <c r="D4589" s="2">
        <f>IFERROR(__xludf.DUMMYFUNCTION("""COMPUTED_VALUE"""),1081.88)</f>
        <v>1081.88</v>
      </c>
      <c r="E4589" s="2">
        <f>IFERROR(__xludf.DUMMYFUNCTION("""COMPUTED_VALUE"""),1084.43)</f>
        <v>1084.43</v>
      </c>
      <c r="F4589" s="2">
        <f>IFERROR(__xludf.DUMMYFUNCTION("""COMPUTED_VALUE"""),2254334.0)</f>
        <v>2254334</v>
      </c>
    </row>
    <row r="4590">
      <c r="A4590" s="3">
        <f>IFERROR(__xludf.DUMMYFUNCTION("""COMPUTED_VALUE"""),43298.64583333333)</f>
        <v>43298.64583</v>
      </c>
      <c r="B4590" s="2">
        <f>IFERROR(__xludf.DUMMYFUNCTION("""COMPUTED_VALUE"""),1081.63)</f>
        <v>1081.63</v>
      </c>
      <c r="C4590" s="2">
        <f>IFERROR(__xludf.DUMMYFUNCTION("""COMPUTED_VALUE"""),1090.5)</f>
        <v>1090.5</v>
      </c>
      <c r="D4590" s="2">
        <f>IFERROR(__xludf.DUMMYFUNCTION("""COMPUTED_VALUE"""),1081.63)</f>
        <v>1081.63</v>
      </c>
      <c r="E4590" s="2">
        <f>IFERROR(__xludf.DUMMYFUNCTION("""COMPUTED_VALUE"""),1088.38)</f>
        <v>1088.38</v>
      </c>
      <c r="F4590" s="2">
        <f>IFERROR(__xludf.DUMMYFUNCTION("""COMPUTED_VALUE"""),1590481.0)</f>
        <v>1590481</v>
      </c>
    </row>
    <row r="4591">
      <c r="A4591" s="3">
        <f>IFERROR(__xludf.DUMMYFUNCTION("""COMPUTED_VALUE"""),43299.64583333333)</f>
        <v>43299.64583</v>
      </c>
      <c r="B4591" s="2">
        <f>IFERROR(__xludf.DUMMYFUNCTION("""COMPUTED_VALUE"""),1093.5)</f>
        <v>1093.5</v>
      </c>
      <c r="C4591" s="2">
        <f>IFERROR(__xludf.DUMMYFUNCTION("""COMPUTED_VALUE"""),1110.0)</f>
        <v>1110</v>
      </c>
      <c r="D4591" s="2">
        <f>IFERROR(__xludf.DUMMYFUNCTION("""COMPUTED_VALUE"""),1086.83)</f>
        <v>1086.83</v>
      </c>
      <c r="E4591" s="2">
        <f>IFERROR(__xludf.DUMMYFUNCTION("""COMPUTED_VALUE"""),1088.1)</f>
        <v>1088.1</v>
      </c>
      <c r="F4591" s="2">
        <f>IFERROR(__xludf.DUMMYFUNCTION("""COMPUTED_VALUE"""),4365068.0)</f>
        <v>4365068</v>
      </c>
    </row>
    <row r="4592">
      <c r="A4592" s="3">
        <f>IFERROR(__xludf.DUMMYFUNCTION("""COMPUTED_VALUE"""),43300.64583333333)</f>
        <v>43300.64583</v>
      </c>
      <c r="B4592" s="2">
        <f>IFERROR(__xludf.DUMMYFUNCTION("""COMPUTED_VALUE"""),1091.5)</f>
        <v>1091.5</v>
      </c>
      <c r="C4592" s="2">
        <f>IFERROR(__xludf.DUMMYFUNCTION("""COMPUTED_VALUE"""),1096.75)</f>
        <v>1096.75</v>
      </c>
      <c r="D4592" s="2">
        <f>IFERROR(__xludf.DUMMYFUNCTION("""COMPUTED_VALUE"""),1085.5)</f>
        <v>1085.5</v>
      </c>
      <c r="E4592" s="2">
        <f>IFERROR(__xludf.DUMMYFUNCTION("""COMPUTED_VALUE"""),1093.05)</f>
        <v>1093.05</v>
      </c>
      <c r="F4592" s="2">
        <f>IFERROR(__xludf.DUMMYFUNCTION("""COMPUTED_VALUE"""),1326194.0)</f>
        <v>1326194</v>
      </c>
    </row>
    <row r="4593">
      <c r="A4593" s="3">
        <f>IFERROR(__xludf.DUMMYFUNCTION("""COMPUTED_VALUE"""),43301.64583333333)</f>
        <v>43301.64583</v>
      </c>
      <c r="B4593" s="2">
        <f>IFERROR(__xludf.DUMMYFUNCTION("""COMPUTED_VALUE"""),1093.05)</f>
        <v>1093.05</v>
      </c>
      <c r="C4593" s="2">
        <f>IFERROR(__xludf.DUMMYFUNCTION("""COMPUTED_VALUE"""),1101.43)</f>
        <v>1101.43</v>
      </c>
      <c r="D4593" s="2">
        <f>IFERROR(__xludf.DUMMYFUNCTION("""COMPUTED_VALUE"""),1085.55)</f>
        <v>1085.55</v>
      </c>
      <c r="E4593" s="2">
        <f>IFERROR(__xludf.DUMMYFUNCTION("""COMPUTED_VALUE"""),1094.53)</f>
        <v>1094.53</v>
      </c>
      <c r="F4593" s="2">
        <f>IFERROR(__xludf.DUMMYFUNCTION("""COMPUTED_VALUE"""),2501741.0)</f>
        <v>2501741</v>
      </c>
    </row>
    <row r="4594">
      <c r="A4594" s="3">
        <f>IFERROR(__xludf.DUMMYFUNCTION("""COMPUTED_VALUE"""),43304.64583333333)</f>
        <v>43304.64583</v>
      </c>
      <c r="B4594" s="2">
        <f>IFERROR(__xludf.DUMMYFUNCTION("""COMPUTED_VALUE"""),1075.0)</f>
        <v>1075</v>
      </c>
      <c r="C4594" s="2">
        <f>IFERROR(__xludf.DUMMYFUNCTION("""COMPUTED_VALUE"""),1089.0)</f>
        <v>1089</v>
      </c>
      <c r="D4594" s="2">
        <f>IFERROR(__xludf.DUMMYFUNCTION("""COMPUTED_VALUE"""),1069.03)</f>
        <v>1069.03</v>
      </c>
      <c r="E4594" s="2">
        <f>IFERROR(__xludf.DUMMYFUNCTION("""COMPUTED_VALUE"""),1078.22)</f>
        <v>1078.22</v>
      </c>
      <c r="F4594" s="2">
        <f>IFERROR(__xludf.DUMMYFUNCTION("""COMPUTED_VALUE"""),4220033.0)</f>
        <v>4220033</v>
      </c>
    </row>
    <row r="4595">
      <c r="A4595" s="3">
        <f>IFERROR(__xludf.DUMMYFUNCTION("""COMPUTED_VALUE"""),43305.64583333333)</f>
        <v>43305.64583</v>
      </c>
      <c r="B4595" s="2">
        <f>IFERROR(__xludf.DUMMYFUNCTION("""COMPUTED_VALUE"""),1073.5)</f>
        <v>1073.5</v>
      </c>
      <c r="C4595" s="2">
        <f>IFERROR(__xludf.DUMMYFUNCTION("""COMPUTED_VALUE"""),1084.5)</f>
        <v>1084.5</v>
      </c>
      <c r="D4595" s="2">
        <f>IFERROR(__xludf.DUMMYFUNCTION("""COMPUTED_VALUE"""),1073.5)</f>
        <v>1073.5</v>
      </c>
      <c r="E4595" s="2">
        <f>IFERROR(__xludf.DUMMYFUNCTION("""COMPUTED_VALUE"""),1079.88)</f>
        <v>1079.88</v>
      </c>
      <c r="F4595" s="2">
        <f>IFERROR(__xludf.DUMMYFUNCTION("""COMPUTED_VALUE"""),1302198.0)</f>
        <v>1302198</v>
      </c>
    </row>
    <row r="4596">
      <c r="A4596" s="3">
        <f>IFERROR(__xludf.DUMMYFUNCTION("""COMPUTED_VALUE"""),43306.64583333333)</f>
        <v>43306.64583</v>
      </c>
      <c r="B4596" s="2">
        <f>IFERROR(__xludf.DUMMYFUNCTION("""COMPUTED_VALUE"""),1082.33)</f>
        <v>1082.33</v>
      </c>
      <c r="C4596" s="2">
        <f>IFERROR(__xludf.DUMMYFUNCTION("""COMPUTED_VALUE"""),1088.4)</f>
        <v>1088.4</v>
      </c>
      <c r="D4596" s="2">
        <f>IFERROR(__xludf.DUMMYFUNCTION("""COMPUTED_VALUE"""),1080.0)</f>
        <v>1080</v>
      </c>
      <c r="E4596" s="2">
        <f>IFERROR(__xludf.DUMMYFUNCTION("""COMPUTED_VALUE"""),1085.18)</f>
        <v>1085.18</v>
      </c>
      <c r="F4596" s="2">
        <f>IFERROR(__xludf.DUMMYFUNCTION("""COMPUTED_VALUE"""),1759654.0)</f>
        <v>1759654</v>
      </c>
    </row>
    <row r="4597">
      <c r="A4597" s="3">
        <f>IFERROR(__xludf.DUMMYFUNCTION("""COMPUTED_VALUE"""),43307.64583333333)</f>
        <v>43307.64583</v>
      </c>
      <c r="B4597" s="2">
        <f>IFERROR(__xludf.DUMMYFUNCTION("""COMPUTED_VALUE"""),1082.5)</f>
        <v>1082.5</v>
      </c>
      <c r="C4597" s="2">
        <f>IFERROR(__xludf.DUMMYFUNCTION("""COMPUTED_VALUE"""),1101.72)</f>
        <v>1101.72</v>
      </c>
      <c r="D4597" s="2">
        <f>IFERROR(__xludf.DUMMYFUNCTION("""COMPUTED_VALUE"""),1082.5)</f>
        <v>1082.5</v>
      </c>
      <c r="E4597" s="2">
        <f>IFERROR(__xludf.DUMMYFUNCTION("""COMPUTED_VALUE"""),1096.3)</f>
        <v>1096.3</v>
      </c>
      <c r="F4597" s="2">
        <f>IFERROR(__xludf.DUMMYFUNCTION("""COMPUTED_VALUE"""),5320273.0)</f>
        <v>5320273</v>
      </c>
    </row>
    <row r="4598">
      <c r="A4598" s="3">
        <f>IFERROR(__xludf.DUMMYFUNCTION("""COMPUTED_VALUE"""),43308.64583333333)</f>
        <v>43308.64583</v>
      </c>
      <c r="B4598" s="2">
        <f>IFERROR(__xludf.DUMMYFUNCTION("""COMPUTED_VALUE"""),1100.97)</f>
        <v>1100.97</v>
      </c>
      <c r="C4598" s="2">
        <f>IFERROR(__xludf.DUMMYFUNCTION("""COMPUTED_VALUE"""),1105.97)</f>
        <v>1105.97</v>
      </c>
      <c r="D4598" s="2">
        <f>IFERROR(__xludf.DUMMYFUNCTION("""COMPUTED_VALUE"""),1092.35)</f>
        <v>1092.35</v>
      </c>
      <c r="E4598" s="2">
        <f>IFERROR(__xludf.DUMMYFUNCTION("""COMPUTED_VALUE"""),1101.08)</f>
        <v>1101.08</v>
      </c>
      <c r="F4598" s="2">
        <f>IFERROR(__xludf.DUMMYFUNCTION("""COMPUTED_VALUE"""),2638649.0)</f>
        <v>2638649</v>
      </c>
    </row>
    <row r="4599">
      <c r="A4599" s="3">
        <f>IFERROR(__xludf.DUMMYFUNCTION("""COMPUTED_VALUE"""),43311.64583333333)</f>
        <v>43311.64583</v>
      </c>
      <c r="B4599" s="2">
        <f>IFERROR(__xludf.DUMMYFUNCTION("""COMPUTED_VALUE"""),1099.5)</f>
        <v>1099.5</v>
      </c>
      <c r="C4599" s="2">
        <f>IFERROR(__xludf.DUMMYFUNCTION("""COMPUTED_VALUE"""),1099.5)</f>
        <v>1099.5</v>
      </c>
      <c r="D4599" s="2">
        <f>IFERROR(__xludf.DUMMYFUNCTION("""COMPUTED_VALUE"""),1079.7)</f>
        <v>1079.7</v>
      </c>
      <c r="E4599" s="2">
        <f>IFERROR(__xludf.DUMMYFUNCTION("""COMPUTED_VALUE"""),1084.95)</f>
        <v>1084.95</v>
      </c>
      <c r="F4599" s="2">
        <f>IFERROR(__xludf.DUMMYFUNCTION("""COMPUTED_VALUE"""),1792280.0)</f>
        <v>1792280</v>
      </c>
    </row>
    <row r="4600">
      <c r="A4600" s="3">
        <f>IFERROR(__xludf.DUMMYFUNCTION("""COMPUTED_VALUE"""),43312.64583333333)</f>
        <v>43312.64583</v>
      </c>
      <c r="B4600" s="2">
        <f>IFERROR(__xludf.DUMMYFUNCTION("""COMPUTED_VALUE"""),1080.0)</f>
        <v>1080</v>
      </c>
      <c r="C4600" s="2">
        <f>IFERROR(__xludf.DUMMYFUNCTION("""COMPUTED_VALUE"""),1092.95)</f>
        <v>1092.95</v>
      </c>
      <c r="D4600" s="2">
        <f>IFERROR(__xludf.DUMMYFUNCTION("""COMPUTED_VALUE"""),1075.03)</f>
        <v>1075.03</v>
      </c>
      <c r="E4600" s="2">
        <f>IFERROR(__xludf.DUMMYFUNCTION("""COMPUTED_VALUE"""),1089.75)</f>
        <v>1089.75</v>
      </c>
      <c r="F4600" s="2">
        <f>IFERROR(__xludf.DUMMYFUNCTION("""COMPUTED_VALUE"""),2215236.0)</f>
        <v>2215236</v>
      </c>
    </row>
    <row r="4601">
      <c r="A4601" s="3">
        <f>IFERROR(__xludf.DUMMYFUNCTION("""COMPUTED_VALUE"""),43313.64583333333)</f>
        <v>43313.64583</v>
      </c>
      <c r="B4601" s="2">
        <f>IFERROR(__xludf.DUMMYFUNCTION("""COMPUTED_VALUE"""),1081.4)</f>
        <v>1081.4</v>
      </c>
      <c r="C4601" s="2">
        <f>IFERROR(__xludf.DUMMYFUNCTION("""COMPUTED_VALUE"""),1087.5)</f>
        <v>1087.5</v>
      </c>
      <c r="D4601" s="2">
        <f>IFERROR(__xludf.DUMMYFUNCTION("""COMPUTED_VALUE"""),1075.85)</f>
        <v>1075.85</v>
      </c>
      <c r="E4601" s="2">
        <f>IFERROR(__xludf.DUMMYFUNCTION("""COMPUTED_VALUE"""),1079.35)</f>
        <v>1079.35</v>
      </c>
      <c r="F4601" s="2">
        <f>IFERROR(__xludf.DUMMYFUNCTION("""COMPUTED_VALUE"""),1517890.0)</f>
        <v>1517890</v>
      </c>
    </row>
    <row r="4602">
      <c r="A4602" s="3">
        <f>IFERROR(__xludf.DUMMYFUNCTION("""COMPUTED_VALUE"""),43314.64583333333)</f>
        <v>43314.64583</v>
      </c>
      <c r="B4602" s="2">
        <f>IFERROR(__xludf.DUMMYFUNCTION("""COMPUTED_VALUE"""),1076.75)</f>
        <v>1076.75</v>
      </c>
      <c r="C4602" s="2">
        <f>IFERROR(__xludf.DUMMYFUNCTION("""COMPUTED_VALUE"""),1076.85)</f>
        <v>1076.85</v>
      </c>
      <c r="D4602" s="2">
        <f>IFERROR(__xludf.DUMMYFUNCTION("""COMPUTED_VALUE"""),1060.68)</f>
        <v>1060.68</v>
      </c>
      <c r="E4602" s="2">
        <f>IFERROR(__xludf.DUMMYFUNCTION("""COMPUTED_VALUE"""),1065.1)</f>
        <v>1065.1</v>
      </c>
      <c r="F4602" s="2">
        <f>IFERROR(__xludf.DUMMYFUNCTION("""COMPUTED_VALUE"""),2226426.0)</f>
        <v>2226426</v>
      </c>
    </row>
    <row r="4603">
      <c r="A4603" s="3">
        <f>IFERROR(__xludf.DUMMYFUNCTION("""COMPUTED_VALUE"""),43315.64583333333)</f>
        <v>43315.64583</v>
      </c>
      <c r="B4603" s="2">
        <f>IFERROR(__xludf.DUMMYFUNCTION("""COMPUTED_VALUE"""),1066.78)</f>
        <v>1066.78</v>
      </c>
      <c r="C4603" s="2">
        <f>IFERROR(__xludf.DUMMYFUNCTION("""COMPUTED_VALUE"""),1073.53)</f>
        <v>1073.53</v>
      </c>
      <c r="D4603" s="2">
        <f>IFERROR(__xludf.DUMMYFUNCTION("""COMPUTED_VALUE"""),1057.0)</f>
        <v>1057</v>
      </c>
      <c r="E4603" s="2">
        <f>IFERROR(__xludf.DUMMYFUNCTION("""COMPUTED_VALUE"""),1060.83)</f>
        <v>1060.83</v>
      </c>
      <c r="F4603" s="2">
        <f>IFERROR(__xludf.DUMMYFUNCTION("""COMPUTED_VALUE"""),3401002.0)</f>
        <v>3401002</v>
      </c>
    </row>
    <row r="4604">
      <c r="A4604" s="3">
        <f>IFERROR(__xludf.DUMMYFUNCTION("""COMPUTED_VALUE"""),43318.64583333333)</f>
        <v>43318.64583</v>
      </c>
      <c r="B4604" s="2">
        <f>IFERROR(__xludf.DUMMYFUNCTION("""COMPUTED_VALUE"""),1060.5)</f>
        <v>1060.5</v>
      </c>
      <c r="C4604" s="2">
        <f>IFERROR(__xludf.DUMMYFUNCTION("""COMPUTED_VALUE"""),1068.7)</f>
        <v>1068.7</v>
      </c>
      <c r="D4604" s="2">
        <f>IFERROR(__xludf.DUMMYFUNCTION("""COMPUTED_VALUE"""),1053.05)</f>
        <v>1053.05</v>
      </c>
      <c r="E4604" s="2">
        <f>IFERROR(__xludf.DUMMYFUNCTION("""COMPUTED_VALUE"""),1057.15)</f>
        <v>1057.15</v>
      </c>
      <c r="F4604" s="2">
        <f>IFERROR(__xludf.DUMMYFUNCTION("""COMPUTED_VALUE"""),1436158.0)</f>
        <v>1436158</v>
      </c>
    </row>
    <row r="4605">
      <c r="A4605" s="3">
        <f>IFERROR(__xludf.DUMMYFUNCTION("""COMPUTED_VALUE"""),43319.64583333333)</f>
        <v>43319.64583</v>
      </c>
      <c r="B4605" s="2">
        <f>IFERROR(__xludf.DUMMYFUNCTION("""COMPUTED_VALUE"""),1062.5)</f>
        <v>1062.5</v>
      </c>
      <c r="C4605" s="2">
        <f>IFERROR(__xludf.DUMMYFUNCTION("""COMPUTED_VALUE"""),1067.25)</f>
        <v>1067.25</v>
      </c>
      <c r="D4605" s="2">
        <f>IFERROR(__xludf.DUMMYFUNCTION("""COMPUTED_VALUE"""),1054.0)</f>
        <v>1054</v>
      </c>
      <c r="E4605" s="2">
        <f>IFERROR(__xludf.DUMMYFUNCTION("""COMPUTED_VALUE"""),1065.45)</f>
        <v>1065.45</v>
      </c>
      <c r="F4605" s="2">
        <f>IFERROR(__xludf.DUMMYFUNCTION("""COMPUTED_VALUE"""),1857114.0)</f>
        <v>1857114</v>
      </c>
    </row>
    <row r="4606">
      <c r="A4606" s="3">
        <f>IFERROR(__xludf.DUMMYFUNCTION("""COMPUTED_VALUE"""),43320.64583333333)</f>
        <v>43320.64583</v>
      </c>
      <c r="B4606" s="2">
        <f>IFERROR(__xludf.DUMMYFUNCTION("""COMPUTED_VALUE"""),1067.93)</f>
        <v>1067.93</v>
      </c>
      <c r="C4606" s="2">
        <f>IFERROR(__xludf.DUMMYFUNCTION("""COMPUTED_VALUE"""),1075.9)</f>
        <v>1075.9</v>
      </c>
      <c r="D4606" s="2">
        <f>IFERROR(__xludf.DUMMYFUNCTION("""COMPUTED_VALUE"""),1066.53)</f>
        <v>1066.53</v>
      </c>
      <c r="E4606" s="2">
        <f>IFERROR(__xludf.DUMMYFUNCTION("""COMPUTED_VALUE"""),1068.18)</f>
        <v>1068.18</v>
      </c>
      <c r="F4606" s="2">
        <f>IFERROR(__xludf.DUMMYFUNCTION("""COMPUTED_VALUE"""),2486345.0)</f>
        <v>2486345</v>
      </c>
    </row>
    <row r="4607">
      <c r="A4607" s="3">
        <f>IFERROR(__xludf.DUMMYFUNCTION("""COMPUTED_VALUE"""),43321.64583333333)</f>
        <v>43321.64583</v>
      </c>
      <c r="B4607" s="2">
        <f>IFERROR(__xludf.DUMMYFUNCTION("""COMPUTED_VALUE"""),1071.0)</f>
        <v>1071</v>
      </c>
      <c r="C4607" s="2">
        <f>IFERROR(__xludf.DUMMYFUNCTION("""COMPUTED_VALUE"""),1071.0)</f>
        <v>1071</v>
      </c>
      <c r="D4607" s="2">
        <f>IFERROR(__xludf.DUMMYFUNCTION("""COMPUTED_VALUE"""),1047.33)</f>
        <v>1047.33</v>
      </c>
      <c r="E4607" s="2">
        <f>IFERROR(__xludf.DUMMYFUNCTION("""COMPUTED_VALUE"""),1059.25)</f>
        <v>1059.25</v>
      </c>
      <c r="F4607" s="2">
        <f>IFERROR(__xludf.DUMMYFUNCTION("""COMPUTED_VALUE"""),2236102.0)</f>
        <v>2236102</v>
      </c>
    </row>
    <row r="4608">
      <c r="A4608" s="3">
        <f>IFERROR(__xludf.DUMMYFUNCTION("""COMPUTED_VALUE"""),43322.64583333333)</f>
        <v>43322.64583</v>
      </c>
      <c r="B4608" s="2">
        <f>IFERROR(__xludf.DUMMYFUNCTION("""COMPUTED_VALUE"""),1061.75)</f>
        <v>1061.75</v>
      </c>
      <c r="C4608" s="2">
        <f>IFERROR(__xludf.DUMMYFUNCTION("""COMPUTED_VALUE"""),1061.9)</f>
        <v>1061.9</v>
      </c>
      <c r="D4608" s="2">
        <f>IFERROR(__xludf.DUMMYFUNCTION("""COMPUTED_VALUE"""),1049.0)</f>
        <v>1049</v>
      </c>
      <c r="E4608" s="2">
        <f>IFERROR(__xludf.DUMMYFUNCTION("""COMPUTED_VALUE"""),1057.22)</f>
        <v>1057.22</v>
      </c>
      <c r="F4608" s="2">
        <f>IFERROR(__xludf.DUMMYFUNCTION("""COMPUTED_VALUE"""),1360735.0)</f>
        <v>1360735</v>
      </c>
    </row>
    <row r="4609">
      <c r="A4609" s="3">
        <f>IFERROR(__xludf.DUMMYFUNCTION("""COMPUTED_VALUE"""),43325.64583333333)</f>
        <v>43325.64583</v>
      </c>
      <c r="B4609" s="2">
        <f>IFERROR(__xludf.DUMMYFUNCTION("""COMPUTED_VALUE"""),1042.0)</f>
        <v>1042</v>
      </c>
      <c r="C4609" s="2">
        <f>IFERROR(__xludf.DUMMYFUNCTION("""COMPUTED_VALUE"""),1051.97)</f>
        <v>1051.97</v>
      </c>
      <c r="D4609" s="2">
        <f>IFERROR(__xludf.DUMMYFUNCTION("""COMPUTED_VALUE"""),1040.0)</f>
        <v>1040</v>
      </c>
      <c r="E4609" s="2">
        <f>IFERROR(__xludf.DUMMYFUNCTION("""COMPUTED_VALUE"""),1045.83)</f>
        <v>1045.83</v>
      </c>
      <c r="F4609" s="2">
        <f>IFERROR(__xludf.DUMMYFUNCTION("""COMPUTED_VALUE"""),2513563.0)</f>
        <v>2513563</v>
      </c>
    </row>
    <row r="4610">
      <c r="A4610" s="3">
        <f>IFERROR(__xludf.DUMMYFUNCTION("""COMPUTED_VALUE"""),43326.64583333333)</f>
        <v>43326.64583</v>
      </c>
      <c r="B4610" s="2">
        <f>IFERROR(__xludf.DUMMYFUNCTION("""COMPUTED_VALUE"""),1049.0)</f>
        <v>1049</v>
      </c>
      <c r="C4610" s="2">
        <f>IFERROR(__xludf.DUMMYFUNCTION("""COMPUTED_VALUE"""),1052.5)</f>
        <v>1052.5</v>
      </c>
      <c r="D4610" s="2">
        <f>IFERROR(__xludf.DUMMYFUNCTION("""COMPUTED_VALUE"""),1043.6)</f>
        <v>1043.6</v>
      </c>
      <c r="E4610" s="2">
        <f>IFERROR(__xludf.DUMMYFUNCTION("""COMPUTED_VALUE"""),1044.55)</f>
        <v>1044.55</v>
      </c>
      <c r="F4610" s="2">
        <f>IFERROR(__xludf.DUMMYFUNCTION("""COMPUTED_VALUE"""),1233991.0)</f>
        <v>1233991</v>
      </c>
    </row>
    <row r="4611">
      <c r="A4611" s="3">
        <f>IFERROR(__xludf.DUMMYFUNCTION("""COMPUTED_VALUE"""),43328.64583333333)</f>
        <v>43328.64583</v>
      </c>
      <c r="B4611" s="2">
        <f>IFERROR(__xludf.DUMMYFUNCTION("""COMPUTED_VALUE"""),1041.5)</f>
        <v>1041.5</v>
      </c>
      <c r="C4611" s="2">
        <f>IFERROR(__xludf.DUMMYFUNCTION("""COMPUTED_VALUE"""),1043.35)</f>
        <v>1043.35</v>
      </c>
      <c r="D4611" s="2">
        <f>IFERROR(__xludf.DUMMYFUNCTION("""COMPUTED_VALUE"""),1033.2)</f>
        <v>1033.2</v>
      </c>
      <c r="E4611" s="2">
        <f>IFERROR(__xludf.DUMMYFUNCTION("""COMPUTED_VALUE"""),1037.85)</f>
        <v>1037.85</v>
      </c>
      <c r="F4611" s="2">
        <f>IFERROR(__xludf.DUMMYFUNCTION("""COMPUTED_VALUE"""),2656290.0)</f>
        <v>2656290</v>
      </c>
    </row>
    <row r="4612">
      <c r="A4612" s="3">
        <f>IFERROR(__xludf.DUMMYFUNCTION("""COMPUTED_VALUE"""),43329.64583333333)</f>
        <v>43329.64583</v>
      </c>
      <c r="B4612" s="2">
        <f>IFERROR(__xludf.DUMMYFUNCTION("""COMPUTED_VALUE"""),1041.45)</f>
        <v>1041.45</v>
      </c>
      <c r="C4612" s="2">
        <f>IFERROR(__xludf.DUMMYFUNCTION("""COMPUTED_VALUE"""),1046.53)</f>
        <v>1046.53</v>
      </c>
      <c r="D4612" s="2">
        <f>IFERROR(__xludf.DUMMYFUNCTION("""COMPUTED_VALUE"""),1035.83)</f>
        <v>1035.83</v>
      </c>
      <c r="E4612" s="2">
        <f>IFERROR(__xludf.DUMMYFUNCTION("""COMPUTED_VALUE"""),1038.68)</f>
        <v>1038.68</v>
      </c>
      <c r="F4612" s="2">
        <f>IFERROR(__xludf.DUMMYFUNCTION("""COMPUTED_VALUE"""),1516332.0)</f>
        <v>1516332</v>
      </c>
    </row>
    <row r="4613">
      <c r="A4613" s="3">
        <f>IFERROR(__xludf.DUMMYFUNCTION("""COMPUTED_VALUE"""),43332.64583333333)</f>
        <v>43332.64583</v>
      </c>
      <c r="B4613" s="2">
        <f>IFERROR(__xludf.DUMMYFUNCTION("""COMPUTED_VALUE"""),1037.5)</f>
        <v>1037.5</v>
      </c>
      <c r="C4613" s="2">
        <f>IFERROR(__xludf.DUMMYFUNCTION("""COMPUTED_VALUE"""),1053.8)</f>
        <v>1053.8</v>
      </c>
      <c r="D4613" s="2">
        <f>IFERROR(__xludf.DUMMYFUNCTION("""COMPUTED_VALUE"""),1037.5)</f>
        <v>1037.5</v>
      </c>
      <c r="E4613" s="2">
        <f>IFERROR(__xludf.DUMMYFUNCTION("""COMPUTED_VALUE"""),1048.1)</f>
        <v>1048.1</v>
      </c>
      <c r="F4613" s="2">
        <f>IFERROR(__xludf.DUMMYFUNCTION("""COMPUTED_VALUE"""),1952784.0)</f>
        <v>1952784</v>
      </c>
    </row>
    <row r="4614">
      <c r="A4614" s="3">
        <f>IFERROR(__xludf.DUMMYFUNCTION("""COMPUTED_VALUE"""),43333.64583333333)</f>
        <v>43333.64583</v>
      </c>
      <c r="B4614" s="2">
        <f>IFERROR(__xludf.DUMMYFUNCTION("""COMPUTED_VALUE"""),1049.0)</f>
        <v>1049</v>
      </c>
      <c r="C4614" s="2">
        <f>IFERROR(__xludf.DUMMYFUNCTION("""COMPUTED_VALUE"""),1056.0)</f>
        <v>1056</v>
      </c>
      <c r="D4614" s="2">
        <f>IFERROR(__xludf.DUMMYFUNCTION("""COMPUTED_VALUE"""),1046.33)</f>
        <v>1046.33</v>
      </c>
      <c r="E4614" s="2">
        <f>IFERROR(__xludf.DUMMYFUNCTION("""COMPUTED_VALUE"""),1048.03)</f>
        <v>1048.03</v>
      </c>
      <c r="F4614" s="2">
        <f>IFERROR(__xludf.DUMMYFUNCTION("""COMPUTED_VALUE"""),1944080.0)</f>
        <v>1944080</v>
      </c>
    </row>
    <row r="4615">
      <c r="A4615" s="3">
        <f>IFERROR(__xludf.DUMMYFUNCTION("""COMPUTED_VALUE"""),43335.64583333333)</f>
        <v>43335.64583</v>
      </c>
      <c r="B4615" s="2">
        <f>IFERROR(__xludf.DUMMYFUNCTION("""COMPUTED_VALUE"""),1052.5)</f>
        <v>1052.5</v>
      </c>
      <c r="C4615" s="2">
        <f>IFERROR(__xludf.DUMMYFUNCTION("""COMPUTED_VALUE"""),1053.5)</f>
        <v>1053.5</v>
      </c>
      <c r="D4615" s="2">
        <f>IFERROR(__xludf.DUMMYFUNCTION("""COMPUTED_VALUE"""),1038.43)</f>
        <v>1038.43</v>
      </c>
      <c r="E4615" s="2">
        <f>IFERROR(__xludf.DUMMYFUNCTION("""COMPUTED_VALUE"""),1039.95)</f>
        <v>1039.95</v>
      </c>
      <c r="F4615" s="2">
        <f>IFERROR(__xludf.DUMMYFUNCTION("""COMPUTED_VALUE"""),3143638.0)</f>
        <v>3143638</v>
      </c>
    </row>
    <row r="4616">
      <c r="A4616" s="3">
        <f>IFERROR(__xludf.DUMMYFUNCTION("""COMPUTED_VALUE"""),43336.64583333333)</f>
        <v>43336.64583</v>
      </c>
      <c r="B4616" s="2">
        <f>IFERROR(__xludf.DUMMYFUNCTION("""COMPUTED_VALUE"""),1035.5)</f>
        <v>1035.5</v>
      </c>
      <c r="C4616" s="2">
        <f>IFERROR(__xludf.DUMMYFUNCTION("""COMPUTED_VALUE"""),1046.8)</f>
        <v>1046.8</v>
      </c>
      <c r="D4616" s="2">
        <f>IFERROR(__xludf.DUMMYFUNCTION("""COMPUTED_VALUE"""),1033.03)</f>
        <v>1033.03</v>
      </c>
      <c r="E4616" s="2">
        <f>IFERROR(__xludf.DUMMYFUNCTION("""COMPUTED_VALUE"""),1034.93)</f>
        <v>1034.93</v>
      </c>
      <c r="F4616" s="2">
        <f>IFERROR(__xludf.DUMMYFUNCTION("""COMPUTED_VALUE"""),2428657.0)</f>
        <v>2428657</v>
      </c>
    </row>
    <row r="4617">
      <c r="A4617" s="3">
        <f>IFERROR(__xludf.DUMMYFUNCTION("""COMPUTED_VALUE"""),43339.64583333333)</f>
        <v>43339.64583</v>
      </c>
      <c r="B4617" s="2">
        <f>IFERROR(__xludf.DUMMYFUNCTION("""COMPUTED_VALUE"""),1038.5)</f>
        <v>1038.5</v>
      </c>
      <c r="C4617" s="2">
        <f>IFERROR(__xludf.DUMMYFUNCTION("""COMPUTED_VALUE"""),1044.25)</f>
        <v>1044.25</v>
      </c>
      <c r="D4617" s="2">
        <f>IFERROR(__xludf.DUMMYFUNCTION("""COMPUTED_VALUE"""),1035.13)</f>
        <v>1035.13</v>
      </c>
      <c r="E4617" s="2">
        <f>IFERROR(__xludf.DUMMYFUNCTION("""COMPUTED_VALUE"""),1040.22)</f>
        <v>1040.22</v>
      </c>
      <c r="F4617" s="2">
        <f>IFERROR(__xludf.DUMMYFUNCTION("""COMPUTED_VALUE"""),3143697.0)</f>
        <v>3143697</v>
      </c>
    </row>
    <row r="4618">
      <c r="A4618" s="3">
        <f>IFERROR(__xludf.DUMMYFUNCTION("""COMPUTED_VALUE"""),43340.64583333333)</f>
        <v>43340.64583</v>
      </c>
      <c r="B4618" s="2">
        <f>IFERROR(__xludf.DUMMYFUNCTION("""COMPUTED_VALUE"""),1044.0)</f>
        <v>1044</v>
      </c>
      <c r="C4618" s="2">
        <f>IFERROR(__xludf.DUMMYFUNCTION("""COMPUTED_VALUE"""),1049.13)</f>
        <v>1049.13</v>
      </c>
      <c r="D4618" s="2">
        <f>IFERROR(__xludf.DUMMYFUNCTION("""COMPUTED_VALUE"""),1039.4)</f>
        <v>1039.4</v>
      </c>
      <c r="E4618" s="2">
        <f>IFERROR(__xludf.DUMMYFUNCTION("""COMPUTED_VALUE"""),1047.43)</f>
        <v>1047.43</v>
      </c>
      <c r="F4618" s="2">
        <f>IFERROR(__xludf.DUMMYFUNCTION("""COMPUTED_VALUE"""),2493383.0)</f>
        <v>2493383</v>
      </c>
    </row>
    <row r="4619">
      <c r="A4619" s="3">
        <f>IFERROR(__xludf.DUMMYFUNCTION("""COMPUTED_VALUE"""),43341.64583333333)</f>
        <v>43341.64583</v>
      </c>
      <c r="B4619" s="2">
        <f>IFERROR(__xludf.DUMMYFUNCTION("""COMPUTED_VALUE"""),1046.08)</f>
        <v>1046.08</v>
      </c>
      <c r="C4619" s="2">
        <f>IFERROR(__xludf.DUMMYFUNCTION("""COMPUTED_VALUE"""),1047.03)</f>
        <v>1047.03</v>
      </c>
      <c r="D4619" s="2">
        <f>IFERROR(__xludf.DUMMYFUNCTION("""COMPUTED_VALUE"""),1036.38)</f>
        <v>1036.38</v>
      </c>
      <c r="E4619" s="2">
        <f>IFERROR(__xludf.DUMMYFUNCTION("""COMPUTED_VALUE"""),1039.25)</f>
        <v>1039.25</v>
      </c>
      <c r="F4619" s="2">
        <f>IFERROR(__xludf.DUMMYFUNCTION("""COMPUTED_VALUE"""),2468423.0)</f>
        <v>2468423</v>
      </c>
    </row>
    <row r="4620">
      <c r="A4620" s="3">
        <f>IFERROR(__xludf.DUMMYFUNCTION("""COMPUTED_VALUE"""),43342.64583333333)</f>
        <v>43342.64583</v>
      </c>
      <c r="B4620" s="2">
        <f>IFERROR(__xludf.DUMMYFUNCTION("""COMPUTED_VALUE"""),1041.8)</f>
        <v>1041.8</v>
      </c>
      <c r="C4620" s="2">
        <f>IFERROR(__xludf.DUMMYFUNCTION("""COMPUTED_VALUE"""),1043.95)</f>
        <v>1043.95</v>
      </c>
      <c r="D4620" s="2">
        <f>IFERROR(__xludf.DUMMYFUNCTION("""COMPUTED_VALUE"""),1030.93)</f>
        <v>1030.93</v>
      </c>
      <c r="E4620" s="2">
        <f>IFERROR(__xludf.DUMMYFUNCTION("""COMPUTED_VALUE"""),1033.05)</f>
        <v>1033.05</v>
      </c>
      <c r="F4620" s="2">
        <f>IFERROR(__xludf.DUMMYFUNCTION("""COMPUTED_VALUE"""),5456865.0)</f>
        <v>5456865</v>
      </c>
    </row>
    <row r="4621">
      <c r="A4621" s="3">
        <f>IFERROR(__xludf.DUMMYFUNCTION("""COMPUTED_VALUE"""),43343.64583333333)</f>
        <v>43343.64583</v>
      </c>
      <c r="B4621" s="2">
        <f>IFERROR(__xludf.DUMMYFUNCTION("""COMPUTED_VALUE"""),1034.6)</f>
        <v>1034.6</v>
      </c>
      <c r="C4621" s="2">
        <f>IFERROR(__xludf.DUMMYFUNCTION("""COMPUTED_VALUE"""),1039.38)</f>
        <v>1039.38</v>
      </c>
      <c r="D4621" s="2">
        <f>IFERROR(__xludf.DUMMYFUNCTION("""COMPUTED_VALUE"""),1029.13)</f>
        <v>1029.13</v>
      </c>
      <c r="E4621" s="2">
        <f>IFERROR(__xludf.DUMMYFUNCTION("""COMPUTED_VALUE"""),1030.6)</f>
        <v>1030.6</v>
      </c>
      <c r="F4621" s="2">
        <f>IFERROR(__xludf.DUMMYFUNCTION("""COMPUTED_VALUE"""),3942875.0)</f>
        <v>3942875</v>
      </c>
    </row>
    <row r="4622">
      <c r="A4622" s="3">
        <f>IFERROR(__xludf.DUMMYFUNCTION("""COMPUTED_VALUE"""),43346.64583333333)</f>
        <v>43346.64583</v>
      </c>
      <c r="B4622" s="2">
        <f>IFERROR(__xludf.DUMMYFUNCTION("""COMPUTED_VALUE"""),1034.7)</f>
        <v>1034.7</v>
      </c>
      <c r="C4622" s="2">
        <f>IFERROR(__xludf.DUMMYFUNCTION("""COMPUTED_VALUE"""),1039.47)</f>
        <v>1039.47</v>
      </c>
      <c r="D4622" s="2">
        <f>IFERROR(__xludf.DUMMYFUNCTION("""COMPUTED_VALUE"""),1031.75)</f>
        <v>1031.75</v>
      </c>
      <c r="E4622" s="2">
        <f>IFERROR(__xludf.DUMMYFUNCTION("""COMPUTED_VALUE"""),1037.53)</f>
        <v>1037.53</v>
      </c>
      <c r="F4622" s="2">
        <f>IFERROR(__xludf.DUMMYFUNCTION("""COMPUTED_VALUE"""),1915402.0)</f>
        <v>1915402</v>
      </c>
    </row>
    <row r="4623">
      <c r="A4623" s="3">
        <f>IFERROR(__xludf.DUMMYFUNCTION("""COMPUTED_VALUE"""),43347.64583333333)</f>
        <v>43347.64583</v>
      </c>
      <c r="B4623" s="2">
        <f>IFERROR(__xludf.DUMMYFUNCTION("""COMPUTED_VALUE"""),1038.45)</f>
        <v>1038.45</v>
      </c>
      <c r="C4623" s="2">
        <f>IFERROR(__xludf.DUMMYFUNCTION("""COMPUTED_VALUE"""),1038.97)</f>
        <v>1038.97</v>
      </c>
      <c r="D4623" s="2">
        <f>IFERROR(__xludf.DUMMYFUNCTION("""COMPUTED_VALUE"""),1024.5)</f>
        <v>1024.5</v>
      </c>
      <c r="E4623" s="2">
        <f>IFERROR(__xludf.DUMMYFUNCTION("""COMPUTED_VALUE"""),1025.9)</f>
        <v>1025.9</v>
      </c>
      <c r="F4623" s="2">
        <f>IFERROR(__xludf.DUMMYFUNCTION("""COMPUTED_VALUE"""),1782634.0)</f>
        <v>1782634</v>
      </c>
    </row>
    <row r="4624">
      <c r="A4624" s="3">
        <f>IFERROR(__xludf.DUMMYFUNCTION("""COMPUTED_VALUE"""),43348.64583333333)</f>
        <v>43348.64583</v>
      </c>
      <c r="B4624" s="2">
        <f>IFERROR(__xludf.DUMMYFUNCTION("""COMPUTED_VALUE"""),1026.9)</f>
        <v>1026.9</v>
      </c>
      <c r="C4624" s="2">
        <f>IFERROR(__xludf.DUMMYFUNCTION("""COMPUTED_VALUE"""),1030.1)</f>
        <v>1030.1</v>
      </c>
      <c r="D4624" s="2">
        <f>IFERROR(__xludf.DUMMYFUNCTION("""COMPUTED_VALUE"""),1017.78)</f>
        <v>1017.78</v>
      </c>
      <c r="E4624" s="2">
        <f>IFERROR(__xludf.DUMMYFUNCTION("""COMPUTED_VALUE"""),1022.93)</f>
        <v>1022.93</v>
      </c>
      <c r="F4624" s="2">
        <f>IFERROR(__xludf.DUMMYFUNCTION("""COMPUTED_VALUE"""),1410377.0)</f>
        <v>1410377</v>
      </c>
    </row>
    <row r="4625">
      <c r="A4625" s="3">
        <f>IFERROR(__xludf.DUMMYFUNCTION("""COMPUTED_VALUE"""),43349.64583333333)</f>
        <v>43349.64583</v>
      </c>
      <c r="B4625" s="2">
        <f>IFERROR(__xludf.DUMMYFUNCTION("""COMPUTED_VALUE"""),1024.5)</f>
        <v>1024.5</v>
      </c>
      <c r="C4625" s="2">
        <f>IFERROR(__xludf.DUMMYFUNCTION("""COMPUTED_VALUE"""),1029.5)</f>
        <v>1029.5</v>
      </c>
      <c r="D4625" s="2">
        <f>IFERROR(__xludf.DUMMYFUNCTION("""COMPUTED_VALUE"""),1016.3)</f>
        <v>1016.3</v>
      </c>
      <c r="E4625" s="2">
        <f>IFERROR(__xludf.DUMMYFUNCTION("""COMPUTED_VALUE"""),1026.1)</f>
        <v>1026.1</v>
      </c>
      <c r="F4625" s="2">
        <f>IFERROR(__xludf.DUMMYFUNCTION("""COMPUTED_VALUE"""),2600603.0)</f>
        <v>2600603</v>
      </c>
    </row>
    <row r="4626">
      <c r="A4626" s="3">
        <f>IFERROR(__xludf.DUMMYFUNCTION("""COMPUTED_VALUE"""),43350.64583333333)</f>
        <v>43350.64583</v>
      </c>
      <c r="B4626" s="2">
        <f>IFERROR(__xludf.DUMMYFUNCTION("""COMPUTED_VALUE"""),1025.5)</f>
        <v>1025.5</v>
      </c>
      <c r="C4626" s="2">
        <f>IFERROR(__xludf.DUMMYFUNCTION("""COMPUTED_VALUE"""),1030.0)</f>
        <v>1030</v>
      </c>
      <c r="D4626" s="2">
        <f>IFERROR(__xludf.DUMMYFUNCTION("""COMPUTED_VALUE"""),1020.38)</f>
        <v>1020.38</v>
      </c>
      <c r="E4626" s="2">
        <f>IFERROR(__xludf.DUMMYFUNCTION("""COMPUTED_VALUE"""),1028.47)</f>
        <v>1028.47</v>
      </c>
      <c r="F4626" s="2">
        <f>IFERROR(__xludf.DUMMYFUNCTION("""COMPUTED_VALUE"""),1479825.0)</f>
        <v>1479825</v>
      </c>
    </row>
    <row r="4627">
      <c r="A4627" s="3">
        <f>IFERROR(__xludf.DUMMYFUNCTION("""COMPUTED_VALUE"""),43353.64583333333)</f>
        <v>43353.64583</v>
      </c>
      <c r="B4627" s="2">
        <f>IFERROR(__xludf.DUMMYFUNCTION("""COMPUTED_VALUE"""),1027.5)</f>
        <v>1027.5</v>
      </c>
      <c r="C4627" s="2">
        <f>IFERROR(__xludf.DUMMYFUNCTION("""COMPUTED_VALUE"""),1027.5)</f>
        <v>1027.5</v>
      </c>
      <c r="D4627" s="2">
        <f>IFERROR(__xludf.DUMMYFUNCTION("""COMPUTED_VALUE"""),1012.55)</f>
        <v>1012.55</v>
      </c>
      <c r="E4627" s="2">
        <f>IFERROR(__xludf.DUMMYFUNCTION("""COMPUTED_VALUE"""),1020.58)</f>
        <v>1020.58</v>
      </c>
      <c r="F4627" s="2">
        <f>IFERROR(__xludf.DUMMYFUNCTION("""COMPUTED_VALUE"""),2149648.0)</f>
        <v>2149648</v>
      </c>
    </row>
    <row r="4628">
      <c r="A4628" s="3">
        <f>IFERROR(__xludf.DUMMYFUNCTION("""COMPUTED_VALUE"""),43354.64583333333)</f>
        <v>43354.64583</v>
      </c>
      <c r="B4628" s="2">
        <f>IFERROR(__xludf.DUMMYFUNCTION("""COMPUTED_VALUE"""),1023.15)</f>
        <v>1023.15</v>
      </c>
      <c r="C4628" s="2">
        <f>IFERROR(__xludf.DUMMYFUNCTION("""COMPUTED_VALUE"""),1024.0)</f>
        <v>1024</v>
      </c>
      <c r="D4628" s="2">
        <f>IFERROR(__xludf.DUMMYFUNCTION("""COMPUTED_VALUE"""),997.08)</f>
        <v>997.08</v>
      </c>
      <c r="E4628" s="2">
        <f>IFERROR(__xludf.DUMMYFUNCTION("""COMPUTED_VALUE"""),1000.2)</f>
        <v>1000.2</v>
      </c>
      <c r="F4628" s="2">
        <f>IFERROR(__xludf.DUMMYFUNCTION("""COMPUTED_VALUE"""),4546634.0)</f>
        <v>4546634</v>
      </c>
    </row>
    <row r="4629">
      <c r="A4629" s="3">
        <f>IFERROR(__xludf.DUMMYFUNCTION("""COMPUTED_VALUE"""),43355.64583333333)</f>
        <v>43355.64583</v>
      </c>
      <c r="B4629" s="2">
        <f>IFERROR(__xludf.DUMMYFUNCTION("""COMPUTED_VALUE"""),1000.95)</f>
        <v>1000.95</v>
      </c>
      <c r="C4629" s="2">
        <f>IFERROR(__xludf.DUMMYFUNCTION("""COMPUTED_VALUE"""),1010.68)</f>
        <v>1010.68</v>
      </c>
      <c r="D4629" s="2">
        <f>IFERROR(__xludf.DUMMYFUNCTION("""COMPUTED_VALUE"""),994.78)</f>
        <v>994.78</v>
      </c>
      <c r="E4629" s="2">
        <f>IFERROR(__xludf.DUMMYFUNCTION("""COMPUTED_VALUE"""),1005.93)</f>
        <v>1005.93</v>
      </c>
      <c r="F4629" s="2">
        <f>IFERROR(__xludf.DUMMYFUNCTION("""COMPUTED_VALUE"""),3061502.0)</f>
        <v>3061502</v>
      </c>
    </row>
    <row r="4630">
      <c r="A4630" s="3">
        <f>IFERROR(__xludf.DUMMYFUNCTION("""COMPUTED_VALUE"""),43357.64583333333)</f>
        <v>43357.64583</v>
      </c>
      <c r="B4630" s="2">
        <f>IFERROR(__xludf.DUMMYFUNCTION("""COMPUTED_VALUE"""),1009.93)</f>
        <v>1009.93</v>
      </c>
      <c r="C4630" s="2">
        <f>IFERROR(__xludf.DUMMYFUNCTION("""COMPUTED_VALUE"""),1018.7)</f>
        <v>1018.7</v>
      </c>
      <c r="D4630" s="2">
        <f>IFERROR(__xludf.DUMMYFUNCTION("""COMPUTED_VALUE"""),1009.48)</f>
        <v>1009.48</v>
      </c>
      <c r="E4630" s="2">
        <f>IFERROR(__xludf.DUMMYFUNCTION("""COMPUTED_VALUE"""),1014.8)</f>
        <v>1014.8</v>
      </c>
      <c r="F4630" s="2">
        <f>IFERROR(__xludf.DUMMYFUNCTION("""COMPUTED_VALUE"""),2583668.0)</f>
        <v>2583668</v>
      </c>
    </row>
    <row r="4631">
      <c r="A4631" s="3">
        <f>IFERROR(__xludf.DUMMYFUNCTION("""COMPUTED_VALUE"""),43360.64583333333)</f>
        <v>43360.64583</v>
      </c>
      <c r="B4631" s="2">
        <f>IFERROR(__xludf.DUMMYFUNCTION("""COMPUTED_VALUE"""),1010.65)</f>
        <v>1010.65</v>
      </c>
      <c r="C4631" s="2">
        <f>IFERROR(__xludf.DUMMYFUNCTION("""COMPUTED_VALUE"""),1011.48)</f>
        <v>1011.48</v>
      </c>
      <c r="D4631" s="2">
        <f>IFERROR(__xludf.DUMMYFUNCTION("""COMPUTED_VALUE"""),994.0)</f>
        <v>994</v>
      </c>
      <c r="E4631" s="2">
        <f>IFERROR(__xludf.DUMMYFUNCTION("""COMPUTED_VALUE"""),996.1)</f>
        <v>996.1</v>
      </c>
      <c r="F4631" s="2">
        <f>IFERROR(__xludf.DUMMYFUNCTION("""COMPUTED_VALUE"""),2334555.0)</f>
        <v>2334555</v>
      </c>
    </row>
    <row r="4632">
      <c r="A4632" s="3">
        <f>IFERROR(__xludf.DUMMYFUNCTION("""COMPUTED_VALUE"""),43361.64583333333)</f>
        <v>43361.64583</v>
      </c>
      <c r="B4632" s="2">
        <f>IFERROR(__xludf.DUMMYFUNCTION("""COMPUTED_VALUE"""),997.45)</f>
        <v>997.45</v>
      </c>
      <c r="C4632" s="2">
        <f>IFERROR(__xludf.DUMMYFUNCTION("""COMPUTED_VALUE"""),1004.93)</f>
        <v>1004.93</v>
      </c>
      <c r="D4632" s="2">
        <f>IFERROR(__xludf.DUMMYFUNCTION("""COMPUTED_VALUE"""),990.48)</f>
        <v>990.48</v>
      </c>
      <c r="E4632" s="2">
        <f>IFERROR(__xludf.DUMMYFUNCTION("""COMPUTED_VALUE"""),994.6)</f>
        <v>994.6</v>
      </c>
      <c r="F4632" s="2">
        <f>IFERROR(__xludf.DUMMYFUNCTION("""COMPUTED_VALUE"""),2331434.0)</f>
        <v>2331434</v>
      </c>
    </row>
    <row r="4633">
      <c r="A4633" s="3">
        <f>IFERROR(__xludf.DUMMYFUNCTION("""COMPUTED_VALUE"""),43362.64583333333)</f>
        <v>43362.64583</v>
      </c>
      <c r="B4633" s="2">
        <f>IFERROR(__xludf.DUMMYFUNCTION("""COMPUTED_VALUE"""),997.43)</f>
        <v>997.43</v>
      </c>
      <c r="C4633" s="2">
        <f>IFERROR(__xludf.DUMMYFUNCTION("""COMPUTED_VALUE"""),999.0)</f>
        <v>999</v>
      </c>
      <c r="D4633" s="2">
        <f>IFERROR(__xludf.DUMMYFUNCTION("""COMPUTED_VALUE"""),978.25)</f>
        <v>978.25</v>
      </c>
      <c r="E4633" s="2">
        <f>IFERROR(__xludf.DUMMYFUNCTION("""COMPUTED_VALUE"""),980.68)</f>
        <v>980.68</v>
      </c>
      <c r="F4633" s="2">
        <f>IFERROR(__xludf.DUMMYFUNCTION("""COMPUTED_VALUE"""),4178066.0)</f>
        <v>4178066</v>
      </c>
    </row>
    <row r="4634">
      <c r="A4634" s="3">
        <f>IFERROR(__xludf.DUMMYFUNCTION("""COMPUTED_VALUE"""),43364.64583333333)</f>
        <v>43364.64583</v>
      </c>
      <c r="B4634" s="2">
        <f>IFERROR(__xludf.DUMMYFUNCTION("""COMPUTED_VALUE"""),986.95)</f>
        <v>986.95</v>
      </c>
      <c r="C4634" s="2">
        <f>IFERROR(__xludf.DUMMYFUNCTION("""COMPUTED_VALUE"""),999.93)</f>
        <v>999.93</v>
      </c>
      <c r="D4634" s="2">
        <f>IFERROR(__xludf.DUMMYFUNCTION("""COMPUTED_VALUE"""),955.1)</f>
        <v>955.1</v>
      </c>
      <c r="E4634" s="2">
        <f>IFERROR(__xludf.DUMMYFUNCTION("""COMPUTED_VALUE"""),985.13)</f>
        <v>985.13</v>
      </c>
      <c r="F4634" s="2">
        <f>IFERROR(__xludf.DUMMYFUNCTION("""COMPUTED_VALUE"""),5652537.0)</f>
        <v>5652537</v>
      </c>
    </row>
    <row r="4635">
      <c r="A4635" s="3">
        <f>IFERROR(__xludf.DUMMYFUNCTION("""COMPUTED_VALUE"""),43367.64583333333)</f>
        <v>43367.64583</v>
      </c>
      <c r="B4635" s="2">
        <f>IFERROR(__xludf.DUMMYFUNCTION("""COMPUTED_VALUE"""),983.63)</f>
        <v>983.63</v>
      </c>
      <c r="C4635" s="2">
        <f>IFERROR(__xludf.DUMMYFUNCTION("""COMPUTED_VALUE"""),986.1)</f>
        <v>986.1</v>
      </c>
      <c r="D4635" s="2">
        <f>IFERROR(__xludf.DUMMYFUNCTION("""COMPUTED_VALUE"""),957.5)</f>
        <v>957.5</v>
      </c>
      <c r="E4635" s="2">
        <f>IFERROR(__xludf.DUMMYFUNCTION("""COMPUTED_VALUE"""),962.85)</f>
        <v>962.85</v>
      </c>
      <c r="F4635" s="2">
        <f>IFERROR(__xludf.DUMMYFUNCTION("""COMPUTED_VALUE"""),3347698.0)</f>
        <v>3347698</v>
      </c>
    </row>
    <row r="4636">
      <c r="A4636" s="3">
        <f>IFERROR(__xludf.DUMMYFUNCTION("""COMPUTED_VALUE"""),43368.64583333333)</f>
        <v>43368.64583</v>
      </c>
      <c r="B4636" s="2">
        <f>IFERROR(__xludf.DUMMYFUNCTION("""COMPUTED_VALUE"""),962.85)</f>
        <v>962.85</v>
      </c>
      <c r="C4636" s="2">
        <f>IFERROR(__xludf.DUMMYFUNCTION("""COMPUTED_VALUE"""),981.0)</f>
        <v>981</v>
      </c>
      <c r="D4636" s="2">
        <f>IFERROR(__xludf.DUMMYFUNCTION("""COMPUTED_VALUE"""),957.5)</f>
        <v>957.5</v>
      </c>
      <c r="E4636" s="2">
        <f>IFERROR(__xludf.DUMMYFUNCTION("""COMPUTED_VALUE"""),976.2)</f>
        <v>976.2</v>
      </c>
      <c r="F4636" s="2">
        <f>IFERROR(__xludf.DUMMYFUNCTION("""COMPUTED_VALUE"""),4170638.0)</f>
        <v>4170638</v>
      </c>
    </row>
    <row r="4637">
      <c r="A4637" s="3">
        <f>IFERROR(__xludf.DUMMYFUNCTION("""COMPUTED_VALUE"""),43369.64583333333)</f>
        <v>43369.64583</v>
      </c>
      <c r="B4637" s="2">
        <f>IFERROR(__xludf.DUMMYFUNCTION("""COMPUTED_VALUE"""),981.48)</f>
        <v>981.48</v>
      </c>
      <c r="C4637" s="2">
        <f>IFERROR(__xludf.DUMMYFUNCTION("""COMPUTED_VALUE"""),989.0)</f>
        <v>989</v>
      </c>
      <c r="D4637" s="2">
        <f>IFERROR(__xludf.DUMMYFUNCTION("""COMPUTED_VALUE"""),977.65)</f>
        <v>977.65</v>
      </c>
      <c r="E4637" s="2">
        <f>IFERROR(__xludf.DUMMYFUNCTION("""COMPUTED_VALUE"""),984.1)</f>
        <v>984.1</v>
      </c>
      <c r="F4637" s="2">
        <f>IFERROR(__xludf.DUMMYFUNCTION("""COMPUTED_VALUE"""),3681681.0)</f>
        <v>3681681</v>
      </c>
    </row>
    <row r="4638">
      <c r="A4638" s="3">
        <f>IFERROR(__xludf.DUMMYFUNCTION("""COMPUTED_VALUE"""),43370.64583333333)</f>
        <v>43370.64583</v>
      </c>
      <c r="B4638" s="2">
        <f>IFERROR(__xludf.DUMMYFUNCTION("""COMPUTED_VALUE"""),984.7)</f>
        <v>984.7</v>
      </c>
      <c r="C4638" s="2">
        <f>IFERROR(__xludf.DUMMYFUNCTION("""COMPUTED_VALUE"""),993.0)</f>
        <v>993</v>
      </c>
      <c r="D4638" s="2">
        <f>IFERROR(__xludf.DUMMYFUNCTION("""COMPUTED_VALUE"""),977.58)</f>
        <v>977.58</v>
      </c>
      <c r="E4638" s="2">
        <f>IFERROR(__xludf.DUMMYFUNCTION("""COMPUTED_VALUE"""),988.08)</f>
        <v>988.08</v>
      </c>
      <c r="F4638" s="2">
        <f>IFERROR(__xludf.DUMMYFUNCTION("""COMPUTED_VALUE"""),4588052.0)</f>
        <v>4588052</v>
      </c>
    </row>
    <row r="4639">
      <c r="A4639" s="3">
        <f>IFERROR(__xludf.DUMMYFUNCTION("""COMPUTED_VALUE"""),43371.64583333333)</f>
        <v>43371.64583</v>
      </c>
      <c r="B4639" s="2">
        <f>IFERROR(__xludf.DUMMYFUNCTION("""COMPUTED_VALUE"""),990.33)</f>
        <v>990.33</v>
      </c>
      <c r="C4639" s="2">
        <f>IFERROR(__xludf.DUMMYFUNCTION("""COMPUTED_VALUE"""),1007.73)</f>
        <v>1007.73</v>
      </c>
      <c r="D4639" s="2">
        <f>IFERROR(__xludf.DUMMYFUNCTION("""COMPUTED_VALUE"""),988.58)</f>
        <v>988.58</v>
      </c>
      <c r="E4639" s="2">
        <f>IFERROR(__xludf.DUMMYFUNCTION("""COMPUTED_VALUE"""),1003.03)</f>
        <v>1003.03</v>
      </c>
      <c r="F4639" s="2">
        <f>IFERROR(__xludf.DUMMYFUNCTION("""COMPUTED_VALUE"""),3615179.0)</f>
        <v>3615179</v>
      </c>
    </row>
    <row r="4640">
      <c r="A4640" s="3">
        <f>IFERROR(__xludf.DUMMYFUNCTION("""COMPUTED_VALUE"""),43374.64583333333)</f>
        <v>43374.64583</v>
      </c>
      <c r="B4640" s="2">
        <f>IFERROR(__xludf.DUMMYFUNCTION("""COMPUTED_VALUE"""),1004.9)</f>
        <v>1004.9</v>
      </c>
      <c r="C4640" s="2">
        <f>IFERROR(__xludf.DUMMYFUNCTION("""COMPUTED_VALUE"""),1021.0)</f>
        <v>1021</v>
      </c>
      <c r="D4640" s="2">
        <f>IFERROR(__xludf.DUMMYFUNCTION("""COMPUTED_VALUE"""),998.9)</f>
        <v>998.9</v>
      </c>
      <c r="E4640" s="2">
        <f>IFERROR(__xludf.DUMMYFUNCTION("""COMPUTED_VALUE"""),1017.73)</f>
        <v>1017.73</v>
      </c>
      <c r="F4640" s="2">
        <f>IFERROR(__xludf.DUMMYFUNCTION("""COMPUTED_VALUE"""),3112397.0)</f>
        <v>3112397</v>
      </c>
    </row>
    <row r="4641">
      <c r="A4641" s="3">
        <f>IFERROR(__xludf.DUMMYFUNCTION("""COMPUTED_VALUE"""),43376.64583333333)</f>
        <v>43376.64583</v>
      </c>
      <c r="B4641" s="2">
        <f>IFERROR(__xludf.DUMMYFUNCTION("""COMPUTED_VALUE"""),1015.23)</f>
        <v>1015.23</v>
      </c>
      <c r="C4641" s="2">
        <f>IFERROR(__xludf.DUMMYFUNCTION("""COMPUTED_VALUE"""),1026.1)</f>
        <v>1026.1</v>
      </c>
      <c r="D4641" s="2">
        <f>IFERROR(__xludf.DUMMYFUNCTION("""COMPUTED_VALUE"""),1003.5)</f>
        <v>1003.5</v>
      </c>
      <c r="E4641" s="2">
        <f>IFERROR(__xludf.DUMMYFUNCTION("""COMPUTED_VALUE"""),1015.58)</f>
        <v>1015.58</v>
      </c>
      <c r="F4641" s="2">
        <f>IFERROR(__xludf.DUMMYFUNCTION("""COMPUTED_VALUE"""),3833037.0)</f>
        <v>3833037</v>
      </c>
    </row>
    <row r="4642">
      <c r="A4642" s="3">
        <f>IFERROR(__xludf.DUMMYFUNCTION("""COMPUTED_VALUE"""),43377.64583333333)</f>
        <v>43377.64583</v>
      </c>
      <c r="B4642" s="2">
        <f>IFERROR(__xludf.DUMMYFUNCTION("""COMPUTED_VALUE"""),1004.0)</f>
        <v>1004</v>
      </c>
      <c r="C4642" s="2">
        <f>IFERROR(__xludf.DUMMYFUNCTION("""COMPUTED_VALUE"""),1008.9)</f>
        <v>1008.9</v>
      </c>
      <c r="D4642" s="2">
        <f>IFERROR(__xludf.DUMMYFUNCTION("""COMPUTED_VALUE"""),971.5)</f>
        <v>971.5</v>
      </c>
      <c r="E4642" s="2">
        <f>IFERROR(__xludf.DUMMYFUNCTION("""COMPUTED_VALUE"""),978.88)</f>
        <v>978.88</v>
      </c>
      <c r="F4642" s="2">
        <f>IFERROR(__xludf.DUMMYFUNCTION("""COMPUTED_VALUE"""),4492646.0)</f>
        <v>4492646</v>
      </c>
    </row>
    <row r="4643">
      <c r="A4643" s="3">
        <f>IFERROR(__xludf.DUMMYFUNCTION("""COMPUTED_VALUE"""),43378.64583333333)</f>
        <v>43378.64583</v>
      </c>
      <c r="B4643" s="2">
        <f>IFERROR(__xludf.DUMMYFUNCTION("""COMPUTED_VALUE"""),976.98)</f>
        <v>976.98</v>
      </c>
      <c r="C4643" s="2">
        <f>IFERROR(__xludf.DUMMYFUNCTION("""COMPUTED_VALUE"""),995.0)</f>
        <v>995</v>
      </c>
      <c r="D4643" s="2">
        <f>IFERROR(__xludf.DUMMYFUNCTION("""COMPUTED_VALUE"""),970.08)</f>
        <v>970.08</v>
      </c>
      <c r="E4643" s="2">
        <f>IFERROR(__xludf.DUMMYFUNCTION("""COMPUTED_VALUE"""),982.65)</f>
        <v>982.65</v>
      </c>
      <c r="F4643" s="2">
        <f>IFERROR(__xludf.DUMMYFUNCTION("""COMPUTED_VALUE"""),3932295.0)</f>
        <v>3932295</v>
      </c>
    </row>
    <row r="4644">
      <c r="A4644" s="3">
        <f>IFERROR(__xludf.DUMMYFUNCTION("""COMPUTED_VALUE"""),43381.64583333333)</f>
        <v>43381.64583</v>
      </c>
      <c r="B4644" s="2">
        <f>IFERROR(__xludf.DUMMYFUNCTION("""COMPUTED_VALUE"""),982.5)</f>
        <v>982.5</v>
      </c>
      <c r="C4644" s="2">
        <f>IFERROR(__xludf.DUMMYFUNCTION("""COMPUTED_VALUE"""),984.5)</f>
        <v>984.5</v>
      </c>
      <c r="D4644" s="2">
        <f>IFERROR(__xludf.DUMMYFUNCTION("""COMPUTED_VALUE"""),965.0)</f>
        <v>965</v>
      </c>
      <c r="E4644" s="2">
        <f>IFERROR(__xludf.DUMMYFUNCTION("""COMPUTED_VALUE"""),972.5)</f>
        <v>972.5</v>
      </c>
      <c r="F4644" s="2">
        <f>IFERROR(__xludf.DUMMYFUNCTION("""COMPUTED_VALUE"""),5032005.0)</f>
        <v>5032005</v>
      </c>
    </row>
    <row r="4645">
      <c r="A4645" s="3">
        <f>IFERROR(__xludf.DUMMYFUNCTION("""COMPUTED_VALUE"""),43382.64583333333)</f>
        <v>43382.64583</v>
      </c>
      <c r="B4645" s="2">
        <f>IFERROR(__xludf.DUMMYFUNCTION("""COMPUTED_VALUE"""),972.2)</f>
        <v>972.2</v>
      </c>
      <c r="C4645" s="2">
        <f>IFERROR(__xludf.DUMMYFUNCTION("""COMPUTED_VALUE"""),982.5)</f>
        <v>982.5</v>
      </c>
      <c r="D4645" s="2">
        <f>IFERROR(__xludf.DUMMYFUNCTION("""COMPUTED_VALUE"""),965.0)</f>
        <v>965</v>
      </c>
      <c r="E4645" s="2">
        <f>IFERROR(__xludf.DUMMYFUNCTION("""COMPUTED_VALUE"""),970.3)</f>
        <v>970.3</v>
      </c>
      <c r="F4645" s="2">
        <f>IFERROR(__xludf.DUMMYFUNCTION("""COMPUTED_VALUE"""),3114841.0)</f>
        <v>3114841</v>
      </c>
    </row>
    <row r="4646">
      <c r="A4646" s="3">
        <f>IFERROR(__xludf.DUMMYFUNCTION("""COMPUTED_VALUE"""),43383.64583333333)</f>
        <v>43383.64583</v>
      </c>
      <c r="B4646" s="2">
        <f>IFERROR(__xludf.DUMMYFUNCTION("""COMPUTED_VALUE"""),972.5)</f>
        <v>972.5</v>
      </c>
      <c r="C4646" s="2">
        <f>IFERROR(__xludf.DUMMYFUNCTION("""COMPUTED_VALUE"""),991.13)</f>
        <v>991.13</v>
      </c>
      <c r="D4646" s="2">
        <f>IFERROR(__xludf.DUMMYFUNCTION("""COMPUTED_VALUE"""),967.75)</f>
        <v>967.75</v>
      </c>
      <c r="E4646" s="2">
        <f>IFERROR(__xludf.DUMMYFUNCTION("""COMPUTED_VALUE"""),983.58)</f>
        <v>983.58</v>
      </c>
      <c r="F4646" s="2">
        <f>IFERROR(__xludf.DUMMYFUNCTION("""COMPUTED_VALUE"""),3984983.0)</f>
        <v>3984983</v>
      </c>
    </row>
    <row r="4647">
      <c r="A4647" s="3">
        <f>IFERROR(__xludf.DUMMYFUNCTION("""COMPUTED_VALUE"""),43384.64583333333)</f>
        <v>43384.64583</v>
      </c>
      <c r="B4647" s="2">
        <f>IFERROR(__xludf.DUMMYFUNCTION("""COMPUTED_VALUE"""),962.5)</f>
        <v>962.5</v>
      </c>
      <c r="C4647" s="2">
        <f>IFERROR(__xludf.DUMMYFUNCTION("""COMPUTED_VALUE"""),974.15)</f>
        <v>974.15</v>
      </c>
      <c r="D4647" s="2">
        <f>IFERROR(__xludf.DUMMYFUNCTION("""COMPUTED_VALUE"""),958.8)</f>
        <v>958.8</v>
      </c>
      <c r="E4647" s="2">
        <f>IFERROR(__xludf.DUMMYFUNCTION("""COMPUTED_VALUE"""),968.78)</f>
        <v>968.78</v>
      </c>
      <c r="F4647" s="2">
        <f>IFERROR(__xludf.DUMMYFUNCTION("""COMPUTED_VALUE"""),3589976.0)</f>
        <v>3589976</v>
      </c>
    </row>
    <row r="4648">
      <c r="A4648" s="3">
        <f>IFERROR(__xludf.DUMMYFUNCTION("""COMPUTED_VALUE"""),43385.64583333333)</f>
        <v>43385.64583</v>
      </c>
      <c r="B4648" s="2">
        <f>IFERROR(__xludf.DUMMYFUNCTION("""COMPUTED_VALUE"""),972.5)</f>
        <v>972.5</v>
      </c>
      <c r="C4648" s="2">
        <f>IFERROR(__xludf.DUMMYFUNCTION("""COMPUTED_VALUE"""),998.55)</f>
        <v>998.55</v>
      </c>
      <c r="D4648" s="2">
        <f>IFERROR(__xludf.DUMMYFUNCTION("""COMPUTED_VALUE"""),971.0)</f>
        <v>971</v>
      </c>
      <c r="E4648" s="2">
        <f>IFERROR(__xludf.DUMMYFUNCTION("""COMPUTED_VALUE"""),990.93)</f>
        <v>990.93</v>
      </c>
      <c r="F4648" s="2">
        <f>IFERROR(__xludf.DUMMYFUNCTION("""COMPUTED_VALUE"""),2400080.0)</f>
        <v>2400080</v>
      </c>
    </row>
    <row r="4649">
      <c r="A4649" s="3">
        <f>IFERROR(__xludf.DUMMYFUNCTION("""COMPUTED_VALUE"""),43388.64583333333)</f>
        <v>43388.64583</v>
      </c>
      <c r="B4649" s="2">
        <f>IFERROR(__xludf.DUMMYFUNCTION("""COMPUTED_VALUE"""),995.0)</f>
        <v>995</v>
      </c>
      <c r="C4649" s="2">
        <f>IFERROR(__xludf.DUMMYFUNCTION("""COMPUTED_VALUE"""),1005.4)</f>
        <v>1005.4</v>
      </c>
      <c r="D4649" s="2">
        <f>IFERROR(__xludf.DUMMYFUNCTION("""COMPUTED_VALUE"""),985.15)</f>
        <v>985.15</v>
      </c>
      <c r="E4649" s="2">
        <f>IFERROR(__xludf.DUMMYFUNCTION("""COMPUTED_VALUE"""),1004.03)</f>
        <v>1004.03</v>
      </c>
      <c r="F4649" s="2">
        <f>IFERROR(__xludf.DUMMYFUNCTION("""COMPUTED_VALUE"""),3146492.0)</f>
        <v>3146492</v>
      </c>
    </row>
    <row r="4650">
      <c r="A4650" s="3">
        <f>IFERROR(__xludf.DUMMYFUNCTION("""COMPUTED_VALUE"""),43389.64583333333)</f>
        <v>43389.64583</v>
      </c>
      <c r="B4650" s="2">
        <f>IFERROR(__xludf.DUMMYFUNCTION("""COMPUTED_VALUE"""),1001.5)</f>
        <v>1001.5</v>
      </c>
      <c r="C4650" s="2">
        <f>IFERROR(__xludf.DUMMYFUNCTION("""COMPUTED_VALUE"""),1009.1)</f>
        <v>1009.1</v>
      </c>
      <c r="D4650" s="2">
        <f>IFERROR(__xludf.DUMMYFUNCTION("""COMPUTED_VALUE"""),993.75)</f>
        <v>993.75</v>
      </c>
      <c r="E4650" s="2">
        <f>IFERROR(__xludf.DUMMYFUNCTION("""COMPUTED_VALUE"""),996.38)</f>
        <v>996.38</v>
      </c>
      <c r="F4650" s="2">
        <f>IFERROR(__xludf.DUMMYFUNCTION("""COMPUTED_VALUE"""),2351501.0)</f>
        <v>2351501</v>
      </c>
    </row>
    <row r="4651">
      <c r="A4651" s="3">
        <f>IFERROR(__xludf.DUMMYFUNCTION("""COMPUTED_VALUE"""),43390.64583333333)</f>
        <v>43390.64583</v>
      </c>
      <c r="B4651" s="2">
        <f>IFERROR(__xludf.DUMMYFUNCTION("""COMPUTED_VALUE"""),1003.05)</f>
        <v>1003.05</v>
      </c>
      <c r="C4651" s="2">
        <f>IFERROR(__xludf.DUMMYFUNCTION("""COMPUTED_VALUE"""),1006.5)</f>
        <v>1006.5</v>
      </c>
      <c r="D4651" s="2">
        <f>IFERROR(__xludf.DUMMYFUNCTION("""COMPUTED_VALUE"""),981.75)</f>
        <v>981.75</v>
      </c>
      <c r="E4651" s="2">
        <f>IFERROR(__xludf.DUMMYFUNCTION("""COMPUTED_VALUE"""),987.3)</f>
        <v>987.3</v>
      </c>
      <c r="F4651" s="2">
        <f>IFERROR(__xludf.DUMMYFUNCTION("""COMPUTED_VALUE"""),1985199.0)</f>
        <v>1985199</v>
      </c>
    </row>
    <row r="4652">
      <c r="A4652" s="3">
        <f>IFERROR(__xludf.DUMMYFUNCTION("""COMPUTED_VALUE"""),43392.64583333333)</f>
        <v>43392.64583</v>
      </c>
      <c r="B4652" s="2">
        <f>IFERROR(__xludf.DUMMYFUNCTION("""COMPUTED_VALUE"""),979.45)</f>
        <v>979.45</v>
      </c>
      <c r="C4652" s="2">
        <f>IFERROR(__xludf.DUMMYFUNCTION("""COMPUTED_VALUE"""),990.43)</f>
        <v>990.43</v>
      </c>
      <c r="D4652" s="2">
        <f>IFERROR(__xludf.DUMMYFUNCTION("""COMPUTED_VALUE"""),979.0)</f>
        <v>979</v>
      </c>
      <c r="E4652" s="2">
        <f>IFERROR(__xludf.DUMMYFUNCTION("""COMPUTED_VALUE"""),983.88)</f>
        <v>983.88</v>
      </c>
      <c r="F4652" s="2">
        <f>IFERROR(__xludf.DUMMYFUNCTION("""COMPUTED_VALUE"""),2466837.0)</f>
        <v>2466837</v>
      </c>
    </row>
    <row r="4653">
      <c r="A4653" s="3">
        <f>IFERROR(__xludf.DUMMYFUNCTION("""COMPUTED_VALUE"""),43395.64583333333)</f>
        <v>43395.64583</v>
      </c>
      <c r="B4653" s="2">
        <f>IFERROR(__xludf.DUMMYFUNCTION("""COMPUTED_VALUE"""),1007.0)</f>
        <v>1007</v>
      </c>
      <c r="C4653" s="2">
        <f>IFERROR(__xludf.DUMMYFUNCTION("""COMPUTED_VALUE"""),1010.0)</f>
        <v>1010</v>
      </c>
      <c r="D4653" s="2">
        <f>IFERROR(__xludf.DUMMYFUNCTION("""COMPUTED_VALUE"""),994.3)</f>
        <v>994.3</v>
      </c>
      <c r="E4653" s="2">
        <f>IFERROR(__xludf.DUMMYFUNCTION("""COMPUTED_VALUE"""),999.45)</f>
        <v>999.45</v>
      </c>
      <c r="F4653" s="2">
        <f>IFERROR(__xludf.DUMMYFUNCTION("""COMPUTED_VALUE"""),5082790.0)</f>
        <v>5082790</v>
      </c>
    </row>
    <row r="4654">
      <c r="A4654" s="3">
        <f>IFERROR(__xludf.DUMMYFUNCTION("""COMPUTED_VALUE"""),43396.64583333333)</f>
        <v>43396.64583</v>
      </c>
      <c r="B4654" s="2">
        <f>IFERROR(__xludf.DUMMYFUNCTION("""COMPUTED_VALUE"""),986.5)</f>
        <v>986.5</v>
      </c>
      <c r="C4654" s="2">
        <f>IFERROR(__xludf.DUMMYFUNCTION("""COMPUTED_VALUE"""),999.45)</f>
        <v>999.45</v>
      </c>
      <c r="D4654" s="2">
        <f>IFERROR(__xludf.DUMMYFUNCTION("""COMPUTED_VALUE"""),986.5)</f>
        <v>986.5</v>
      </c>
      <c r="E4654" s="2">
        <f>IFERROR(__xludf.DUMMYFUNCTION("""COMPUTED_VALUE"""),992.43)</f>
        <v>992.43</v>
      </c>
      <c r="F4654" s="2">
        <f>IFERROR(__xludf.DUMMYFUNCTION("""COMPUTED_VALUE"""),4857141.0)</f>
        <v>4857141</v>
      </c>
    </row>
    <row r="4655">
      <c r="A4655" s="3">
        <f>IFERROR(__xludf.DUMMYFUNCTION("""COMPUTED_VALUE"""),43397.64583333333)</f>
        <v>43397.64583</v>
      </c>
      <c r="B4655" s="2">
        <f>IFERROR(__xludf.DUMMYFUNCTION("""COMPUTED_VALUE"""),1002.0)</f>
        <v>1002</v>
      </c>
      <c r="C4655" s="2">
        <f>IFERROR(__xludf.DUMMYFUNCTION("""COMPUTED_VALUE"""),1004.4)</f>
        <v>1004.4</v>
      </c>
      <c r="D4655" s="2">
        <f>IFERROR(__xludf.DUMMYFUNCTION("""COMPUTED_VALUE"""),986.3)</f>
        <v>986.3</v>
      </c>
      <c r="E4655" s="2">
        <f>IFERROR(__xludf.DUMMYFUNCTION("""COMPUTED_VALUE"""),996.13)</f>
        <v>996.13</v>
      </c>
      <c r="F4655" s="2">
        <f>IFERROR(__xludf.DUMMYFUNCTION("""COMPUTED_VALUE"""),4518084.0)</f>
        <v>4518084</v>
      </c>
    </row>
    <row r="4656">
      <c r="A4656" s="3">
        <f>IFERROR(__xludf.DUMMYFUNCTION("""COMPUTED_VALUE"""),43398.64583333333)</f>
        <v>43398.64583</v>
      </c>
      <c r="B4656" s="2">
        <f>IFERROR(__xludf.DUMMYFUNCTION("""COMPUTED_VALUE"""),986.8)</f>
        <v>986.8</v>
      </c>
      <c r="C4656" s="2">
        <f>IFERROR(__xludf.DUMMYFUNCTION("""COMPUTED_VALUE"""),1001.8)</f>
        <v>1001.8</v>
      </c>
      <c r="D4656" s="2">
        <f>IFERROR(__xludf.DUMMYFUNCTION("""COMPUTED_VALUE"""),981.23)</f>
        <v>981.23</v>
      </c>
      <c r="E4656" s="2">
        <f>IFERROR(__xludf.DUMMYFUNCTION("""COMPUTED_VALUE"""),984.4)</f>
        <v>984.4</v>
      </c>
      <c r="F4656" s="2">
        <f>IFERROR(__xludf.DUMMYFUNCTION("""COMPUTED_VALUE"""),7461764.0)</f>
        <v>7461764</v>
      </c>
    </row>
    <row r="4657">
      <c r="A4657" s="3">
        <f>IFERROR(__xludf.DUMMYFUNCTION("""COMPUTED_VALUE"""),43399.64583333333)</f>
        <v>43399.64583</v>
      </c>
      <c r="B4657" s="2">
        <f>IFERROR(__xludf.DUMMYFUNCTION("""COMPUTED_VALUE"""),984.4)</f>
        <v>984.4</v>
      </c>
      <c r="C4657" s="2">
        <f>IFERROR(__xludf.DUMMYFUNCTION("""COMPUTED_VALUE"""),988.6)</f>
        <v>988.6</v>
      </c>
      <c r="D4657" s="2">
        <f>IFERROR(__xludf.DUMMYFUNCTION("""COMPUTED_VALUE"""),974.5)</f>
        <v>974.5</v>
      </c>
      <c r="E4657" s="2">
        <f>IFERROR(__xludf.DUMMYFUNCTION("""COMPUTED_VALUE"""),980.6)</f>
        <v>980.6</v>
      </c>
      <c r="F4657" s="2">
        <f>IFERROR(__xludf.DUMMYFUNCTION("""COMPUTED_VALUE"""),3788928.0)</f>
        <v>3788928</v>
      </c>
    </row>
    <row r="4658">
      <c r="A4658" s="3">
        <f>IFERROR(__xludf.DUMMYFUNCTION("""COMPUTED_VALUE"""),43402.64583333333)</f>
        <v>43402.64583</v>
      </c>
      <c r="B4658" s="2">
        <f>IFERROR(__xludf.DUMMYFUNCTION("""COMPUTED_VALUE"""),982.05)</f>
        <v>982.05</v>
      </c>
      <c r="C4658" s="2">
        <f>IFERROR(__xludf.DUMMYFUNCTION("""COMPUTED_VALUE"""),982.48)</f>
        <v>982.48</v>
      </c>
      <c r="D4658" s="2">
        <f>IFERROR(__xludf.DUMMYFUNCTION("""COMPUTED_VALUE"""),947.6)</f>
        <v>947.6</v>
      </c>
      <c r="E4658" s="2">
        <f>IFERROR(__xludf.DUMMYFUNCTION("""COMPUTED_VALUE"""),963.15)</f>
        <v>963.15</v>
      </c>
      <c r="F4658" s="2">
        <f>IFERROR(__xludf.DUMMYFUNCTION("""COMPUTED_VALUE"""),4261070.0)</f>
        <v>4261070</v>
      </c>
    </row>
    <row r="4659">
      <c r="A4659" s="3">
        <f>IFERROR(__xludf.DUMMYFUNCTION("""COMPUTED_VALUE"""),43403.64583333333)</f>
        <v>43403.64583</v>
      </c>
      <c r="B4659" s="2">
        <f>IFERROR(__xludf.DUMMYFUNCTION("""COMPUTED_VALUE"""),962.5)</f>
        <v>962.5</v>
      </c>
      <c r="C4659" s="2">
        <f>IFERROR(__xludf.DUMMYFUNCTION("""COMPUTED_VALUE"""),966.0)</f>
        <v>966</v>
      </c>
      <c r="D4659" s="2">
        <f>IFERROR(__xludf.DUMMYFUNCTION("""COMPUTED_VALUE"""),949.65)</f>
        <v>949.65</v>
      </c>
      <c r="E4659" s="2">
        <f>IFERROR(__xludf.DUMMYFUNCTION("""COMPUTED_VALUE"""),956.38)</f>
        <v>956.38</v>
      </c>
      <c r="F4659" s="2">
        <f>IFERROR(__xludf.DUMMYFUNCTION("""COMPUTED_VALUE"""),3457176.0)</f>
        <v>3457176</v>
      </c>
    </row>
    <row r="4660">
      <c r="A4660" s="3">
        <f>IFERROR(__xludf.DUMMYFUNCTION("""COMPUTED_VALUE"""),43404.64583333333)</f>
        <v>43404.64583</v>
      </c>
      <c r="B4660" s="2">
        <f>IFERROR(__xludf.DUMMYFUNCTION("""COMPUTED_VALUE"""),951.03)</f>
        <v>951.03</v>
      </c>
      <c r="C4660" s="2">
        <f>IFERROR(__xludf.DUMMYFUNCTION("""COMPUTED_VALUE"""),958.95)</f>
        <v>958.95</v>
      </c>
      <c r="D4660" s="2">
        <f>IFERROR(__xludf.DUMMYFUNCTION("""COMPUTED_VALUE"""),942.5)</f>
        <v>942.5</v>
      </c>
      <c r="E4660" s="2">
        <f>IFERROR(__xludf.DUMMYFUNCTION("""COMPUTED_VALUE"""),955.88)</f>
        <v>955.88</v>
      </c>
      <c r="F4660" s="2">
        <f>IFERROR(__xludf.DUMMYFUNCTION("""COMPUTED_VALUE"""),5862351.0)</f>
        <v>5862351</v>
      </c>
    </row>
    <row r="4661">
      <c r="A4661" s="3">
        <f>IFERROR(__xludf.DUMMYFUNCTION("""COMPUTED_VALUE"""),43405.64583333333)</f>
        <v>43405.64583</v>
      </c>
      <c r="B4661" s="2">
        <f>IFERROR(__xludf.DUMMYFUNCTION("""COMPUTED_VALUE"""),965.0)</f>
        <v>965</v>
      </c>
      <c r="C4661" s="2">
        <f>IFERROR(__xludf.DUMMYFUNCTION("""COMPUTED_VALUE"""),965.0)</f>
        <v>965</v>
      </c>
      <c r="D4661" s="2">
        <f>IFERROR(__xludf.DUMMYFUNCTION("""COMPUTED_VALUE"""),948.0)</f>
        <v>948</v>
      </c>
      <c r="E4661" s="2">
        <f>IFERROR(__xludf.DUMMYFUNCTION("""COMPUTED_VALUE"""),956.1)</f>
        <v>956.1</v>
      </c>
      <c r="F4661" s="2">
        <f>IFERROR(__xludf.DUMMYFUNCTION("""COMPUTED_VALUE"""),4907263.0)</f>
        <v>4907263</v>
      </c>
    </row>
    <row r="4662">
      <c r="A4662" s="3">
        <f>IFERROR(__xludf.DUMMYFUNCTION("""COMPUTED_VALUE"""),43406.64583333333)</f>
        <v>43406.64583</v>
      </c>
      <c r="B4662" s="2">
        <f>IFERROR(__xludf.DUMMYFUNCTION("""COMPUTED_VALUE"""),963.0)</f>
        <v>963</v>
      </c>
      <c r="C4662" s="2">
        <f>IFERROR(__xludf.DUMMYFUNCTION("""COMPUTED_VALUE"""),980.0)</f>
        <v>980</v>
      </c>
      <c r="D4662" s="2">
        <f>IFERROR(__xludf.DUMMYFUNCTION("""COMPUTED_VALUE"""),956.0)</f>
        <v>956</v>
      </c>
      <c r="E4662" s="2">
        <f>IFERROR(__xludf.DUMMYFUNCTION("""COMPUTED_VALUE"""),974.73)</f>
        <v>974.73</v>
      </c>
      <c r="F4662" s="2">
        <f>IFERROR(__xludf.DUMMYFUNCTION("""COMPUTED_VALUE"""),7523217.0)</f>
        <v>7523217</v>
      </c>
    </row>
    <row r="4663">
      <c r="A4663" s="3">
        <f>IFERROR(__xludf.DUMMYFUNCTION("""COMPUTED_VALUE"""),43409.79166666667)</f>
        <v>43409.79167</v>
      </c>
      <c r="B4663" s="2">
        <f>IFERROR(__xludf.DUMMYFUNCTION("""COMPUTED_VALUE"""),974.95)</f>
        <v>974.95</v>
      </c>
      <c r="C4663" s="2">
        <f>IFERROR(__xludf.DUMMYFUNCTION("""COMPUTED_VALUE"""),979.83)</f>
        <v>979.83</v>
      </c>
      <c r="D4663" s="2">
        <f>IFERROR(__xludf.DUMMYFUNCTION("""COMPUTED_VALUE"""),969.0)</f>
        <v>969</v>
      </c>
      <c r="E4663" s="2">
        <f>IFERROR(__xludf.DUMMYFUNCTION("""COMPUTED_VALUE"""),978.0)</f>
        <v>978</v>
      </c>
      <c r="F4663" s="2">
        <f>IFERROR(__xludf.DUMMYFUNCTION("""COMPUTED_VALUE"""),1426324.0)</f>
        <v>1426324</v>
      </c>
    </row>
    <row r="4664">
      <c r="A4664" s="3">
        <f>IFERROR(__xludf.DUMMYFUNCTION("""COMPUTED_VALUE"""),43410.64583333333)</f>
        <v>43410.64583</v>
      </c>
      <c r="B4664" s="2">
        <f>IFERROR(__xludf.DUMMYFUNCTION("""COMPUTED_VALUE"""),977.5)</f>
        <v>977.5</v>
      </c>
      <c r="C4664" s="2">
        <f>IFERROR(__xludf.DUMMYFUNCTION("""COMPUTED_VALUE"""),988.0)</f>
        <v>988</v>
      </c>
      <c r="D4664" s="2">
        <f>IFERROR(__xludf.DUMMYFUNCTION("""COMPUTED_VALUE"""),971.48)</f>
        <v>971.48</v>
      </c>
      <c r="E4664" s="2">
        <f>IFERROR(__xludf.DUMMYFUNCTION("""COMPUTED_VALUE"""),973.28)</f>
        <v>973.28</v>
      </c>
      <c r="F4664" s="2">
        <f>IFERROR(__xludf.DUMMYFUNCTION("""COMPUTED_VALUE"""),2121397.0)</f>
        <v>2121397</v>
      </c>
    </row>
    <row r="4665">
      <c r="A4665" s="3">
        <f>IFERROR(__xludf.DUMMYFUNCTION("""COMPUTED_VALUE"""),43413.64583333333)</f>
        <v>43413.64583</v>
      </c>
      <c r="B4665" s="2">
        <f>IFERROR(__xludf.DUMMYFUNCTION("""COMPUTED_VALUE"""),979.1)</f>
        <v>979.1</v>
      </c>
      <c r="C4665" s="2">
        <f>IFERROR(__xludf.DUMMYFUNCTION("""COMPUTED_VALUE"""),979.95)</f>
        <v>979.95</v>
      </c>
      <c r="D4665" s="2">
        <f>IFERROR(__xludf.DUMMYFUNCTION("""COMPUTED_VALUE"""),968.15)</f>
        <v>968.15</v>
      </c>
      <c r="E4665" s="2">
        <f>IFERROR(__xludf.DUMMYFUNCTION("""COMPUTED_VALUE"""),972.7)</f>
        <v>972.7</v>
      </c>
      <c r="F4665" s="2">
        <f>IFERROR(__xludf.DUMMYFUNCTION("""COMPUTED_VALUE"""),2525405.0)</f>
        <v>2525405</v>
      </c>
    </row>
    <row r="4666">
      <c r="A4666" s="3">
        <f>IFERROR(__xludf.DUMMYFUNCTION("""COMPUTED_VALUE"""),43416.64583333333)</f>
        <v>43416.64583</v>
      </c>
      <c r="B4666" s="2">
        <f>IFERROR(__xludf.DUMMYFUNCTION("""COMPUTED_VALUE"""),975.75)</f>
        <v>975.75</v>
      </c>
      <c r="C4666" s="2">
        <f>IFERROR(__xludf.DUMMYFUNCTION("""COMPUTED_VALUE"""),981.0)</f>
        <v>981</v>
      </c>
      <c r="D4666" s="2">
        <f>IFERROR(__xludf.DUMMYFUNCTION("""COMPUTED_VALUE"""),958.58)</f>
        <v>958.58</v>
      </c>
      <c r="E4666" s="2">
        <f>IFERROR(__xludf.DUMMYFUNCTION("""COMPUTED_VALUE"""),960.53)</f>
        <v>960.53</v>
      </c>
      <c r="F4666" s="2">
        <f>IFERROR(__xludf.DUMMYFUNCTION("""COMPUTED_VALUE"""),1976941.0)</f>
        <v>1976941</v>
      </c>
    </row>
    <row r="4667">
      <c r="A4667" s="3">
        <f>IFERROR(__xludf.DUMMYFUNCTION("""COMPUTED_VALUE"""),43417.64583333333)</f>
        <v>43417.64583</v>
      </c>
      <c r="B4667" s="2">
        <f>IFERROR(__xludf.DUMMYFUNCTION("""COMPUTED_VALUE"""),959.5)</f>
        <v>959.5</v>
      </c>
      <c r="C4667" s="2">
        <f>IFERROR(__xludf.DUMMYFUNCTION("""COMPUTED_VALUE"""),968.85)</f>
        <v>968.85</v>
      </c>
      <c r="D4667" s="2">
        <f>IFERROR(__xludf.DUMMYFUNCTION("""COMPUTED_VALUE"""),954.1)</f>
        <v>954.1</v>
      </c>
      <c r="E4667" s="2">
        <f>IFERROR(__xludf.DUMMYFUNCTION("""COMPUTED_VALUE"""),963.88)</f>
        <v>963.88</v>
      </c>
      <c r="F4667" s="2">
        <f>IFERROR(__xludf.DUMMYFUNCTION("""COMPUTED_VALUE"""),3337605.0)</f>
        <v>3337605</v>
      </c>
    </row>
    <row r="4668">
      <c r="A4668" s="3">
        <f>IFERROR(__xludf.DUMMYFUNCTION("""COMPUTED_VALUE"""),43418.64583333333)</f>
        <v>43418.64583</v>
      </c>
      <c r="B4668" s="2">
        <f>IFERROR(__xludf.DUMMYFUNCTION("""COMPUTED_VALUE"""),969.28)</f>
        <v>969.28</v>
      </c>
      <c r="C4668" s="2">
        <f>IFERROR(__xludf.DUMMYFUNCTION("""COMPUTED_VALUE"""),980.0)</f>
        <v>980</v>
      </c>
      <c r="D4668" s="2">
        <f>IFERROR(__xludf.DUMMYFUNCTION("""COMPUTED_VALUE"""),968.3)</f>
        <v>968.3</v>
      </c>
      <c r="E4668" s="2">
        <f>IFERROR(__xludf.DUMMYFUNCTION("""COMPUTED_VALUE"""),978.88)</f>
        <v>978.88</v>
      </c>
      <c r="F4668" s="2">
        <f>IFERROR(__xludf.DUMMYFUNCTION("""COMPUTED_VALUE"""),6527659.0)</f>
        <v>6527659</v>
      </c>
    </row>
    <row r="4669">
      <c r="A4669" s="3">
        <f>IFERROR(__xludf.DUMMYFUNCTION("""COMPUTED_VALUE"""),43419.64583333333)</f>
        <v>43419.64583</v>
      </c>
      <c r="B4669" s="2">
        <f>IFERROR(__xludf.DUMMYFUNCTION("""COMPUTED_VALUE"""),980.95)</f>
        <v>980.95</v>
      </c>
      <c r="C4669" s="2">
        <f>IFERROR(__xludf.DUMMYFUNCTION("""COMPUTED_VALUE"""),988.65)</f>
        <v>988.65</v>
      </c>
      <c r="D4669" s="2">
        <f>IFERROR(__xludf.DUMMYFUNCTION("""COMPUTED_VALUE"""),965.6)</f>
        <v>965.6</v>
      </c>
      <c r="E4669" s="2">
        <f>IFERROR(__xludf.DUMMYFUNCTION("""COMPUTED_VALUE"""),987.58)</f>
        <v>987.58</v>
      </c>
      <c r="F4669" s="2">
        <f>IFERROR(__xludf.DUMMYFUNCTION("""COMPUTED_VALUE"""),2598131.0)</f>
        <v>2598131</v>
      </c>
    </row>
    <row r="4670">
      <c r="A4670" s="3">
        <f>IFERROR(__xludf.DUMMYFUNCTION("""COMPUTED_VALUE"""),43420.64583333333)</f>
        <v>43420.64583</v>
      </c>
      <c r="B4670" s="2">
        <f>IFERROR(__xludf.DUMMYFUNCTION("""COMPUTED_VALUE"""),990.5)</f>
        <v>990.5</v>
      </c>
      <c r="C4670" s="2">
        <f>IFERROR(__xludf.DUMMYFUNCTION("""COMPUTED_VALUE"""),1006.5)</f>
        <v>1006.5</v>
      </c>
      <c r="D4670" s="2">
        <f>IFERROR(__xludf.DUMMYFUNCTION("""COMPUTED_VALUE"""),990.0)</f>
        <v>990</v>
      </c>
      <c r="E4670" s="2">
        <f>IFERROR(__xludf.DUMMYFUNCTION("""COMPUTED_VALUE"""),1002.15)</f>
        <v>1002.15</v>
      </c>
      <c r="F4670" s="2">
        <f>IFERROR(__xludf.DUMMYFUNCTION("""COMPUTED_VALUE"""),3953304.0)</f>
        <v>3953304</v>
      </c>
    </row>
    <row r="4671">
      <c r="A4671" s="3">
        <f>IFERROR(__xludf.DUMMYFUNCTION("""COMPUTED_VALUE"""),43423.64583333333)</f>
        <v>43423.64583</v>
      </c>
      <c r="B4671" s="2">
        <f>IFERROR(__xludf.DUMMYFUNCTION("""COMPUTED_VALUE"""),1005.5)</f>
        <v>1005.5</v>
      </c>
      <c r="C4671" s="2">
        <f>IFERROR(__xludf.DUMMYFUNCTION("""COMPUTED_VALUE"""),1010.5)</f>
        <v>1010.5</v>
      </c>
      <c r="D4671" s="2">
        <f>IFERROR(__xludf.DUMMYFUNCTION("""COMPUTED_VALUE"""),1000.95)</f>
        <v>1000.95</v>
      </c>
      <c r="E4671" s="2">
        <f>IFERROR(__xludf.DUMMYFUNCTION("""COMPUTED_VALUE"""),1006.95)</f>
        <v>1006.95</v>
      </c>
      <c r="F4671" s="2">
        <f>IFERROR(__xludf.DUMMYFUNCTION("""COMPUTED_VALUE"""),3071607.0)</f>
        <v>3071607</v>
      </c>
    </row>
    <row r="4672">
      <c r="A4672" s="3">
        <f>IFERROR(__xludf.DUMMYFUNCTION("""COMPUTED_VALUE"""),43424.64583333333)</f>
        <v>43424.64583</v>
      </c>
      <c r="B4672" s="2">
        <f>IFERROR(__xludf.DUMMYFUNCTION("""COMPUTED_VALUE"""),1006.5)</f>
        <v>1006.5</v>
      </c>
      <c r="C4672" s="2">
        <f>IFERROR(__xludf.DUMMYFUNCTION("""COMPUTED_VALUE"""),1009.8)</f>
        <v>1009.8</v>
      </c>
      <c r="D4672" s="2">
        <f>IFERROR(__xludf.DUMMYFUNCTION("""COMPUTED_VALUE"""),999.53)</f>
        <v>999.53</v>
      </c>
      <c r="E4672" s="2">
        <f>IFERROR(__xludf.DUMMYFUNCTION("""COMPUTED_VALUE"""),1006.23)</f>
        <v>1006.23</v>
      </c>
      <c r="F4672" s="2">
        <f>IFERROR(__xludf.DUMMYFUNCTION("""COMPUTED_VALUE"""),1426292.0)</f>
        <v>1426292</v>
      </c>
    </row>
    <row r="4673">
      <c r="A4673" s="3">
        <f>IFERROR(__xludf.DUMMYFUNCTION("""COMPUTED_VALUE"""),43425.64583333333)</f>
        <v>43425.64583</v>
      </c>
      <c r="B4673" s="2">
        <f>IFERROR(__xludf.DUMMYFUNCTION("""COMPUTED_VALUE"""),1006.38)</f>
        <v>1006.38</v>
      </c>
      <c r="C4673" s="2">
        <f>IFERROR(__xludf.DUMMYFUNCTION("""COMPUTED_VALUE"""),1011.98)</f>
        <v>1011.98</v>
      </c>
      <c r="D4673" s="2">
        <f>IFERROR(__xludf.DUMMYFUNCTION("""COMPUTED_VALUE"""),1002.0)</f>
        <v>1002</v>
      </c>
      <c r="E4673" s="2">
        <f>IFERROR(__xludf.DUMMYFUNCTION("""COMPUTED_VALUE"""),1009.38)</f>
        <v>1009.38</v>
      </c>
      <c r="F4673" s="2">
        <f>IFERROR(__xludf.DUMMYFUNCTION("""COMPUTED_VALUE"""),1636401.0)</f>
        <v>1636401</v>
      </c>
    </row>
    <row r="4674">
      <c r="A4674" s="3">
        <f>IFERROR(__xludf.DUMMYFUNCTION("""COMPUTED_VALUE"""),43426.64583333333)</f>
        <v>43426.64583</v>
      </c>
      <c r="B4674" s="2">
        <f>IFERROR(__xludf.DUMMYFUNCTION("""COMPUTED_VALUE"""),1006.63)</f>
        <v>1006.63</v>
      </c>
      <c r="C4674" s="2">
        <f>IFERROR(__xludf.DUMMYFUNCTION("""COMPUTED_VALUE"""),1017.5)</f>
        <v>1017.5</v>
      </c>
      <c r="D4674" s="2">
        <f>IFERROR(__xludf.DUMMYFUNCTION("""COMPUTED_VALUE"""),1000.08)</f>
        <v>1000.08</v>
      </c>
      <c r="E4674" s="2">
        <f>IFERROR(__xludf.DUMMYFUNCTION("""COMPUTED_VALUE"""),1002.75)</f>
        <v>1002.75</v>
      </c>
      <c r="F4674" s="2">
        <f>IFERROR(__xludf.DUMMYFUNCTION("""COMPUTED_VALUE"""),3243638.0)</f>
        <v>3243638</v>
      </c>
    </row>
    <row r="4675">
      <c r="A4675" s="3">
        <f>IFERROR(__xludf.DUMMYFUNCTION("""COMPUTED_VALUE"""),43430.64583333333)</f>
        <v>43430.64583</v>
      </c>
      <c r="B4675" s="2">
        <f>IFERROR(__xludf.DUMMYFUNCTION("""COMPUTED_VALUE"""),1006.95)</f>
        <v>1006.95</v>
      </c>
      <c r="C4675" s="2">
        <f>IFERROR(__xludf.DUMMYFUNCTION("""COMPUTED_VALUE"""),1026.0)</f>
        <v>1026</v>
      </c>
      <c r="D4675" s="2">
        <f>IFERROR(__xludf.DUMMYFUNCTION("""COMPUTED_VALUE"""),1006.03)</f>
        <v>1006.03</v>
      </c>
      <c r="E4675" s="2">
        <f>IFERROR(__xludf.DUMMYFUNCTION("""COMPUTED_VALUE"""),1024.9)</f>
        <v>1024.9</v>
      </c>
      <c r="F4675" s="2">
        <f>IFERROR(__xludf.DUMMYFUNCTION("""COMPUTED_VALUE"""),4546109.0)</f>
        <v>4546109</v>
      </c>
    </row>
    <row r="4676">
      <c r="A4676" s="3">
        <f>IFERROR(__xludf.DUMMYFUNCTION("""COMPUTED_VALUE"""),43431.64583333333)</f>
        <v>43431.64583</v>
      </c>
      <c r="B4676" s="2">
        <f>IFERROR(__xludf.DUMMYFUNCTION("""COMPUTED_VALUE"""),1020.53)</f>
        <v>1020.53</v>
      </c>
      <c r="C4676" s="2">
        <f>IFERROR(__xludf.DUMMYFUNCTION("""COMPUTED_VALUE"""),1033.95)</f>
        <v>1033.95</v>
      </c>
      <c r="D4676" s="2">
        <f>IFERROR(__xludf.DUMMYFUNCTION("""COMPUTED_VALUE"""),1020.38)</f>
        <v>1020.38</v>
      </c>
      <c r="E4676" s="2">
        <f>IFERROR(__xludf.DUMMYFUNCTION("""COMPUTED_VALUE"""),1032.0)</f>
        <v>1032</v>
      </c>
      <c r="F4676" s="2">
        <f>IFERROR(__xludf.DUMMYFUNCTION("""COMPUTED_VALUE"""),3223860.0)</f>
        <v>3223860</v>
      </c>
    </row>
    <row r="4677">
      <c r="A4677" s="3">
        <f>IFERROR(__xludf.DUMMYFUNCTION("""COMPUTED_VALUE"""),43432.64583333333)</f>
        <v>43432.64583</v>
      </c>
      <c r="B4677" s="2">
        <f>IFERROR(__xludf.DUMMYFUNCTION("""COMPUTED_VALUE"""),1032.5)</f>
        <v>1032.5</v>
      </c>
      <c r="C4677" s="2">
        <f>IFERROR(__xludf.DUMMYFUNCTION("""COMPUTED_VALUE"""),1049.3)</f>
        <v>1049.3</v>
      </c>
      <c r="D4677" s="2">
        <f>IFERROR(__xludf.DUMMYFUNCTION("""COMPUTED_VALUE"""),1030.05)</f>
        <v>1030.05</v>
      </c>
      <c r="E4677" s="2">
        <f>IFERROR(__xludf.DUMMYFUNCTION("""COMPUTED_VALUE"""),1044.63)</f>
        <v>1044.63</v>
      </c>
      <c r="F4677" s="2">
        <f>IFERROR(__xludf.DUMMYFUNCTION("""COMPUTED_VALUE"""),3255277.0)</f>
        <v>3255277</v>
      </c>
    </row>
    <row r="4678">
      <c r="A4678" s="3">
        <f>IFERROR(__xludf.DUMMYFUNCTION("""COMPUTED_VALUE"""),43433.64583333333)</f>
        <v>43433.64583</v>
      </c>
      <c r="B4678" s="2">
        <f>IFERROR(__xludf.DUMMYFUNCTION("""COMPUTED_VALUE"""),1050.5)</f>
        <v>1050.5</v>
      </c>
      <c r="C4678" s="2">
        <f>IFERROR(__xludf.DUMMYFUNCTION("""COMPUTED_VALUE"""),1068.7)</f>
        <v>1068.7</v>
      </c>
      <c r="D4678" s="2">
        <f>IFERROR(__xludf.DUMMYFUNCTION("""COMPUTED_VALUE"""),1047.0)</f>
        <v>1047</v>
      </c>
      <c r="E4678" s="2">
        <f>IFERROR(__xludf.DUMMYFUNCTION("""COMPUTED_VALUE"""),1065.53)</f>
        <v>1065.53</v>
      </c>
      <c r="F4678" s="2">
        <f>IFERROR(__xludf.DUMMYFUNCTION("""COMPUTED_VALUE"""),7977159.0)</f>
        <v>7977159</v>
      </c>
    </row>
    <row r="4679">
      <c r="A4679" s="3">
        <f>IFERROR(__xludf.DUMMYFUNCTION("""COMPUTED_VALUE"""),43434.64583333333)</f>
        <v>43434.64583</v>
      </c>
      <c r="B4679" s="2">
        <f>IFERROR(__xludf.DUMMYFUNCTION("""COMPUTED_VALUE"""),1065.0)</f>
        <v>1065</v>
      </c>
      <c r="C4679" s="2">
        <f>IFERROR(__xludf.DUMMYFUNCTION("""COMPUTED_VALUE"""),1068.78)</f>
        <v>1068.78</v>
      </c>
      <c r="D4679" s="2">
        <f>IFERROR(__xludf.DUMMYFUNCTION("""COMPUTED_VALUE"""),1055.0)</f>
        <v>1055</v>
      </c>
      <c r="E4679" s="2">
        <f>IFERROR(__xludf.DUMMYFUNCTION("""COMPUTED_VALUE"""),1064.22)</f>
        <v>1064.22</v>
      </c>
      <c r="F4679" s="2">
        <f>IFERROR(__xludf.DUMMYFUNCTION("""COMPUTED_VALUE"""),3260231.0)</f>
        <v>3260231</v>
      </c>
    </row>
    <row r="4680">
      <c r="A4680" s="3">
        <f>IFERROR(__xludf.DUMMYFUNCTION("""COMPUTED_VALUE"""),43437.64583333333)</f>
        <v>43437.64583</v>
      </c>
      <c r="B4680" s="2">
        <f>IFERROR(__xludf.DUMMYFUNCTION("""COMPUTED_VALUE"""),1065.5)</f>
        <v>1065.5</v>
      </c>
      <c r="C4680" s="2">
        <f>IFERROR(__xludf.DUMMYFUNCTION("""COMPUTED_VALUE"""),1071.0)</f>
        <v>1071</v>
      </c>
      <c r="D4680" s="2">
        <f>IFERROR(__xludf.DUMMYFUNCTION("""COMPUTED_VALUE"""),1053.45)</f>
        <v>1053.45</v>
      </c>
      <c r="E4680" s="2">
        <f>IFERROR(__xludf.DUMMYFUNCTION("""COMPUTED_VALUE"""),1056.65)</f>
        <v>1056.65</v>
      </c>
      <c r="F4680" s="2">
        <f>IFERROR(__xludf.DUMMYFUNCTION("""COMPUTED_VALUE"""),2699964.0)</f>
        <v>2699964</v>
      </c>
    </row>
    <row r="4681">
      <c r="A4681" s="3">
        <f>IFERROR(__xludf.DUMMYFUNCTION("""COMPUTED_VALUE"""),43438.64583333333)</f>
        <v>43438.64583</v>
      </c>
      <c r="B4681" s="2">
        <f>IFERROR(__xludf.DUMMYFUNCTION("""COMPUTED_VALUE"""),1052.7)</f>
        <v>1052.7</v>
      </c>
      <c r="C4681" s="2">
        <f>IFERROR(__xludf.DUMMYFUNCTION("""COMPUTED_VALUE"""),1055.5)</f>
        <v>1055.5</v>
      </c>
      <c r="D4681" s="2">
        <f>IFERROR(__xludf.DUMMYFUNCTION("""COMPUTED_VALUE"""),1039.3)</f>
        <v>1039.3</v>
      </c>
      <c r="E4681" s="2">
        <f>IFERROR(__xludf.DUMMYFUNCTION("""COMPUTED_VALUE"""),1042.78)</f>
        <v>1042.78</v>
      </c>
      <c r="F4681" s="2">
        <f>IFERROR(__xludf.DUMMYFUNCTION("""COMPUTED_VALUE"""),2039355.0)</f>
        <v>2039355</v>
      </c>
    </row>
    <row r="4682">
      <c r="A4682" s="3">
        <f>IFERROR(__xludf.DUMMYFUNCTION("""COMPUTED_VALUE"""),43439.64583333333)</f>
        <v>43439.64583</v>
      </c>
      <c r="B4682" s="2">
        <f>IFERROR(__xludf.DUMMYFUNCTION("""COMPUTED_VALUE"""),1039.0)</f>
        <v>1039</v>
      </c>
      <c r="C4682" s="2">
        <f>IFERROR(__xludf.DUMMYFUNCTION("""COMPUTED_VALUE"""),1052.65)</f>
        <v>1052.65</v>
      </c>
      <c r="D4682" s="2">
        <f>IFERROR(__xludf.DUMMYFUNCTION("""COMPUTED_VALUE"""),1037.97)</f>
        <v>1037.97</v>
      </c>
      <c r="E4682" s="2">
        <f>IFERROR(__xludf.DUMMYFUNCTION("""COMPUTED_VALUE"""),1049.6)</f>
        <v>1049.6</v>
      </c>
      <c r="F4682" s="2">
        <f>IFERROR(__xludf.DUMMYFUNCTION("""COMPUTED_VALUE"""),2949711.0)</f>
        <v>2949711</v>
      </c>
    </row>
    <row r="4683">
      <c r="A4683" s="3">
        <f>IFERROR(__xludf.DUMMYFUNCTION("""COMPUTED_VALUE"""),43440.64583333333)</f>
        <v>43440.64583</v>
      </c>
      <c r="B4683" s="2">
        <f>IFERROR(__xludf.DUMMYFUNCTION("""COMPUTED_VALUE"""),1044.85)</f>
        <v>1044.85</v>
      </c>
      <c r="C4683" s="2">
        <f>IFERROR(__xludf.DUMMYFUNCTION("""COMPUTED_VALUE"""),1050.83)</f>
        <v>1050.83</v>
      </c>
      <c r="D4683" s="2">
        <f>IFERROR(__xludf.DUMMYFUNCTION("""COMPUTED_VALUE"""),1042.5)</f>
        <v>1042.5</v>
      </c>
      <c r="E4683" s="2">
        <f>IFERROR(__xludf.DUMMYFUNCTION("""COMPUTED_VALUE"""),1048.53)</f>
        <v>1048.53</v>
      </c>
      <c r="F4683" s="2">
        <f>IFERROR(__xludf.DUMMYFUNCTION("""COMPUTED_VALUE"""),2932563.0)</f>
        <v>2932563</v>
      </c>
    </row>
    <row r="4684">
      <c r="A4684" s="3">
        <f>IFERROR(__xludf.DUMMYFUNCTION("""COMPUTED_VALUE"""),43441.64583333333)</f>
        <v>43441.64583</v>
      </c>
      <c r="B4684" s="2">
        <f>IFERROR(__xludf.DUMMYFUNCTION("""COMPUTED_VALUE"""),1053.35)</f>
        <v>1053.35</v>
      </c>
      <c r="C4684" s="2">
        <f>IFERROR(__xludf.DUMMYFUNCTION("""COMPUTED_VALUE"""),1059.0)</f>
        <v>1059</v>
      </c>
      <c r="D4684" s="2">
        <f>IFERROR(__xludf.DUMMYFUNCTION("""COMPUTED_VALUE"""),1040.15)</f>
        <v>1040.15</v>
      </c>
      <c r="E4684" s="2">
        <f>IFERROR(__xludf.DUMMYFUNCTION("""COMPUTED_VALUE"""),1053.8)</f>
        <v>1053.8</v>
      </c>
      <c r="F4684" s="2">
        <f>IFERROR(__xludf.DUMMYFUNCTION("""COMPUTED_VALUE"""),2475980.0)</f>
        <v>2475980</v>
      </c>
    </row>
    <row r="4685">
      <c r="A4685" s="3">
        <f>IFERROR(__xludf.DUMMYFUNCTION("""COMPUTED_VALUE"""),43444.64583333333)</f>
        <v>43444.64583</v>
      </c>
      <c r="B4685" s="2">
        <f>IFERROR(__xludf.DUMMYFUNCTION("""COMPUTED_VALUE"""),1032.95)</f>
        <v>1032.95</v>
      </c>
      <c r="C4685" s="2">
        <f>IFERROR(__xludf.DUMMYFUNCTION("""COMPUTED_VALUE"""),1052.4)</f>
        <v>1052.4</v>
      </c>
      <c r="D4685" s="2">
        <f>IFERROR(__xludf.DUMMYFUNCTION("""COMPUTED_VALUE"""),1032.95)</f>
        <v>1032.95</v>
      </c>
      <c r="E4685" s="2">
        <f>IFERROR(__xludf.DUMMYFUNCTION("""COMPUTED_VALUE"""),1044.38)</f>
        <v>1044.38</v>
      </c>
      <c r="F4685" s="2">
        <f>IFERROR(__xludf.DUMMYFUNCTION("""COMPUTED_VALUE"""),2728764.0)</f>
        <v>2728764</v>
      </c>
    </row>
    <row r="4686">
      <c r="A4686" s="3">
        <f>IFERROR(__xludf.DUMMYFUNCTION("""COMPUTED_VALUE"""),43445.64583333333)</f>
        <v>43445.64583</v>
      </c>
      <c r="B4686" s="2">
        <f>IFERROR(__xludf.DUMMYFUNCTION("""COMPUTED_VALUE"""),1028.0)</f>
        <v>1028</v>
      </c>
      <c r="C4686" s="2">
        <f>IFERROR(__xludf.DUMMYFUNCTION("""COMPUTED_VALUE"""),1035.65)</f>
        <v>1035.65</v>
      </c>
      <c r="D4686" s="2">
        <f>IFERROR(__xludf.DUMMYFUNCTION("""COMPUTED_VALUE"""),1016.0)</f>
        <v>1016</v>
      </c>
      <c r="E4686" s="2">
        <f>IFERROR(__xludf.DUMMYFUNCTION("""COMPUTED_VALUE"""),1029.78)</f>
        <v>1029.78</v>
      </c>
      <c r="F4686" s="2">
        <f>IFERROR(__xludf.DUMMYFUNCTION("""COMPUTED_VALUE"""),4726445.0)</f>
        <v>4726445</v>
      </c>
    </row>
    <row r="4687">
      <c r="A4687" s="3">
        <f>IFERROR(__xludf.DUMMYFUNCTION("""COMPUTED_VALUE"""),43446.64583333333)</f>
        <v>43446.64583</v>
      </c>
      <c r="B4687" s="2">
        <f>IFERROR(__xludf.DUMMYFUNCTION("""COMPUTED_VALUE"""),1033.47)</f>
        <v>1033.47</v>
      </c>
      <c r="C4687" s="2">
        <f>IFERROR(__xludf.DUMMYFUNCTION("""COMPUTED_VALUE"""),1044.9)</f>
        <v>1044.9</v>
      </c>
      <c r="D4687" s="2">
        <f>IFERROR(__xludf.DUMMYFUNCTION("""COMPUTED_VALUE"""),1030.05)</f>
        <v>1030.05</v>
      </c>
      <c r="E4687" s="2">
        <f>IFERROR(__xludf.DUMMYFUNCTION("""COMPUTED_VALUE"""),1042.65)</f>
        <v>1042.65</v>
      </c>
      <c r="F4687" s="2">
        <f>IFERROR(__xludf.DUMMYFUNCTION("""COMPUTED_VALUE"""),2842622.0)</f>
        <v>2842622</v>
      </c>
    </row>
    <row r="4688">
      <c r="A4688" s="3">
        <f>IFERROR(__xludf.DUMMYFUNCTION("""COMPUTED_VALUE"""),43447.64583333333)</f>
        <v>43447.64583</v>
      </c>
      <c r="B4688" s="2">
        <f>IFERROR(__xludf.DUMMYFUNCTION("""COMPUTED_VALUE"""),1047.5)</f>
        <v>1047.5</v>
      </c>
      <c r="C4688" s="2">
        <f>IFERROR(__xludf.DUMMYFUNCTION("""COMPUTED_VALUE"""),1062.5)</f>
        <v>1062.5</v>
      </c>
      <c r="D4688" s="2">
        <f>IFERROR(__xludf.DUMMYFUNCTION("""COMPUTED_VALUE"""),1045.65)</f>
        <v>1045.65</v>
      </c>
      <c r="E4688" s="2">
        <f>IFERROR(__xludf.DUMMYFUNCTION("""COMPUTED_VALUE"""),1050.65)</f>
        <v>1050.65</v>
      </c>
      <c r="F4688" s="2">
        <f>IFERROR(__xludf.DUMMYFUNCTION("""COMPUTED_VALUE"""),1766059.0)</f>
        <v>1766059</v>
      </c>
    </row>
    <row r="4689">
      <c r="A4689" s="3">
        <f>IFERROR(__xludf.DUMMYFUNCTION("""COMPUTED_VALUE"""),43448.64583333333)</f>
        <v>43448.64583</v>
      </c>
      <c r="B4689" s="2">
        <f>IFERROR(__xludf.DUMMYFUNCTION("""COMPUTED_VALUE"""),1052.45)</f>
        <v>1052.45</v>
      </c>
      <c r="C4689" s="2">
        <f>IFERROR(__xludf.DUMMYFUNCTION("""COMPUTED_VALUE"""),1059.0)</f>
        <v>1059</v>
      </c>
      <c r="D4689" s="2">
        <f>IFERROR(__xludf.DUMMYFUNCTION("""COMPUTED_VALUE"""),1044.03)</f>
        <v>1044.03</v>
      </c>
      <c r="E4689" s="2">
        <f>IFERROR(__xludf.DUMMYFUNCTION("""COMPUTED_VALUE"""),1047.85)</f>
        <v>1047.85</v>
      </c>
      <c r="F4689" s="2">
        <f>IFERROR(__xludf.DUMMYFUNCTION("""COMPUTED_VALUE"""),1539571.0)</f>
        <v>1539571</v>
      </c>
    </row>
    <row r="4690">
      <c r="A4690" s="3">
        <f>IFERROR(__xludf.DUMMYFUNCTION("""COMPUTED_VALUE"""),43451.64583333333)</f>
        <v>43451.64583</v>
      </c>
      <c r="B4690" s="2">
        <f>IFERROR(__xludf.DUMMYFUNCTION("""COMPUTED_VALUE"""),1052.0)</f>
        <v>1052</v>
      </c>
      <c r="C4690" s="2">
        <f>IFERROR(__xludf.DUMMYFUNCTION("""COMPUTED_VALUE"""),1066.3)</f>
        <v>1066.3</v>
      </c>
      <c r="D4690" s="2">
        <f>IFERROR(__xludf.DUMMYFUNCTION("""COMPUTED_VALUE"""),1049.5)</f>
        <v>1049.5</v>
      </c>
      <c r="E4690" s="2">
        <f>IFERROR(__xludf.DUMMYFUNCTION("""COMPUTED_VALUE"""),1065.1)</f>
        <v>1065.1</v>
      </c>
      <c r="F4690" s="2">
        <f>IFERROR(__xludf.DUMMYFUNCTION("""COMPUTED_VALUE"""),2109331.0)</f>
        <v>2109331</v>
      </c>
    </row>
    <row r="4691">
      <c r="A4691" s="3">
        <f>IFERROR(__xludf.DUMMYFUNCTION("""COMPUTED_VALUE"""),43452.64583333333)</f>
        <v>43452.64583</v>
      </c>
      <c r="B4691" s="2">
        <f>IFERROR(__xludf.DUMMYFUNCTION("""COMPUTED_VALUE"""),1062.0)</f>
        <v>1062</v>
      </c>
      <c r="C4691" s="2">
        <f>IFERROR(__xludf.DUMMYFUNCTION("""COMPUTED_VALUE"""),1069.5)</f>
        <v>1069.5</v>
      </c>
      <c r="D4691" s="2">
        <f>IFERROR(__xludf.DUMMYFUNCTION("""COMPUTED_VALUE"""),1051.3)</f>
        <v>1051.3</v>
      </c>
      <c r="E4691" s="2">
        <f>IFERROR(__xludf.DUMMYFUNCTION("""COMPUTED_VALUE"""),1067.72)</f>
        <v>1067.72</v>
      </c>
      <c r="F4691" s="2">
        <f>IFERROR(__xludf.DUMMYFUNCTION("""COMPUTED_VALUE"""),1853492.0)</f>
        <v>1853492</v>
      </c>
    </row>
    <row r="4692">
      <c r="A4692" s="3">
        <f>IFERROR(__xludf.DUMMYFUNCTION("""COMPUTED_VALUE"""),43453.64583333333)</f>
        <v>43453.64583</v>
      </c>
      <c r="B4692" s="2">
        <f>IFERROR(__xludf.DUMMYFUNCTION("""COMPUTED_VALUE"""),1066.55)</f>
        <v>1066.55</v>
      </c>
      <c r="C4692" s="2">
        <f>IFERROR(__xludf.DUMMYFUNCTION("""COMPUTED_VALUE"""),1079.7)</f>
        <v>1079.7</v>
      </c>
      <c r="D4692" s="2">
        <f>IFERROR(__xludf.DUMMYFUNCTION("""COMPUTED_VALUE"""),1056.78)</f>
        <v>1056.78</v>
      </c>
      <c r="E4692" s="2">
        <f>IFERROR(__xludf.DUMMYFUNCTION("""COMPUTED_VALUE"""),1061.72)</f>
        <v>1061.72</v>
      </c>
      <c r="F4692" s="2">
        <f>IFERROR(__xludf.DUMMYFUNCTION("""COMPUTED_VALUE"""),2252474.0)</f>
        <v>2252474</v>
      </c>
    </row>
    <row r="4693">
      <c r="A4693" s="3">
        <f>IFERROR(__xludf.DUMMYFUNCTION("""COMPUTED_VALUE"""),43454.64583333333)</f>
        <v>43454.64583</v>
      </c>
      <c r="B4693" s="2">
        <f>IFERROR(__xludf.DUMMYFUNCTION("""COMPUTED_VALUE"""),1056.28)</f>
        <v>1056.28</v>
      </c>
      <c r="C4693" s="2">
        <f>IFERROR(__xludf.DUMMYFUNCTION("""COMPUTED_VALUE"""),1070.22)</f>
        <v>1070.22</v>
      </c>
      <c r="D4693" s="2">
        <f>IFERROR(__xludf.DUMMYFUNCTION("""COMPUTED_VALUE"""),1051.33)</f>
        <v>1051.33</v>
      </c>
      <c r="E4693" s="2">
        <f>IFERROR(__xludf.DUMMYFUNCTION("""COMPUTED_VALUE"""),1068.72)</f>
        <v>1068.72</v>
      </c>
      <c r="F4693" s="2">
        <f>IFERROR(__xludf.DUMMYFUNCTION("""COMPUTED_VALUE"""),1995119.0)</f>
        <v>1995119</v>
      </c>
    </row>
    <row r="4694">
      <c r="A4694" s="3">
        <f>IFERROR(__xludf.DUMMYFUNCTION("""COMPUTED_VALUE"""),43455.64583333333)</f>
        <v>43455.64583</v>
      </c>
      <c r="B4694" s="2">
        <f>IFERROR(__xludf.DUMMYFUNCTION("""COMPUTED_VALUE"""),1067.0)</f>
        <v>1067</v>
      </c>
      <c r="C4694" s="2">
        <f>IFERROR(__xludf.DUMMYFUNCTION("""COMPUTED_VALUE"""),1074.55)</f>
        <v>1074.55</v>
      </c>
      <c r="D4694" s="2">
        <f>IFERROR(__xludf.DUMMYFUNCTION("""COMPUTED_VALUE"""),1054.53)</f>
        <v>1054.53</v>
      </c>
      <c r="E4694" s="2">
        <f>IFERROR(__xludf.DUMMYFUNCTION("""COMPUTED_VALUE"""),1055.58)</f>
        <v>1055.58</v>
      </c>
      <c r="F4694" s="2">
        <f>IFERROR(__xludf.DUMMYFUNCTION("""COMPUTED_VALUE"""),2555077.0)</f>
        <v>2555077</v>
      </c>
    </row>
    <row r="4695">
      <c r="A4695" s="3">
        <f>IFERROR(__xludf.DUMMYFUNCTION("""COMPUTED_VALUE"""),43458.64583333333)</f>
        <v>43458.64583</v>
      </c>
      <c r="B4695" s="2">
        <f>IFERROR(__xludf.DUMMYFUNCTION("""COMPUTED_VALUE"""),1052.0)</f>
        <v>1052</v>
      </c>
      <c r="C4695" s="2">
        <f>IFERROR(__xludf.DUMMYFUNCTION("""COMPUTED_VALUE"""),1052.0)</f>
        <v>1052</v>
      </c>
      <c r="D4695" s="2">
        <f>IFERROR(__xludf.DUMMYFUNCTION("""COMPUTED_VALUE"""),1038.68)</f>
        <v>1038.68</v>
      </c>
      <c r="E4695" s="2">
        <f>IFERROR(__xludf.DUMMYFUNCTION("""COMPUTED_VALUE"""),1040.33)</f>
        <v>1040.33</v>
      </c>
      <c r="F4695" s="2">
        <f>IFERROR(__xludf.DUMMYFUNCTION("""COMPUTED_VALUE"""),1400372.0)</f>
        <v>1400372</v>
      </c>
    </row>
    <row r="4696">
      <c r="A4696" s="3">
        <f>IFERROR(__xludf.DUMMYFUNCTION("""COMPUTED_VALUE"""),43460.64583333333)</f>
        <v>43460.64583</v>
      </c>
      <c r="B4696" s="2">
        <f>IFERROR(__xludf.DUMMYFUNCTION("""COMPUTED_VALUE"""),1038.5)</f>
        <v>1038.5</v>
      </c>
      <c r="C4696" s="2">
        <f>IFERROR(__xludf.DUMMYFUNCTION("""COMPUTED_VALUE"""),1063.5)</f>
        <v>1063.5</v>
      </c>
      <c r="D4696" s="2">
        <f>IFERROR(__xludf.DUMMYFUNCTION("""COMPUTED_VALUE"""),1034.5)</f>
        <v>1034.5</v>
      </c>
      <c r="E4696" s="2">
        <f>IFERROR(__xludf.DUMMYFUNCTION("""COMPUTED_VALUE"""),1061.18)</f>
        <v>1061.18</v>
      </c>
      <c r="F4696" s="2">
        <f>IFERROR(__xludf.DUMMYFUNCTION("""COMPUTED_VALUE"""),1900479.0)</f>
        <v>1900479</v>
      </c>
    </row>
    <row r="4697">
      <c r="A4697" s="3">
        <f>IFERROR(__xludf.DUMMYFUNCTION("""COMPUTED_VALUE"""),43461.64583333333)</f>
        <v>43461.64583</v>
      </c>
      <c r="B4697" s="2">
        <f>IFERROR(__xludf.DUMMYFUNCTION("""COMPUTED_VALUE"""),1066.5)</f>
        <v>1066.5</v>
      </c>
      <c r="C4697" s="2">
        <f>IFERROR(__xludf.DUMMYFUNCTION("""COMPUTED_VALUE"""),1069.1)</f>
        <v>1069.1</v>
      </c>
      <c r="D4697" s="2">
        <f>IFERROR(__xludf.DUMMYFUNCTION("""COMPUTED_VALUE"""),1049.22)</f>
        <v>1049.22</v>
      </c>
      <c r="E4697" s="2">
        <f>IFERROR(__xludf.DUMMYFUNCTION("""COMPUTED_VALUE"""),1052.53)</f>
        <v>1052.53</v>
      </c>
      <c r="F4697" s="2">
        <f>IFERROR(__xludf.DUMMYFUNCTION("""COMPUTED_VALUE"""),2909967.0)</f>
        <v>2909967</v>
      </c>
    </row>
    <row r="4698">
      <c r="A4698" s="3">
        <f>IFERROR(__xludf.DUMMYFUNCTION("""COMPUTED_VALUE"""),43462.64583333333)</f>
        <v>43462.64583</v>
      </c>
      <c r="B4698" s="2">
        <f>IFERROR(__xludf.DUMMYFUNCTION("""COMPUTED_VALUE"""),1058.68)</f>
        <v>1058.68</v>
      </c>
      <c r="C4698" s="2">
        <f>IFERROR(__xludf.DUMMYFUNCTION("""COMPUTED_VALUE"""),1068.88)</f>
        <v>1068.88</v>
      </c>
      <c r="D4698" s="2">
        <f>IFERROR(__xludf.DUMMYFUNCTION("""COMPUTED_VALUE"""),1057.75)</f>
        <v>1057.75</v>
      </c>
      <c r="E4698" s="2">
        <f>IFERROR(__xludf.DUMMYFUNCTION("""COMPUTED_VALUE"""),1061.45)</f>
        <v>1061.45</v>
      </c>
      <c r="F4698" s="2">
        <f>IFERROR(__xludf.DUMMYFUNCTION("""COMPUTED_VALUE"""),2353903.0)</f>
        <v>2353903</v>
      </c>
    </row>
    <row r="4699">
      <c r="A4699" s="3">
        <f>IFERROR(__xludf.DUMMYFUNCTION("""COMPUTED_VALUE"""),43465.64583333333)</f>
        <v>43465.64583</v>
      </c>
      <c r="B4699" s="2">
        <f>IFERROR(__xludf.DUMMYFUNCTION("""COMPUTED_VALUE"""),1068.5)</f>
        <v>1068.5</v>
      </c>
      <c r="C4699" s="2">
        <f>IFERROR(__xludf.DUMMYFUNCTION("""COMPUTED_VALUE"""),1068.5)</f>
        <v>1068.5</v>
      </c>
      <c r="D4699" s="2">
        <f>IFERROR(__xludf.DUMMYFUNCTION("""COMPUTED_VALUE"""),1058.35)</f>
        <v>1058.35</v>
      </c>
      <c r="E4699" s="2">
        <f>IFERROR(__xludf.DUMMYFUNCTION("""COMPUTED_VALUE"""),1060.85)</f>
        <v>1060.85</v>
      </c>
      <c r="F4699" s="2">
        <f>IFERROR(__xludf.DUMMYFUNCTION("""COMPUTED_VALUE"""),1466632.0)</f>
        <v>1466632</v>
      </c>
    </row>
    <row r="4700">
      <c r="A4700" s="3">
        <f>IFERROR(__xludf.DUMMYFUNCTION("""COMPUTED_VALUE"""),43466.64583333333)</f>
        <v>43466.64583</v>
      </c>
      <c r="B4700" s="2">
        <f>IFERROR(__xludf.DUMMYFUNCTION("""COMPUTED_VALUE"""),1063.83)</f>
        <v>1063.83</v>
      </c>
      <c r="C4700" s="2">
        <f>IFERROR(__xludf.DUMMYFUNCTION("""COMPUTED_VALUE"""),1075.5)</f>
        <v>1075.5</v>
      </c>
      <c r="D4700" s="2">
        <f>IFERROR(__xludf.DUMMYFUNCTION("""COMPUTED_VALUE"""),1052.8)</f>
        <v>1052.8</v>
      </c>
      <c r="E4700" s="2">
        <f>IFERROR(__xludf.DUMMYFUNCTION("""COMPUTED_VALUE"""),1074.05)</f>
        <v>1074.05</v>
      </c>
      <c r="F4700" s="2">
        <f>IFERROR(__xludf.DUMMYFUNCTION("""COMPUTED_VALUE"""),1593360.0)</f>
        <v>1593360</v>
      </c>
    </row>
    <row r="4701">
      <c r="A4701" s="3">
        <f>IFERROR(__xludf.DUMMYFUNCTION("""COMPUTED_VALUE"""),43467.64583333333)</f>
        <v>43467.64583</v>
      </c>
      <c r="B4701" s="2">
        <f>IFERROR(__xludf.DUMMYFUNCTION("""COMPUTED_VALUE"""),1071.4)</f>
        <v>1071.4</v>
      </c>
      <c r="C4701" s="2">
        <f>IFERROR(__xludf.DUMMYFUNCTION("""COMPUTED_VALUE"""),1073.75)</f>
        <v>1073.75</v>
      </c>
      <c r="D4701" s="2">
        <f>IFERROR(__xludf.DUMMYFUNCTION("""COMPUTED_VALUE"""),1059.85)</f>
        <v>1059.85</v>
      </c>
      <c r="E4701" s="2">
        <f>IFERROR(__xludf.DUMMYFUNCTION("""COMPUTED_VALUE"""),1064.25)</f>
        <v>1064.25</v>
      </c>
      <c r="F4701" s="2">
        <f>IFERROR(__xludf.DUMMYFUNCTION("""COMPUTED_VALUE"""),2033558.0)</f>
        <v>2033558</v>
      </c>
    </row>
    <row r="4702">
      <c r="A4702" s="3">
        <f>IFERROR(__xludf.DUMMYFUNCTION("""COMPUTED_VALUE"""),43468.64583333333)</f>
        <v>43468.64583</v>
      </c>
      <c r="B4702" s="2">
        <f>IFERROR(__xludf.DUMMYFUNCTION("""COMPUTED_VALUE"""),1062.1)</f>
        <v>1062.1</v>
      </c>
      <c r="C4702" s="2">
        <f>IFERROR(__xludf.DUMMYFUNCTION("""COMPUTED_VALUE"""),1064.13)</f>
        <v>1064.13</v>
      </c>
      <c r="D4702" s="2">
        <f>IFERROR(__xludf.DUMMYFUNCTION("""COMPUTED_VALUE"""),1051.5)</f>
        <v>1051.5</v>
      </c>
      <c r="E4702" s="2">
        <f>IFERROR(__xludf.DUMMYFUNCTION("""COMPUTED_VALUE"""),1055.9)</f>
        <v>1055.9</v>
      </c>
      <c r="F4702" s="2">
        <f>IFERROR(__xludf.DUMMYFUNCTION("""COMPUTED_VALUE"""),3192916.0)</f>
        <v>3192916</v>
      </c>
    </row>
    <row r="4703">
      <c r="A4703" s="3">
        <f>IFERROR(__xludf.DUMMYFUNCTION("""COMPUTED_VALUE"""),43469.64583333333)</f>
        <v>43469.64583</v>
      </c>
      <c r="B4703" s="2">
        <f>IFERROR(__xludf.DUMMYFUNCTION("""COMPUTED_VALUE"""),1057.63)</f>
        <v>1057.63</v>
      </c>
      <c r="C4703" s="2">
        <f>IFERROR(__xludf.DUMMYFUNCTION("""COMPUTED_VALUE"""),1064.25)</f>
        <v>1064.25</v>
      </c>
      <c r="D4703" s="2">
        <f>IFERROR(__xludf.DUMMYFUNCTION("""COMPUTED_VALUE"""),1055.18)</f>
        <v>1055.18</v>
      </c>
      <c r="E4703" s="2">
        <f>IFERROR(__xludf.DUMMYFUNCTION("""COMPUTED_VALUE"""),1058.72)</f>
        <v>1058.72</v>
      </c>
      <c r="F4703" s="2">
        <f>IFERROR(__xludf.DUMMYFUNCTION("""COMPUTED_VALUE"""),1821780.0)</f>
        <v>1821780</v>
      </c>
    </row>
    <row r="4704">
      <c r="A4704" s="3">
        <f>IFERROR(__xludf.DUMMYFUNCTION("""COMPUTED_VALUE"""),43472.64583333333)</f>
        <v>43472.64583</v>
      </c>
      <c r="B4704" s="2">
        <f>IFERROR(__xludf.DUMMYFUNCTION("""COMPUTED_VALUE"""),1063.85)</f>
        <v>1063.85</v>
      </c>
      <c r="C4704" s="2">
        <f>IFERROR(__xludf.DUMMYFUNCTION("""COMPUTED_VALUE"""),1067.68)</f>
        <v>1067.68</v>
      </c>
      <c r="D4704" s="2">
        <f>IFERROR(__xludf.DUMMYFUNCTION("""COMPUTED_VALUE"""),1059.0)</f>
        <v>1059</v>
      </c>
      <c r="E4704" s="2">
        <f>IFERROR(__xludf.DUMMYFUNCTION("""COMPUTED_VALUE"""),1060.33)</f>
        <v>1060.33</v>
      </c>
      <c r="F4704" s="2">
        <f>IFERROR(__xludf.DUMMYFUNCTION("""COMPUTED_VALUE"""),1346753.0)</f>
        <v>1346753</v>
      </c>
    </row>
    <row r="4705">
      <c r="A4705" s="3">
        <f>IFERROR(__xludf.DUMMYFUNCTION("""COMPUTED_VALUE"""),43473.64583333333)</f>
        <v>43473.64583</v>
      </c>
      <c r="B4705" s="2">
        <f>IFERROR(__xludf.DUMMYFUNCTION("""COMPUTED_VALUE"""),1061.0)</f>
        <v>1061</v>
      </c>
      <c r="C4705" s="2">
        <f>IFERROR(__xludf.DUMMYFUNCTION("""COMPUTED_VALUE"""),1061.75)</f>
        <v>1061.75</v>
      </c>
      <c r="D4705" s="2">
        <f>IFERROR(__xludf.DUMMYFUNCTION("""COMPUTED_VALUE"""),1048.33)</f>
        <v>1048.33</v>
      </c>
      <c r="E4705" s="2">
        <f>IFERROR(__xludf.DUMMYFUNCTION("""COMPUTED_VALUE"""),1051.5)</f>
        <v>1051.5</v>
      </c>
      <c r="F4705" s="2">
        <f>IFERROR(__xludf.DUMMYFUNCTION("""COMPUTED_VALUE"""),2085865.0)</f>
        <v>2085865</v>
      </c>
    </row>
    <row r="4706">
      <c r="A4706" s="3">
        <f>IFERROR(__xludf.DUMMYFUNCTION("""COMPUTED_VALUE"""),43474.64583333333)</f>
        <v>43474.64583</v>
      </c>
      <c r="B4706" s="2">
        <f>IFERROR(__xludf.DUMMYFUNCTION("""COMPUTED_VALUE"""),1059.0)</f>
        <v>1059</v>
      </c>
      <c r="C4706" s="2">
        <f>IFERROR(__xludf.DUMMYFUNCTION("""COMPUTED_VALUE"""),1060.68)</f>
        <v>1060.68</v>
      </c>
      <c r="D4706" s="2">
        <f>IFERROR(__xludf.DUMMYFUNCTION("""COMPUTED_VALUE"""),1051.3)</f>
        <v>1051.3</v>
      </c>
      <c r="E4706" s="2">
        <f>IFERROR(__xludf.DUMMYFUNCTION("""COMPUTED_VALUE"""),1058.4)</f>
        <v>1058.4</v>
      </c>
      <c r="F4706" s="2">
        <f>IFERROR(__xludf.DUMMYFUNCTION("""COMPUTED_VALUE"""),2142157.0)</f>
        <v>2142157</v>
      </c>
    </row>
    <row r="4707">
      <c r="A4707" s="3">
        <f>IFERROR(__xludf.DUMMYFUNCTION("""COMPUTED_VALUE"""),43475.64583333333)</f>
        <v>43475.64583</v>
      </c>
      <c r="B4707" s="2">
        <f>IFERROR(__xludf.DUMMYFUNCTION("""COMPUTED_VALUE"""),1058.5)</f>
        <v>1058.5</v>
      </c>
      <c r="C4707" s="2">
        <f>IFERROR(__xludf.DUMMYFUNCTION("""COMPUTED_VALUE"""),1061.9)</f>
        <v>1061.9</v>
      </c>
      <c r="D4707" s="2">
        <f>IFERROR(__xludf.DUMMYFUNCTION("""COMPUTED_VALUE"""),1046.33)</f>
        <v>1046.33</v>
      </c>
      <c r="E4707" s="2">
        <f>IFERROR(__xludf.DUMMYFUNCTION("""COMPUTED_VALUE"""),1054.25)</f>
        <v>1054.25</v>
      </c>
      <c r="F4707" s="2">
        <f>IFERROR(__xludf.DUMMYFUNCTION("""COMPUTED_VALUE"""),1922885.0)</f>
        <v>1922885</v>
      </c>
    </row>
    <row r="4708">
      <c r="A4708" s="3">
        <f>IFERROR(__xludf.DUMMYFUNCTION("""COMPUTED_VALUE"""),43476.64583333333)</f>
        <v>43476.64583</v>
      </c>
      <c r="B4708" s="2">
        <f>IFERROR(__xludf.DUMMYFUNCTION("""COMPUTED_VALUE"""),1056.9)</f>
        <v>1056.9</v>
      </c>
      <c r="C4708" s="2">
        <f>IFERROR(__xludf.DUMMYFUNCTION("""COMPUTED_VALUE"""),1062.0)</f>
        <v>1062</v>
      </c>
      <c r="D4708" s="2">
        <f>IFERROR(__xludf.DUMMYFUNCTION("""COMPUTED_VALUE"""),1054.0)</f>
        <v>1054</v>
      </c>
      <c r="E4708" s="2">
        <f>IFERROR(__xludf.DUMMYFUNCTION("""COMPUTED_VALUE"""),1055.95)</f>
        <v>1055.95</v>
      </c>
      <c r="F4708" s="2">
        <f>IFERROR(__xludf.DUMMYFUNCTION("""COMPUTED_VALUE"""),1602010.0)</f>
        <v>1602010</v>
      </c>
    </row>
    <row r="4709">
      <c r="A4709" s="3">
        <f>IFERROR(__xludf.DUMMYFUNCTION("""COMPUTED_VALUE"""),43479.64583333333)</f>
        <v>43479.64583</v>
      </c>
      <c r="B4709" s="2">
        <f>IFERROR(__xludf.DUMMYFUNCTION("""COMPUTED_VALUE"""),1054.95)</f>
        <v>1054.95</v>
      </c>
      <c r="C4709" s="2">
        <f>IFERROR(__xludf.DUMMYFUNCTION("""COMPUTED_VALUE"""),1054.95)</f>
        <v>1054.95</v>
      </c>
      <c r="D4709" s="2">
        <f>IFERROR(__xludf.DUMMYFUNCTION("""COMPUTED_VALUE"""),1049.22)</f>
        <v>1049.22</v>
      </c>
      <c r="E4709" s="2">
        <f>IFERROR(__xludf.DUMMYFUNCTION("""COMPUTED_VALUE"""),1050.83)</f>
        <v>1050.83</v>
      </c>
      <c r="F4709" s="2">
        <f>IFERROR(__xludf.DUMMYFUNCTION("""COMPUTED_VALUE"""),1213790.0)</f>
        <v>1213790</v>
      </c>
    </row>
    <row r="4710">
      <c r="A4710" s="3">
        <f>IFERROR(__xludf.DUMMYFUNCTION("""COMPUTED_VALUE"""),43480.64583333333)</f>
        <v>43480.64583</v>
      </c>
      <c r="B4710" s="2">
        <f>IFERROR(__xludf.DUMMYFUNCTION("""COMPUTED_VALUE"""),1052.53)</f>
        <v>1052.53</v>
      </c>
      <c r="C4710" s="2">
        <f>IFERROR(__xludf.DUMMYFUNCTION("""COMPUTED_VALUE"""),1063.25)</f>
        <v>1063.25</v>
      </c>
      <c r="D4710" s="2">
        <f>IFERROR(__xludf.DUMMYFUNCTION("""COMPUTED_VALUE"""),1051.0)</f>
        <v>1051</v>
      </c>
      <c r="E4710" s="2">
        <f>IFERROR(__xludf.DUMMYFUNCTION("""COMPUTED_VALUE"""),1060.95)</f>
        <v>1060.95</v>
      </c>
      <c r="F4710" s="2">
        <f>IFERROR(__xludf.DUMMYFUNCTION("""COMPUTED_VALUE"""),1271889.0)</f>
        <v>1271889</v>
      </c>
    </row>
    <row r="4711">
      <c r="A4711" s="3">
        <f>IFERROR(__xludf.DUMMYFUNCTION("""COMPUTED_VALUE"""),43481.64583333333)</f>
        <v>43481.64583</v>
      </c>
      <c r="B4711" s="2">
        <f>IFERROR(__xludf.DUMMYFUNCTION("""COMPUTED_VALUE"""),1060.03)</f>
        <v>1060.03</v>
      </c>
      <c r="C4711" s="2">
        <f>IFERROR(__xludf.DUMMYFUNCTION("""COMPUTED_VALUE"""),1062.5)</f>
        <v>1062.5</v>
      </c>
      <c r="D4711" s="2">
        <f>IFERROR(__xludf.DUMMYFUNCTION("""COMPUTED_VALUE"""),1054.13)</f>
        <v>1054.13</v>
      </c>
      <c r="E4711" s="2">
        <f>IFERROR(__xludf.DUMMYFUNCTION("""COMPUTED_VALUE"""),1060.1)</f>
        <v>1060.1</v>
      </c>
      <c r="F4711" s="2">
        <f>IFERROR(__xludf.DUMMYFUNCTION("""COMPUTED_VALUE"""),1313113.0)</f>
        <v>1313113</v>
      </c>
    </row>
    <row r="4712">
      <c r="A4712" s="3">
        <f>IFERROR(__xludf.DUMMYFUNCTION("""COMPUTED_VALUE"""),43482.64583333333)</f>
        <v>43482.64583</v>
      </c>
      <c r="B4712" s="2">
        <f>IFERROR(__xludf.DUMMYFUNCTION("""COMPUTED_VALUE"""),1062.63)</f>
        <v>1062.63</v>
      </c>
      <c r="C4712" s="2">
        <f>IFERROR(__xludf.DUMMYFUNCTION("""COMPUTED_VALUE"""),1067.95)</f>
        <v>1067.95</v>
      </c>
      <c r="D4712" s="2">
        <f>IFERROR(__xludf.DUMMYFUNCTION("""COMPUTED_VALUE"""),1056.68)</f>
        <v>1056.68</v>
      </c>
      <c r="E4712" s="2">
        <f>IFERROR(__xludf.DUMMYFUNCTION("""COMPUTED_VALUE"""),1066.15)</f>
        <v>1066.15</v>
      </c>
      <c r="F4712" s="2">
        <f>IFERROR(__xludf.DUMMYFUNCTION("""COMPUTED_VALUE"""),2060057.0)</f>
        <v>2060057</v>
      </c>
    </row>
    <row r="4713">
      <c r="A4713" s="3">
        <f>IFERROR(__xludf.DUMMYFUNCTION("""COMPUTED_VALUE"""),43483.64583333333)</f>
        <v>43483.64583</v>
      </c>
      <c r="B4713" s="2">
        <f>IFERROR(__xludf.DUMMYFUNCTION("""COMPUTED_VALUE"""),1067.5)</f>
        <v>1067.5</v>
      </c>
      <c r="C4713" s="2">
        <f>IFERROR(__xludf.DUMMYFUNCTION("""COMPUTED_VALUE"""),1069.5)</f>
        <v>1069.5</v>
      </c>
      <c r="D4713" s="2">
        <f>IFERROR(__xludf.DUMMYFUNCTION("""COMPUTED_VALUE"""),1057.28)</f>
        <v>1057.28</v>
      </c>
      <c r="E4713" s="2">
        <f>IFERROR(__xludf.DUMMYFUNCTION("""COMPUTED_VALUE"""),1065.13)</f>
        <v>1065.13</v>
      </c>
      <c r="F4713" s="2">
        <f>IFERROR(__xludf.DUMMYFUNCTION("""COMPUTED_VALUE"""),1301994.0)</f>
        <v>1301994</v>
      </c>
    </row>
    <row r="4714">
      <c r="A4714" s="3">
        <f>IFERROR(__xludf.DUMMYFUNCTION("""COMPUTED_VALUE"""),43486.64583333333)</f>
        <v>43486.64583</v>
      </c>
      <c r="B4714" s="2">
        <f>IFERROR(__xludf.DUMMYFUNCTION("""COMPUTED_VALUE"""),1069.97)</f>
        <v>1069.97</v>
      </c>
      <c r="C4714" s="2">
        <f>IFERROR(__xludf.DUMMYFUNCTION("""COMPUTED_VALUE"""),1083.25)</f>
        <v>1083.25</v>
      </c>
      <c r="D4714" s="2">
        <f>IFERROR(__xludf.DUMMYFUNCTION("""COMPUTED_VALUE"""),1063.25)</f>
        <v>1063.25</v>
      </c>
      <c r="E4714" s="2">
        <f>IFERROR(__xludf.DUMMYFUNCTION("""COMPUTED_VALUE"""),1074.08)</f>
        <v>1074.08</v>
      </c>
      <c r="F4714" s="2">
        <f>IFERROR(__xludf.DUMMYFUNCTION("""COMPUTED_VALUE"""),4390378.0)</f>
        <v>4390378</v>
      </c>
    </row>
    <row r="4715">
      <c r="A4715" s="3">
        <f>IFERROR(__xludf.DUMMYFUNCTION("""COMPUTED_VALUE"""),43487.64583333333)</f>
        <v>43487.64583</v>
      </c>
      <c r="B4715" s="2">
        <f>IFERROR(__xludf.DUMMYFUNCTION("""COMPUTED_VALUE"""),1073.0)</f>
        <v>1073</v>
      </c>
      <c r="C4715" s="2">
        <f>IFERROR(__xludf.DUMMYFUNCTION("""COMPUTED_VALUE"""),1073.4)</f>
        <v>1073.4</v>
      </c>
      <c r="D4715" s="2">
        <f>IFERROR(__xludf.DUMMYFUNCTION("""COMPUTED_VALUE"""),1064.53)</f>
        <v>1064.53</v>
      </c>
      <c r="E4715" s="2">
        <f>IFERROR(__xludf.DUMMYFUNCTION("""COMPUTED_VALUE"""),1067.93)</f>
        <v>1067.93</v>
      </c>
      <c r="F4715" s="2">
        <f>IFERROR(__xludf.DUMMYFUNCTION("""COMPUTED_VALUE"""),2199244.0)</f>
        <v>2199244</v>
      </c>
    </row>
    <row r="4716">
      <c r="A4716" s="3">
        <f>IFERROR(__xludf.DUMMYFUNCTION("""COMPUTED_VALUE"""),43488.64583333333)</f>
        <v>43488.64583</v>
      </c>
      <c r="B4716" s="2">
        <f>IFERROR(__xludf.DUMMYFUNCTION("""COMPUTED_VALUE"""),1067.0)</f>
        <v>1067</v>
      </c>
      <c r="C4716" s="2">
        <f>IFERROR(__xludf.DUMMYFUNCTION("""COMPUTED_VALUE"""),1067.93)</f>
        <v>1067.93</v>
      </c>
      <c r="D4716" s="2">
        <f>IFERROR(__xludf.DUMMYFUNCTION("""COMPUTED_VALUE"""),1050.72)</f>
        <v>1050.72</v>
      </c>
      <c r="E4716" s="2">
        <f>IFERROR(__xludf.DUMMYFUNCTION("""COMPUTED_VALUE"""),1052.7)</f>
        <v>1052.7</v>
      </c>
      <c r="F4716" s="2">
        <f>IFERROR(__xludf.DUMMYFUNCTION("""COMPUTED_VALUE"""),1906072.0)</f>
        <v>1906072</v>
      </c>
    </row>
    <row r="4717">
      <c r="A4717" s="3">
        <f>IFERROR(__xludf.DUMMYFUNCTION("""COMPUTED_VALUE"""),43489.64583333333)</f>
        <v>43489.64583</v>
      </c>
      <c r="B4717" s="2">
        <f>IFERROR(__xludf.DUMMYFUNCTION("""COMPUTED_VALUE"""),1055.0)</f>
        <v>1055</v>
      </c>
      <c r="C4717" s="2">
        <f>IFERROR(__xludf.DUMMYFUNCTION("""COMPUTED_VALUE"""),1060.83)</f>
        <v>1060.83</v>
      </c>
      <c r="D4717" s="2">
        <f>IFERROR(__xludf.DUMMYFUNCTION("""COMPUTED_VALUE"""),1048.95)</f>
        <v>1048.95</v>
      </c>
      <c r="E4717" s="2">
        <f>IFERROR(__xludf.DUMMYFUNCTION("""COMPUTED_VALUE"""),1051.13)</f>
        <v>1051.13</v>
      </c>
      <c r="F4717" s="2">
        <f>IFERROR(__xludf.DUMMYFUNCTION("""COMPUTED_VALUE"""),2527893.0)</f>
        <v>2527893</v>
      </c>
    </row>
    <row r="4718">
      <c r="A4718" s="3">
        <f>IFERROR(__xludf.DUMMYFUNCTION("""COMPUTED_VALUE"""),43490.64583333333)</f>
        <v>43490.64583</v>
      </c>
      <c r="B4718" s="2">
        <f>IFERROR(__xludf.DUMMYFUNCTION("""COMPUTED_VALUE"""),1046.5)</f>
        <v>1046.5</v>
      </c>
      <c r="C4718" s="2">
        <f>IFERROR(__xludf.DUMMYFUNCTION("""COMPUTED_VALUE"""),1055.0)</f>
        <v>1055</v>
      </c>
      <c r="D4718" s="2">
        <f>IFERROR(__xludf.DUMMYFUNCTION("""COMPUTED_VALUE"""),1045.0)</f>
        <v>1045</v>
      </c>
      <c r="E4718" s="2">
        <f>IFERROR(__xludf.DUMMYFUNCTION("""COMPUTED_VALUE"""),1048.0)</f>
        <v>1048</v>
      </c>
      <c r="F4718" s="2">
        <f>IFERROR(__xludf.DUMMYFUNCTION("""COMPUTED_VALUE"""),2815559.0)</f>
        <v>2815559</v>
      </c>
    </row>
    <row r="4719">
      <c r="A4719" s="3">
        <f>IFERROR(__xludf.DUMMYFUNCTION("""COMPUTED_VALUE"""),43493.64583333333)</f>
        <v>43493.64583</v>
      </c>
      <c r="B4719" s="2">
        <f>IFERROR(__xludf.DUMMYFUNCTION("""COMPUTED_VALUE"""),1045.0)</f>
        <v>1045</v>
      </c>
      <c r="C4719" s="2">
        <f>IFERROR(__xludf.DUMMYFUNCTION("""COMPUTED_VALUE"""),1051.03)</f>
        <v>1051.03</v>
      </c>
      <c r="D4719" s="2">
        <f>IFERROR(__xludf.DUMMYFUNCTION("""COMPUTED_VALUE"""),1038.38)</f>
        <v>1038.38</v>
      </c>
      <c r="E4719" s="2">
        <f>IFERROR(__xludf.DUMMYFUNCTION("""COMPUTED_VALUE"""),1042.08)</f>
        <v>1042.08</v>
      </c>
      <c r="F4719" s="2">
        <f>IFERROR(__xludf.DUMMYFUNCTION("""COMPUTED_VALUE"""),3840109.0)</f>
        <v>3840109</v>
      </c>
    </row>
    <row r="4720">
      <c r="A4720" s="3">
        <f>IFERROR(__xludf.DUMMYFUNCTION("""COMPUTED_VALUE"""),43494.64583333333)</f>
        <v>43494.64583</v>
      </c>
      <c r="B4720" s="2">
        <f>IFERROR(__xludf.DUMMYFUNCTION("""COMPUTED_VALUE"""),1039.13)</f>
        <v>1039.13</v>
      </c>
      <c r="C4720" s="2">
        <f>IFERROR(__xludf.DUMMYFUNCTION("""COMPUTED_VALUE"""),1041.5)</f>
        <v>1041.5</v>
      </c>
      <c r="D4720" s="2">
        <f>IFERROR(__xludf.DUMMYFUNCTION("""COMPUTED_VALUE"""),1026.5)</f>
        <v>1026.5</v>
      </c>
      <c r="E4720" s="2">
        <f>IFERROR(__xludf.DUMMYFUNCTION("""COMPUTED_VALUE"""),1028.8)</f>
        <v>1028.8</v>
      </c>
      <c r="F4720" s="2">
        <f>IFERROR(__xludf.DUMMYFUNCTION("""COMPUTED_VALUE"""),3690697.0)</f>
        <v>3690697</v>
      </c>
    </row>
    <row r="4721">
      <c r="A4721" s="3">
        <f>IFERROR(__xludf.DUMMYFUNCTION("""COMPUTED_VALUE"""),43495.64583333333)</f>
        <v>43495.64583</v>
      </c>
      <c r="B4721" s="2">
        <f>IFERROR(__xludf.DUMMYFUNCTION("""COMPUTED_VALUE"""),1028.63)</f>
        <v>1028.63</v>
      </c>
      <c r="C4721" s="2">
        <f>IFERROR(__xludf.DUMMYFUNCTION("""COMPUTED_VALUE"""),1028.63)</f>
        <v>1028.63</v>
      </c>
      <c r="D4721" s="2">
        <f>IFERROR(__xludf.DUMMYFUNCTION("""COMPUTED_VALUE"""),1014.0)</f>
        <v>1014</v>
      </c>
      <c r="E4721" s="2">
        <f>IFERROR(__xludf.DUMMYFUNCTION("""COMPUTED_VALUE"""),1017.35)</f>
        <v>1017.35</v>
      </c>
      <c r="F4721" s="2">
        <f>IFERROR(__xludf.DUMMYFUNCTION("""COMPUTED_VALUE"""),4628540.0)</f>
        <v>4628540</v>
      </c>
    </row>
    <row r="4722">
      <c r="A4722" s="3">
        <f>IFERROR(__xludf.DUMMYFUNCTION("""COMPUTED_VALUE"""),43496.64583333333)</f>
        <v>43496.64583</v>
      </c>
      <c r="B4722" s="2">
        <f>IFERROR(__xludf.DUMMYFUNCTION("""COMPUTED_VALUE"""),1015.5)</f>
        <v>1015.5</v>
      </c>
      <c r="C4722" s="2">
        <f>IFERROR(__xludf.DUMMYFUNCTION("""COMPUTED_VALUE"""),1044.88)</f>
        <v>1044.88</v>
      </c>
      <c r="D4722" s="2">
        <f>IFERROR(__xludf.DUMMYFUNCTION("""COMPUTED_VALUE"""),1011.0)</f>
        <v>1011</v>
      </c>
      <c r="E4722" s="2">
        <f>IFERROR(__xludf.DUMMYFUNCTION("""COMPUTED_VALUE"""),1039.97)</f>
        <v>1039.97</v>
      </c>
      <c r="F4722" s="2">
        <f>IFERROR(__xludf.DUMMYFUNCTION("""COMPUTED_VALUE"""),4144851.0)</f>
        <v>4144851</v>
      </c>
    </row>
    <row r="4723">
      <c r="A4723" s="3">
        <f>IFERROR(__xludf.DUMMYFUNCTION("""COMPUTED_VALUE"""),43497.64583333333)</f>
        <v>43497.64583</v>
      </c>
      <c r="B4723" s="2">
        <f>IFERROR(__xludf.DUMMYFUNCTION("""COMPUTED_VALUE"""),1039.97)</f>
        <v>1039.97</v>
      </c>
      <c r="C4723" s="2">
        <f>IFERROR(__xludf.DUMMYFUNCTION("""COMPUTED_VALUE"""),1058.5)</f>
        <v>1058.5</v>
      </c>
      <c r="D4723" s="2">
        <f>IFERROR(__xludf.DUMMYFUNCTION("""COMPUTED_VALUE"""),1038.3)</f>
        <v>1038.3</v>
      </c>
      <c r="E4723" s="2">
        <f>IFERROR(__xludf.DUMMYFUNCTION("""COMPUTED_VALUE"""),1045.22)</f>
        <v>1045.22</v>
      </c>
      <c r="F4723" s="2">
        <f>IFERROR(__xludf.DUMMYFUNCTION("""COMPUTED_VALUE"""),3913547.0)</f>
        <v>3913547</v>
      </c>
    </row>
    <row r="4724">
      <c r="A4724" s="3">
        <f>IFERROR(__xludf.DUMMYFUNCTION("""COMPUTED_VALUE"""),43500.64583333333)</f>
        <v>43500.64583</v>
      </c>
      <c r="B4724" s="2">
        <f>IFERROR(__xludf.DUMMYFUNCTION("""COMPUTED_VALUE"""),1047.5)</f>
        <v>1047.5</v>
      </c>
      <c r="C4724" s="2">
        <f>IFERROR(__xludf.DUMMYFUNCTION("""COMPUTED_VALUE"""),1056.5)</f>
        <v>1056.5</v>
      </c>
      <c r="D4724" s="2">
        <f>IFERROR(__xludf.DUMMYFUNCTION("""COMPUTED_VALUE"""),1041.33)</f>
        <v>1041.33</v>
      </c>
      <c r="E4724" s="2">
        <f>IFERROR(__xludf.DUMMYFUNCTION("""COMPUTED_VALUE"""),1052.45)</f>
        <v>1052.45</v>
      </c>
      <c r="F4724" s="2">
        <f>IFERROR(__xludf.DUMMYFUNCTION("""COMPUTED_VALUE"""),1984572.0)</f>
        <v>1984572</v>
      </c>
    </row>
    <row r="4725">
      <c r="A4725" s="3">
        <f>IFERROR(__xludf.DUMMYFUNCTION("""COMPUTED_VALUE"""),43501.64583333333)</f>
        <v>43501.64583</v>
      </c>
      <c r="B4725" s="2">
        <f>IFERROR(__xludf.DUMMYFUNCTION("""COMPUTED_VALUE"""),1054.0)</f>
        <v>1054</v>
      </c>
      <c r="C4725" s="2">
        <f>IFERROR(__xludf.DUMMYFUNCTION("""COMPUTED_VALUE"""),1059.5)</f>
        <v>1059.5</v>
      </c>
      <c r="D4725" s="2">
        <f>IFERROR(__xludf.DUMMYFUNCTION("""COMPUTED_VALUE"""),1048.5)</f>
        <v>1048.5</v>
      </c>
      <c r="E4725" s="2">
        <f>IFERROR(__xludf.DUMMYFUNCTION("""COMPUTED_VALUE"""),1057.03)</f>
        <v>1057.03</v>
      </c>
      <c r="F4725" s="2">
        <f>IFERROR(__xludf.DUMMYFUNCTION("""COMPUTED_VALUE"""),2172572.0)</f>
        <v>2172572</v>
      </c>
    </row>
    <row r="4726">
      <c r="A4726" s="3">
        <f>IFERROR(__xludf.DUMMYFUNCTION("""COMPUTED_VALUE"""),43502.64583333333)</f>
        <v>43502.64583</v>
      </c>
      <c r="B4726" s="2">
        <f>IFERROR(__xludf.DUMMYFUNCTION("""COMPUTED_VALUE"""),1058.13)</f>
        <v>1058.13</v>
      </c>
      <c r="C4726" s="2">
        <f>IFERROR(__xludf.DUMMYFUNCTION("""COMPUTED_VALUE"""),1063.5)</f>
        <v>1063.5</v>
      </c>
      <c r="D4726" s="2">
        <f>IFERROR(__xludf.DUMMYFUNCTION("""COMPUTED_VALUE"""),1056.8)</f>
        <v>1056.8</v>
      </c>
      <c r="E4726" s="2">
        <f>IFERROR(__xludf.DUMMYFUNCTION("""COMPUTED_VALUE"""),1061.33)</f>
        <v>1061.33</v>
      </c>
      <c r="F4726" s="2">
        <f>IFERROR(__xludf.DUMMYFUNCTION("""COMPUTED_VALUE"""),2718921.0)</f>
        <v>2718921</v>
      </c>
    </row>
    <row r="4727">
      <c r="A4727" s="3">
        <f>IFERROR(__xludf.DUMMYFUNCTION("""COMPUTED_VALUE"""),43503.64583333333)</f>
        <v>43503.64583</v>
      </c>
      <c r="B4727" s="2">
        <f>IFERROR(__xludf.DUMMYFUNCTION("""COMPUTED_VALUE"""),1062.53)</f>
        <v>1062.53</v>
      </c>
      <c r="C4727" s="2">
        <f>IFERROR(__xludf.DUMMYFUNCTION("""COMPUTED_VALUE"""),1065.0)</f>
        <v>1065</v>
      </c>
      <c r="D4727" s="2">
        <f>IFERROR(__xludf.DUMMYFUNCTION("""COMPUTED_VALUE"""),1052.93)</f>
        <v>1052.93</v>
      </c>
      <c r="E4727" s="2">
        <f>IFERROR(__xludf.DUMMYFUNCTION("""COMPUTED_VALUE"""),1058.63)</f>
        <v>1058.63</v>
      </c>
      <c r="F4727" s="2">
        <f>IFERROR(__xludf.DUMMYFUNCTION("""COMPUTED_VALUE"""),1804327.0)</f>
        <v>1804327</v>
      </c>
    </row>
    <row r="4728">
      <c r="A4728" s="3">
        <f>IFERROR(__xludf.DUMMYFUNCTION("""COMPUTED_VALUE"""),43504.64583333333)</f>
        <v>43504.64583</v>
      </c>
      <c r="B4728" s="2">
        <f>IFERROR(__xludf.DUMMYFUNCTION("""COMPUTED_VALUE"""),1056.0)</f>
        <v>1056</v>
      </c>
      <c r="C4728" s="2">
        <f>IFERROR(__xludf.DUMMYFUNCTION("""COMPUTED_VALUE"""),1072.47)</f>
        <v>1072.47</v>
      </c>
      <c r="D4728" s="2">
        <f>IFERROR(__xludf.DUMMYFUNCTION("""COMPUTED_VALUE"""),1053.33)</f>
        <v>1053.33</v>
      </c>
      <c r="E4728" s="2">
        <f>IFERROR(__xludf.DUMMYFUNCTION("""COMPUTED_VALUE"""),1061.33)</f>
        <v>1061.33</v>
      </c>
      <c r="F4728" s="2">
        <f>IFERROR(__xludf.DUMMYFUNCTION("""COMPUTED_VALUE"""),3058911.0)</f>
        <v>3058911</v>
      </c>
    </row>
    <row r="4729">
      <c r="A4729" s="3">
        <f>IFERROR(__xludf.DUMMYFUNCTION("""COMPUTED_VALUE"""),43507.64583333333)</f>
        <v>43507.64583</v>
      </c>
      <c r="B4729" s="2">
        <f>IFERROR(__xludf.DUMMYFUNCTION("""COMPUTED_VALUE"""),1056.65)</f>
        <v>1056.65</v>
      </c>
      <c r="C4729" s="2">
        <f>IFERROR(__xludf.DUMMYFUNCTION("""COMPUTED_VALUE"""),1071.45)</f>
        <v>1071.45</v>
      </c>
      <c r="D4729" s="2">
        <f>IFERROR(__xludf.DUMMYFUNCTION("""COMPUTED_VALUE"""),1056.65)</f>
        <v>1056.65</v>
      </c>
      <c r="E4729" s="2">
        <f>IFERROR(__xludf.DUMMYFUNCTION("""COMPUTED_VALUE"""),1069.83)</f>
        <v>1069.83</v>
      </c>
      <c r="F4729" s="2">
        <f>IFERROR(__xludf.DUMMYFUNCTION("""COMPUTED_VALUE"""),1759091.0)</f>
        <v>1759091</v>
      </c>
    </row>
    <row r="4730">
      <c r="A4730" s="3">
        <f>IFERROR(__xludf.DUMMYFUNCTION("""COMPUTED_VALUE"""),43508.64583333333)</f>
        <v>43508.64583</v>
      </c>
      <c r="B4730" s="2">
        <f>IFERROR(__xludf.DUMMYFUNCTION("""COMPUTED_VALUE"""),1069.0)</f>
        <v>1069</v>
      </c>
      <c r="C4730" s="2">
        <f>IFERROR(__xludf.DUMMYFUNCTION("""COMPUTED_VALUE"""),1074.0)</f>
        <v>1074</v>
      </c>
      <c r="D4730" s="2">
        <f>IFERROR(__xludf.DUMMYFUNCTION("""COMPUTED_VALUE"""),1062.4)</f>
        <v>1062.4</v>
      </c>
      <c r="E4730" s="2">
        <f>IFERROR(__xludf.DUMMYFUNCTION("""COMPUTED_VALUE"""),1064.85)</f>
        <v>1064.85</v>
      </c>
      <c r="F4730" s="2">
        <f>IFERROR(__xludf.DUMMYFUNCTION("""COMPUTED_VALUE"""),2443097.0)</f>
        <v>2443097</v>
      </c>
    </row>
    <row r="4731">
      <c r="A4731" s="3">
        <f>IFERROR(__xludf.DUMMYFUNCTION("""COMPUTED_VALUE"""),43509.64583333333)</f>
        <v>43509.64583</v>
      </c>
      <c r="B4731" s="2">
        <f>IFERROR(__xludf.DUMMYFUNCTION("""COMPUTED_VALUE"""),1067.78)</f>
        <v>1067.78</v>
      </c>
      <c r="C4731" s="2">
        <f>IFERROR(__xludf.DUMMYFUNCTION("""COMPUTED_VALUE"""),1077.5)</f>
        <v>1077.5</v>
      </c>
      <c r="D4731" s="2">
        <f>IFERROR(__xludf.DUMMYFUNCTION("""COMPUTED_VALUE"""),1066.15)</f>
        <v>1066.15</v>
      </c>
      <c r="E4731" s="2">
        <f>IFERROR(__xludf.DUMMYFUNCTION("""COMPUTED_VALUE"""),1071.72)</f>
        <v>1071.72</v>
      </c>
      <c r="F4731" s="2">
        <f>IFERROR(__xludf.DUMMYFUNCTION("""COMPUTED_VALUE"""),2360187.0)</f>
        <v>2360187</v>
      </c>
    </row>
    <row r="4732">
      <c r="A4732" s="3">
        <f>IFERROR(__xludf.DUMMYFUNCTION("""COMPUTED_VALUE"""),43510.64583333333)</f>
        <v>43510.64583</v>
      </c>
      <c r="B4732" s="2">
        <f>IFERROR(__xludf.DUMMYFUNCTION("""COMPUTED_VALUE"""),1070.0)</f>
        <v>1070</v>
      </c>
      <c r="C4732" s="2">
        <f>IFERROR(__xludf.DUMMYFUNCTION("""COMPUTED_VALUE"""),1070.0)</f>
        <v>1070</v>
      </c>
      <c r="D4732" s="2">
        <f>IFERROR(__xludf.DUMMYFUNCTION("""COMPUTED_VALUE"""),1052.8)</f>
        <v>1052.8</v>
      </c>
      <c r="E4732" s="2">
        <f>IFERROR(__xludf.DUMMYFUNCTION("""COMPUTED_VALUE"""),1055.1)</f>
        <v>1055.1</v>
      </c>
      <c r="F4732" s="2">
        <f>IFERROR(__xludf.DUMMYFUNCTION("""COMPUTED_VALUE"""),1860347.0)</f>
        <v>1860347</v>
      </c>
    </row>
    <row r="4733">
      <c r="A4733" s="3">
        <f>IFERROR(__xludf.DUMMYFUNCTION("""COMPUTED_VALUE"""),43511.64583333333)</f>
        <v>43511.64583</v>
      </c>
      <c r="B4733" s="2">
        <f>IFERROR(__xludf.DUMMYFUNCTION("""COMPUTED_VALUE"""),1053.68)</f>
        <v>1053.68</v>
      </c>
      <c r="C4733" s="2">
        <f>IFERROR(__xludf.DUMMYFUNCTION("""COMPUTED_VALUE"""),1054.05)</f>
        <v>1054.05</v>
      </c>
      <c r="D4733" s="2">
        <f>IFERROR(__xludf.DUMMYFUNCTION("""COMPUTED_VALUE"""),1039.1)</f>
        <v>1039.1</v>
      </c>
      <c r="E4733" s="2">
        <f>IFERROR(__xludf.DUMMYFUNCTION("""COMPUTED_VALUE"""),1050.33)</f>
        <v>1050.33</v>
      </c>
      <c r="F4733" s="2">
        <f>IFERROR(__xludf.DUMMYFUNCTION("""COMPUTED_VALUE"""),2104131.0)</f>
        <v>2104131</v>
      </c>
    </row>
    <row r="4734">
      <c r="A4734" s="3">
        <f>IFERROR(__xludf.DUMMYFUNCTION("""COMPUTED_VALUE"""),43514.64583333333)</f>
        <v>43514.64583</v>
      </c>
      <c r="B4734" s="2">
        <f>IFERROR(__xludf.DUMMYFUNCTION("""COMPUTED_VALUE"""),1053.4)</f>
        <v>1053.4</v>
      </c>
      <c r="C4734" s="2">
        <f>IFERROR(__xludf.DUMMYFUNCTION("""COMPUTED_VALUE"""),1059.0)</f>
        <v>1059</v>
      </c>
      <c r="D4734" s="2">
        <f>IFERROR(__xludf.DUMMYFUNCTION("""COMPUTED_VALUE"""),1043.0)</f>
        <v>1043</v>
      </c>
      <c r="E4734" s="2">
        <f>IFERROR(__xludf.DUMMYFUNCTION("""COMPUTED_VALUE"""),1044.95)</f>
        <v>1044.95</v>
      </c>
      <c r="F4734" s="2">
        <f>IFERROR(__xludf.DUMMYFUNCTION("""COMPUTED_VALUE"""),1784686.0)</f>
        <v>1784686</v>
      </c>
    </row>
    <row r="4735">
      <c r="A4735" s="3">
        <f>IFERROR(__xludf.DUMMYFUNCTION("""COMPUTED_VALUE"""),43515.64583333333)</f>
        <v>43515.64583</v>
      </c>
      <c r="B4735" s="2">
        <f>IFERROR(__xludf.DUMMYFUNCTION("""COMPUTED_VALUE"""),1044.85)</f>
        <v>1044.85</v>
      </c>
      <c r="C4735" s="2">
        <f>IFERROR(__xludf.DUMMYFUNCTION("""COMPUTED_VALUE"""),1054.08)</f>
        <v>1054.08</v>
      </c>
      <c r="D4735" s="2">
        <f>IFERROR(__xludf.DUMMYFUNCTION("""COMPUTED_VALUE"""),1039.1)</f>
        <v>1039.1</v>
      </c>
      <c r="E4735" s="2">
        <f>IFERROR(__xludf.DUMMYFUNCTION("""COMPUTED_VALUE"""),1042.03)</f>
        <v>1042.03</v>
      </c>
      <c r="F4735" s="2">
        <f>IFERROR(__xludf.DUMMYFUNCTION("""COMPUTED_VALUE"""),1317159.0)</f>
        <v>1317159</v>
      </c>
    </row>
    <row r="4736">
      <c r="A4736" s="3">
        <f>IFERROR(__xludf.DUMMYFUNCTION("""COMPUTED_VALUE"""),43516.64583333333)</f>
        <v>43516.64583</v>
      </c>
      <c r="B4736" s="2">
        <f>IFERROR(__xludf.DUMMYFUNCTION("""COMPUTED_VALUE"""),1044.25)</f>
        <v>1044.25</v>
      </c>
      <c r="C4736" s="2">
        <f>IFERROR(__xludf.DUMMYFUNCTION("""COMPUTED_VALUE"""),1055.5)</f>
        <v>1055.5</v>
      </c>
      <c r="D4736" s="2">
        <f>IFERROR(__xludf.DUMMYFUNCTION("""COMPUTED_VALUE"""),1040.95)</f>
        <v>1040.95</v>
      </c>
      <c r="E4736" s="2">
        <f>IFERROR(__xludf.DUMMYFUNCTION("""COMPUTED_VALUE"""),1054.18)</f>
        <v>1054.18</v>
      </c>
      <c r="F4736" s="2">
        <f>IFERROR(__xludf.DUMMYFUNCTION("""COMPUTED_VALUE"""),1223125.0)</f>
        <v>1223125</v>
      </c>
    </row>
    <row r="4737">
      <c r="A4737" s="3">
        <f>IFERROR(__xludf.DUMMYFUNCTION("""COMPUTED_VALUE"""),43517.64583333333)</f>
        <v>43517.64583</v>
      </c>
      <c r="B4737" s="2">
        <f>IFERROR(__xludf.DUMMYFUNCTION("""COMPUTED_VALUE"""),1050.85)</f>
        <v>1050.85</v>
      </c>
      <c r="C4737" s="2">
        <f>IFERROR(__xludf.DUMMYFUNCTION("""COMPUTED_VALUE"""),1059.97)</f>
        <v>1059.97</v>
      </c>
      <c r="D4737" s="2">
        <f>IFERROR(__xludf.DUMMYFUNCTION("""COMPUTED_VALUE"""),1046.8)</f>
        <v>1046.8</v>
      </c>
      <c r="E4737" s="2">
        <f>IFERROR(__xludf.DUMMYFUNCTION("""COMPUTED_VALUE"""),1057.95)</f>
        <v>1057.95</v>
      </c>
      <c r="F4737" s="2">
        <f>IFERROR(__xludf.DUMMYFUNCTION("""COMPUTED_VALUE"""),1315386.0)</f>
        <v>1315386</v>
      </c>
    </row>
    <row r="4738">
      <c r="A4738" s="3">
        <f>IFERROR(__xludf.DUMMYFUNCTION("""COMPUTED_VALUE"""),43518.64583333333)</f>
        <v>43518.64583</v>
      </c>
      <c r="B4738" s="2">
        <f>IFERROR(__xludf.DUMMYFUNCTION("""COMPUTED_VALUE"""),1059.7)</f>
        <v>1059.7</v>
      </c>
      <c r="C4738" s="2">
        <f>IFERROR(__xludf.DUMMYFUNCTION("""COMPUTED_VALUE"""),1064.05)</f>
        <v>1064.05</v>
      </c>
      <c r="D4738" s="2">
        <f>IFERROR(__xludf.DUMMYFUNCTION("""COMPUTED_VALUE"""),1044.55)</f>
        <v>1044.55</v>
      </c>
      <c r="E4738" s="2">
        <f>IFERROR(__xludf.DUMMYFUNCTION("""COMPUTED_VALUE"""),1045.72)</f>
        <v>1045.72</v>
      </c>
      <c r="F4738" s="2">
        <f>IFERROR(__xludf.DUMMYFUNCTION("""COMPUTED_VALUE"""),2222677.0)</f>
        <v>2222677</v>
      </c>
    </row>
    <row r="4739">
      <c r="A4739" s="3">
        <f>IFERROR(__xludf.DUMMYFUNCTION("""COMPUTED_VALUE"""),43521.64583333333)</f>
        <v>43521.64583</v>
      </c>
      <c r="B4739" s="2">
        <f>IFERROR(__xludf.DUMMYFUNCTION("""COMPUTED_VALUE"""),1047.58)</f>
        <v>1047.58</v>
      </c>
      <c r="C4739" s="2">
        <f>IFERROR(__xludf.DUMMYFUNCTION("""COMPUTED_VALUE"""),1064.97)</f>
        <v>1064.97</v>
      </c>
      <c r="D4739" s="2">
        <f>IFERROR(__xludf.DUMMYFUNCTION("""COMPUTED_VALUE"""),1047.58)</f>
        <v>1047.58</v>
      </c>
      <c r="E4739" s="2">
        <f>IFERROR(__xludf.DUMMYFUNCTION("""COMPUTED_VALUE"""),1062.7)</f>
        <v>1062.7</v>
      </c>
      <c r="F4739" s="2">
        <f>IFERROR(__xludf.DUMMYFUNCTION("""COMPUTED_VALUE"""),2035149.0)</f>
        <v>2035149</v>
      </c>
    </row>
    <row r="4740">
      <c r="A4740" s="3">
        <f>IFERROR(__xludf.DUMMYFUNCTION("""COMPUTED_VALUE"""),43522.64583333333)</f>
        <v>43522.64583</v>
      </c>
      <c r="B4740" s="2">
        <f>IFERROR(__xludf.DUMMYFUNCTION("""COMPUTED_VALUE"""),1055.63)</f>
        <v>1055.63</v>
      </c>
      <c r="C4740" s="2">
        <f>IFERROR(__xludf.DUMMYFUNCTION("""COMPUTED_VALUE"""),1062.5)</f>
        <v>1062.5</v>
      </c>
      <c r="D4740" s="2">
        <f>IFERROR(__xludf.DUMMYFUNCTION("""COMPUTED_VALUE"""),1050.55)</f>
        <v>1050.55</v>
      </c>
      <c r="E4740" s="2">
        <f>IFERROR(__xludf.DUMMYFUNCTION("""COMPUTED_VALUE"""),1055.33)</f>
        <v>1055.33</v>
      </c>
      <c r="F4740" s="2">
        <f>IFERROR(__xludf.DUMMYFUNCTION("""COMPUTED_VALUE"""),2401857.0)</f>
        <v>2401857</v>
      </c>
    </row>
    <row r="4741">
      <c r="A4741" s="3">
        <f>IFERROR(__xludf.DUMMYFUNCTION("""COMPUTED_VALUE"""),43523.64583333333)</f>
        <v>43523.64583</v>
      </c>
      <c r="B4741" s="2">
        <f>IFERROR(__xludf.DUMMYFUNCTION("""COMPUTED_VALUE"""),1058.05)</f>
        <v>1058.05</v>
      </c>
      <c r="C4741" s="2">
        <f>IFERROR(__xludf.DUMMYFUNCTION("""COMPUTED_VALUE"""),1062.22)</f>
        <v>1062.22</v>
      </c>
      <c r="D4741" s="2">
        <f>IFERROR(__xludf.DUMMYFUNCTION("""COMPUTED_VALUE"""),1044.08)</f>
        <v>1044.08</v>
      </c>
      <c r="E4741" s="2">
        <f>IFERROR(__xludf.DUMMYFUNCTION("""COMPUTED_VALUE"""),1046.13)</f>
        <v>1046.13</v>
      </c>
      <c r="F4741" s="2">
        <f>IFERROR(__xludf.DUMMYFUNCTION("""COMPUTED_VALUE"""),1757523.0)</f>
        <v>1757523</v>
      </c>
    </row>
    <row r="4742">
      <c r="A4742" s="3">
        <f>IFERROR(__xludf.DUMMYFUNCTION("""COMPUTED_VALUE"""),43524.64583333333)</f>
        <v>43524.64583</v>
      </c>
      <c r="B4742" s="2">
        <f>IFERROR(__xludf.DUMMYFUNCTION("""COMPUTED_VALUE"""),1046.55)</f>
        <v>1046.55</v>
      </c>
      <c r="C4742" s="2">
        <f>IFERROR(__xludf.DUMMYFUNCTION("""COMPUTED_VALUE"""),1052.93)</f>
        <v>1052.93</v>
      </c>
      <c r="D4742" s="2">
        <f>IFERROR(__xludf.DUMMYFUNCTION("""COMPUTED_VALUE"""),1036.6)</f>
        <v>1036.6</v>
      </c>
      <c r="E4742" s="2">
        <f>IFERROR(__xludf.DUMMYFUNCTION("""COMPUTED_VALUE"""),1038.78)</f>
        <v>1038.78</v>
      </c>
      <c r="F4742" s="2">
        <f>IFERROR(__xludf.DUMMYFUNCTION("""COMPUTED_VALUE"""),2911344.0)</f>
        <v>2911344</v>
      </c>
    </row>
    <row r="4743">
      <c r="A4743" s="3">
        <f>IFERROR(__xludf.DUMMYFUNCTION("""COMPUTED_VALUE"""),43525.64583333333)</f>
        <v>43525.64583</v>
      </c>
      <c r="B4743" s="2">
        <f>IFERROR(__xludf.DUMMYFUNCTION("""COMPUTED_VALUE"""),1043.13)</f>
        <v>1043.13</v>
      </c>
      <c r="C4743" s="2">
        <f>IFERROR(__xludf.DUMMYFUNCTION("""COMPUTED_VALUE"""),1050.45)</f>
        <v>1050.45</v>
      </c>
      <c r="D4743" s="2">
        <f>IFERROR(__xludf.DUMMYFUNCTION("""COMPUTED_VALUE"""),1038.5)</f>
        <v>1038.5</v>
      </c>
      <c r="E4743" s="2">
        <f>IFERROR(__xludf.DUMMYFUNCTION("""COMPUTED_VALUE"""),1041.68)</f>
        <v>1041.68</v>
      </c>
      <c r="F4743" s="2">
        <f>IFERROR(__xludf.DUMMYFUNCTION("""COMPUTED_VALUE"""),2338232.0)</f>
        <v>2338232</v>
      </c>
    </row>
    <row r="4744">
      <c r="A4744" s="3">
        <f>IFERROR(__xludf.DUMMYFUNCTION("""COMPUTED_VALUE"""),43529.64583333333)</f>
        <v>43529.64583</v>
      </c>
      <c r="B4744" s="2">
        <f>IFERROR(__xludf.DUMMYFUNCTION("""COMPUTED_VALUE"""),1044.45)</f>
        <v>1044.45</v>
      </c>
      <c r="C4744" s="2">
        <f>IFERROR(__xludf.DUMMYFUNCTION("""COMPUTED_VALUE"""),1055.55)</f>
        <v>1055.55</v>
      </c>
      <c r="D4744" s="2">
        <f>IFERROR(__xludf.DUMMYFUNCTION("""COMPUTED_VALUE"""),1035.0)</f>
        <v>1035</v>
      </c>
      <c r="E4744" s="2">
        <f>IFERROR(__xludf.DUMMYFUNCTION("""COMPUTED_VALUE"""),1053.55)</f>
        <v>1053.55</v>
      </c>
      <c r="F4744" s="2">
        <f>IFERROR(__xludf.DUMMYFUNCTION("""COMPUTED_VALUE"""),2959319.0)</f>
        <v>2959319</v>
      </c>
    </row>
    <row r="4745">
      <c r="A4745" s="3">
        <f>IFERROR(__xludf.DUMMYFUNCTION("""COMPUTED_VALUE"""),43530.64583333333)</f>
        <v>43530.64583</v>
      </c>
      <c r="B4745" s="2">
        <f>IFERROR(__xludf.DUMMYFUNCTION("""COMPUTED_VALUE"""),1055.0)</f>
        <v>1055</v>
      </c>
      <c r="C4745" s="2">
        <f>IFERROR(__xludf.DUMMYFUNCTION("""COMPUTED_VALUE"""),1055.15)</f>
        <v>1055.15</v>
      </c>
      <c r="D4745" s="2">
        <f>IFERROR(__xludf.DUMMYFUNCTION("""COMPUTED_VALUE"""),1045.28)</f>
        <v>1045.28</v>
      </c>
      <c r="E4745" s="2">
        <f>IFERROR(__xludf.DUMMYFUNCTION("""COMPUTED_VALUE"""),1052.13)</f>
        <v>1052.13</v>
      </c>
      <c r="F4745" s="2">
        <f>IFERROR(__xludf.DUMMYFUNCTION("""COMPUTED_VALUE"""),2114511.0)</f>
        <v>2114511</v>
      </c>
    </row>
    <row r="4746">
      <c r="A4746" s="3">
        <f>IFERROR(__xludf.DUMMYFUNCTION("""COMPUTED_VALUE"""),43531.64583333333)</f>
        <v>43531.64583</v>
      </c>
      <c r="B4746" s="2">
        <f>IFERROR(__xludf.DUMMYFUNCTION("""COMPUTED_VALUE"""),1054.8)</f>
        <v>1054.8</v>
      </c>
      <c r="C4746" s="2">
        <f>IFERROR(__xludf.DUMMYFUNCTION("""COMPUTED_VALUE"""),1065.0)</f>
        <v>1065</v>
      </c>
      <c r="D4746" s="2">
        <f>IFERROR(__xludf.DUMMYFUNCTION("""COMPUTED_VALUE"""),1047.5)</f>
        <v>1047.5</v>
      </c>
      <c r="E4746" s="2">
        <f>IFERROR(__xludf.DUMMYFUNCTION("""COMPUTED_VALUE"""),1063.25)</f>
        <v>1063.25</v>
      </c>
      <c r="F4746" s="2">
        <f>IFERROR(__xludf.DUMMYFUNCTION("""COMPUTED_VALUE"""),2551213.0)</f>
        <v>2551213</v>
      </c>
    </row>
    <row r="4747">
      <c r="A4747" s="3">
        <f>IFERROR(__xludf.DUMMYFUNCTION("""COMPUTED_VALUE"""),43532.64583333333)</f>
        <v>43532.64583</v>
      </c>
      <c r="B4747" s="2">
        <f>IFERROR(__xludf.DUMMYFUNCTION("""COMPUTED_VALUE"""),1057.53)</f>
        <v>1057.53</v>
      </c>
      <c r="C4747" s="2">
        <f>IFERROR(__xludf.DUMMYFUNCTION("""COMPUTED_VALUE"""),1065.0)</f>
        <v>1065</v>
      </c>
      <c r="D4747" s="2">
        <f>IFERROR(__xludf.DUMMYFUNCTION("""COMPUTED_VALUE"""),1054.72)</f>
        <v>1054.72</v>
      </c>
      <c r="E4747" s="2">
        <f>IFERROR(__xludf.DUMMYFUNCTION("""COMPUTED_VALUE"""),1064.1)</f>
        <v>1064.1</v>
      </c>
      <c r="F4747" s="2">
        <f>IFERROR(__xludf.DUMMYFUNCTION("""COMPUTED_VALUE"""),1763365.0)</f>
        <v>1763365</v>
      </c>
    </row>
    <row r="4748">
      <c r="A4748" s="3">
        <f>IFERROR(__xludf.DUMMYFUNCTION("""COMPUTED_VALUE"""),43535.64583333333)</f>
        <v>43535.64583</v>
      </c>
      <c r="B4748" s="2">
        <f>IFERROR(__xludf.DUMMYFUNCTION("""COMPUTED_VALUE"""),1066.0)</f>
        <v>1066</v>
      </c>
      <c r="C4748" s="2">
        <f>IFERROR(__xludf.DUMMYFUNCTION("""COMPUTED_VALUE"""),1071.85)</f>
        <v>1071.85</v>
      </c>
      <c r="D4748" s="2">
        <f>IFERROR(__xludf.DUMMYFUNCTION("""COMPUTED_VALUE"""),1061.1)</f>
        <v>1061.1</v>
      </c>
      <c r="E4748" s="2">
        <f>IFERROR(__xludf.DUMMYFUNCTION("""COMPUTED_VALUE"""),1064.22)</f>
        <v>1064.22</v>
      </c>
      <c r="F4748" s="2">
        <f>IFERROR(__xludf.DUMMYFUNCTION("""COMPUTED_VALUE"""),2306027.0)</f>
        <v>2306027</v>
      </c>
    </row>
    <row r="4749">
      <c r="A4749" s="3">
        <f>IFERROR(__xludf.DUMMYFUNCTION("""COMPUTED_VALUE"""),43536.64583333333)</f>
        <v>43536.64583</v>
      </c>
      <c r="B4749" s="2">
        <f>IFERROR(__xludf.DUMMYFUNCTION("""COMPUTED_VALUE"""),1073.5)</f>
        <v>1073.5</v>
      </c>
      <c r="C4749" s="2">
        <f>IFERROR(__xludf.DUMMYFUNCTION("""COMPUTED_VALUE"""),1087.5)</f>
        <v>1087.5</v>
      </c>
      <c r="D4749" s="2">
        <f>IFERROR(__xludf.DUMMYFUNCTION("""COMPUTED_VALUE"""),1068.5)</f>
        <v>1068.5</v>
      </c>
      <c r="E4749" s="2">
        <f>IFERROR(__xludf.DUMMYFUNCTION("""COMPUTED_VALUE"""),1085.5)</f>
        <v>1085.5</v>
      </c>
      <c r="F4749" s="2">
        <f>IFERROR(__xludf.DUMMYFUNCTION("""COMPUTED_VALUE"""),3774323.0)</f>
        <v>3774323</v>
      </c>
    </row>
    <row r="4750">
      <c r="A4750" s="3">
        <f>IFERROR(__xludf.DUMMYFUNCTION("""COMPUTED_VALUE"""),43537.64583333333)</f>
        <v>43537.64583</v>
      </c>
      <c r="B4750" s="2">
        <f>IFERROR(__xludf.DUMMYFUNCTION("""COMPUTED_VALUE"""),1087.5)</f>
        <v>1087.5</v>
      </c>
      <c r="C4750" s="2">
        <f>IFERROR(__xludf.DUMMYFUNCTION("""COMPUTED_VALUE"""),1117.0)</f>
        <v>1117</v>
      </c>
      <c r="D4750" s="2">
        <f>IFERROR(__xludf.DUMMYFUNCTION("""COMPUTED_VALUE"""),1086.05)</f>
        <v>1086.05</v>
      </c>
      <c r="E4750" s="2">
        <f>IFERROR(__xludf.DUMMYFUNCTION("""COMPUTED_VALUE"""),1113.28)</f>
        <v>1113.28</v>
      </c>
      <c r="F4750" s="2">
        <f>IFERROR(__xludf.DUMMYFUNCTION("""COMPUTED_VALUE"""),1.4291587E7)</f>
        <v>14291587</v>
      </c>
    </row>
    <row r="4751">
      <c r="A4751" s="3">
        <f>IFERROR(__xludf.DUMMYFUNCTION("""COMPUTED_VALUE"""),43538.64583333333)</f>
        <v>43538.64583</v>
      </c>
      <c r="B4751" s="2">
        <f>IFERROR(__xludf.DUMMYFUNCTION("""COMPUTED_VALUE"""),1122.43)</f>
        <v>1122.43</v>
      </c>
      <c r="C4751" s="2">
        <f>IFERROR(__xludf.DUMMYFUNCTION("""COMPUTED_VALUE"""),1123.75)</f>
        <v>1123.75</v>
      </c>
      <c r="D4751" s="2">
        <f>IFERROR(__xludf.DUMMYFUNCTION("""COMPUTED_VALUE"""),1105.3)</f>
        <v>1105.3</v>
      </c>
      <c r="E4751" s="2">
        <f>IFERROR(__xludf.DUMMYFUNCTION("""COMPUTED_VALUE"""),1112.38)</f>
        <v>1112.38</v>
      </c>
      <c r="F4751" s="2">
        <f>IFERROR(__xludf.DUMMYFUNCTION("""COMPUTED_VALUE"""),3844966.0)</f>
        <v>3844966</v>
      </c>
    </row>
    <row r="4752">
      <c r="A4752" s="3">
        <f>IFERROR(__xludf.DUMMYFUNCTION("""COMPUTED_VALUE"""),43539.64583333333)</f>
        <v>43539.64583</v>
      </c>
      <c r="B4752" s="2">
        <f>IFERROR(__xludf.DUMMYFUNCTION("""COMPUTED_VALUE"""),1115.5)</f>
        <v>1115.5</v>
      </c>
      <c r="C4752" s="2">
        <f>IFERROR(__xludf.DUMMYFUNCTION("""COMPUTED_VALUE"""),1129.95)</f>
        <v>1129.95</v>
      </c>
      <c r="D4752" s="2">
        <f>IFERROR(__xludf.DUMMYFUNCTION("""COMPUTED_VALUE"""),1114.03)</f>
        <v>1114.03</v>
      </c>
      <c r="E4752" s="2">
        <f>IFERROR(__xludf.DUMMYFUNCTION("""COMPUTED_VALUE"""),1126.5)</f>
        <v>1126.5</v>
      </c>
      <c r="F4752" s="2">
        <f>IFERROR(__xludf.DUMMYFUNCTION("""COMPUTED_VALUE"""),3190772.0)</f>
        <v>3190772</v>
      </c>
    </row>
    <row r="4753">
      <c r="A4753" s="3">
        <f>IFERROR(__xludf.DUMMYFUNCTION("""COMPUTED_VALUE"""),43542.64583333333)</f>
        <v>43542.64583</v>
      </c>
      <c r="B4753" s="2">
        <f>IFERROR(__xludf.DUMMYFUNCTION("""COMPUTED_VALUE"""),1130.95)</f>
        <v>1130.95</v>
      </c>
      <c r="C4753" s="2">
        <f>IFERROR(__xludf.DUMMYFUNCTION("""COMPUTED_VALUE"""),1145.83)</f>
        <v>1145.83</v>
      </c>
      <c r="D4753" s="2">
        <f>IFERROR(__xludf.DUMMYFUNCTION("""COMPUTED_VALUE"""),1123.5)</f>
        <v>1123.5</v>
      </c>
      <c r="E4753" s="2">
        <f>IFERROR(__xludf.DUMMYFUNCTION("""COMPUTED_VALUE"""),1130.72)</f>
        <v>1130.72</v>
      </c>
      <c r="F4753" s="2">
        <f>IFERROR(__xludf.DUMMYFUNCTION("""COMPUTED_VALUE"""),3589680.0)</f>
        <v>3589680</v>
      </c>
    </row>
    <row r="4754">
      <c r="A4754" s="3">
        <f>IFERROR(__xludf.DUMMYFUNCTION("""COMPUTED_VALUE"""),43543.64583333333)</f>
        <v>43543.64583</v>
      </c>
      <c r="B4754" s="2">
        <f>IFERROR(__xludf.DUMMYFUNCTION("""COMPUTED_VALUE"""),1134.75)</f>
        <v>1134.75</v>
      </c>
      <c r="C4754" s="2">
        <f>IFERROR(__xludf.DUMMYFUNCTION("""COMPUTED_VALUE"""),1137.95)</f>
        <v>1137.95</v>
      </c>
      <c r="D4754" s="2">
        <f>IFERROR(__xludf.DUMMYFUNCTION("""COMPUTED_VALUE"""),1125.5)</f>
        <v>1125.5</v>
      </c>
      <c r="E4754" s="2">
        <f>IFERROR(__xludf.DUMMYFUNCTION("""COMPUTED_VALUE"""),1133.88)</f>
        <v>1133.88</v>
      </c>
      <c r="F4754" s="2">
        <f>IFERROR(__xludf.DUMMYFUNCTION("""COMPUTED_VALUE"""),2989498.0)</f>
        <v>2989498</v>
      </c>
    </row>
    <row r="4755">
      <c r="A4755" s="3">
        <f>IFERROR(__xludf.DUMMYFUNCTION("""COMPUTED_VALUE"""),43544.64583333333)</f>
        <v>43544.64583</v>
      </c>
      <c r="B4755" s="2">
        <f>IFERROR(__xludf.DUMMYFUNCTION("""COMPUTED_VALUE"""),1134.5)</f>
        <v>1134.5</v>
      </c>
      <c r="C4755" s="2">
        <f>IFERROR(__xludf.DUMMYFUNCTION("""COMPUTED_VALUE"""),1150.0)</f>
        <v>1150</v>
      </c>
      <c r="D4755" s="2">
        <f>IFERROR(__xludf.DUMMYFUNCTION("""COMPUTED_VALUE"""),1130.53)</f>
        <v>1130.53</v>
      </c>
      <c r="E4755" s="2">
        <f>IFERROR(__xludf.DUMMYFUNCTION("""COMPUTED_VALUE"""),1149.5)</f>
        <v>1149.5</v>
      </c>
      <c r="F4755" s="2">
        <f>IFERROR(__xludf.DUMMYFUNCTION("""COMPUTED_VALUE"""),2927998.0)</f>
        <v>2927998</v>
      </c>
    </row>
    <row r="4756">
      <c r="A4756" s="3">
        <f>IFERROR(__xludf.DUMMYFUNCTION("""COMPUTED_VALUE"""),43546.64583333333)</f>
        <v>43546.64583</v>
      </c>
      <c r="B4756" s="2">
        <f>IFERROR(__xludf.DUMMYFUNCTION("""COMPUTED_VALUE"""),1150.0)</f>
        <v>1150</v>
      </c>
      <c r="C4756" s="2">
        <f>IFERROR(__xludf.DUMMYFUNCTION("""COMPUTED_VALUE"""),1153.5)</f>
        <v>1153.5</v>
      </c>
      <c r="D4756" s="2">
        <f>IFERROR(__xludf.DUMMYFUNCTION("""COMPUTED_VALUE"""),1135.4)</f>
        <v>1135.4</v>
      </c>
      <c r="E4756" s="2">
        <f>IFERROR(__xludf.DUMMYFUNCTION("""COMPUTED_VALUE"""),1138.08)</f>
        <v>1138.08</v>
      </c>
      <c r="F4756" s="2">
        <f>IFERROR(__xludf.DUMMYFUNCTION("""COMPUTED_VALUE"""),7600970.0)</f>
        <v>7600970</v>
      </c>
    </row>
    <row r="4757">
      <c r="A4757" s="3">
        <f>IFERROR(__xludf.DUMMYFUNCTION("""COMPUTED_VALUE"""),43549.64583333333)</f>
        <v>43549.64583</v>
      </c>
      <c r="B4757" s="2">
        <f>IFERROR(__xludf.DUMMYFUNCTION("""COMPUTED_VALUE"""),1130.0)</f>
        <v>1130</v>
      </c>
      <c r="C4757" s="2">
        <f>IFERROR(__xludf.DUMMYFUNCTION("""COMPUTED_VALUE"""),1143.93)</f>
        <v>1143.93</v>
      </c>
      <c r="D4757" s="2">
        <f>IFERROR(__xludf.DUMMYFUNCTION("""COMPUTED_VALUE"""),1126.5)</f>
        <v>1126.5</v>
      </c>
      <c r="E4757" s="2">
        <f>IFERROR(__xludf.DUMMYFUNCTION("""COMPUTED_VALUE"""),1140.65)</f>
        <v>1140.65</v>
      </c>
      <c r="F4757" s="2">
        <f>IFERROR(__xludf.DUMMYFUNCTION("""COMPUTED_VALUE"""),2299815.0)</f>
        <v>2299815</v>
      </c>
    </row>
    <row r="4758">
      <c r="A4758" s="3">
        <f>IFERROR(__xludf.DUMMYFUNCTION("""COMPUTED_VALUE"""),43550.64583333333)</f>
        <v>43550.64583</v>
      </c>
      <c r="B4758" s="2">
        <f>IFERROR(__xludf.DUMMYFUNCTION("""COMPUTED_VALUE"""),1137.95)</f>
        <v>1137.95</v>
      </c>
      <c r="C4758" s="2">
        <f>IFERROR(__xludf.DUMMYFUNCTION("""COMPUTED_VALUE"""),1157.5)</f>
        <v>1157.5</v>
      </c>
      <c r="D4758" s="2">
        <f>IFERROR(__xludf.DUMMYFUNCTION("""COMPUTED_VALUE"""),1136.3)</f>
        <v>1136.3</v>
      </c>
      <c r="E4758" s="2">
        <f>IFERROR(__xludf.DUMMYFUNCTION("""COMPUTED_VALUE"""),1155.68)</f>
        <v>1155.68</v>
      </c>
      <c r="F4758" s="2">
        <f>IFERROR(__xludf.DUMMYFUNCTION("""COMPUTED_VALUE"""),2946712.0)</f>
        <v>2946712</v>
      </c>
    </row>
    <row r="4759">
      <c r="A4759" s="3">
        <f>IFERROR(__xludf.DUMMYFUNCTION("""COMPUTED_VALUE"""),43551.64583333333)</f>
        <v>43551.64583</v>
      </c>
      <c r="B4759" s="2">
        <f>IFERROR(__xludf.DUMMYFUNCTION("""COMPUTED_VALUE"""),1159.28)</f>
        <v>1159.28</v>
      </c>
      <c r="C4759" s="2">
        <f>IFERROR(__xludf.DUMMYFUNCTION("""COMPUTED_VALUE"""),1164.03)</f>
        <v>1164.03</v>
      </c>
      <c r="D4759" s="2">
        <f>IFERROR(__xludf.DUMMYFUNCTION("""COMPUTED_VALUE"""),1139.53)</f>
        <v>1139.53</v>
      </c>
      <c r="E4759" s="2">
        <f>IFERROR(__xludf.DUMMYFUNCTION("""COMPUTED_VALUE"""),1149.72)</f>
        <v>1149.72</v>
      </c>
      <c r="F4759" s="2">
        <f>IFERROR(__xludf.DUMMYFUNCTION("""COMPUTED_VALUE"""),3471325.0)</f>
        <v>3471325</v>
      </c>
    </row>
    <row r="4760">
      <c r="A4760" s="3">
        <f>IFERROR(__xludf.DUMMYFUNCTION("""COMPUTED_VALUE"""),43552.64583333333)</f>
        <v>43552.64583</v>
      </c>
      <c r="B4760" s="2">
        <f>IFERROR(__xludf.DUMMYFUNCTION("""COMPUTED_VALUE"""),1149.4)</f>
        <v>1149.4</v>
      </c>
      <c r="C4760" s="2">
        <f>IFERROR(__xludf.DUMMYFUNCTION("""COMPUTED_VALUE"""),1162.5)</f>
        <v>1162.5</v>
      </c>
      <c r="D4760" s="2">
        <f>IFERROR(__xludf.DUMMYFUNCTION("""COMPUTED_VALUE"""),1143.93)</f>
        <v>1143.93</v>
      </c>
      <c r="E4760" s="2">
        <f>IFERROR(__xludf.DUMMYFUNCTION("""COMPUTED_VALUE"""),1151.4)</f>
        <v>1151.4</v>
      </c>
      <c r="F4760" s="2">
        <f>IFERROR(__xludf.DUMMYFUNCTION("""COMPUTED_VALUE"""),4888582.0)</f>
        <v>4888582</v>
      </c>
    </row>
    <row r="4761">
      <c r="A4761" s="3">
        <f>IFERROR(__xludf.DUMMYFUNCTION("""COMPUTED_VALUE"""),43553.64583333333)</f>
        <v>43553.64583</v>
      </c>
      <c r="B4761" s="2">
        <f>IFERROR(__xludf.DUMMYFUNCTION("""COMPUTED_VALUE"""),1152.3)</f>
        <v>1152.3</v>
      </c>
      <c r="C4761" s="2">
        <f>IFERROR(__xludf.DUMMYFUNCTION("""COMPUTED_VALUE"""),1162.5)</f>
        <v>1162.5</v>
      </c>
      <c r="D4761" s="2">
        <f>IFERROR(__xludf.DUMMYFUNCTION("""COMPUTED_VALUE"""),1147.0)</f>
        <v>1147</v>
      </c>
      <c r="E4761" s="2">
        <f>IFERROR(__xludf.DUMMYFUNCTION("""COMPUTED_VALUE"""),1159.45)</f>
        <v>1159.45</v>
      </c>
      <c r="F4761" s="2">
        <f>IFERROR(__xludf.DUMMYFUNCTION("""COMPUTED_VALUE"""),2986742.0)</f>
        <v>2986742</v>
      </c>
    </row>
    <row r="4762">
      <c r="A4762" s="3">
        <f>IFERROR(__xludf.DUMMYFUNCTION("""COMPUTED_VALUE"""),43556.64583333333)</f>
        <v>43556.64583</v>
      </c>
      <c r="B4762" s="2">
        <f>IFERROR(__xludf.DUMMYFUNCTION("""COMPUTED_VALUE"""),1162.63)</f>
        <v>1162.63</v>
      </c>
      <c r="C4762" s="2">
        <f>IFERROR(__xludf.DUMMYFUNCTION("""COMPUTED_VALUE"""),1166.0)</f>
        <v>1166</v>
      </c>
      <c r="D4762" s="2">
        <f>IFERROR(__xludf.DUMMYFUNCTION("""COMPUTED_VALUE"""),1152.3)</f>
        <v>1152.3</v>
      </c>
      <c r="E4762" s="2">
        <f>IFERROR(__xludf.DUMMYFUNCTION("""COMPUTED_VALUE"""),1155.9)</f>
        <v>1155.9</v>
      </c>
      <c r="F4762" s="2">
        <f>IFERROR(__xludf.DUMMYFUNCTION("""COMPUTED_VALUE"""),2411769.0)</f>
        <v>2411769</v>
      </c>
    </row>
    <row r="4763">
      <c r="A4763" s="3">
        <f>IFERROR(__xludf.DUMMYFUNCTION("""COMPUTED_VALUE"""),43557.64583333333)</f>
        <v>43557.64583</v>
      </c>
      <c r="B4763" s="2">
        <f>IFERROR(__xludf.DUMMYFUNCTION("""COMPUTED_VALUE"""),1160.0)</f>
        <v>1160</v>
      </c>
      <c r="C4763" s="2">
        <f>IFERROR(__xludf.DUMMYFUNCTION("""COMPUTED_VALUE"""),1160.0)</f>
        <v>1160</v>
      </c>
      <c r="D4763" s="2">
        <f>IFERROR(__xludf.DUMMYFUNCTION("""COMPUTED_VALUE"""),1142.72)</f>
        <v>1142.72</v>
      </c>
      <c r="E4763" s="2">
        <f>IFERROR(__xludf.DUMMYFUNCTION("""COMPUTED_VALUE"""),1147.43)</f>
        <v>1147.43</v>
      </c>
      <c r="F4763" s="2">
        <f>IFERROR(__xludf.DUMMYFUNCTION("""COMPUTED_VALUE"""),2727624.0)</f>
        <v>2727624</v>
      </c>
    </row>
    <row r="4764">
      <c r="A4764" s="3">
        <f>IFERROR(__xludf.DUMMYFUNCTION("""COMPUTED_VALUE"""),43558.64583333333)</f>
        <v>43558.64583</v>
      </c>
      <c r="B4764" s="2">
        <f>IFERROR(__xludf.DUMMYFUNCTION("""COMPUTED_VALUE"""),1146.05)</f>
        <v>1146.05</v>
      </c>
      <c r="C4764" s="2">
        <f>IFERROR(__xludf.DUMMYFUNCTION("""COMPUTED_VALUE"""),1158.0)</f>
        <v>1158</v>
      </c>
      <c r="D4764" s="2">
        <f>IFERROR(__xludf.DUMMYFUNCTION("""COMPUTED_VALUE"""),1144.13)</f>
        <v>1144.13</v>
      </c>
      <c r="E4764" s="2">
        <f>IFERROR(__xludf.DUMMYFUNCTION("""COMPUTED_VALUE"""),1146.38)</f>
        <v>1146.38</v>
      </c>
      <c r="F4764" s="2">
        <f>IFERROR(__xludf.DUMMYFUNCTION("""COMPUTED_VALUE"""),1914863.0)</f>
        <v>1914863</v>
      </c>
    </row>
    <row r="4765">
      <c r="A4765" s="3">
        <f>IFERROR(__xludf.DUMMYFUNCTION("""COMPUTED_VALUE"""),43559.64583333333)</f>
        <v>43559.64583</v>
      </c>
      <c r="B4765" s="2">
        <f>IFERROR(__xludf.DUMMYFUNCTION("""COMPUTED_VALUE"""),1146.38)</f>
        <v>1146.38</v>
      </c>
      <c r="C4765" s="2">
        <f>IFERROR(__xludf.DUMMYFUNCTION("""COMPUTED_VALUE"""),1156.5)</f>
        <v>1156.5</v>
      </c>
      <c r="D4765" s="2">
        <f>IFERROR(__xludf.DUMMYFUNCTION("""COMPUTED_VALUE"""),1140.0)</f>
        <v>1140</v>
      </c>
      <c r="E4765" s="2">
        <f>IFERROR(__xludf.DUMMYFUNCTION("""COMPUTED_VALUE"""),1141.97)</f>
        <v>1141.97</v>
      </c>
      <c r="F4765" s="2">
        <f>IFERROR(__xludf.DUMMYFUNCTION("""COMPUTED_VALUE"""),2302888.0)</f>
        <v>2302888</v>
      </c>
    </row>
    <row r="4766">
      <c r="A4766" s="3">
        <f>IFERROR(__xludf.DUMMYFUNCTION("""COMPUTED_VALUE"""),43560.64583333333)</f>
        <v>43560.64583</v>
      </c>
      <c r="B4766" s="2">
        <f>IFERROR(__xludf.DUMMYFUNCTION("""COMPUTED_VALUE"""),1143.9)</f>
        <v>1143.9</v>
      </c>
      <c r="C4766" s="2">
        <f>IFERROR(__xludf.DUMMYFUNCTION("""COMPUTED_VALUE"""),1156.88)</f>
        <v>1156.88</v>
      </c>
      <c r="D4766" s="2">
        <f>IFERROR(__xludf.DUMMYFUNCTION("""COMPUTED_VALUE"""),1141.0)</f>
        <v>1141</v>
      </c>
      <c r="E4766" s="2">
        <f>IFERROR(__xludf.DUMMYFUNCTION("""COMPUTED_VALUE"""),1152.8)</f>
        <v>1152.8</v>
      </c>
      <c r="F4766" s="2">
        <f>IFERROR(__xludf.DUMMYFUNCTION("""COMPUTED_VALUE"""),2087795.0)</f>
        <v>2087795</v>
      </c>
    </row>
    <row r="4767">
      <c r="A4767" s="3">
        <f>IFERROR(__xludf.DUMMYFUNCTION("""COMPUTED_VALUE"""),43563.64583333333)</f>
        <v>43563.64583</v>
      </c>
      <c r="B4767" s="2">
        <f>IFERROR(__xludf.DUMMYFUNCTION("""COMPUTED_VALUE"""),1159.5)</f>
        <v>1159.5</v>
      </c>
      <c r="C4767" s="2">
        <f>IFERROR(__xludf.DUMMYFUNCTION("""COMPUTED_VALUE"""),1161.47)</f>
        <v>1161.47</v>
      </c>
      <c r="D4767" s="2">
        <f>IFERROR(__xludf.DUMMYFUNCTION("""COMPUTED_VALUE"""),1140.05)</f>
        <v>1140.05</v>
      </c>
      <c r="E4767" s="2">
        <f>IFERROR(__xludf.DUMMYFUNCTION("""COMPUTED_VALUE"""),1144.7)</f>
        <v>1144.7</v>
      </c>
      <c r="F4767" s="2">
        <f>IFERROR(__xludf.DUMMYFUNCTION("""COMPUTED_VALUE"""),1599533.0)</f>
        <v>1599533</v>
      </c>
    </row>
    <row r="4768">
      <c r="A4768" s="3">
        <f>IFERROR(__xludf.DUMMYFUNCTION("""COMPUTED_VALUE"""),43564.64583333333)</f>
        <v>43564.64583</v>
      </c>
      <c r="B4768" s="2">
        <f>IFERROR(__xludf.DUMMYFUNCTION("""COMPUTED_VALUE"""),1148.3)</f>
        <v>1148.3</v>
      </c>
      <c r="C4768" s="2">
        <f>IFERROR(__xludf.DUMMYFUNCTION("""COMPUTED_VALUE"""),1151.5)</f>
        <v>1151.5</v>
      </c>
      <c r="D4768" s="2">
        <f>IFERROR(__xludf.DUMMYFUNCTION("""COMPUTED_VALUE"""),1133.5)</f>
        <v>1133.5</v>
      </c>
      <c r="E4768" s="2">
        <f>IFERROR(__xludf.DUMMYFUNCTION("""COMPUTED_VALUE"""),1143.63)</f>
        <v>1143.63</v>
      </c>
      <c r="F4768" s="2">
        <f>IFERROR(__xludf.DUMMYFUNCTION("""COMPUTED_VALUE"""),2694400.0)</f>
        <v>2694400</v>
      </c>
    </row>
    <row r="4769">
      <c r="A4769" s="3">
        <f>IFERROR(__xludf.DUMMYFUNCTION("""COMPUTED_VALUE"""),43565.64583333333)</f>
        <v>43565.64583</v>
      </c>
      <c r="B4769" s="2">
        <f>IFERROR(__xludf.DUMMYFUNCTION("""COMPUTED_VALUE"""),1125.0)</f>
        <v>1125</v>
      </c>
      <c r="C4769" s="2">
        <f>IFERROR(__xludf.DUMMYFUNCTION("""COMPUTED_VALUE"""),1142.0)</f>
        <v>1142</v>
      </c>
      <c r="D4769" s="2">
        <f>IFERROR(__xludf.DUMMYFUNCTION("""COMPUTED_VALUE"""),1115.5)</f>
        <v>1115.5</v>
      </c>
      <c r="E4769" s="2">
        <f>IFERROR(__xludf.DUMMYFUNCTION("""COMPUTED_VALUE"""),1118.68)</f>
        <v>1118.68</v>
      </c>
      <c r="F4769" s="2">
        <f>IFERROR(__xludf.DUMMYFUNCTION("""COMPUTED_VALUE"""),2.7032175E7)</f>
        <v>27032175</v>
      </c>
    </row>
    <row r="4770">
      <c r="A4770" s="3">
        <f>IFERROR(__xludf.DUMMYFUNCTION("""COMPUTED_VALUE"""),43566.64583333333)</f>
        <v>43566.64583</v>
      </c>
      <c r="B4770" s="2">
        <f>IFERROR(__xludf.DUMMYFUNCTION("""COMPUTED_VALUE"""),1122.45)</f>
        <v>1122.45</v>
      </c>
      <c r="C4770" s="2">
        <f>IFERROR(__xludf.DUMMYFUNCTION("""COMPUTED_VALUE"""),1131.5)</f>
        <v>1131.5</v>
      </c>
      <c r="D4770" s="2">
        <f>IFERROR(__xludf.DUMMYFUNCTION("""COMPUTED_VALUE"""),1118.47)</f>
        <v>1118.47</v>
      </c>
      <c r="E4770" s="2">
        <f>IFERROR(__xludf.DUMMYFUNCTION("""COMPUTED_VALUE"""),1128.75)</f>
        <v>1128.75</v>
      </c>
      <c r="F4770" s="2">
        <f>IFERROR(__xludf.DUMMYFUNCTION("""COMPUTED_VALUE"""),2198325.0)</f>
        <v>2198325</v>
      </c>
    </row>
    <row r="4771">
      <c r="A4771" s="3">
        <f>IFERROR(__xludf.DUMMYFUNCTION("""COMPUTED_VALUE"""),43567.64583333333)</f>
        <v>43567.64583</v>
      </c>
      <c r="B4771" s="2">
        <f>IFERROR(__xludf.DUMMYFUNCTION("""COMPUTED_VALUE"""),1126.05)</f>
        <v>1126.05</v>
      </c>
      <c r="C4771" s="2">
        <f>IFERROR(__xludf.DUMMYFUNCTION("""COMPUTED_VALUE"""),1136.1)</f>
        <v>1136.1</v>
      </c>
      <c r="D4771" s="2">
        <f>IFERROR(__xludf.DUMMYFUNCTION("""COMPUTED_VALUE"""),1126.05)</f>
        <v>1126.05</v>
      </c>
      <c r="E4771" s="2">
        <f>IFERROR(__xludf.DUMMYFUNCTION("""COMPUTED_VALUE"""),1132.63)</f>
        <v>1132.63</v>
      </c>
      <c r="F4771" s="2">
        <f>IFERROR(__xludf.DUMMYFUNCTION("""COMPUTED_VALUE"""),2292611.0)</f>
        <v>2292611</v>
      </c>
    </row>
    <row r="4772">
      <c r="A4772" s="3">
        <f>IFERROR(__xludf.DUMMYFUNCTION("""COMPUTED_VALUE"""),43570.64583333333)</f>
        <v>43570.64583</v>
      </c>
      <c r="B4772" s="2">
        <f>IFERROR(__xludf.DUMMYFUNCTION("""COMPUTED_VALUE"""),1135.0)</f>
        <v>1135</v>
      </c>
      <c r="C4772" s="2">
        <f>IFERROR(__xludf.DUMMYFUNCTION("""COMPUTED_VALUE"""),1146.45)</f>
        <v>1146.45</v>
      </c>
      <c r="D4772" s="2">
        <f>IFERROR(__xludf.DUMMYFUNCTION("""COMPUTED_VALUE"""),1132.18)</f>
        <v>1132.18</v>
      </c>
      <c r="E4772" s="2">
        <f>IFERROR(__xludf.DUMMYFUNCTION("""COMPUTED_VALUE"""),1144.4)</f>
        <v>1144.4</v>
      </c>
      <c r="F4772" s="2">
        <f>IFERROR(__xludf.DUMMYFUNCTION("""COMPUTED_VALUE"""),2554945.0)</f>
        <v>2554945</v>
      </c>
    </row>
    <row r="4773">
      <c r="A4773" s="3">
        <f>IFERROR(__xludf.DUMMYFUNCTION("""COMPUTED_VALUE"""),43571.64583333333)</f>
        <v>43571.64583</v>
      </c>
      <c r="B4773" s="2">
        <f>IFERROR(__xludf.DUMMYFUNCTION("""COMPUTED_VALUE"""),1145.47)</f>
        <v>1145.47</v>
      </c>
      <c r="C4773" s="2">
        <f>IFERROR(__xludf.DUMMYFUNCTION("""COMPUTED_VALUE"""),1154.95)</f>
        <v>1154.95</v>
      </c>
      <c r="D4773" s="2">
        <f>IFERROR(__xludf.DUMMYFUNCTION("""COMPUTED_VALUE"""),1140.15)</f>
        <v>1140.15</v>
      </c>
      <c r="E4773" s="2">
        <f>IFERROR(__xludf.DUMMYFUNCTION("""COMPUTED_VALUE"""),1152.53)</f>
        <v>1152.53</v>
      </c>
      <c r="F4773" s="2">
        <f>IFERROR(__xludf.DUMMYFUNCTION("""COMPUTED_VALUE"""),2068444.0)</f>
        <v>2068444</v>
      </c>
    </row>
    <row r="4774">
      <c r="A4774" s="3">
        <f>IFERROR(__xludf.DUMMYFUNCTION("""COMPUTED_VALUE"""),43573.64583333333)</f>
        <v>43573.64583</v>
      </c>
      <c r="B4774" s="2">
        <f>IFERROR(__xludf.DUMMYFUNCTION("""COMPUTED_VALUE"""),1156.5)</f>
        <v>1156.5</v>
      </c>
      <c r="C4774" s="2">
        <f>IFERROR(__xludf.DUMMYFUNCTION("""COMPUTED_VALUE"""),1157.53)</f>
        <v>1157.53</v>
      </c>
      <c r="D4774" s="2">
        <f>IFERROR(__xludf.DUMMYFUNCTION("""COMPUTED_VALUE"""),1144.0)</f>
        <v>1144</v>
      </c>
      <c r="E4774" s="2">
        <f>IFERROR(__xludf.DUMMYFUNCTION("""COMPUTED_VALUE"""),1146.83)</f>
        <v>1146.83</v>
      </c>
      <c r="F4774" s="2">
        <f>IFERROR(__xludf.DUMMYFUNCTION("""COMPUTED_VALUE"""),2653714.0)</f>
        <v>2653714</v>
      </c>
    </row>
    <row r="4775">
      <c r="A4775" s="3">
        <f>IFERROR(__xludf.DUMMYFUNCTION("""COMPUTED_VALUE"""),43577.64583333333)</f>
        <v>43577.64583</v>
      </c>
      <c r="B4775" s="2">
        <f>IFERROR(__xludf.DUMMYFUNCTION("""COMPUTED_VALUE"""),1162.5)</f>
        <v>1162.5</v>
      </c>
      <c r="C4775" s="2">
        <f>IFERROR(__xludf.DUMMYFUNCTION("""COMPUTED_VALUE"""),1162.5)</f>
        <v>1162.5</v>
      </c>
      <c r="D4775" s="2">
        <f>IFERROR(__xludf.DUMMYFUNCTION("""COMPUTED_VALUE"""),1130.5)</f>
        <v>1130.5</v>
      </c>
      <c r="E4775" s="2">
        <f>IFERROR(__xludf.DUMMYFUNCTION("""COMPUTED_VALUE"""),1134.35)</f>
        <v>1134.35</v>
      </c>
      <c r="F4775" s="2">
        <f>IFERROR(__xludf.DUMMYFUNCTION("""COMPUTED_VALUE"""),5245105.0)</f>
        <v>5245105</v>
      </c>
    </row>
    <row r="4776">
      <c r="A4776" s="3">
        <f>IFERROR(__xludf.DUMMYFUNCTION("""COMPUTED_VALUE"""),43578.64583333333)</f>
        <v>43578.64583</v>
      </c>
      <c r="B4776" s="2">
        <f>IFERROR(__xludf.DUMMYFUNCTION("""COMPUTED_VALUE"""),1138.78)</f>
        <v>1138.78</v>
      </c>
      <c r="C4776" s="2">
        <f>IFERROR(__xludf.DUMMYFUNCTION("""COMPUTED_VALUE"""),1145.0)</f>
        <v>1145</v>
      </c>
      <c r="D4776" s="2">
        <f>IFERROR(__xludf.DUMMYFUNCTION("""COMPUTED_VALUE"""),1120.8)</f>
        <v>1120.8</v>
      </c>
      <c r="E4776" s="2">
        <f>IFERROR(__xludf.DUMMYFUNCTION("""COMPUTED_VALUE"""),1122.65)</f>
        <v>1122.65</v>
      </c>
      <c r="F4776" s="2">
        <f>IFERROR(__xludf.DUMMYFUNCTION("""COMPUTED_VALUE"""),3820600.0)</f>
        <v>3820600</v>
      </c>
    </row>
    <row r="4777">
      <c r="A4777" s="3">
        <f>IFERROR(__xludf.DUMMYFUNCTION("""COMPUTED_VALUE"""),43579.64583333333)</f>
        <v>43579.64583</v>
      </c>
      <c r="B4777" s="2">
        <f>IFERROR(__xludf.DUMMYFUNCTION("""COMPUTED_VALUE"""),1125.0)</f>
        <v>1125</v>
      </c>
      <c r="C4777" s="2">
        <f>IFERROR(__xludf.DUMMYFUNCTION("""COMPUTED_VALUE"""),1141.95)</f>
        <v>1141.95</v>
      </c>
      <c r="D4777" s="2">
        <f>IFERROR(__xludf.DUMMYFUNCTION("""COMPUTED_VALUE"""),1123.53)</f>
        <v>1123.53</v>
      </c>
      <c r="E4777" s="2">
        <f>IFERROR(__xludf.DUMMYFUNCTION("""COMPUTED_VALUE"""),1139.88)</f>
        <v>1139.88</v>
      </c>
      <c r="F4777" s="2">
        <f>IFERROR(__xludf.DUMMYFUNCTION("""COMPUTED_VALUE"""),3088532.0)</f>
        <v>3088532</v>
      </c>
    </row>
    <row r="4778">
      <c r="A4778" s="3">
        <f>IFERROR(__xludf.DUMMYFUNCTION("""COMPUTED_VALUE"""),43580.64583333333)</f>
        <v>43580.64583</v>
      </c>
      <c r="B4778" s="2">
        <f>IFERROR(__xludf.DUMMYFUNCTION("""COMPUTED_VALUE"""),1143.45)</f>
        <v>1143.45</v>
      </c>
      <c r="C4778" s="2">
        <f>IFERROR(__xludf.DUMMYFUNCTION("""COMPUTED_VALUE"""),1149.4)</f>
        <v>1149.4</v>
      </c>
      <c r="D4778" s="2">
        <f>IFERROR(__xludf.DUMMYFUNCTION("""COMPUTED_VALUE"""),1128.97)</f>
        <v>1128.97</v>
      </c>
      <c r="E4778" s="2">
        <f>IFERROR(__xludf.DUMMYFUNCTION("""COMPUTED_VALUE"""),1131.72)</f>
        <v>1131.72</v>
      </c>
      <c r="F4778" s="2">
        <f>IFERROR(__xludf.DUMMYFUNCTION("""COMPUTED_VALUE"""),4521659.0)</f>
        <v>4521659</v>
      </c>
    </row>
    <row r="4779">
      <c r="A4779" s="3">
        <f>IFERROR(__xludf.DUMMYFUNCTION("""COMPUTED_VALUE"""),43581.64583333333)</f>
        <v>43581.64583</v>
      </c>
      <c r="B4779" s="2">
        <f>IFERROR(__xludf.DUMMYFUNCTION("""COMPUTED_VALUE"""),1132.95)</f>
        <v>1132.95</v>
      </c>
      <c r="C4779" s="2">
        <f>IFERROR(__xludf.DUMMYFUNCTION("""COMPUTED_VALUE"""),1142.5)</f>
        <v>1142.5</v>
      </c>
      <c r="D4779" s="2">
        <f>IFERROR(__xludf.DUMMYFUNCTION("""COMPUTED_VALUE"""),1128.45)</f>
        <v>1128.45</v>
      </c>
      <c r="E4779" s="2">
        <f>IFERROR(__xludf.DUMMYFUNCTION("""COMPUTED_VALUE"""),1140.47)</f>
        <v>1140.47</v>
      </c>
      <c r="F4779" s="2">
        <f>IFERROR(__xludf.DUMMYFUNCTION("""COMPUTED_VALUE"""),2926892.0)</f>
        <v>2926892</v>
      </c>
    </row>
    <row r="4780">
      <c r="A4780" s="3">
        <f>IFERROR(__xludf.DUMMYFUNCTION("""COMPUTED_VALUE"""),43585.64583333333)</f>
        <v>43585.64583</v>
      </c>
      <c r="B4780" s="2">
        <f>IFERROR(__xludf.DUMMYFUNCTION("""COMPUTED_VALUE"""),1142.5)</f>
        <v>1142.5</v>
      </c>
      <c r="C4780" s="2">
        <f>IFERROR(__xludf.DUMMYFUNCTION("""COMPUTED_VALUE"""),1160.0)</f>
        <v>1160</v>
      </c>
      <c r="D4780" s="2">
        <f>IFERROR(__xludf.DUMMYFUNCTION("""COMPUTED_VALUE"""),1139.2)</f>
        <v>1139.2</v>
      </c>
      <c r="E4780" s="2">
        <f>IFERROR(__xludf.DUMMYFUNCTION("""COMPUTED_VALUE"""),1158.72)</f>
        <v>1158.72</v>
      </c>
      <c r="F4780" s="2">
        <f>IFERROR(__xludf.DUMMYFUNCTION("""COMPUTED_VALUE"""),3134209.0)</f>
        <v>3134209</v>
      </c>
    </row>
    <row r="4781">
      <c r="A4781" s="3">
        <f>IFERROR(__xludf.DUMMYFUNCTION("""COMPUTED_VALUE"""),43587.64583333333)</f>
        <v>43587.64583</v>
      </c>
      <c r="B4781" s="2">
        <f>IFERROR(__xludf.DUMMYFUNCTION("""COMPUTED_VALUE"""),1161.75)</f>
        <v>1161.75</v>
      </c>
      <c r="C4781" s="2">
        <f>IFERROR(__xludf.DUMMYFUNCTION("""COMPUTED_VALUE"""),1179.83)</f>
        <v>1179.83</v>
      </c>
      <c r="D4781" s="2">
        <f>IFERROR(__xludf.DUMMYFUNCTION("""COMPUTED_VALUE"""),1158.75)</f>
        <v>1158.75</v>
      </c>
      <c r="E4781" s="2">
        <f>IFERROR(__xludf.DUMMYFUNCTION("""COMPUTED_VALUE"""),1177.9)</f>
        <v>1177.9</v>
      </c>
      <c r="F4781" s="2">
        <f>IFERROR(__xludf.DUMMYFUNCTION("""COMPUTED_VALUE"""),4292325.0)</f>
        <v>4292325</v>
      </c>
    </row>
    <row r="4782">
      <c r="A4782" s="3">
        <f>IFERROR(__xludf.DUMMYFUNCTION("""COMPUTED_VALUE"""),43588.64583333333)</f>
        <v>43588.64583</v>
      </c>
      <c r="B4782" s="2">
        <f>IFERROR(__xludf.DUMMYFUNCTION("""COMPUTED_VALUE"""),1182.1)</f>
        <v>1182.1</v>
      </c>
      <c r="C4782" s="2">
        <f>IFERROR(__xludf.DUMMYFUNCTION("""COMPUTED_VALUE"""),1189.0)</f>
        <v>1189</v>
      </c>
      <c r="D4782" s="2">
        <f>IFERROR(__xludf.DUMMYFUNCTION("""COMPUTED_VALUE"""),1178.25)</f>
        <v>1178.25</v>
      </c>
      <c r="E4782" s="2">
        <f>IFERROR(__xludf.DUMMYFUNCTION("""COMPUTED_VALUE"""),1183.97)</f>
        <v>1183.97</v>
      </c>
      <c r="F4782" s="2">
        <f>IFERROR(__xludf.DUMMYFUNCTION("""COMPUTED_VALUE"""),3087880.0)</f>
        <v>3087880</v>
      </c>
    </row>
    <row r="4783">
      <c r="A4783" s="3">
        <f>IFERROR(__xludf.DUMMYFUNCTION("""COMPUTED_VALUE"""),43591.64583333333)</f>
        <v>43591.64583</v>
      </c>
      <c r="B4783" s="2">
        <f>IFERROR(__xludf.DUMMYFUNCTION("""COMPUTED_VALUE"""),1174.0)</f>
        <v>1174</v>
      </c>
      <c r="C4783" s="2">
        <f>IFERROR(__xludf.DUMMYFUNCTION("""COMPUTED_VALUE"""),1175.95)</f>
        <v>1175.95</v>
      </c>
      <c r="D4783" s="2">
        <f>IFERROR(__xludf.DUMMYFUNCTION("""COMPUTED_VALUE"""),1158.53)</f>
        <v>1158.53</v>
      </c>
      <c r="E4783" s="2">
        <f>IFERROR(__xludf.DUMMYFUNCTION("""COMPUTED_VALUE"""),1164.22)</f>
        <v>1164.22</v>
      </c>
      <c r="F4783" s="2">
        <f>IFERROR(__xludf.DUMMYFUNCTION("""COMPUTED_VALUE"""),3437023.0)</f>
        <v>3437023</v>
      </c>
    </row>
    <row r="4784">
      <c r="A4784" s="3">
        <f>IFERROR(__xludf.DUMMYFUNCTION("""COMPUTED_VALUE"""),43592.79166666667)</f>
        <v>43592.79167</v>
      </c>
      <c r="B4784" s="2">
        <f>IFERROR(__xludf.DUMMYFUNCTION("""COMPUTED_VALUE"""),1175.95)</f>
        <v>1175.95</v>
      </c>
      <c r="C4784" s="2">
        <f>IFERROR(__xludf.DUMMYFUNCTION("""COMPUTED_VALUE"""),1179.0)</f>
        <v>1179</v>
      </c>
      <c r="D4784" s="2">
        <f>IFERROR(__xludf.DUMMYFUNCTION("""COMPUTED_VALUE"""),1159.0)</f>
        <v>1159</v>
      </c>
      <c r="E4784" s="2">
        <f>IFERROR(__xludf.DUMMYFUNCTION("""COMPUTED_VALUE"""),1161.18)</f>
        <v>1161.18</v>
      </c>
      <c r="F4784" s="2">
        <f>IFERROR(__xludf.DUMMYFUNCTION("""COMPUTED_VALUE"""),2481051.0)</f>
        <v>2481051</v>
      </c>
    </row>
    <row r="4785">
      <c r="A4785" s="3">
        <f>IFERROR(__xludf.DUMMYFUNCTION("""COMPUTED_VALUE"""),43593.64583333333)</f>
        <v>43593.64583</v>
      </c>
      <c r="B4785" s="2">
        <f>IFERROR(__xludf.DUMMYFUNCTION("""COMPUTED_VALUE"""),1161.28)</f>
        <v>1161.28</v>
      </c>
      <c r="C4785" s="2">
        <f>IFERROR(__xludf.DUMMYFUNCTION("""COMPUTED_VALUE"""),1161.9)</f>
        <v>1161.9</v>
      </c>
      <c r="D4785" s="2">
        <f>IFERROR(__xludf.DUMMYFUNCTION("""COMPUTED_VALUE"""),1144.0)</f>
        <v>1144</v>
      </c>
      <c r="E4785" s="2">
        <f>IFERROR(__xludf.DUMMYFUNCTION("""COMPUTED_VALUE"""),1153.63)</f>
        <v>1153.63</v>
      </c>
      <c r="F4785" s="2">
        <f>IFERROR(__xludf.DUMMYFUNCTION("""COMPUTED_VALUE"""),3016052.0)</f>
        <v>3016052</v>
      </c>
    </row>
    <row r="4786">
      <c r="A4786" s="3">
        <f>IFERROR(__xludf.DUMMYFUNCTION("""COMPUTED_VALUE"""),43594.64583333333)</f>
        <v>43594.64583</v>
      </c>
      <c r="B4786" s="2">
        <f>IFERROR(__xludf.DUMMYFUNCTION("""COMPUTED_VALUE"""),1150.0)</f>
        <v>1150</v>
      </c>
      <c r="C4786" s="2">
        <f>IFERROR(__xludf.DUMMYFUNCTION("""COMPUTED_VALUE"""),1150.0)</f>
        <v>1150</v>
      </c>
      <c r="D4786" s="2">
        <f>IFERROR(__xludf.DUMMYFUNCTION("""COMPUTED_VALUE"""),1135.8)</f>
        <v>1135.8</v>
      </c>
      <c r="E4786" s="2">
        <f>IFERROR(__xludf.DUMMYFUNCTION("""COMPUTED_VALUE"""),1145.45)</f>
        <v>1145.45</v>
      </c>
      <c r="F4786" s="2">
        <f>IFERROR(__xludf.DUMMYFUNCTION("""COMPUTED_VALUE"""),2256931.0)</f>
        <v>2256931</v>
      </c>
    </row>
    <row r="4787">
      <c r="A4787" s="3">
        <f>IFERROR(__xludf.DUMMYFUNCTION("""COMPUTED_VALUE"""),43595.64583333333)</f>
        <v>43595.64583</v>
      </c>
      <c r="B4787" s="2">
        <f>IFERROR(__xludf.DUMMYFUNCTION("""COMPUTED_VALUE"""),1145.68)</f>
        <v>1145.68</v>
      </c>
      <c r="C4787" s="2">
        <f>IFERROR(__xludf.DUMMYFUNCTION("""COMPUTED_VALUE"""),1162.45)</f>
        <v>1162.45</v>
      </c>
      <c r="D4787" s="2">
        <f>IFERROR(__xludf.DUMMYFUNCTION("""COMPUTED_VALUE"""),1145.68)</f>
        <v>1145.68</v>
      </c>
      <c r="E4787" s="2">
        <f>IFERROR(__xludf.DUMMYFUNCTION("""COMPUTED_VALUE"""),1148.25)</f>
        <v>1148.25</v>
      </c>
      <c r="F4787" s="2">
        <f>IFERROR(__xludf.DUMMYFUNCTION("""COMPUTED_VALUE"""),2648550.0)</f>
        <v>2648550</v>
      </c>
    </row>
    <row r="4788">
      <c r="A4788" s="3">
        <f>IFERROR(__xludf.DUMMYFUNCTION("""COMPUTED_VALUE"""),43598.64583333333)</f>
        <v>43598.64583</v>
      </c>
      <c r="B4788" s="2">
        <f>IFERROR(__xludf.DUMMYFUNCTION("""COMPUTED_VALUE"""),1148.03)</f>
        <v>1148.03</v>
      </c>
      <c r="C4788" s="2">
        <f>IFERROR(__xludf.DUMMYFUNCTION("""COMPUTED_VALUE"""),1156.68)</f>
        <v>1156.68</v>
      </c>
      <c r="D4788" s="2">
        <f>IFERROR(__xludf.DUMMYFUNCTION("""COMPUTED_VALUE"""),1140.0)</f>
        <v>1140</v>
      </c>
      <c r="E4788" s="2">
        <f>IFERROR(__xludf.DUMMYFUNCTION("""COMPUTED_VALUE"""),1143.6)</f>
        <v>1143.6</v>
      </c>
      <c r="F4788" s="2">
        <f>IFERROR(__xludf.DUMMYFUNCTION("""COMPUTED_VALUE"""),2767908.0)</f>
        <v>2767908</v>
      </c>
    </row>
    <row r="4789">
      <c r="A4789" s="3">
        <f>IFERROR(__xludf.DUMMYFUNCTION("""COMPUTED_VALUE"""),43599.64583333333)</f>
        <v>43599.64583</v>
      </c>
      <c r="B4789" s="2">
        <f>IFERROR(__xludf.DUMMYFUNCTION("""COMPUTED_VALUE"""),1148.35)</f>
        <v>1148.35</v>
      </c>
      <c r="C4789" s="2">
        <f>IFERROR(__xludf.DUMMYFUNCTION("""COMPUTED_VALUE"""),1155.5)</f>
        <v>1155.5</v>
      </c>
      <c r="D4789" s="2">
        <f>IFERROR(__xludf.DUMMYFUNCTION("""COMPUTED_VALUE"""),1137.78)</f>
        <v>1137.78</v>
      </c>
      <c r="E4789" s="2">
        <f>IFERROR(__xludf.DUMMYFUNCTION("""COMPUTED_VALUE"""),1143.95)</f>
        <v>1143.95</v>
      </c>
      <c r="F4789" s="2">
        <f>IFERROR(__xludf.DUMMYFUNCTION("""COMPUTED_VALUE"""),2623686.0)</f>
        <v>2623686</v>
      </c>
    </row>
    <row r="4790">
      <c r="A4790" s="3">
        <f>IFERROR(__xludf.DUMMYFUNCTION("""COMPUTED_VALUE"""),43600.64583333333)</f>
        <v>43600.64583</v>
      </c>
      <c r="B4790" s="2">
        <f>IFERROR(__xludf.DUMMYFUNCTION("""COMPUTED_VALUE"""),1148.0)</f>
        <v>1148</v>
      </c>
      <c r="C4790" s="2">
        <f>IFERROR(__xludf.DUMMYFUNCTION("""COMPUTED_VALUE"""),1153.6)</f>
        <v>1153.6</v>
      </c>
      <c r="D4790" s="2">
        <f>IFERROR(__xludf.DUMMYFUNCTION("""COMPUTED_VALUE"""),1141.1)</f>
        <v>1141.1</v>
      </c>
      <c r="E4790" s="2">
        <f>IFERROR(__xludf.DUMMYFUNCTION("""COMPUTED_VALUE"""),1143.35)</f>
        <v>1143.35</v>
      </c>
      <c r="F4790" s="2">
        <f>IFERROR(__xludf.DUMMYFUNCTION("""COMPUTED_VALUE"""),2239087.0)</f>
        <v>2239087</v>
      </c>
    </row>
    <row r="4791">
      <c r="A4791" s="3">
        <f>IFERROR(__xludf.DUMMYFUNCTION("""COMPUTED_VALUE"""),43601.64583333333)</f>
        <v>43601.64583</v>
      </c>
      <c r="B4791" s="2">
        <f>IFERROR(__xludf.DUMMYFUNCTION("""COMPUTED_VALUE"""),1140.28)</f>
        <v>1140.28</v>
      </c>
      <c r="C4791" s="2">
        <f>IFERROR(__xludf.DUMMYFUNCTION("""COMPUTED_VALUE"""),1159.5)</f>
        <v>1159.5</v>
      </c>
      <c r="D4791" s="2">
        <f>IFERROR(__xludf.DUMMYFUNCTION("""COMPUTED_VALUE"""),1140.0)</f>
        <v>1140</v>
      </c>
      <c r="E4791" s="2">
        <f>IFERROR(__xludf.DUMMYFUNCTION("""COMPUTED_VALUE"""),1155.33)</f>
        <v>1155.33</v>
      </c>
      <c r="F4791" s="2">
        <f>IFERROR(__xludf.DUMMYFUNCTION("""COMPUTED_VALUE"""),2012534.0)</f>
        <v>2012534</v>
      </c>
    </row>
    <row r="4792">
      <c r="A4792" s="3">
        <f>IFERROR(__xludf.DUMMYFUNCTION("""COMPUTED_VALUE"""),43602.64583333333)</f>
        <v>43602.64583</v>
      </c>
      <c r="B4792" s="2">
        <f>IFERROR(__xludf.DUMMYFUNCTION("""COMPUTED_VALUE"""),1156.5)</f>
        <v>1156.5</v>
      </c>
      <c r="C4792" s="2">
        <f>IFERROR(__xludf.DUMMYFUNCTION("""COMPUTED_VALUE"""),1184.65)</f>
        <v>1184.65</v>
      </c>
      <c r="D4792" s="2">
        <f>IFERROR(__xludf.DUMMYFUNCTION("""COMPUTED_VALUE"""),1155.8)</f>
        <v>1155.8</v>
      </c>
      <c r="E4792" s="2">
        <f>IFERROR(__xludf.DUMMYFUNCTION("""COMPUTED_VALUE"""),1181.05)</f>
        <v>1181.05</v>
      </c>
      <c r="F4792" s="2">
        <f>IFERROR(__xludf.DUMMYFUNCTION("""COMPUTED_VALUE"""),3689695.0)</f>
        <v>3689695</v>
      </c>
    </row>
    <row r="4793">
      <c r="A4793" s="3">
        <f>IFERROR(__xludf.DUMMYFUNCTION("""COMPUTED_VALUE"""),43605.64583333333)</f>
        <v>43605.64583</v>
      </c>
      <c r="B4793" s="2">
        <f>IFERROR(__xludf.DUMMYFUNCTION("""COMPUTED_VALUE"""),1204.0)</f>
        <v>1204</v>
      </c>
      <c r="C4793" s="2">
        <f>IFERROR(__xludf.DUMMYFUNCTION("""COMPUTED_VALUE"""),1219.35)</f>
        <v>1219.35</v>
      </c>
      <c r="D4793" s="2">
        <f>IFERROR(__xludf.DUMMYFUNCTION("""COMPUTED_VALUE"""),1190.0)</f>
        <v>1190</v>
      </c>
      <c r="E4793" s="2">
        <f>IFERROR(__xludf.DUMMYFUNCTION("""COMPUTED_VALUE"""),1216.18)</f>
        <v>1216.18</v>
      </c>
      <c r="F4793" s="2">
        <f>IFERROR(__xludf.DUMMYFUNCTION("""COMPUTED_VALUE"""),4424908.0)</f>
        <v>4424908</v>
      </c>
    </row>
    <row r="4794">
      <c r="A4794" s="3">
        <f>IFERROR(__xludf.DUMMYFUNCTION("""COMPUTED_VALUE"""),43606.64583333333)</f>
        <v>43606.64583</v>
      </c>
      <c r="B4794" s="2">
        <f>IFERROR(__xludf.DUMMYFUNCTION("""COMPUTED_VALUE"""),1219.0)</f>
        <v>1219</v>
      </c>
      <c r="C4794" s="2">
        <f>IFERROR(__xludf.DUMMYFUNCTION("""COMPUTED_VALUE"""),1224.7)</f>
        <v>1224.7</v>
      </c>
      <c r="D4794" s="2">
        <f>IFERROR(__xludf.DUMMYFUNCTION("""COMPUTED_VALUE"""),1199.72)</f>
        <v>1199.72</v>
      </c>
      <c r="E4794" s="2">
        <f>IFERROR(__xludf.DUMMYFUNCTION("""COMPUTED_VALUE"""),1201.85)</f>
        <v>1201.85</v>
      </c>
      <c r="F4794" s="2">
        <f>IFERROR(__xludf.DUMMYFUNCTION("""COMPUTED_VALUE"""),2581294.0)</f>
        <v>2581294</v>
      </c>
    </row>
    <row r="4795">
      <c r="A4795" s="3">
        <f>IFERROR(__xludf.DUMMYFUNCTION("""COMPUTED_VALUE"""),43607.64583333333)</f>
        <v>43607.64583</v>
      </c>
      <c r="B4795" s="2">
        <f>IFERROR(__xludf.DUMMYFUNCTION("""COMPUTED_VALUE"""),1205.93)</f>
        <v>1205.93</v>
      </c>
      <c r="C4795" s="2">
        <f>IFERROR(__xludf.DUMMYFUNCTION("""COMPUTED_VALUE"""),1213.0)</f>
        <v>1213</v>
      </c>
      <c r="D4795" s="2">
        <f>IFERROR(__xludf.DUMMYFUNCTION("""COMPUTED_VALUE"""),1197.13)</f>
        <v>1197.13</v>
      </c>
      <c r="E4795" s="2">
        <f>IFERROR(__xludf.DUMMYFUNCTION("""COMPUTED_VALUE"""),1202.88)</f>
        <v>1202.88</v>
      </c>
      <c r="F4795" s="2">
        <f>IFERROR(__xludf.DUMMYFUNCTION("""COMPUTED_VALUE"""),2846665.0)</f>
        <v>2846665</v>
      </c>
    </row>
    <row r="4796">
      <c r="A4796" s="3">
        <f>IFERROR(__xludf.DUMMYFUNCTION("""COMPUTED_VALUE"""),43608.64583333333)</f>
        <v>43608.64583</v>
      </c>
      <c r="B4796" s="2">
        <f>IFERROR(__xludf.DUMMYFUNCTION("""COMPUTED_VALUE"""),1204.5)</f>
        <v>1204.5</v>
      </c>
      <c r="C4796" s="2">
        <f>IFERROR(__xludf.DUMMYFUNCTION("""COMPUTED_VALUE"""),1219.95)</f>
        <v>1219.95</v>
      </c>
      <c r="D4796" s="2">
        <f>IFERROR(__xludf.DUMMYFUNCTION("""COMPUTED_VALUE"""),1159.55)</f>
        <v>1159.55</v>
      </c>
      <c r="E4796" s="2">
        <f>IFERROR(__xludf.DUMMYFUNCTION("""COMPUTED_VALUE"""),1166.05)</f>
        <v>1166.05</v>
      </c>
      <c r="F4796" s="2">
        <f>IFERROR(__xludf.DUMMYFUNCTION("""COMPUTED_VALUE"""),8270499.0)</f>
        <v>8270499</v>
      </c>
    </row>
    <row r="4797">
      <c r="A4797" s="3">
        <f>IFERROR(__xludf.DUMMYFUNCTION("""COMPUTED_VALUE"""),43609.64583333333)</f>
        <v>43609.64583</v>
      </c>
      <c r="B4797" s="2">
        <f>IFERROR(__xludf.DUMMYFUNCTION("""COMPUTED_VALUE"""),1179.85)</f>
        <v>1179.85</v>
      </c>
      <c r="C4797" s="2">
        <f>IFERROR(__xludf.DUMMYFUNCTION("""COMPUTED_VALUE"""),1193.08)</f>
        <v>1193.08</v>
      </c>
      <c r="D4797" s="2">
        <f>IFERROR(__xludf.DUMMYFUNCTION("""COMPUTED_VALUE"""),1170.08)</f>
        <v>1170.08</v>
      </c>
      <c r="E4797" s="2">
        <f>IFERROR(__xludf.DUMMYFUNCTION("""COMPUTED_VALUE"""),1186.68)</f>
        <v>1186.68</v>
      </c>
      <c r="F4797" s="2">
        <f>IFERROR(__xludf.DUMMYFUNCTION("""COMPUTED_VALUE"""),3423200.0)</f>
        <v>3423200</v>
      </c>
    </row>
    <row r="4798">
      <c r="A4798" s="3">
        <f>IFERROR(__xludf.DUMMYFUNCTION("""COMPUTED_VALUE"""),43612.64583333333)</f>
        <v>43612.64583</v>
      </c>
      <c r="B4798" s="2">
        <f>IFERROR(__xludf.DUMMYFUNCTION("""COMPUTED_VALUE"""),1189.45)</f>
        <v>1189.45</v>
      </c>
      <c r="C4798" s="2">
        <f>IFERROR(__xludf.DUMMYFUNCTION("""COMPUTED_VALUE"""),1210.95)</f>
        <v>1210.95</v>
      </c>
      <c r="D4798" s="2">
        <f>IFERROR(__xludf.DUMMYFUNCTION("""COMPUTED_VALUE"""),1186.13)</f>
        <v>1186.13</v>
      </c>
      <c r="E4798" s="2">
        <f>IFERROR(__xludf.DUMMYFUNCTION("""COMPUTED_VALUE"""),1204.18)</f>
        <v>1204.18</v>
      </c>
      <c r="F4798" s="2">
        <f>IFERROR(__xludf.DUMMYFUNCTION("""COMPUTED_VALUE"""),3012256.0)</f>
        <v>3012256</v>
      </c>
    </row>
    <row r="4799">
      <c r="A4799" s="3">
        <f>IFERROR(__xludf.DUMMYFUNCTION("""COMPUTED_VALUE"""),43613.64583333333)</f>
        <v>43613.64583</v>
      </c>
      <c r="B4799" s="2">
        <f>IFERROR(__xludf.DUMMYFUNCTION("""COMPUTED_VALUE"""),1208.25)</f>
        <v>1208.25</v>
      </c>
      <c r="C4799" s="2">
        <f>IFERROR(__xludf.DUMMYFUNCTION("""COMPUTED_VALUE"""),1210.0)</f>
        <v>1210</v>
      </c>
      <c r="D4799" s="2">
        <f>IFERROR(__xludf.DUMMYFUNCTION("""COMPUTED_VALUE"""),1193.53)</f>
        <v>1193.53</v>
      </c>
      <c r="E4799" s="2">
        <f>IFERROR(__xludf.DUMMYFUNCTION("""COMPUTED_VALUE"""),1208.1)</f>
        <v>1208.1</v>
      </c>
      <c r="F4799" s="2">
        <f>IFERROR(__xludf.DUMMYFUNCTION("""COMPUTED_VALUE"""),1841210.0)</f>
        <v>1841210</v>
      </c>
    </row>
    <row r="4800">
      <c r="A4800" s="3">
        <f>IFERROR(__xludf.DUMMYFUNCTION("""COMPUTED_VALUE"""),43614.64583333333)</f>
        <v>43614.64583</v>
      </c>
      <c r="B4800" s="2">
        <f>IFERROR(__xludf.DUMMYFUNCTION("""COMPUTED_VALUE"""),1205.1)</f>
        <v>1205.1</v>
      </c>
      <c r="C4800" s="2">
        <f>IFERROR(__xludf.DUMMYFUNCTION("""COMPUTED_VALUE"""),1215.4)</f>
        <v>1215.4</v>
      </c>
      <c r="D4800" s="2">
        <f>IFERROR(__xludf.DUMMYFUNCTION("""COMPUTED_VALUE"""),1205.1)</f>
        <v>1205.1</v>
      </c>
      <c r="E4800" s="2">
        <f>IFERROR(__xludf.DUMMYFUNCTION("""COMPUTED_VALUE"""),1208.45)</f>
        <v>1208.45</v>
      </c>
      <c r="F4800" s="2">
        <f>IFERROR(__xludf.DUMMYFUNCTION("""COMPUTED_VALUE"""),1868804.0)</f>
        <v>1868804</v>
      </c>
    </row>
    <row r="4801">
      <c r="A4801" s="3">
        <f>IFERROR(__xludf.DUMMYFUNCTION("""COMPUTED_VALUE"""),43615.64583333333)</f>
        <v>43615.64583</v>
      </c>
      <c r="B4801" s="2">
        <f>IFERROR(__xludf.DUMMYFUNCTION("""COMPUTED_VALUE"""),1208.0)</f>
        <v>1208</v>
      </c>
      <c r="C4801" s="2">
        <f>IFERROR(__xludf.DUMMYFUNCTION("""COMPUTED_VALUE"""),1223.95)</f>
        <v>1223.95</v>
      </c>
      <c r="D4801" s="2">
        <f>IFERROR(__xludf.DUMMYFUNCTION("""COMPUTED_VALUE"""),1206.53)</f>
        <v>1206.53</v>
      </c>
      <c r="E4801" s="2">
        <f>IFERROR(__xludf.DUMMYFUNCTION("""COMPUTED_VALUE"""),1219.78)</f>
        <v>1219.78</v>
      </c>
      <c r="F4801" s="2">
        <f>IFERROR(__xludf.DUMMYFUNCTION("""COMPUTED_VALUE"""),2339800.0)</f>
        <v>2339800</v>
      </c>
    </row>
    <row r="4802">
      <c r="A4802" s="3">
        <f>IFERROR(__xludf.DUMMYFUNCTION("""COMPUTED_VALUE"""),43616.64583333333)</f>
        <v>43616.64583</v>
      </c>
      <c r="B4802" s="2">
        <f>IFERROR(__xludf.DUMMYFUNCTION("""COMPUTED_VALUE"""),1228.4)</f>
        <v>1228.4</v>
      </c>
      <c r="C4802" s="2">
        <f>IFERROR(__xludf.DUMMYFUNCTION("""COMPUTED_VALUE"""),1232.5)</f>
        <v>1232.5</v>
      </c>
      <c r="D4802" s="2">
        <f>IFERROR(__xludf.DUMMYFUNCTION("""COMPUTED_VALUE"""),1178.4)</f>
        <v>1178.4</v>
      </c>
      <c r="E4802" s="2">
        <f>IFERROR(__xludf.DUMMYFUNCTION("""COMPUTED_VALUE"""),1212.68)</f>
        <v>1212.68</v>
      </c>
      <c r="F4802" s="2">
        <f>IFERROR(__xludf.DUMMYFUNCTION("""COMPUTED_VALUE"""),4946270.0)</f>
        <v>4946270</v>
      </c>
    </row>
    <row r="4803">
      <c r="A4803" s="3">
        <f>IFERROR(__xludf.DUMMYFUNCTION("""COMPUTED_VALUE"""),43619.64583333333)</f>
        <v>43619.64583</v>
      </c>
      <c r="B4803" s="2">
        <f>IFERROR(__xludf.DUMMYFUNCTION("""COMPUTED_VALUE"""),1213.5)</f>
        <v>1213.5</v>
      </c>
      <c r="C4803" s="2">
        <f>IFERROR(__xludf.DUMMYFUNCTION("""COMPUTED_VALUE"""),1229.9)</f>
        <v>1229.9</v>
      </c>
      <c r="D4803" s="2">
        <f>IFERROR(__xludf.DUMMYFUNCTION("""COMPUTED_VALUE"""),1212.47)</f>
        <v>1212.47</v>
      </c>
      <c r="E4803" s="2">
        <f>IFERROR(__xludf.DUMMYFUNCTION("""COMPUTED_VALUE"""),1228.55)</f>
        <v>1228.55</v>
      </c>
      <c r="F4803" s="2">
        <f>IFERROR(__xludf.DUMMYFUNCTION("""COMPUTED_VALUE"""),2120215.0)</f>
        <v>2120215</v>
      </c>
    </row>
    <row r="4804">
      <c r="A4804" s="3">
        <f>IFERROR(__xludf.DUMMYFUNCTION("""COMPUTED_VALUE"""),43620.64583333333)</f>
        <v>43620.64583</v>
      </c>
      <c r="B4804" s="2">
        <f>IFERROR(__xludf.DUMMYFUNCTION("""COMPUTED_VALUE"""),1227.5)</f>
        <v>1227.5</v>
      </c>
      <c r="C4804" s="2">
        <f>IFERROR(__xludf.DUMMYFUNCTION("""COMPUTED_VALUE"""),1232.88)</f>
        <v>1232.88</v>
      </c>
      <c r="D4804" s="2">
        <f>IFERROR(__xludf.DUMMYFUNCTION("""COMPUTED_VALUE"""),1220.53)</f>
        <v>1220.53</v>
      </c>
      <c r="E4804" s="2">
        <f>IFERROR(__xludf.DUMMYFUNCTION("""COMPUTED_VALUE"""),1226.15)</f>
        <v>1226.15</v>
      </c>
      <c r="F4804" s="2">
        <f>IFERROR(__xludf.DUMMYFUNCTION("""COMPUTED_VALUE"""),1610747.0)</f>
        <v>1610747</v>
      </c>
    </row>
    <row r="4805">
      <c r="A4805" s="3">
        <f>IFERROR(__xludf.DUMMYFUNCTION("""COMPUTED_VALUE"""),43622.64583333333)</f>
        <v>43622.64583</v>
      </c>
      <c r="B4805" s="2">
        <f>IFERROR(__xludf.DUMMYFUNCTION("""COMPUTED_VALUE"""),1226.6)</f>
        <v>1226.6</v>
      </c>
      <c r="C4805" s="2">
        <f>IFERROR(__xludf.DUMMYFUNCTION("""COMPUTED_VALUE"""),1235.0)</f>
        <v>1235</v>
      </c>
      <c r="D4805" s="2">
        <f>IFERROR(__xludf.DUMMYFUNCTION("""COMPUTED_VALUE"""),1206.68)</f>
        <v>1206.68</v>
      </c>
      <c r="E4805" s="2">
        <f>IFERROR(__xludf.DUMMYFUNCTION("""COMPUTED_VALUE"""),1211.68)</f>
        <v>1211.68</v>
      </c>
      <c r="F4805" s="2">
        <f>IFERROR(__xludf.DUMMYFUNCTION("""COMPUTED_VALUE"""),3908731.0)</f>
        <v>3908731</v>
      </c>
    </row>
    <row r="4806">
      <c r="A4806" s="3">
        <f>IFERROR(__xludf.DUMMYFUNCTION("""COMPUTED_VALUE"""),43623.64583333333)</f>
        <v>43623.64583</v>
      </c>
      <c r="B4806" s="2">
        <f>IFERROR(__xludf.DUMMYFUNCTION("""COMPUTED_VALUE"""),1212.83)</f>
        <v>1212.83</v>
      </c>
      <c r="C4806" s="2">
        <f>IFERROR(__xludf.DUMMYFUNCTION("""COMPUTED_VALUE"""),1227.13)</f>
        <v>1227.13</v>
      </c>
      <c r="D4806" s="2">
        <f>IFERROR(__xludf.DUMMYFUNCTION("""COMPUTED_VALUE"""),1204.5)</f>
        <v>1204.5</v>
      </c>
      <c r="E4806" s="2">
        <f>IFERROR(__xludf.DUMMYFUNCTION("""COMPUTED_VALUE"""),1223.83)</f>
        <v>1223.83</v>
      </c>
      <c r="F4806" s="2">
        <f>IFERROR(__xludf.DUMMYFUNCTION("""COMPUTED_VALUE"""),1992733.0)</f>
        <v>1992733</v>
      </c>
    </row>
    <row r="4807">
      <c r="A4807" s="3">
        <f>IFERROR(__xludf.DUMMYFUNCTION("""COMPUTED_VALUE"""),43626.64583333333)</f>
        <v>43626.64583</v>
      </c>
      <c r="B4807" s="2">
        <f>IFERROR(__xludf.DUMMYFUNCTION("""COMPUTED_VALUE"""),1234.97)</f>
        <v>1234.97</v>
      </c>
      <c r="C4807" s="2">
        <f>IFERROR(__xludf.DUMMYFUNCTION("""COMPUTED_VALUE"""),1234.97)</f>
        <v>1234.97</v>
      </c>
      <c r="D4807" s="2">
        <f>IFERROR(__xludf.DUMMYFUNCTION("""COMPUTED_VALUE"""),1216.05)</f>
        <v>1216.05</v>
      </c>
      <c r="E4807" s="2">
        <f>IFERROR(__xludf.DUMMYFUNCTION("""COMPUTED_VALUE"""),1220.1)</f>
        <v>1220.1</v>
      </c>
      <c r="F4807" s="2">
        <f>IFERROR(__xludf.DUMMYFUNCTION("""COMPUTED_VALUE"""),1769285.0)</f>
        <v>1769285</v>
      </c>
    </row>
    <row r="4808">
      <c r="A4808" s="3">
        <f>IFERROR(__xludf.DUMMYFUNCTION("""COMPUTED_VALUE"""),43627.64583333333)</f>
        <v>43627.64583</v>
      </c>
      <c r="B4808" s="2">
        <f>IFERROR(__xludf.DUMMYFUNCTION("""COMPUTED_VALUE"""),1225.75)</f>
        <v>1225.75</v>
      </c>
      <c r="C4808" s="2">
        <f>IFERROR(__xludf.DUMMYFUNCTION("""COMPUTED_VALUE"""),1229.95)</f>
        <v>1229.95</v>
      </c>
      <c r="D4808" s="2">
        <f>IFERROR(__xludf.DUMMYFUNCTION("""COMPUTED_VALUE"""),1220.18)</f>
        <v>1220.18</v>
      </c>
      <c r="E4808" s="2">
        <f>IFERROR(__xludf.DUMMYFUNCTION("""COMPUTED_VALUE"""),1224.2)</f>
        <v>1224.2</v>
      </c>
      <c r="F4808" s="2">
        <f>IFERROR(__xludf.DUMMYFUNCTION("""COMPUTED_VALUE"""),1775823.0)</f>
        <v>1775823</v>
      </c>
    </row>
    <row r="4809">
      <c r="A4809" s="3">
        <f>IFERROR(__xludf.DUMMYFUNCTION("""COMPUTED_VALUE"""),43628.64583333333)</f>
        <v>43628.64583</v>
      </c>
      <c r="B4809" s="2">
        <f>IFERROR(__xludf.DUMMYFUNCTION("""COMPUTED_VALUE"""),1222.5)</f>
        <v>1222.5</v>
      </c>
      <c r="C4809" s="2">
        <f>IFERROR(__xludf.DUMMYFUNCTION("""COMPUTED_VALUE"""),1224.2)</f>
        <v>1224.2</v>
      </c>
      <c r="D4809" s="2">
        <f>IFERROR(__xludf.DUMMYFUNCTION("""COMPUTED_VALUE"""),1211.83)</f>
        <v>1211.83</v>
      </c>
      <c r="E4809" s="2">
        <f>IFERROR(__xludf.DUMMYFUNCTION("""COMPUTED_VALUE"""),1213.53)</f>
        <v>1213.53</v>
      </c>
      <c r="F4809" s="2">
        <f>IFERROR(__xludf.DUMMYFUNCTION("""COMPUTED_VALUE"""),1827155.0)</f>
        <v>1827155</v>
      </c>
    </row>
    <row r="4810">
      <c r="A4810" s="3">
        <f>IFERROR(__xludf.DUMMYFUNCTION("""COMPUTED_VALUE"""),43629.64583333333)</f>
        <v>43629.64583</v>
      </c>
      <c r="B4810" s="2">
        <f>IFERROR(__xludf.DUMMYFUNCTION("""COMPUTED_VALUE"""),1217.97)</f>
        <v>1217.97</v>
      </c>
      <c r="C4810" s="2">
        <f>IFERROR(__xludf.DUMMYFUNCTION("""COMPUTED_VALUE"""),1226.0)</f>
        <v>1226</v>
      </c>
      <c r="D4810" s="2">
        <f>IFERROR(__xludf.DUMMYFUNCTION("""COMPUTED_VALUE"""),1207.97)</f>
        <v>1207.97</v>
      </c>
      <c r="E4810" s="2">
        <f>IFERROR(__xludf.DUMMYFUNCTION("""COMPUTED_VALUE"""),1222.35)</f>
        <v>1222.35</v>
      </c>
      <c r="F4810" s="2">
        <f>IFERROR(__xludf.DUMMYFUNCTION("""COMPUTED_VALUE"""),2776987.0)</f>
        <v>2776987</v>
      </c>
    </row>
    <row r="4811">
      <c r="A4811" s="3">
        <f>IFERROR(__xludf.DUMMYFUNCTION("""COMPUTED_VALUE"""),43630.64583333333)</f>
        <v>43630.64583</v>
      </c>
      <c r="B4811" s="2">
        <f>IFERROR(__xludf.DUMMYFUNCTION("""COMPUTED_VALUE"""),1221.47)</f>
        <v>1221.47</v>
      </c>
      <c r="C4811" s="2">
        <f>IFERROR(__xludf.DUMMYFUNCTION("""COMPUTED_VALUE"""),1229.47)</f>
        <v>1229.47</v>
      </c>
      <c r="D4811" s="2">
        <f>IFERROR(__xludf.DUMMYFUNCTION("""COMPUTED_VALUE"""),1212.5)</f>
        <v>1212.5</v>
      </c>
      <c r="E4811" s="2">
        <f>IFERROR(__xludf.DUMMYFUNCTION("""COMPUTED_VALUE"""),1217.55)</f>
        <v>1217.55</v>
      </c>
      <c r="F4811" s="2">
        <f>IFERROR(__xludf.DUMMYFUNCTION("""COMPUTED_VALUE"""),2989230.0)</f>
        <v>2989230</v>
      </c>
    </row>
    <row r="4812">
      <c r="A4812" s="3">
        <f>IFERROR(__xludf.DUMMYFUNCTION("""COMPUTED_VALUE"""),43633.64583333333)</f>
        <v>43633.64583</v>
      </c>
      <c r="B4812" s="2">
        <f>IFERROR(__xludf.DUMMYFUNCTION("""COMPUTED_VALUE"""),1217.5)</f>
        <v>1217.5</v>
      </c>
      <c r="C4812" s="2">
        <f>IFERROR(__xludf.DUMMYFUNCTION("""COMPUTED_VALUE"""),1219.95)</f>
        <v>1219.95</v>
      </c>
      <c r="D4812" s="2">
        <f>IFERROR(__xludf.DUMMYFUNCTION("""COMPUTED_VALUE"""),1208.65)</f>
        <v>1208.65</v>
      </c>
      <c r="E4812" s="2">
        <f>IFERROR(__xludf.DUMMYFUNCTION("""COMPUTED_VALUE"""),1211.0)</f>
        <v>1211</v>
      </c>
      <c r="F4812" s="2">
        <f>IFERROR(__xludf.DUMMYFUNCTION("""COMPUTED_VALUE"""),3202505.0)</f>
        <v>3202505</v>
      </c>
    </row>
    <row r="4813">
      <c r="A4813" s="3">
        <f>IFERROR(__xludf.DUMMYFUNCTION("""COMPUTED_VALUE"""),43634.64583333333)</f>
        <v>43634.64583</v>
      </c>
      <c r="B4813" s="2">
        <f>IFERROR(__xludf.DUMMYFUNCTION("""COMPUTED_VALUE"""),1209.0)</f>
        <v>1209</v>
      </c>
      <c r="C4813" s="2">
        <f>IFERROR(__xludf.DUMMYFUNCTION("""COMPUTED_VALUE"""),1216.0)</f>
        <v>1216</v>
      </c>
      <c r="D4813" s="2">
        <f>IFERROR(__xludf.DUMMYFUNCTION("""COMPUTED_VALUE"""),1202.0)</f>
        <v>1202</v>
      </c>
      <c r="E4813" s="2">
        <f>IFERROR(__xludf.DUMMYFUNCTION("""COMPUTED_VALUE"""),1208.63)</f>
        <v>1208.63</v>
      </c>
      <c r="F4813" s="2">
        <f>IFERROR(__xludf.DUMMYFUNCTION("""COMPUTED_VALUE"""),3104913.0)</f>
        <v>3104913</v>
      </c>
    </row>
    <row r="4814">
      <c r="A4814" s="3">
        <f>IFERROR(__xludf.DUMMYFUNCTION("""COMPUTED_VALUE"""),43635.64583333333)</f>
        <v>43635.64583</v>
      </c>
      <c r="B4814" s="2">
        <f>IFERROR(__xludf.DUMMYFUNCTION("""COMPUTED_VALUE"""),1213.5)</f>
        <v>1213.5</v>
      </c>
      <c r="C4814" s="2">
        <f>IFERROR(__xludf.DUMMYFUNCTION("""COMPUTED_VALUE"""),1222.45)</f>
        <v>1222.45</v>
      </c>
      <c r="D4814" s="2">
        <f>IFERROR(__xludf.DUMMYFUNCTION("""COMPUTED_VALUE"""),1208.35)</f>
        <v>1208.35</v>
      </c>
      <c r="E4814" s="2">
        <f>IFERROR(__xludf.DUMMYFUNCTION("""COMPUTED_VALUE"""),1214.18)</f>
        <v>1214.18</v>
      </c>
      <c r="F4814" s="2">
        <f>IFERROR(__xludf.DUMMYFUNCTION("""COMPUTED_VALUE"""),2686069.0)</f>
        <v>2686069</v>
      </c>
    </row>
    <row r="4815">
      <c r="A4815" s="3">
        <f>IFERROR(__xludf.DUMMYFUNCTION("""COMPUTED_VALUE"""),43636.64583333333)</f>
        <v>43636.64583</v>
      </c>
      <c r="B4815" s="2">
        <f>IFERROR(__xludf.DUMMYFUNCTION("""COMPUTED_VALUE"""),1214.18)</f>
        <v>1214.18</v>
      </c>
      <c r="C4815" s="2">
        <f>IFERROR(__xludf.DUMMYFUNCTION("""COMPUTED_VALUE"""),1218.5)</f>
        <v>1218.5</v>
      </c>
      <c r="D4815" s="2">
        <f>IFERROR(__xludf.DUMMYFUNCTION("""COMPUTED_VALUE"""),1207.3)</f>
        <v>1207.3</v>
      </c>
      <c r="E4815" s="2">
        <f>IFERROR(__xludf.DUMMYFUNCTION("""COMPUTED_VALUE"""),1213.18)</f>
        <v>1213.18</v>
      </c>
      <c r="F4815" s="2">
        <f>IFERROR(__xludf.DUMMYFUNCTION("""COMPUTED_VALUE"""),2792873.0)</f>
        <v>2792873</v>
      </c>
    </row>
    <row r="4816">
      <c r="A4816" s="3">
        <f>IFERROR(__xludf.DUMMYFUNCTION("""COMPUTED_VALUE"""),43637.64583333333)</f>
        <v>43637.64583</v>
      </c>
      <c r="B4816" s="2">
        <f>IFERROR(__xludf.DUMMYFUNCTION("""COMPUTED_VALUE"""),1213.0)</f>
        <v>1213</v>
      </c>
      <c r="C4816" s="2">
        <f>IFERROR(__xludf.DUMMYFUNCTION("""COMPUTED_VALUE"""),1214.85)</f>
        <v>1214.85</v>
      </c>
      <c r="D4816" s="2">
        <f>IFERROR(__xludf.DUMMYFUNCTION("""COMPUTED_VALUE"""),1202.83)</f>
        <v>1202.83</v>
      </c>
      <c r="E4816" s="2">
        <f>IFERROR(__xludf.DUMMYFUNCTION("""COMPUTED_VALUE"""),1207.1)</f>
        <v>1207.1</v>
      </c>
      <c r="F4816" s="2">
        <f>IFERROR(__xludf.DUMMYFUNCTION("""COMPUTED_VALUE"""),3312565.0)</f>
        <v>3312565</v>
      </c>
    </row>
    <row r="4817">
      <c r="A4817" s="3">
        <f>IFERROR(__xludf.DUMMYFUNCTION("""COMPUTED_VALUE"""),43640.64583333333)</f>
        <v>43640.64583</v>
      </c>
      <c r="B4817" s="2">
        <f>IFERROR(__xludf.DUMMYFUNCTION("""COMPUTED_VALUE"""),1205.97)</f>
        <v>1205.97</v>
      </c>
      <c r="C4817" s="2">
        <f>IFERROR(__xludf.DUMMYFUNCTION("""COMPUTED_VALUE"""),1215.3)</f>
        <v>1215.3</v>
      </c>
      <c r="D4817" s="2">
        <f>IFERROR(__xludf.DUMMYFUNCTION("""COMPUTED_VALUE"""),1205.0)</f>
        <v>1205</v>
      </c>
      <c r="E4817" s="2">
        <f>IFERROR(__xludf.DUMMYFUNCTION("""COMPUTED_VALUE"""),1208.97)</f>
        <v>1208.97</v>
      </c>
      <c r="F4817" s="2">
        <f>IFERROR(__xludf.DUMMYFUNCTION("""COMPUTED_VALUE"""),1728750.0)</f>
        <v>1728750</v>
      </c>
    </row>
    <row r="4818">
      <c r="A4818" s="3">
        <f>IFERROR(__xludf.DUMMYFUNCTION("""COMPUTED_VALUE"""),43641.64583333333)</f>
        <v>43641.64583</v>
      </c>
      <c r="B4818" s="2">
        <f>IFERROR(__xludf.DUMMYFUNCTION("""COMPUTED_VALUE"""),1209.93)</f>
        <v>1209.93</v>
      </c>
      <c r="C4818" s="2">
        <f>IFERROR(__xludf.DUMMYFUNCTION("""COMPUTED_VALUE"""),1220.75)</f>
        <v>1220.75</v>
      </c>
      <c r="D4818" s="2">
        <f>IFERROR(__xludf.DUMMYFUNCTION("""COMPUTED_VALUE"""),1201.5)</f>
        <v>1201.5</v>
      </c>
      <c r="E4818" s="2">
        <f>IFERROR(__xludf.DUMMYFUNCTION("""COMPUTED_VALUE"""),1214.35)</f>
        <v>1214.35</v>
      </c>
      <c r="F4818" s="2">
        <f>IFERROR(__xludf.DUMMYFUNCTION("""COMPUTED_VALUE"""),2224950.0)</f>
        <v>2224950</v>
      </c>
    </row>
    <row r="4819">
      <c r="A4819" s="3">
        <f>IFERROR(__xludf.DUMMYFUNCTION("""COMPUTED_VALUE"""),43642.64583333333)</f>
        <v>43642.64583</v>
      </c>
      <c r="B4819" s="2">
        <f>IFERROR(__xludf.DUMMYFUNCTION("""COMPUTED_VALUE"""),1212.35)</f>
        <v>1212.35</v>
      </c>
      <c r="C4819" s="2">
        <f>IFERROR(__xludf.DUMMYFUNCTION("""COMPUTED_VALUE"""),1235.0)</f>
        <v>1235</v>
      </c>
      <c r="D4819" s="2">
        <f>IFERROR(__xludf.DUMMYFUNCTION("""COMPUTED_VALUE"""),1211.0)</f>
        <v>1211</v>
      </c>
      <c r="E4819" s="2">
        <f>IFERROR(__xludf.DUMMYFUNCTION("""COMPUTED_VALUE"""),1233.95)</f>
        <v>1233.95</v>
      </c>
      <c r="F4819" s="2">
        <f>IFERROR(__xludf.DUMMYFUNCTION("""COMPUTED_VALUE"""),2633409.0)</f>
        <v>2633409</v>
      </c>
    </row>
    <row r="4820">
      <c r="A4820" s="3">
        <f>IFERROR(__xludf.DUMMYFUNCTION("""COMPUTED_VALUE"""),43643.64583333333)</f>
        <v>43643.64583</v>
      </c>
      <c r="B4820" s="2">
        <f>IFERROR(__xludf.DUMMYFUNCTION("""COMPUTED_VALUE"""),1234.38)</f>
        <v>1234.38</v>
      </c>
      <c r="C4820" s="2">
        <f>IFERROR(__xludf.DUMMYFUNCTION("""COMPUTED_VALUE"""),1247.25)</f>
        <v>1247.25</v>
      </c>
      <c r="D4820" s="2">
        <f>IFERROR(__xludf.DUMMYFUNCTION("""COMPUTED_VALUE"""),1228.08)</f>
        <v>1228.08</v>
      </c>
      <c r="E4820" s="2">
        <f>IFERROR(__xludf.DUMMYFUNCTION("""COMPUTED_VALUE"""),1231.15)</f>
        <v>1231.15</v>
      </c>
      <c r="F4820" s="2">
        <f>IFERROR(__xludf.DUMMYFUNCTION("""COMPUTED_VALUE"""),4969809.0)</f>
        <v>4969809</v>
      </c>
    </row>
    <row r="4821">
      <c r="A4821" s="3">
        <f>IFERROR(__xludf.DUMMYFUNCTION("""COMPUTED_VALUE"""),43644.64583333333)</f>
        <v>43644.64583</v>
      </c>
      <c r="B4821" s="2">
        <f>IFERROR(__xludf.DUMMYFUNCTION("""COMPUTED_VALUE"""),1232.0)</f>
        <v>1232</v>
      </c>
      <c r="C4821" s="2">
        <f>IFERROR(__xludf.DUMMYFUNCTION("""COMPUTED_VALUE"""),1237.5)</f>
        <v>1237.5</v>
      </c>
      <c r="D4821" s="2">
        <f>IFERROR(__xludf.DUMMYFUNCTION("""COMPUTED_VALUE"""),1218.53)</f>
        <v>1218.53</v>
      </c>
      <c r="E4821" s="2">
        <f>IFERROR(__xludf.DUMMYFUNCTION("""COMPUTED_VALUE"""),1221.88)</f>
        <v>1221.88</v>
      </c>
      <c r="F4821" s="2">
        <f>IFERROR(__xludf.DUMMYFUNCTION("""COMPUTED_VALUE"""),3189211.0)</f>
        <v>3189211</v>
      </c>
    </row>
    <row r="4822">
      <c r="A4822" s="3">
        <f>IFERROR(__xludf.DUMMYFUNCTION("""COMPUTED_VALUE"""),43647.64583333333)</f>
        <v>43647.64583</v>
      </c>
      <c r="B4822" s="2">
        <f>IFERROR(__xludf.DUMMYFUNCTION("""COMPUTED_VALUE"""),1228.0)</f>
        <v>1228</v>
      </c>
      <c r="C4822" s="2">
        <f>IFERROR(__xludf.DUMMYFUNCTION("""COMPUTED_VALUE"""),1244.5)</f>
        <v>1244.5</v>
      </c>
      <c r="D4822" s="2">
        <f>IFERROR(__xludf.DUMMYFUNCTION("""COMPUTED_VALUE"""),1225.03)</f>
        <v>1225.03</v>
      </c>
      <c r="E4822" s="2">
        <f>IFERROR(__xludf.DUMMYFUNCTION("""COMPUTED_VALUE"""),1242.78)</f>
        <v>1242.78</v>
      </c>
      <c r="F4822" s="2">
        <f>IFERROR(__xludf.DUMMYFUNCTION("""COMPUTED_VALUE"""),2131040.0)</f>
        <v>2131040</v>
      </c>
    </row>
    <row r="4823">
      <c r="A4823" s="3">
        <f>IFERROR(__xludf.DUMMYFUNCTION("""COMPUTED_VALUE"""),43648.64583333333)</f>
        <v>43648.64583</v>
      </c>
      <c r="B4823" s="2">
        <f>IFERROR(__xludf.DUMMYFUNCTION("""COMPUTED_VALUE"""),1244.0)</f>
        <v>1244</v>
      </c>
      <c r="C4823" s="2">
        <f>IFERROR(__xludf.DUMMYFUNCTION("""COMPUTED_VALUE"""),1248.75)</f>
        <v>1248.75</v>
      </c>
      <c r="D4823" s="2">
        <f>IFERROR(__xludf.DUMMYFUNCTION("""COMPUTED_VALUE"""),1233.6)</f>
        <v>1233.6</v>
      </c>
      <c r="E4823" s="2">
        <f>IFERROR(__xludf.DUMMYFUNCTION("""COMPUTED_VALUE"""),1247.5)</f>
        <v>1247.5</v>
      </c>
      <c r="F4823" s="2">
        <f>IFERROR(__xludf.DUMMYFUNCTION("""COMPUTED_VALUE"""),1811707.0)</f>
        <v>1811707</v>
      </c>
    </row>
    <row r="4824">
      <c r="A4824" s="3">
        <f>IFERROR(__xludf.DUMMYFUNCTION("""COMPUTED_VALUE"""),43649.64583333333)</f>
        <v>43649.64583</v>
      </c>
      <c r="B4824" s="2">
        <f>IFERROR(__xludf.DUMMYFUNCTION("""COMPUTED_VALUE"""),1249.5)</f>
        <v>1249.5</v>
      </c>
      <c r="C4824" s="2">
        <f>IFERROR(__xludf.DUMMYFUNCTION("""COMPUTED_VALUE"""),1251.65)</f>
        <v>1251.65</v>
      </c>
      <c r="D4824" s="2">
        <f>IFERROR(__xludf.DUMMYFUNCTION("""COMPUTED_VALUE"""),1241.5)</f>
        <v>1241.5</v>
      </c>
      <c r="E4824" s="2">
        <f>IFERROR(__xludf.DUMMYFUNCTION("""COMPUTED_VALUE"""),1244.83)</f>
        <v>1244.83</v>
      </c>
      <c r="F4824" s="2">
        <f>IFERROR(__xludf.DUMMYFUNCTION("""COMPUTED_VALUE"""),1865814.0)</f>
        <v>1865814</v>
      </c>
    </row>
    <row r="4825">
      <c r="A4825" s="3">
        <f>IFERROR(__xludf.DUMMYFUNCTION("""COMPUTED_VALUE"""),43650.64583333333)</f>
        <v>43650.64583</v>
      </c>
      <c r="B4825" s="2">
        <f>IFERROR(__xludf.DUMMYFUNCTION("""COMPUTED_VALUE"""),1247.4)</f>
        <v>1247.4</v>
      </c>
      <c r="C4825" s="2">
        <f>IFERROR(__xludf.DUMMYFUNCTION("""COMPUTED_VALUE"""),1248.95)</f>
        <v>1248.95</v>
      </c>
      <c r="D4825" s="2">
        <f>IFERROR(__xludf.DUMMYFUNCTION("""COMPUTED_VALUE"""),1236.0)</f>
        <v>1236</v>
      </c>
      <c r="E4825" s="2">
        <f>IFERROR(__xludf.DUMMYFUNCTION("""COMPUTED_VALUE"""),1241.9)</f>
        <v>1241.9</v>
      </c>
      <c r="F4825" s="2">
        <f>IFERROR(__xludf.DUMMYFUNCTION("""COMPUTED_VALUE"""),1998491.0)</f>
        <v>1998491</v>
      </c>
    </row>
    <row r="4826">
      <c r="A4826" s="3">
        <f>IFERROR(__xludf.DUMMYFUNCTION("""COMPUTED_VALUE"""),43651.64583333333)</f>
        <v>43651.64583</v>
      </c>
      <c r="B4826" s="2">
        <f>IFERROR(__xludf.DUMMYFUNCTION("""COMPUTED_VALUE"""),1242.55)</f>
        <v>1242.55</v>
      </c>
      <c r="C4826" s="2">
        <f>IFERROR(__xludf.DUMMYFUNCTION("""COMPUTED_VALUE"""),1247.47)</f>
        <v>1247.47</v>
      </c>
      <c r="D4826" s="2">
        <f>IFERROR(__xludf.DUMMYFUNCTION("""COMPUTED_VALUE"""),1230.0)</f>
        <v>1230</v>
      </c>
      <c r="E4826" s="2">
        <f>IFERROR(__xludf.DUMMYFUNCTION("""COMPUTED_VALUE"""),1236.2)</f>
        <v>1236.2</v>
      </c>
      <c r="F4826" s="2">
        <f>IFERROR(__xludf.DUMMYFUNCTION("""COMPUTED_VALUE"""),1895765.0)</f>
        <v>1895765</v>
      </c>
    </row>
    <row r="4827">
      <c r="A4827" s="3">
        <f>IFERROR(__xludf.DUMMYFUNCTION("""COMPUTED_VALUE"""),43654.64583333333)</f>
        <v>43654.64583</v>
      </c>
      <c r="B4827" s="2">
        <f>IFERROR(__xludf.DUMMYFUNCTION("""COMPUTED_VALUE"""),1237.28)</f>
        <v>1237.28</v>
      </c>
      <c r="C4827" s="2">
        <f>IFERROR(__xludf.DUMMYFUNCTION("""COMPUTED_VALUE"""),1237.3)</f>
        <v>1237.3</v>
      </c>
      <c r="D4827" s="2">
        <f>IFERROR(__xludf.DUMMYFUNCTION("""COMPUTED_VALUE"""),1198.53)</f>
        <v>1198.53</v>
      </c>
      <c r="E4827" s="2">
        <f>IFERROR(__xludf.DUMMYFUNCTION("""COMPUTED_VALUE"""),1204.8)</f>
        <v>1204.8</v>
      </c>
      <c r="F4827" s="2">
        <f>IFERROR(__xludf.DUMMYFUNCTION("""COMPUTED_VALUE"""),3651785.0)</f>
        <v>3651785</v>
      </c>
    </row>
    <row r="4828">
      <c r="A4828" s="3">
        <f>IFERROR(__xludf.DUMMYFUNCTION("""COMPUTED_VALUE"""),43655.64583333333)</f>
        <v>43655.64583</v>
      </c>
      <c r="B4828" s="2">
        <f>IFERROR(__xludf.DUMMYFUNCTION("""COMPUTED_VALUE"""),1201.93)</f>
        <v>1201.93</v>
      </c>
      <c r="C4828" s="2">
        <f>IFERROR(__xludf.DUMMYFUNCTION("""COMPUTED_VALUE"""),1205.4)</f>
        <v>1205.4</v>
      </c>
      <c r="D4828" s="2">
        <f>IFERROR(__xludf.DUMMYFUNCTION("""COMPUTED_VALUE"""),1186.5)</f>
        <v>1186.5</v>
      </c>
      <c r="E4828" s="2">
        <f>IFERROR(__xludf.DUMMYFUNCTION("""COMPUTED_VALUE"""),1189.58)</f>
        <v>1189.58</v>
      </c>
      <c r="F4828" s="2">
        <f>IFERROR(__xludf.DUMMYFUNCTION("""COMPUTED_VALUE"""),4120672.0)</f>
        <v>4120672</v>
      </c>
    </row>
    <row r="4829">
      <c r="A4829" s="3">
        <f>IFERROR(__xludf.DUMMYFUNCTION("""COMPUTED_VALUE"""),43656.64583333333)</f>
        <v>43656.64583</v>
      </c>
      <c r="B4829" s="2">
        <f>IFERROR(__xludf.DUMMYFUNCTION("""COMPUTED_VALUE"""),1189.38)</f>
        <v>1189.38</v>
      </c>
      <c r="C4829" s="2">
        <f>IFERROR(__xludf.DUMMYFUNCTION("""COMPUTED_VALUE"""),1199.0)</f>
        <v>1199</v>
      </c>
      <c r="D4829" s="2">
        <f>IFERROR(__xludf.DUMMYFUNCTION("""COMPUTED_VALUE"""),1183.13)</f>
        <v>1183.13</v>
      </c>
      <c r="E4829" s="2">
        <f>IFERROR(__xludf.DUMMYFUNCTION("""COMPUTED_VALUE"""),1194.38)</f>
        <v>1194.38</v>
      </c>
      <c r="F4829" s="2">
        <f>IFERROR(__xludf.DUMMYFUNCTION("""COMPUTED_VALUE"""),2892287.0)</f>
        <v>2892287</v>
      </c>
    </row>
    <row r="4830">
      <c r="A4830" s="3">
        <f>IFERROR(__xludf.DUMMYFUNCTION("""COMPUTED_VALUE"""),43657.64583333333)</f>
        <v>43657.64583</v>
      </c>
      <c r="B4830" s="2">
        <f>IFERROR(__xludf.DUMMYFUNCTION("""COMPUTED_VALUE"""),1201.5)</f>
        <v>1201.5</v>
      </c>
      <c r="C4830" s="2">
        <f>IFERROR(__xludf.DUMMYFUNCTION("""COMPUTED_VALUE"""),1207.0)</f>
        <v>1207</v>
      </c>
      <c r="D4830" s="2">
        <f>IFERROR(__xludf.DUMMYFUNCTION("""COMPUTED_VALUE"""),1197.83)</f>
        <v>1197.83</v>
      </c>
      <c r="E4830" s="2">
        <f>IFERROR(__xludf.DUMMYFUNCTION("""COMPUTED_VALUE"""),1203.58)</f>
        <v>1203.58</v>
      </c>
      <c r="F4830" s="2">
        <f>IFERROR(__xludf.DUMMYFUNCTION("""COMPUTED_VALUE"""),2274399.0)</f>
        <v>2274399</v>
      </c>
    </row>
    <row r="4831">
      <c r="A4831" s="3">
        <f>IFERROR(__xludf.DUMMYFUNCTION("""COMPUTED_VALUE"""),43658.64583333333)</f>
        <v>43658.64583</v>
      </c>
      <c r="B4831" s="2">
        <f>IFERROR(__xludf.DUMMYFUNCTION("""COMPUTED_VALUE"""),1209.0)</f>
        <v>1209</v>
      </c>
      <c r="C4831" s="2">
        <f>IFERROR(__xludf.DUMMYFUNCTION("""COMPUTED_VALUE"""),1209.0)</f>
        <v>1209</v>
      </c>
      <c r="D4831" s="2">
        <f>IFERROR(__xludf.DUMMYFUNCTION("""COMPUTED_VALUE"""),1192.53)</f>
        <v>1192.53</v>
      </c>
      <c r="E4831" s="2">
        <f>IFERROR(__xludf.DUMMYFUNCTION("""COMPUTED_VALUE"""),1196.95)</f>
        <v>1196.95</v>
      </c>
      <c r="F4831" s="2">
        <f>IFERROR(__xludf.DUMMYFUNCTION("""COMPUTED_VALUE"""),2244068.0)</f>
        <v>2244068</v>
      </c>
    </row>
    <row r="4832">
      <c r="A4832" s="3">
        <f>IFERROR(__xludf.DUMMYFUNCTION("""COMPUTED_VALUE"""),43661.64583333333)</f>
        <v>43661.64583</v>
      </c>
      <c r="B4832" s="2">
        <f>IFERROR(__xludf.DUMMYFUNCTION("""COMPUTED_VALUE"""),1198.0)</f>
        <v>1198</v>
      </c>
      <c r="C4832" s="2">
        <f>IFERROR(__xludf.DUMMYFUNCTION("""COMPUTED_VALUE"""),1201.5)</f>
        <v>1201.5</v>
      </c>
      <c r="D4832" s="2">
        <f>IFERROR(__xludf.DUMMYFUNCTION("""COMPUTED_VALUE"""),1188.68)</f>
        <v>1188.68</v>
      </c>
      <c r="E4832" s="2">
        <f>IFERROR(__xludf.DUMMYFUNCTION("""COMPUTED_VALUE"""),1197.38)</f>
        <v>1197.38</v>
      </c>
      <c r="F4832" s="2">
        <f>IFERROR(__xludf.DUMMYFUNCTION("""COMPUTED_VALUE"""),2058296.0)</f>
        <v>2058296</v>
      </c>
    </row>
    <row r="4833">
      <c r="A4833" s="3">
        <f>IFERROR(__xludf.DUMMYFUNCTION("""COMPUTED_VALUE"""),43662.64583333333)</f>
        <v>43662.64583</v>
      </c>
      <c r="B4833" s="2">
        <f>IFERROR(__xludf.DUMMYFUNCTION("""COMPUTED_VALUE"""),1209.0)</f>
        <v>1209</v>
      </c>
      <c r="C4833" s="2">
        <f>IFERROR(__xludf.DUMMYFUNCTION("""COMPUTED_VALUE"""),1209.0)</f>
        <v>1209</v>
      </c>
      <c r="D4833" s="2">
        <f>IFERROR(__xludf.DUMMYFUNCTION("""COMPUTED_VALUE"""),1191.0)</f>
        <v>1191</v>
      </c>
      <c r="E4833" s="2">
        <f>IFERROR(__xludf.DUMMYFUNCTION("""COMPUTED_VALUE"""),1195.6)</f>
        <v>1195.6</v>
      </c>
      <c r="F4833" s="2">
        <f>IFERROR(__xludf.DUMMYFUNCTION("""COMPUTED_VALUE"""),3192642.0)</f>
        <v>3192642</v>
      </c>
    </row>
    <row r="4834">
      <c r="A4834" s="3">
        <f>IFERROR(__xludf.DUMMYFUNCTION("""COMPUTED_VALUE"""),43663.64583333333)</f>
        <v>43663.64583</v>
      </c>
      <c r="B4834" s="2">
        <f>IFERROR(__xludf.DUMMYFUNCTION("""COMPUTED_VALUE"""),1196.47)</f>
        <v>1196.47</v>
      </c>
      <c r="C4834" s="2">
        <f>IFERROR(__xludf.DUMMYFUNCTION("""COMPUTED_VALUE"""),1205.8)</f>
        <v>1205.8</v>
      </c>
      <c r="D4834" s="2">
        <f>IFERROR(__xludf.DUMMYFUNCTION("""COMPUTED_VALUE"""),1195.65)</f>
        <v>1195.65</v>
      </c>
      <c r="E4834" s="2">
        <f>IFERROR(__xludf.DUMMYFUNCTION("""COMPUTED_VALUE"""),1198.72)</f>
        <v>1198.72</v>
      </c>
      <c r="F4834" s="2">
        <f>IFERROR(__xludf.DUMMYFUNCTION("""COMPUTED_VALUE"""),1939934.0)</f>
        <v>1939934</v>
      </c>
    </row>
    <row r="4835">
      <c r="A4835" s="3">
        <f>IFERROR(__xludf.DUMMYFUNCTION("""COMPUTED_VALUE"""),43664.64583333333)</f>
        <v>43664.64583</v>
      </c>
      <c r="B4835" s="2">
        <f>IFERROR(__xludf.DUMMYFUNCTION("""COMPUTED_VALUE"""),1201.5)</f>
        <v>1201.5</v>
      </c>
      <c r="C4835" s="2">
        <f>IFERROR(__xludf.DUMMYFUNCTION("""COMPUTED_VALUE"""),1214.5)</f>
        <v>1214.5</v>
      </c>
      <c r="D4835" s="2">
        <f>IFERROR(__xludf.DUMMYFUNCTION("""COMPUTED_VALUE"""),1200.95)</f>
        <v>1200.95</v>
      </c>
      <c r="E4835" s="2">
        <f>IFERROR(__xludf.DUMMYFUNCTION("""COMPUTED_VALUE"""),1205.95)</f>
        <v>1205.95</v>
      </c>
      <c r="F4835" s="2">
        <f>IFERROR(__xludf.DUMMYFUNCTION("""COMPUTED_VALUE"""),2700646.0)</f>
        <v>2700646</v>
      </c>
    </row>
    <row r="4836">
      <c r="A4836" s="3">
        <f>IFERROR(__xludf.DUMMYFUNCTION("""COMPUTED_VALUE"""),43665.64583333333)</f>
        <v>43665.64583</v>
      </c>
      <c r="B4836" s="2">
        <f>IFERROR(__xludf.DUMMYFUNCTION("""COMPUTED_VALUE"""),1207.5)</f>
        <v>1207.5</v>
      </c>
      <c r="C4836" s="2">
        <f>IFERROR(__xludf.DUMMYFUNCTION("""COMPUTED_VALUE"""),1210.35)</f>
        <v>1210.35</v>
      </c>
      <c r="D4836" s="2">
        <f>IFERROR(__xludf.DUMMYFUNCTION("""COMPUTED_VALUE"""),1183.5)</f>
        <v>1183.5</v>
      </c>
      <c r="E4836" s="2">
        <f>IFERROR(__xludf.DUMMYFUNCTION("""COMPUTED_VALUE"""),1187.83)</f>
        <v>1187.83</v>
      </c>
      <c r="F4836" s="2">
        <f>IFERROR(__xludf.DUMMYFUNCTION("""COMPUTED_VALUE"""),2234807.0)</f>
        <v>2234807</v>
      </c>
    </row>
    <row r="4837">
      <c r="A4837" s="3">
        <f>IFERROR(__xludf.DUMMYFUNCTION("""COMPUTED_VALUE"""),43668.64583333333)</f>
        <v>43668.64583</v>
      </c>
      <c r="B4837" s="2">
        <f>IFERROR(__xludf.DUMMYFUNCTION("""COMPUTED_VALUE"""),1172.5)</f>
        <v>1172.5</v>
      </c>
      <c r="C4837" s="2">
        <f>IFERROR(__xludf.DUMMYFUNCTION("""COMPUTED_VALUE"""),1174.93)</f>
        <v>1174.93</v>
      </c>
      <c r="D4837" s="2">
        <f>IFERROR(__xludf.DUMMYFUNCTION("""COMPUTED_VALUE"""),1140.63)</f>
        <v>1140.63</v>
      </c>
      <c r="E4837" s="2">
        <f>IFERROR(__xludf.DUMMYFUNCTION("""COMPUTED_VALUE"""),1148.63)</f>
        <v>1148.63</v>
      </c>
      <c r="F4837" s="2">
        <f>IFERROR(__xludf.DUMMYFUNCTION("""COMPUTED_VALUE"""),5542824.0)</f>
        <v>5542824</v>
      </c>
    </row>
    <row r="4838">
      <c r="A4838" s="3">
        <f>IFERROR(__xludf.DUMMYFUNCTION("""COMPUTED_VALUE"""),43669.64583333333)</f>
        <v>43669.64583</v>
      </c>
      <c r="B4838" s="2">
        <f>IFERROR(__xludf.DUMMYFUNCTION("""COMPUTED_VALUE"""),1147.25)</f>
        <v>1147.25</v>
      </c>
      <c r="C4838" s="2">
        <f>IFERROR(__xludf.DUMMYFUNCTION("""COMPUTED_VALUE"""),1147.25)</f>
        <v>1147.25</v>
      </c>
      <c r="D4838" s="2">
        <f>IFERROR(__xludf.DUMMYFUNCTION("""COMPUTED_VALUE"""),1121.03)</f>
        <v>1121.03</v>
      </c>
      <c r="E4838" s="2">
        <f>IFERROR(__xludf.DUMMYFUNCTION("""COMPUTED_VALUE"""),1131.75)</f>
        <v>1131.75</v>
      </c>
      <c r="F4838" s="2">
        <f>IFERROR(__xludf.DUMMYFUNCTION("""COMPUTED_VALUE"""),6950716.0)</f>
        <v>6950716</v>
      </c>
    </row>
    <row r="4839">
      <c r="A4839" s="3">
        <f>IFERROR(__xludf.DUMMYFUNCTION("""COMPUTED_VALUE"""),43670.64583333333)</f>
        <v>43670.64583</v>
      </c>
      <c r="B4839" s="2">
        <f>IFERROR(__xludf.DUMMYFUNCTION("""COMPUTED_VALUE"""),1128.38)</f>
        <v>1128.38</v>
      </c>
      <c r="C4839" s="2">
        <f>IFERROR(__xludf.DUMMYFUNCTION("""COMPUTED_VALUE"""),1146.5)</f>
        <v>1146.5</v>
      </c>
      <c r="D4839" s="2">
        <f>IFERROR(__xludf.DUMMYFUNCTION("""COMPUTED_VALUE"""),1125.5)</f>
        <v>1125.5</v>
      </c>
      <c r="E4839" s="2">
        <f>IFERROR(__xludf.DUMMYFUNCTION("""COMPUTED_VALUE"""),1140.45)</f>
        <v>1140.45</v>
      </c>
      <c r="F4839" s="2">
        <f>IFERROR(__xludf.DUMMYFUNCTION("""COMPUTED_VALUE"""),4340935.0)</f>
        <v>4340935</v>
      </c>
    </row>
    <row r="4840">
      <c r="A4840" s="3">
        <f>IFERROR(__xludf.DUMMYFUNCTION("""COMPUTED_VALUE"""),43671.64583333333)</f>
        <v>43671.64583</v>
      </c>
      <c r="B4840" s="2">
        <f>IFERROR(__xludf.DUMMYFUNCTION("""COMPUTED_VALUE"""),1142.5)</f>
        <v>1142.5</v>
      </c>
      <c r="C4840" s="2">
        <f>IFERROR(__xludf.DUMMYFUNCTION("""COMPUTED_VALUE"""),1157.72)</f>
        <v>1157.72</v>
      </c>
      <c r="D4840" s="2">
        <f>IFERROR(__xludf.DUMMYFUNCTION("""COMPUTED_VALUE"""),1140.13)</f>
        <v>1140.13</v>
      </c>
      <c r="E4840" s="2">
        <f>IFERROR(__xludf.DUMMYFUNCTION("""COMPUTED_VALUE"""),1143.03)</f>
        <v>1143.03</v>
      </c>
      <c r="F4840" s="2">
        <f>IFERROR(__xludf.DUMMYFUNCTION("""COMPUTED_VALUE"""),4865502.0)</f>
        <v>4865502</v>
      </c>
    </row>
    <row r="4841">
      <c r="A4841" s="3">
        <f>IFERROR(__xludf.DUMMYFUNCTION("""COMPUTED_VALUE"""),43672.64583333333)</f>
        <v>43672.64583</v>
      </c>
      <c r="B4841" s="2">
        <f>IFERROR(__xludf.DUMMYFUNCTION("""COMPUTED_VALUE"""),1139.1)</f>
        <v>1139.1</v>
      </c>
      <c r="C4841" s="2">
        <f>IFERROR(__xludf.DUMMYFUNCTION("""COMPUTED_VALUE"""),1146.83)</f>
        <v>1146.83</v>
      </c>
      <c r="D4841" s="2">
        <f>IFERROR(__xludf.DUMMYFUNCTION("""COMPUTED_VALUE"""),1136.43)</f>
        <v>1136.43</v>
      </c>
      <c r="E4841" s="2">
        <f>IFERROR(__xludf.DUMMYFUNCTION("""COMPUTED_VALUE"""),1138.65)</f>
        <v>1138.65</v>
      </c>
      <c r="F4841" s="2">
        <f>IFERROR(__xludf.DUMMYFUNCTION("""COMPUTED_VALUE"""),3207457.0)</f>
        <v>3207457</v>
      </c>
    </row>
    <row r="4842">
      <c r="A4842" s="3">
        <f>IFERROR(__xludf.DUMMYFUNCTION("""COMPUTED_VALUE"""),43675.64583333333)</f>
        <v>43675.64583</v>
      </c>
      <c r="B4842" s="2">
        <f>IFERROR(__xludf.DUMMYFUNCTION("""COMPUTED_VALUE"""),1136.78)</f>
        <v>1136.78</v>
      </c>
      <c r="C4842" s="2">
        <f>IFERROR(__xludf.DUMMYFUNCTION("""COMPUTED_VALUE"""),1136.78)</f>
        <v>1136.78</v>
      </c>
      <c r="D4842" s="2">
        <f>IFERROR(__xludf.DUMMYFUNCTION("""COMPUTED_VALUE"""),1111.53)</f>
        <v>1111.53</v>
      </c>
      <c r="E4842" s="2">
        <f>IFERROR(__xludf.DUMMYFUNCTION("""COMPUTED_VALUE"""),1122.15)</f>
        <v>1122.15</v>
      </c>
      <c r="F4842" s="2">
        <f>IFERROR(__xludf.DUMMYFUNCTION("""COMPUTED_VALUE"""),2494123.0)</f>
        <v>2494123</v>
      </c>
    </row>
    <row r="4843">
      <c r="A4843" s="3">
        <f>IFERROR(__xludf.DUMMYFUNCTION("""COMPUTED_VALUE"""),43676.64583333333)</f>
        <v>43676.64583</v>
      </c>
      <c r="B4843" s="2">
        <f>IFERROR(__xludf.DUMMYFUNCTION("""COMPUTED_VALUE"""),1127.5)</f>
        <v>1127.5</v>
      </c>
      <c r="C4843" s="2">
        <f>IFERROR(__xludf.DUMMYFUNCTION("""COMPUTED_VALUE"""),1135.6)</f>
        <v>1135.6</v>
      </c>
      <c r="D4843" s="2">
        <f>IFERROR(__xludf.DUMMYFUNCTION("""COMPUTED_VALUE"""),1119.95)</f>
        <v>1119.95</v>
      </c>
      <c r="E4843" s="2">
        <f>IFERROR(__xludf.DUMMYFUNCTION("""COMPUTED_VALUE"""),1126.13)</f>
        <v>1126.13</v>
      </c>
      <c r="F4843" s="2">
        <f>IFERROR(__xludf.DUMMYFUNCTION("""COMPUTED_VALUE"""),2598534.0)</f>
        <v>2598534</v>
      </c>
    </row>
    <row r="4844">
      <c r="A4844" s="3">
        <f>IFERROR(__xludf.DUMMYFUNCTION("""COMPUTED_VALUE"""),43677.64583333333)</f>
        <v>43677.64583</v>
      </c>
      <c r="B4844" s="2">
        <f>IFERROR(__xludf.DUMMYFUNCTION("""COMPUTED_VALUE"""),1120.0)</f>
        <v>1120</v>
      </c>
      <c r="C4844" s="2">
        <f>IFERROR(__xludf.DUMMYFUNCTION("""COMPUTED_VALUE"""),1133.5)</f>
        <v>1133.5</v>
      </c>
      <c r="D4844" s="2">
        <f>IFERROR(__xludf.DUMMYFUNCTION("""COMPUTED_VALUE"""),1117.13)</f>
        <v>1117.13</v>
      </c>
      <c r="E4844" s="2">
        <f>IFERROR(__xludf.DUMMYFUNCTION("""COMPUTED_VALUE"""),1125.83)</f>
        <v>1125.83</v>
      </c>
      <c r="F4844" s="2">
        <f>IFERROR(__xludf.DUMMYFUNCTION("""COMPUTED_VALUE"""),3472960.0)</f>
        <v>3472960</v>
      </c>
    </row>
    <row r="4845">
      <c r="A4845" s="3">
        <f>IFERROR(__xludf.DUMMYFUNCTION("""COMPUTED_VALUE"""),43678.64583333333)</f>
        <v>43678.64583</v>
      </c>
      <c r="B4845" s="2">
        <f>IFERROR(__xludf.DUMMYFUNCTION("""COMPUTED_VALUE"""),1114.55)</f>
        <v>1114.55</v>
      </c>
      <c r="C4845" s="2">
        <f>IFERROR(__xludf.DUMMYFUNCTION("""COMPUTED_VALUE"""),1120.0)</f>
        <v>1120</v>
      </c>
      <c r="D4845" s="2">
        <f>IFERROR(__xludf.DUMMYFUNCTION("""COMPUTED_VALUE"""),1098.5)</f>
        <v>1098.5</v>
      </c>
      <c r="E4845" s="2">
        <f>IFERROR(__xludf.DUMMYFUNCTION("""COMPUTED_VALUE"""),1110.9)</f>
        <v>1110.9</v>
      </c>
      <c r="F4845" s="2">
        <f>IFERROR(__xludf.DUMMYFUNCTION("""COMPUTED_VALUE"""),4560419.0)</f>
        <v>4560419</v>
      </c>
    </row>
    <row r="4846">
      <c r="A4846" s="3">
        <f>IFERROR(__xludf.DUMMYFUNCTION("""COMPUTED_VALUE"""),43679.64583333333)</f>
        <v>43679.64583</v>
      </c>
      <c r="B4846" s="2">
        <f>IFERROR(__xludf.DUMMYFUNCTION("""COMPUTED_VALUE"""),1105.5)</f>
        <v>1105.5</v>
      </c>
      <c r="C4846" s="2">
        <f>IFERROR(__xludf.DUMMYFUNCTION("""COMPUTED_VALUE"""),1112.0)</f>
        <v>1112</v>
      </c>
      <c r="D4846" s="2">
        <f>IFERROR(__xludf.DUMMYFUNCTION("""COMPUTED_VALUE"""),1091.0)</f>
        <v>1091</v>
      </c>
      <c r="E4846" s="2">
        <f>IFERROR(__xludf.DUMMYFUNCTION("""COMPUTED_VALUE"""),1107.18)</f>
        <v>1107.18</v>
      </c>
      <c r="F4846" s="2">
        <f>IFERROR(__xludf.DUMMYFUNCTION("""COMPUTED_VALUE"""),6956384.0)</f>
        <v>6956384</v>
      </c>
    </row>
    <row r="4847">
      <c r="A4847" s="3">
        <f>IFERROR(__xludf.DUMMYFUNCTION("""COMPUTED_VALUE"""),43682.64583333333)</f>
        <v>43682.64583</v>
      </c>
      <c r="B4847" s="2">
        <f>IFERROR(__xludf.DUMMYFUNCTION("""COMPUTED_VALUE"""),1098.53)</f>
        <v>1098.53</v>
      </c>
      <c r="C4847" s="2">
        <f>IFERROR(__xludf.DUMMYFUNCTION("""COMPUTED_VALUE"""),1100.0)</f>
        <v>1100</v>
      </c>
      <c r="D4847" s="2">
        <f>IFERROR(__xludf.DUMMYFUNCTION("""COMPUTED_VALUE"""),1081.25)</f>
        <v>1081.25</v>
      </c>
      <c r="E4847" s="2">
        <f>IFERROR(__xludf.DUMMYFUNCTION("""COMPUTED_VALUE"""),1089.63)</f>
        <v>1089.63</v>
      </c>
      <c r="F4847" s="2">
        <f>IFERROR(__xludf.DUMMYFUNCTION("""COMPUTED_VALUE"""),4955610.0)</f>
        <v>4955610</v>
      </c>
    </row>
    <row r="4848">
      <c r="A4848" s="3">
        <f>IFERROR(__xludf.DUMMYFUNCTION("""COMPUTED_VALUE"""),43683.64583333333)</f>
        <v>43683.64583</v>
      </c>
      <c r="B4848" s="2">
        <f>IFERROR(__xludf.DUMMYFUNCTION("""COMPUTED_VALUE"""),1083.5)</f>
        <v>1083.5</v>
      </c>
      <c r="C4848" s="2">
        <f>IFERROR(__xludf.DUMMYFUNCTION("""COMPUTED_VALUE"""),1105.13)</f>
        <v>1105.13</v>
      </c>
      <c r="D4848" s="2">
        <f>IFERROR(__xludf.DUMMYFUNCTION("""COMPUTED_VALUE"""),1083.5)</f>
        <v>1083.5</v>
      </c>
      <c r="E4848" s="2">
        <f>IFERROR(__xludf.DUMMYFUNCTION("""COMPUTED_VALUE"""),1094.55)</f>
        <v>1094.55</v>
      </c>
      <c r="F4848" s="2">
        <f>IFERROR(__xludf.DUMMYFUNCTION("""COMPUTED_VALUE"""),6222735.0)</f>
        <v>6222735</v>
      </c>
    </row>
    <row r="4849">
      <c r="A4849" s="3">
        <f>IFERROR(__xludf.DUMMYFUNCTION("""COMPUTED_VALUE"""),43684.64583333333)</f>
        <v>43684.64583</v>
      </c>
      <c r="B4849" s="2">
        <f>IFERROR(__xludf.DUMMYFUNCTION("""COMPUTED_VALUE"""),1095.0)</f>
        <v>1095</v>
      </c>
      <c r="C4849" s="2">
        <f>IFERROR(__xludf.DUMMYFUNCTION("""COMPUTED_VALUE"""),1101.0)</f>
        <v>1101</v>
      </c>
      <c r="D4849" s="2">
        <f>IFERROR(__xludf.DUMMYFUNCTION("""COMPUTED_VALUE"""),1082.5)</f>
        <v>1082.5</v>
      </c>
      <c r="E4849" s="2">
        <f>IFERROR(__xludf.DUMMYFUNCTION("""COMPUTED_VALUE"""),1092.0)</f>
        <v>1092</v>
      </c>
      <c r="F4849" s="2">
        <f>IFERROR(__xludf.DUMMYFUNCTION("""COMPUTED_VALUE"""),4687534.0)</f>
        <v>4687534</v>
      </c>
    </row>
    <row r="4850">
      <c r="A4850" s="3">
        <f>IFERROR(__xludf.DUMMYFUNCTION("""COMPUTED_VALUE"""),43685.64583333333)</f>
        <v>43685.64583</v>
      </c>
      <c r="B4850" s="2">
        <f>IFERROR(__xludf.DUMMYFUNCTION("""COMPUTED_VALUE"""),1099.0)</f>
        <v>1099</v>
      </c>
      <c r="C4850" s="2">
        <f>IFERROR(__xludf.DUMMYFUNCTION("""COMPUTED_VALUE"""),1121.5)</f>
        <v>1121.5</v>
      </c>
      <c r="D4850" s="2">
        <f>IFERROR(__xludf.DUMMYFUNCTION("""COMPUTED_VALUE"""),1091.5)</f>
        <v>1091.5</v>
      </c>
      <c r="E4850" s="2">
        <f>IFERROR(__xludf.DUMMYFUNCTION("""COMPUTED_VALUE"""),1116.58)</f>
        <v>1116.58</v>
      </c>
      <c r="F4850" s="2">
        <f>IFERROR(__xludf.DUMMYFUNCTION("""COMPUTED_VALUE"""),4927900.0)</f>
        <v>4927900</v>
      </c>
    </row>
    <row r="4851">
      <c r="A4851" s="3">
        <f>IFERROR(__xludf.DUMMYFUNCTION("""COMPUTED_VALUE"""),43686.64583333333)</f>
        <v>43686.64583</v>
      </c>
      <c r="B4851" s="2">
        <f>IFERROR(__xludf.DUMMYFUNCTION("""COMPUTED_VALUE"""),1123.5)</f>
        <v>1123.5</v>
      </c>
      <c r="C4851" s="2">
        <f>IFERROR(__xludf.DUMMYFUNCTION("""COMPUTED_VALUE"""),1144.5)</f>
        <v>1144.5</v>
      </c>
      <c r="D4851" s="2">
        <f>IFERROR(__xludf.DUMMYFUNCTION("""COMPUTED_VALUE"""),1119.9)</f>
        <v>1119.9</v>
      </c>
      <c r="E4851" s="2">
        <f>IFERROR(__xludf.DUMMYFUNCTION("""COMPUTED_VALUE"""),1141.0)</f>
        <v>1141</v>
      </c>
      <c r="F4851" s="2">
        <f>IFERROR(__xludf.DUMMYFUNCTION("""COMPUTED_VALUE"""),7609028.0)</f>
        <v>7609028</v>
      </c>
    </row>
    <row r="4852">
      <c r="A4852" s="3">
        <f>IFERROR(__xludf.DUMMYFUNCTION("""COMPUTED_VALUE"""),43690.64583333333)</f>
        <v>43690.64583</v>
      </c>
      <c r="B4852" s="2">
        <f>IFERROR(__xludf.DUMMYFUNCTION("""COMPUTED_VALUE"""),1136.65)</f>
        <v>1136.65</v>
      </c>
      <c r="C4852" s="2">
        <f>IFERROR(__xludf.DUMMYFUNCTION("""COMPUTED_VALUE"""),1136.65)</f>
        <v>1136.65</v>
      </c>
      <c r="D4852" s="2">
        <f>IFERROR(__xludf.DUMMYFUNCTION("""COMPUTED_VALUE"""),1101.3)</f>
        <v>1101.3</v>
      </c>
      <c r="E4852" s="2">
        <f>IFERROR(__xludf.DUMMYFUNCTION("""COMPUTED_VALUE"""),1110.18)</f>
        <v>1110.18</v>
      </c>
      <c r="F4852" s="2">
        <f>IFERROR(__xludf.DUMMYFUNCTION("""COMPUTED_VALUE"""),3860017.0)</f>
        <v>3860017</v>
      </c>
    </row>
    <row r="4853">
      <c r="A4853" s="3">
        <f>IFERROR(__xludf.DUMMYFUNCTION("""COMPUTED_VALUE"""),43691.64583333333)</f>
        <v>43691.64583</v>
      </c>
      <c r="B4853" s="2">
        <f>IFERROR(__xludf.DUMMYFUNCTION("""COMPUTED_VALUE"""),1117.7)</f>
        <v>1117.7</v>
      </c>
      <c r="C4853" s="2">
        <f>IFERROR(__xludf.DUMMYFUNCTION("""COMPUTED_VALUE"""),1117.7)</f>
        <v>1117.7</v>
      </c>
      <c r="D4853" s="2">
        <f>IFERROR(__xludf.DUMMYFUNCTION("""COMPUTED_VALUE"""),1101.53)</f>
        <v>1101.53</v>
      </c>
      <c r="E4853" s="2">
        <f>IFERROR(__xludf.DUMMYFUNCTION("""COMPUTED_VALUE"""),1114.72)</f>
        <v>1114.72</v>
      </c>
      <c r="F4853" s="2">
        <f>IFERROR(__xludf.DUMMYFUNCTION("""COMPUTED_VALUE"""),3563513.0)</f>
        <v>3563513</v>
      </c>
    </row>
    <row r="4854">
      <c r="A4854" s="3">
        <f>IFERROR(__xludf.DUMMYFUNCTION("""COMPUTED_VALUE"""),43693.64583333333)</f>
        <v>43693.64583</v>
      </c>
      <c r="B4854" s="2">
        <f>IFERROR(__xludf.DUMMYFUNCTION("""COMPUTED_VALUE"""),1107.0)</f>
        <v>1107</v>
      </c>
      <c r="C4854" s="2">
        <f>IFERROR(__xludf.DUMMYFUNCTION("""COMPUTED_VALUE"""),1116.5)</f>
        <v>1116.5</v>
      </c>
      <c r="D4854" s="2">
        <f>IFERROR(__xludf.DUMMYFUNCTION("""COMPUTED_VALUE"""),1102.05)</f>
        <v>1102.05</v>
      </c>
      <c r="E4854" s="2">
        <f>IFERROR(__xludf.DUMMYFUNCTION("""COMPUTED_VALUE"""),1113.85)</f>
        <v>1113.85</v>
      </c>
      <c r="F4854" s="2">
        <f>IFERROR(__xludf.DUMMYFUNCTION("""COMPUTED_VALUE"""),3811890.0)</f>
        <v>3811890</v>
      </c>
    </row>
    <row r="4855">
      <c r="A4855" s="3">
        <f>IFERROR(__xludf.DUMMYFUNCTION("""COMPUTED_VALUE"""),43696.64583333333)</f>
        <v>43696.64583</v>
      </c>
      <c r="B4855" s="2">
        <f>IFERROR(__xludf.DUMMYFUNCTION("""COMPUTED_VALUE"""),1119.25)</f>
        <v>1119.25</v>
      </c>
      <c r="C4855" s="2">
        <f>IFERROR(__xludf.DUMMYFUNCTION("""COMPUTED_VALUE"""),1121.0)</f>
        <v>1121</v>
      </c>
      <c r="D4855" s="2">
        <f>IFERROR(__xludf.DUMMYFUNCTION("""COMPUTED_VALUE"""),1100.85)</f>
        <v>1100.85</v>
      </c>
      <c r="E4855" s="2">
        <f>IFERROR(__xludf.DUMMYFUNCTION("""COMPUTED_VALUE"""),1103.43)</f>
        <v>1103.43</v>
      </c>
      <c r="F4855" s="2">
        <f>IFERROR(__xludf.DUMMYFUNCTION("""COMPUTED_VALUE"""),2124550.0)</f>
        <v>2124550</v>
      </c>
    </row>
    <row r="4856">
      <c r="A4856" s="3">
        <f>IFERROR(__xludf.DUMMYFUNCTION("""COMPUTED_VALUE"""),43697.64583333333)</f>
        <v>43697.64583</v>
      </c>
      <c r="B4856" s="2">
        <f>IFERROR(__xludf.DUMMYFUNCTION("""COMPUTED_VALUE"""),1104.63)</f>
        <v>1104.63</v>
      </c>
      <c r="C4856" s="2">
        <f>IFERROR(__xludf.DUMMYFUNCTION("""COMPUTED_VALUE"""),1113.9)</f>
        <v>1113.9</v>
      </c>
      <c r="D4856" s="2">
        <f>IFERROR(__xludf.DUMMYFUNCTION("""COMPUTED_VALUE"""),1103.43)</f>
        <v>1103.43</v>
      </c>
      <c r="E4856" s="2">
        <f>IFERROR(__xludf.DUMMYFUNCTION("""COMPUTED_VALUE"""),1110.3)</f>
        <v>1110.3</v>
      </c>
      <c r="F4856" s="2">
        <f>IFERROR(__xludf.DUMMYFUNCTION("""COMPUTED_VALUE"""),2567648.0)</f>
        <v>2567648</v>
      </c>
    </row>
    <row r="4857">
      <c r="A4857" s="3">
        <f>IFERROR(__xludf.DUMMYFUNCTION("""COMPUTED_VALUE"""),43698.64583333333)</f>
        <v>43698.64583</v>
      </c>
      <c r="B4857" s="2">
        <f>IFERROR(__xludf.DUMMYFUNCTION("""COMPUTED_VALUE"""),1112.45)</f>
        <v>1112.45</v>
      </c>
      <c r="C4857" s="2">
        <f>IFERROR(__xludf.DUMMYFUNCTION("""COMPUTED_VALUE"""),1120.6)</f>
        <v>1120.6</v>
      </c>
      <c r="D4857" s="2">
        <f>IFERROR(__xludf.DUMMYFUNCTION("""COMPUTED_VALUE"""),1107.1)</f>
        <v>1107.1</v>
      </c>
      <c r="E4857" s="2">
        <f>IFERROR(__xludf.DUMMYFUNCTION("""COMPUTED_VALUE"""),1112.93)</f>
        <v>1112.93</v>
      </c>
      <c r="F4857" s="2">
        <f>IFERROR(__xludf.DUMMYFUNCTION("""COMPUTED_VALUE"""),2618178.0)</f>
        <v>2618178</v>
      </c>
    </row>
    <row r="4858">
      <c r="A4858" s="3">
        <f>IFERROR(__xludf.DUMMYFUNCTION("""COMPUTED_VALUE"""),43699.64583333333)</f>
        <v>43699.64583</v>
      </c>
      <c r="B4858" s="2">
        <f>IFERROR(__xludf.DUMMYFUNCTION("""COMPUTED_VALUE"""),1110.43)</f>
        <v>1110.43</v>
      </c>
      <c r="C4858" s="2">
        <f>IFERROR(__xludf.DUMMYFUNCTION("""COMPUTED_VALUE"""),1110.43)</f>
        <v>1110.43</v>
      </c>
      <c r="D4858" s="2">
        <f>IFERROR(__xludf.DUMMYFUNCTION("""COMPUTED_VALUE"""),1083.53)</f>
        <v>1083.53</v>
      </c>
      <c r="E4858" s="2">
        <f>IFERROR(__xludf.DUMMYFUNCTION("""COMPUTED_VALUE"""),1087.05)</f>
        <v>1087.05</v>
      </c>
      <c r="F4858" s="2">
        <f>IFERROR(__xludf.DUMMYFUNCTION("""COMPUTED_VALUE"""),3498011.0)</f>
        <v>3498011</v>
      </c>
    </row>
    <row r="4859">
      <c r="A4859" s="3">
        <f>IFERROR(__xludf.DUMMYFUNCTION("""COMPUTED_VALUE"""),43700.64583333333)</f>
        <v>43700.64583</v>
      </c>
      <c r="B4859" s="2">
        <f>IFERROR(__xludf.DUMMYFUNCTION("""COMPUTED_VALUE"""),1080.5)</f>
        <v>1080.5</v>
      </c>
      <c r="C4859" s="2">
        <f>IFERROR(__xludf.DUMMYFUNCTION("""COMPUTED_VALUE"""),1088.5)</f>
        <v>1088.5</v>
      </c>
      <c r="D4859" s="2">
        <f>IFERROR(__xludf.DUMMYFUNCTION("""COMPUTED_VALUE"""),1069.8)</f>
        <v>1069.8</v>
      </c>
      <c r="E4859" s="2">
        <f>IFERROR(__xludf.DUMMYFUNCTION("""COMPUTED_VALUE"""),1081.35)</f>
        <v>1081.35</v>
      </c>
      <c r="F4859" s="2">
        <f>IFERROR(__xludf.DUMMYFUNCTION("""COMPUTED_VALUE"""),5024904.0)</f>
        <v>5024904</v>
      </c>
    </row>
    <row r="4860">
      <c r="A4860" s="3">
        <f>IFERROR(__xludf.DUMMYFUNCTION("""COMPUTED_VALUE"""),43703.64583333333)</f>
        <v>43703.64583</v>
      </c>
      <c r="B4860" s="2">
        <f>IFERROR(__xludf.DUMMYFUNCTION("""COMPUTED_VALUE"""),1097.45)</f>
        <v>1097.45</v>
      </c>
      <c r="C4860" s="2">
        <f>IFERROR(__xludf.DUMMYFUNCTION("""COMPUTED_VALUE"""),1133.08)</f>
        <v>1133.08</v>
      </c>
      <c r="D4860" s="2">
        <f>IFERROR(__xludf.DUMMYFUNCTION("""COMPUTED_VALUE"""),1083.5)</f>
        <v>1083.5</v>
      </c>
      <c r="E4860" s="2">
        <f>IFERROR(__xludf.DUMMYFUNCTION("""COMPUTED_VALUE"""),1128.08)</f>
        <v>1128.08</v>
      </c>
      <c r="F4860" s="2">
        <f>IFERROR(__xludf.DUMMYFUNCTION("""COMPUTED_VALUE"""),6320061.0)</f>
        <v>6320061</v>
      </c>
    </row>
    <row r="4861">
      <c r="A4861" s="3">
        <f>IFERROR(__xludf.DUMMYFUNCTION("""COMPUTED_VALUE"""),43704.64583333333)</f>
        <v>43704.64583</v>
      </c>
      <c r="B4861" s="2">
        <f>IFERROR(__xludf.DUMMYFUNCTION("""COMPUTED_VALUE"""),1128.0)</f>
        <v>1128</v>
      </c>
      <c r="C4861" s="2">
        <f>IFERROR(__xludf.DUMMYFUNCTION("""COMPUTED_VALUE"""),1136.45)</f>
        <v>1136.45</v>
      </c>
      <c r="D4861" s="2">
        <f>IFERROR(__xludf.DUMMYFUNCTION("""COMPUTED_VALUE"""),1120.05)</f>
        <v>1120.05</v>
      </c>
      <c r="E4861" s="2">
        <f>IFERROR(__xludf.DUMMYFUNCTION("""COMPUTED_VALUE"""),1129.97)</f>
        <v>1129.97</v>
      </c>
      <c r="F4861" s="2">
        <f>IFERROR(__xludf.DUMMYFUNCTION("""COMPUTED_VALUE"""),5165208.0)</f>
        <v>5165208</v>
      </c>
    </row>
    <row r="4862">
      <c r="A4862" s="3">
        <f>IFERROR(__xludf.DUMMYFUNCTION("""COMPUTED_VALUE"""),43705.64583333333)</f>
        <v>43705.64583</v>
      </c>
      <c r="B4862" s="2">
        <f>IFERROR(__xludf.DUMMYFUNCTION("""COMPUTED_VALUE"""),1125.0)</f>
        <v>1125</v>
      </c>
      <c r="C4862" s="2">
        <f>IFERROR(__xludf.DUMMYFUNCTION("""COMPUTED_VALUE"""),1128.68)</f>
        <v>1128.68</v>
      </c>
      <c r="D4862" s="2">
        <f>IFERROR(__xludf.DUMMYFUNCTION("""COMPUTED_VALUE"""),1113.18)</f>
        <v>1113.18</v>
      </c>
      <c r="E4862" s="2">
        <f>IFERROR(__xludf.DUMMYFUNCTION("""COMPUTED_VALUE"""),1123.75)</f>
        <v>1123.75</v>
      </c>
      <c r="F4862" s="2">
        <f>IFERROR(__xludf.DUMMYFUNCTION("""COMPUTED_VALUE"""),3415647.0)</f>
        <v>3415647</v>
      </c>
    </row>
    <row r="4863">
      <c r="A4863" s="3">
        <f>IFERROR(__xludf.DUMMYFUNCTION("""COMPUTED_VALUE"""),43706.64583333333)</f>
        <v>43706.64583</v>
      </c>
      <c r="B4863" s="2">
        <f>IFERROR(__xludf.DUMMYFUNCTION("""COMPUTED_VALUE"""),1123.0)</f>
        <v>1123</v>
      </c>
      <c r="C4863" s="2">
        <f>IFERROR(__xludf.DUMMYFUNCTION("""COMPUTED_VALUE"""),1126.85)</f>
        <v>1126.85</v>
      </c>
      <c r="D4863" s="2">
        <f>IFERROR(__xludf.DUMMYFUNCTION("""COMPUTED_VALUE"""),1110.15)</f>
        <v>1110.15</v>
      </c>
      <c r="E4863" s="2">
        <f>IFERROR(__xludf.DUMMYFUNCTION("""COMPUTED_VALUE"""),1113.47)</f>
        <v>1113.47</v>
      </c>
      <c r="F4863" s="2">
        <f>IFERROR(__xludf.DUMMYFUNCTION("""COMPUTED_VALUE"""),3695929.0)</f>
        <v>3695929</v>
      </c>
    </row>
    <row r="4864">
      <c r="A4864" s="3">
        <f>IFERROR(__xludf.DUMMYFUNCTION("""COMPUTED_VALUE"""),43707.64583333333)</f>
        <v>43707.64583</v>
      </c>
      <c r="B4864" s="2">
        <f>IFERROR(__xludf.DUMMYFUNCTION("""COMPUTED_VALUE"""),1116.75)</f>
        <v>1116.75</v>
      </c>
      <c r="C4864" s="2">
        <f>IFERROR(__xludf.DUMMYFUNCTION("""COMPUTED_VALUE"""),1130.0)</f>
        <v>1130</v>
      </c>
      <c r="D4864" s="2">
        <f>IFERROR(__xludf.DUMMYFUNCTION("""COMPUTED_VALUE"""),1111.0)</f>
        <v>1111</v>
      </c>
      <c r="E4864" s="2">
        <f>IFERROR(__xludf.DUMMYFUNCTION("""COMPUTED_VALUE"""),1113.97)</f>
        <v>1113.97</v>
      </c>
      <c r="F4864" s="2">
        <f>IFERROR(__xludf.DUMMYFUNCTION("""COMPUTED_VALUE"""),4808330.0)</f>
        <v>4808330</v>
      </c>
    </row>
    <row r="4865">
      <c r="A4865" s="3">
        <f>IFERROR(__xludf.DUMMYFUNCTION("""COMPUTED_VALUE"""),43711.64583333333)</f>
        <v>43711.64583</v>
      </c>
      <c r="B4865" s="2">
        <f>IFERROR(__xludf.DUMMYFUNCTION("""COMPUTED_VALUE"""),1110.0)</f>
        <v>1110</v>
      </c>
      <c r="C4865" s="2">
        <f>IFERROR(__xludf.DUMMYFUNCTION("""COMPUTED_VALUE"""),1110.5)</f>
        <v>1110.5</v>
      </c>
      <c r="D4865" s="2">
        <f>IFERROR(__xludf.DUMMYFUNCTION("""COMPUTED_VALUE"""),1098.08)</f>
        <v>1098.08</v>
      </c>
      <c r="E4865" s="2">
        <f>IFERROR(__xludf.DUMMYFUNCTION("""COMPUTED_VALUE"""),1105.47)</f>
        <v>1105.47</v>
      </c>
      <c r="F4865" s="2">
        <f>IFERROR(__xludf.DUMMYFUNCTION("""COMPUTED_VALUE"""),2857169.0)</f>
        <v>2857169</v>
      </c>
    </row>
    <row r="4866">
      <c r="A4866" s="3">
        <f>IFERROR(__xludf.DUMMYFUNCTION("""COMPUTED_VALUE"""),43712.64583333333)</f>
        <v>43712.64583</v>
      </c>
      <c r="B4866" s="2">
        <f>IFERROR(__xludf.DUMMYFUNCTION("""COMPUTED_VALUE"""),1103.5)</f>
        <v>1103.5</v>
      </c>
      <c r="C4866" s="2">
        <f>IFERROR(__xludf.DUMMYFUNCTION("""COMPUTED_VALUE"""),1137.0)</f>
        <v>1137</v>
      </c>
      <c r="D4866" s="2">
        <f>IFERROR(__xludf.DUMMYFUNCTION("""COMPUTED_VALUE"""),1099.5)</f>
        <v>1099.5</v>
      </c>
      <c r="E4866" s="2">
        <f>IFERROR(__xludf.DUMMYFUNCTION("""COMPUTED_VALUE"""),1123.88)</f>
        <v>1123.88</v>
      </c>
      <c r="F4866" s="2">
        <f>IFERROR(__xludf.DUMMYFUNCTION("""COMPUTED_VALUE"""),3765176.0)</f>
        <v>3765176</v>
      </c>
    </row>
    <row r="4867">
      <c r="A4867" s="3">
        <f>IFERROR(__xludf.DUMMYFUNCTION("""COMPUTED_VALUE"""),43713.64583333333)</f>
        <v>43713.64583</v>
      </c>
      <c r="B4867" s="2">
        <f>IFERROR(__xludf.DUMMYFUNCTION("""COMPUTED_VALUE"""),1124.5)</f>
        <v>1124.5</v>
      </c>
      <c r="C4867" s="2">
        <f>IFERROR(__xludf.DUMMYFUNCTION("""COMPUTED_VALUE"""),1136.2)</f>
        <v>1136.2</v>
      </c>
      <c r="D4867" s="2">
        <f>IFERROR(__xludf.DUMMYFUNCTION("""COMPUTED_VALUE"""),1112.5)</f>
        <v>1112.5</v>
      </c>
      <c r="E4867" s="2">
        <f>IFERROR(__xludf.DUMMYFUNCTION("""COMPUTED_VALUE"""),1117.58)</f>
        <v>1117.58</v>
      </c>
      <c r="F4867" s="2">
        <f>IFERROR(__xludf.DUMMYFUNCTION("""COMPUTED_VALUE"""),4324063.0)</f>
        <v>4324063</v>
      </c>
    </row>
    <row r="4868">
      <c r="A4868" s="3">
        <f>IFERROR(__xludf.DUMMYFUNCTION("""COMPUTED_VALUE"""),43714.64583333333)</f>
        <v>43714.64583</v>
      </c>
      <c r="B4868" s="2">
        <f>IFERROR(__xludf.DUMMYFUNCTION("""COMPUTED_VALUE"""),1114.0)</f>
        <v>1114</v>
      </c>
      <c r="C4868" s="2">
        <f>IFERROR(__xludf.DUMMYFUNCTION("""COMPUTED_VALUE"""),1128.3)</f>
        <v>1128.3</v>
      </c>
      <c r="D4868" s="2">
        <f>IFERROR(__xludf.DUMMYFUNCTION("""COMPUTED_VALUE"""),1110.65)</f>
        <v>1110.65</v>
      </c>
      <c r="E4868" s="2">
        <f>IFERROR(__xludf.DUMMYFUNCTION("""COMPUTED_VALUE"""),1122.95)</f>
        <v>1122.95</v>
      </c>
      <c r="F4868" s="2">
        <f>IFERROR(__xludf.DUMMYFUNCTION("""COMPUTED_VALUE"""),3217501.0)</f>
        <v>3217501</v>
      </c>
    </row>
    <row r="4869">
      <c r="A4869" s="3">
        <f>IFERROR(__xludf.DUMMYFUNCTION("""COMPUTED_VALUE"""),43717.64583333333)</f>
        <v>43717.64583</v>
      </c>
      <c r="B4869" s="2">
        <f>IFERROR(__xludf.DUMMYFUNCTION("""COMPUTED_VALUE"""),1123.0)</f>
        <v>1123</v>
      </c>
      <c r="C4869" s="2">
        <f>IFERROR(__xludf.DUMMYFUNCTION("""COMPUTED_VALUE"""),1130.45)</f>
        <v>1130.45</v>
      </c>
      <c r="D4869" s="2">
        <f>IFERROR(__xludf.DUMMYFUNCTION("""COMPUTED_VALUE"""),1108.05)</f>
        <v>1108.05</v>
      </c>
      <c r="E4869" s="2">
        <f>IFERROR(__xludf.DUMMYFUNCTION("""COMPUTED_VALUE"""),1124.8)</f>
        <v>1124.8</v>
      </c>
      <c r="F4869" s="2">
        <f>IFERROR(__xludf.DUMMYFUNCTION("""COMPUTED_VALUE"""),2660851.0)</f>
        <v>2660851</v>
      </c>
    </row>
    <row r="4870">
      <c r="A4870" s="3">
        <f>IFERROR(__xludf.DUMMYFUNCTION("""COMPUTED_VALUE"""),43719.64583333333)</f>
        <v>43719.64583</v>
      </c>
      <c r="B4870" s="2">
        <f>IFERROR(__xludf.DUMMYFUNCTION("""COMPUTED_VALUE"""),1137.0)</f>
        <v>1137</v>
      </c>
      <c r="C4870" s="2">
        <f>IFERROR(__xludf.DUMMYFUNCTION("""COMPUTED_VALUE"""),1137.0)</f>
        <v>1137</v>
      </c>
      <c r="D4870" s="2">
        <f>IFERROR(__xludf.DUMMYFUNCTION("""COMPUTED_VALUE"""),1120.58)</f>
        <v>1120.58</v>
      </c>
      <c r="E4870" s="2">
        <f>IFERROR(__xludf.DUMMYFUNCTION("""COMPUTED_VALUE"""),1125.65)</f>
        <v>1125.65</v>
      </c>
      <c r="F4870" s="2">
        <f>IFERROR(__xludf.DUMMYFUNCTION("""COMPUTED_VALUE"""),3802279.0)</f>
        <v>3802279</v>
      </c>
    </row>
    <row r="4871">
      <c r="A4871" s="3">
        <f>IFERROR(__xludf.DUMMYFUNCTION("""COMPUTED_VALUE"""),43720.64583333333)</f>
        <v>43720.64583</v>
      </c>
      <c r="B4871" s="2">
        <f>IFERROR(__xludf.DUMMYFUNCTION("""COMPUTED_VALUE"""),1125.35)</f>
        <v>1125.35</v>
      </c>
      <c r="C4871" s="2">
        <f>IFERROR(__xludf.DUMMYFUNCTION("""COMPUTED_VALUE"""),1144.4)</f>
        <v>1144.4</v>
      </c>
      <c r="D4871" s="2">
        <f>IFERROR(__xludf.DUMMYFUNCTION("""COMPUTED_VALUE"""),1124.08)</f>
        <v>1124.08</v>
      </c>
      <c r="E4871" s="2">
        <f>IFERROR(__xludf.DUMMYFUNCTION("""COMPUTED_VALUE"""),1135.43)</f>
        <v>1135.43</v>
      </c>
      <c r="F4871" s="2">
        <f>IFERROR(__xludf.DUMMYFUNCTION("""COMPUTED_VALUE"""),4533075.0)</f>
        <v>4533075</v>
      </c>
    </row>
    <row r="4872">
      <c r="A4872" s="3">
        <f>IFERROR(__xludf.DUMMYFUNCTION("""COMPUTED_VALUE"""),43721.64583333333)</f>
        <v>43721.64583</v>
      </c>
      <c r="B4872" s="2">
        <f>IFERROR(__xludf.DUMMYFUNCTION("""COMPUTED_VALUE"""),1125.5)</f>
        <v>1125.5</v>
      </c>
      <c r="C4872" s="2">
        <f>IFERROR(__xludf.DUMMYFUNCTION("""COMPUTED_VALUE"""),1133.72)</f>
        <v>1133.72</v>
      </c>
      <c r="D4872" s="2">
        <f>IFERROR(__xludf.DUMMYFUNCTION("""COMPUTED_VALUE"""),1119.0)</f>
        <v>1119</v>
      </c>
      <c r="E4872" s="2">
        <f>IFERROR(__xludf.DUMMYFUNCTION("""COMPUTED_VALUE"""),1128.72)</f>
        <v>1128.72</v>
      </c>
      <c r="F4872" s="2">
        <f>IFERROR(__xludf.DUMMYFUNCTION("""COMPUTED_VALUE"""),3842835.0)</f>
        <v>3842835</v>
      </c>
    </row>
    <row r="4873">
      <c r="A4873" s="3">
        <f>IFERROR(__xludf.DUMMYFUNCTION("""COMPUTED_VALUE"""),43724.64583333333)</f>
        <v>43724.64583</v>
      </c>
      <c r="B4873" s="2">
        <f>IFERROR(__xludf.DUMMYFUNCTION("""COMPUTED_VALUE"""),1125.95)</f>
        <v>1125.95</v>
      </c>
      <c r="C4873" s="2">
        <f>IFERROR(__xludf.DUMMYFUNCTION("""COMPUTED_VALUE"""),1131.33)</f>
        <v>1131.33</v>
      </c>
      <c r="D4873" s="2">
        <f>IFERROR(__xludf.DUMMYFUNCTION("""COMPUTED_VALUE"""),1120.5)</f>
        <v>1120.5</v>
      </c>
      <c r="E4873" s="2">
        <f>IFERROR(__xludf.DUMMYFUNCTION("""COMPUTED_VALUE"""),1122.08)</f>
        <v>1122.08</v>
      </c>
      <c r="F4873" s="2">
        <f>IFERROR(__xludf.DUMMYFUNCTION("""COMPUTED_VALUE"""),2757546.0)</f>
        <v>2757546</v>
      </c>
    </row>
    <row r="4874">
      <c r="A4874" s="3">
        <f>IFERROR(__xludf.DUMMYFUNCTION("""COMPUTED_VALUE"""),43725.64583333333)</f>
        <v>43725.64583</v>
      </c>
      <c r="B4874" s="2">
        <f>IFERROR(__xludf.DUMMYFUNCTION("""COMPUTED_VALUE"""),1123.95)</f>
        <v>1123.95</v>
      </c>
      <c r="C4874" s="2">
        <f>IFERROR(__xludf.DUMMYFUNCTION("""COMPUTED_VALUE"""),1124.25)</f>
        <v>1124.25</v>
      </c>
      <c r="D4874" s="2">
        <f>IFERROR(__xludf.DUMMYFUNCTION("""COMPUTED_VALUE"""),1099.05)</f>
        <v>1099.05</v>
      </c>
      <c r="E4874" s="2">
        <f>IFERROR(__xludf.DUMMYFUNCTION("""COMPUTED_VALUE"""),1105.68)</f>
        <v>1105.68</v>
      </c>
      <c r="F4874" s="2">
        <f>IFERROR(__xludf.DUMMYFUNCTION("""COMPUTED_VALUE"""),2664139.0)</f>
        <v>2664139</v>
      </c>
    </row>
    <row r="4875">
      <c r="A4875" s="3">
        <f>IFERROR(__xludf.DUMMYFUNCTION("""COMPUTED_VALUE"""),43726.64583333333)</f>
        <v>43726.64583</v>
      </c>
      <c r="B4875" s="2">
        <f>IFERROR(__xludf.DUMMYFUNCTION("""COMPUTED_VALUE"""),1108.65)</f>
        <v>1108.65</v>
      </c>
      <c r="C4875" s="2">
        <f>IFERROR(__xludf.DUMMYFUNCTION("""COMPUTED_VALUE"""),1112.08)</f>
        <v>1112.08</v>
      </c>
      <c r="D4875" s="2">
        <f>IFERROR(__xludf.DUMMYFUNCTION("""COMPUTED_VALUE"""),1090.0)</f>
        <v>1090</v>
      </c>
      <c r="E4875" s="2">
        <f>IFERROR(__xludf.DUMMYFUNCTION("""COMPUTED_VALUE"""),1093.88)</f>
        <v>1093.88</v>
      </c>
      <c r="F4875" s="2">
        <f>IFERROR(__xludf.DUMMYFUNCTION("""COMPUTED_VALUE"""),3239971.0)</f>
        <v>3239971</v>
      </c>
    </row>
    <row r="4876">
      <c r="A4876" s="3">
        <f>IFERROR(__xludf.DUMMYFUNCTION("""COMPUTED_VALUE"""),43727.64583333333)</f>
        <v>43727.64583</v>
      </c>
      <c r="B4876" s="2">
        <f>IFERROR(__xludf.DUMMYFUNCTION("""COMPUTED_VALUE"""),1099.9)</f>
        <v>1099.9</v>
      </c>
      <c r="C4876" s="2">
        <f>IFERROR(__xludf.DUMMYFUNCTION("""COMPUTED_VALUE"""),1107.05)</f>
        <v>1107.05</v>
      </c>
      <c r="D4876" s="2">
        <f>IFERROR(__xludf.DUMMYFUNCTION("""COMPUTED_VALUE"""),1084.0)</f>
        <v>1084</v>
      </c>
      <c r="E4876" s="2">
        <f>IFERROR(__xludf.DUMMYFUNCTION("""COMPUTED_VALUE"""),1101.05)</f>
        <v>1101.05</v>
      </c>
      <c r="F4876" s="2">
        <f>IFERROR(__xludf.DUMMYFUNCTION("""COMPUTED_VALUE"""),5311655.0)</f>
        <v>5311655</v>
      </c>
    </row>
    <row r="4877">
      <c r="A4877" s="3">
        <f>IFERROR(__xludf.DUMMYFUNCTION("""COMPUTED_VALUE"""),43728.64583333333)</f>
        <v>43728.64583</v>
      </c>
      <c r="B4877" s="2">
        <f>IFERROR(__xludf.DUMMYFUNCTION("""COMPUTED_VALUE"""),1108.0)</f>
        <v>1108</v>
      </c>
      <c r="C4877" s="2">
        <f>IFERROR(__xludf.DUMMYFUNCTION("""COMPUTED_VALUE"""),1209.9)</f>
        <v>1209.9</v>
      </c>
      <c r="D4877" s="2">
        <f>IFERROR(__xludf.DUMMYFUNCTION("""COMPUTED_VALUE"""),1105.4)</f>
        <v>1105.4</v>
      </c>
      <c r="E4877" s="2">
        <f>IFERROR(__xludf.DUMMYFUNCTION("""COMPUTED_VALUE"""),1199.6)</f>
        <v>1199.6</v>
      </c>
      <c r="F4877" s="2">
        <f>IFERROR(__xludf.DUMMYFUNCTION("""COMPUTED_VALUE"""),2.3075017E7)</f>
        <v>23075017</v>
      </c>
    </row>
    <row r="4878">
      <c r="A4878" s="3">
        <f>IFERROR(__xludf.DUMMYFUNCTION("""COMPUTED_VALUE"""),43731.64583333333)</f>
        <v>43731.64583</v>
      </c>
      <c r="B4878" s="2">
        <f>IFERROR(__xludf.DUMMYFUNCTION("""COMPUTED_VALUE"""),1259.55)</f>
        <v>1259.55</v>
      </c>
      <c r="C4878" s="2">
        <f>IFERROR(__xludf.DUMMYFUNCTION("""COMPUTED_VALUE"""),1282.7)</f>
        <v>1282.7</v>
      </c>
      <c r="D4878" s="2">
        <f>IFERROR(__xludf.DUMMYFUNCTION("""COMPUTED_VALUE"""),1229.0)</f>
        <v>1229</v>
      </c>
      <c r="E4878" s="2">
        <f>IFERROR(__xludf.DUMMYFUNCTION("""COMPUTED_VALUE"""),1257.25)</f>
        <v>1257.25</v>
      </c>
      <c r="F4878" s="2">
        <f>IFERROR(__xludf.DUMMYFUNCTION("""COMPUTED_VALUE"""),2.0960205E7)</f>
        <v>20960205</v>
      </c>
    </row>
    <row r="4879">
      <c r="A4879" s="3">
        <f>IFERROR(__xludf.DUMMYFUNCTION("""COMPUTED_VALUE"""),43732.64583333333)</f>
        <v>43732.64583</v>
      </c>
      <c r="B4879" s="2">
        <f>IFERROR(__xludf.DUMMYFUNCTION("""COMPUTED_VALUE"""),1250.0)</f>
        <v>1250</v>
      </c>
      <c r="C4879" s="2">
        <f>IFERROR(__xludf.DUMMYFUNCTION("""COMPUTED_VALUE"""),1261.95)</f>
        <v>1261.95</v>
      </c>
      <c r="D4879" s="2">
        <f>IFERROR(__xludf.DUMMYFUNCTION("""COMPUTED_VALUE"""),1227.55)</f>
        <v>1227.55</v>
      </c>
      <c r="E4879" s="2">
        <f>IFERROR(__xludf.DUMMYFUNCTION("""COMPUTED_VALUE"""),1253.8)</f>
        <v>1253.8</v>
      </c>
      <c r="F4879" s="2">
        <f>IFERROR(__xludf.DUMMYFUNCTION("""COMPUTED_VALUE"""),1.1689524E7)</f>
        <v>11689524</v>
      </c>
    </row>
    <row r="4880">
      <c r="A4880" s="3">
        <f>IFERROR(__xludf.DUMMYFUNCTION("""COMPUTED_VALUE"""),43733.64583333333)</f>
        <v>43733.64583</v>
      </c>
      <c r="B4880" s="2">
        <f>IFERROR(__xludf.DUMMYFUNCTION("""COMPUTED_VALUE"""),1249.9)</f>
        <v>1249.9</v>
      </c>
      <c r="C4880" s="2">
        <f>IFERROR(__xludf.DUMMYFUNCTION("""COMPUTED_VALUE"""),1249.9)</f>
        <v>1249.9</v>
      </c>
      <c r="D4880" s="2">
        <f>IFERROR(__xludf.DUMMYFUNCTION("""COMPUTED_VALUE"""),1230.1)</f>
        <v>1230.1</v>
      </c>
      <c r="E4880" s="2">
        <f>IFERROR(__xludf.DUMMYFUNCTION("""COMPUTED_VALUE"""),1239.7)</f>
        <v>1239.7</v>
      </c>
      <c r="F4880" s="2">
        <f>IFERROR(__xludf.DUMMYFUNCTION("""COMPUTED_VALUE"""),7804488.0)</f>
        <v>7804488</v>
      </c>
    </row>
    <row r="4881">
      <c r="A4881" s="3">
        <f>IFERROR(__xludf.DUMMYFUNCTION("""COMPUTED_VALUE"""),43734.64583333333)</f>
        <v>43734.64583</v>
      </c>
      <c r="B4881" s="2">
        <f>IFERROR(__xludf.DUMMYFUNCTION("""COMPUTED_VALUE"""),1239.8)</f>
        <v>1239.8</v>
      </c>
      <c r="C4881" s="2">
        <f>IFERROR(__xludf.DUMMYFUNCTION("""COMPUTED_VALUE"""),1275.0)</f>
        <v>1275</v>
      </c>
      <c r="D4881" s="2">
        <f>IFERROR(__xludf.DUMMYFUNCTION("""COMPUTED_VALUE"""),1236.35)</f>
        <v>1236.35</v>
      </c>
      <c r="E4881" s="2">
        <f>IFERROR(__xludf.DUMMYFUNCTION("""COMPUTED_VALUE"""),1242.5)</f>
        <v>1242.5</v>
      </c>
      <c r="F4881" s="2">
        <f>IFERROR(__xludf.DUMMYFUNCTION("""COMPUTED_VALUE"""),1.533578E7)</f>
        <v>15335780</v>
      </c>
    </row>
    <row r="4882">
      <c r="A4882" s="3">
        <f>IFERROR(__xludf.DUMMYFUNCTION("""COMPUTED_VALUE"""),43735.64583333333)</f>
        <v>43735.64583</v>
      </c>
      <c r="B4882" s="2">
        <f>IFERROR(__xludf.DUMMYFUNCTION("""COMPUTED_VALUE"""),1248.25)</f>
        <v>1248.25</v>
      </c>
      <c r="C4882" s="2">
        <f>IFERROR(__xludf.DUMMYFUNCTION("""COMPUTED_VALUE"""),1253.5)</f>
        <v>1253.5</v>
      </c>
      <c r="D4882" s="2">
        <f>IFERROR(__xludf.DUMMYFUNCTION("""COMPUTED_VALUE"""),1237.6)</f>
        <v>1237.6</v>
      </c>
      <c r="E4882" s="2">
        <f>IFERROR(__xludf.DUMMYFUNCTION("""COMPUTED_VALUE"""),1244.2)</f>
        <v>1244.2</v>
      </c>
      <c r="F4882" s="2">
        <f>IFERROR(__xludf.DUMMYFUNCTION("""COMPUTED_VALUE"""),7436585.0)</f>
        <v>7436585</v>
      </c>
    </row>
    <row r="4883">
      <c r="A4883" s="3">
        <f>IFERROR(__xludf.DUMMYFUNCTION("""COMPUTED_VALUE"""),43738.64583333333)</f>
        <v>43738.64583</v>
      </c>
      <c r="B4883" s="2">
        <f>IFERROR(__xludf.DUMMYFUNCTION("""COMPUTED_VALUE"""),1228.8)</f>
        <v>1228.8</v>
      </c>
      <c r="C4883" s="2">
        <f>IFERROR(__xludf.DUMMYFUNCTION("""COMPUTED_VALUE"""),1240.0)</f>
        <v>1240</v>
      </c>
      <c r="D4883" s="2">
        <f>IFERROR(__xludf.DUMMYFUNCTION("""COMPUTED_VALUE"""),1216.5)</f>
        <v>1216.5</v>
      </c>
      <c r="E4883" s="2">
        <f>IFERROR(__xludf.DUMMYFUNCTION("""COMPUTED_VALUE"""),1227.45)</f>
        <v>1227.45</v>
      </c>
      <c r="F4883" s="2">
        <f>IFERROR(__xludf.DUMMYFUNCTION("""COMPUTED_VALUE"""),9109229.0)</f>
        <v>9109229</v>
      </c>
    </row>
    <row r="4884">
      <c r="A4884" s="3">
        <f>IFERROR(__xludf.DUMMYFUNCTION("""COMPUTED_VALUE"""),43739.64583333333)</f>
        <v>43739.64583</v>
      </c>
      <c r="B4884" s="2">
        <f>IFERROR(__xludf.DUMMYFUNCTION("""COMPUTED_VALUE"""),1231.5)</f>
        <v>1231.5</v>
      </c>
      <c r="C4884" s="2">
        <f>IFERROR(__xludf.DUMMYFUNCTION("""COMPUTED_VALUE"""),1255.0)</f>
        <v>1255</v>
      </c>
      <c r="D4884" s="2">
        <f>IFERROR(__xludf.DUMMYFUNCTION("""COMPUTED_VALUE"""),1221.1)</f>
        <v>1221.1</v>
      </c>
      <c r="E4884" s="2">
        <f>IFERROR(__xludf.DUMMYFUNCTION("""COMPUTED_VALUE"""),1248.8)</f>
        <v>1248.8</v>
      </c>
      <c r="F4884" s="2">
        <f>IFERROR(__xludf.DUMMYFUNCTION("""COMPUTED_VALUE"""),9384176.0)</f>
        <v>9384176</v>
      </c>
    </row>
    <row r="4885">
      <c r="A4885" s="3">
        <f>IFERROR(__xludf.DUMMYFUNCTION("""COMPUTED_VALUE"""),43741.64583333333)</f>
        <v>43741.64583</v>
      </c>
      <c r="B4885" s="2">
        <f>IFERROR(__xludf.DUMMYFUNCTION("""COMPUTED_VALUE"""),1239.95)</f>
        <v>1239.95</v>
      </c>
      <c r="C4885" s="2">
        <f>IFERROR(__xludf.DUMMYFUNCTION("""COMPUTED_VALUE"""),1243.8)</f>
        <v>1243.8</v>
      </c>
      <c r="D4885" s="2">
        <f>IFERROR(__xludf.DUMMYFUNCTION("""COMPUTED_VALUE"""),1216.35)</f>
        <v>1216.35</v>
      </c>
      <c r="E4885" s="2">
        <f>IFERROR(__xludf.DUMMYFUNCTION("""COMPUTED_VALUE"""),1223.55)</f>
        <v>1223.55</v>
      </c>
      <c r="F4885" s="2">
        <f>IFERROR(__xludf.DUMMYFUNCTION("""COMPUTED_VALUE"""),8149438.0)</f>
        <v>8149438</v>
      </c>
    </row>
    <row r="4886">
      <c r="A4886" s="3">
        <f>IFERROR(__xludf.DUMMYFUNCTION("""COMPUTED_VALUE"""),43742.64583333333)</f>
        <v>43742.64583</v>
      </c>
      <c r="B4886" s="2">
        <f>IFERROR(__xludf.DUMMYFUNCTION("""COMPUTED_VALUE"""),1236.65)</f>
        <v>1236.65</v>
      </c>
      <c r="C4886" s="2">
        <f>IFERROR(__xludf.DUMMYFUNCTION("""COMPUTED_VALUE"""),1239.6)</f>
        <v>1239.6</v>
      </c>
      <c r="D4886" s="2">
        <f>IFERROR(__xludf.DUMMYFUNCTION("""COMPUTED_VALUE"""),1185.3)</f>
        <v>1185.3</v>
      </c>
      <c r="E4886" s="2">
        <f>IFERROR(__xludf.DUMMYFUNCTION("""COMPUTED_VALUE"""),1189.7)</f>
        <v>1189.7</v>
      </c>
      <c r="F4886" s="2">
        <f>IFERROR(__xludf.DUMMYFUNCTION("""COMPUTED_VALUE"""),9201816.0)</f>
        <v>9201816</v>
      </c>
    </row>
    <row r="4887">
      <c r="A4887" s="3">
        <f>IFERROR(__xludf.DUMMYFUNCTION("""COMPUTED_VALUE"""),43745.64583333333)</f>
        <v>43745.64583</v>
      </c>
      <c r="B4887" s="2">
        <f>IFERROR(__xludf.DUMMYFUNCTION("""COMPUTED_VALUE"""),1201.2)</f>
        <v>1201.2</v>
      </c>
      <c r="C4887" s="2">
        <f>IFERROR(__xludf.DUMMYFUNCTION("""COMPUTED_VALUE"""),1219.85)</f>
        <v>1219.85</v>
      </c>
      <c r="D4887" s="2">
        <f>IFERROR(__xludf.DUMMYFUNCTION("""COMPUTED_VALUE"""),1181.15)</f>
        <v>1181.15</v>
      </c>
      <c r="E4887" s="2">
        <f>IFERROR(__xludf.DUMMYFUNCTION("""COMPUTED_VALUE"""),1186.9)</f>
        <v>1186.9</v>
      </c>
      <c r="F4887" s="2">
        <f>IFERROR(__xludf.DUMMYFUNCTION("""COMPUTED_VALUE"""),1.125661E7)</f>
        <v>11256610</v>
      </c>
    </row>
    <row r="4888">
      <c r="A4888" s="3">
        <f>IFERROR(__xludf.DUMMYFUNCTION("""COMPUTED_VALUE"""),43747.64583333333)</f>
        <v>43747.64583</v>
      </c>
      <c r="B4888" s="2">
        <f>IFERROR(__xludf.DUMMYFUNCTION("""COMPUTED_VALUE"""),1197.1)</f>
        <v>1197.1</v>
      </c>
      <c r="C4888" s="2">
        <f>IFERROR(__xludf.DUMMYFUNCTION("""COMPUTED_VALUE"""),1229.9)</f>
        <v>1229.9</v>
      </c>
      <c r="D4888" s="2">
        <f>IFERROR(__xludf.DUMMYFUNCTION("""COMPUTED_VALUE"""),1190.0)</f>
        <v>1190</v>
      </c>
      <c r="E4888" s="2">
        <f>IFERROR(__xludf.DUMMYFUNCTION("""COMPUTED_VALUE"""),1228.15)</f>
        <v>1228.15</v>
      </c>
      <c r="F4888" s="2">
        <f>IFERROR(__xludf.DUMMYFUNCTION("""COMPUTED_VALUE"""),8713635.0)</f>
        <v>8713635</v>
      </c>
    </row>
    <row r="4889">
      <c r="A4889" s="3">
        <f>IFERROR(__xludf.DUMMYFUNCTION("""COMPUTED_VALUE"""),43748.64583333333)</f>
        <v>43748.64583</v>
      </c>
      <c r="B4889" s="2">
        <f>IFERROR(__xludf.DUMMYFUNCTION("""COMPUTED_VALUE"""),1221.8)</f>
        <v>1221.8</v>
      </c>
      <c r="C4889" s="2">
        <f>IFERROR(__xludf.DUMMYFUNCTION("""COMPUTED_VALUE"""),1225.95)</f>
        <v>1225.95</v>
      </c>
      <c r="D4889" s="2">
        <f>IFERROR(__xludf.DUMMYFUNCTION("""COMPUTED_VALUE"""),1197.2)</f>
        <v>1197.2</v>
      </c>
      <c r="E4889" s="2">
        <f>IFERROR(__xludf.DUMMYFUNCTION("""COMPUTED_VALUE"""),1200.55)</f>
        <v>1200.55</v>
      </c>
      <c r="F4889" s="2">
        <f>IFERROR(__xludf.DUMMYFUNCTION("""COMPUTED_VALUE"""),5778429.0)</f>
        <v>5778429</v>
      </c>
    </row>
    <row r="4890">
      <c r="A4890" s="3">
        <f>IFERROR(__xludf.DUMMYFUNCTION("""COMPUTED_VALUE"""),43749.64583333333)</f>
        <v>43749.64583</v>
      </c>
      <c r="B4890" s="2">
        <f>IFERROR(__xludf.DUMMYFUNCTION("""COMPUTED_VALUE"""),1213.4)</f>
        <v>1213.4</v>
      </c>
      <c r="C4890" s="2">
        <f>IFERROR(__xludf.DUMMYFUNCTION("""COMPUTED_VALUE"""),1224.0)</f>
        <v>1224</v>
      </c>
      <c r="D4890" s="2">
        <f>IFERROR(__xludf.DUMMYFUNCTION("""COMPUTED_VALUE"""),1188.95)</f>
        <v>1188.95</v>
      </c>
      <c r="E4890" s="2">
        <f>IFERROR(__xludf.DUMMYFUNCTION("""COMPUTED_VALUE"""),1198.8)</f>
        <v>1198.8</v>
      </c>
      <c r="F4890" s="2">
        <f>IFERROR(__xludf.DUMMYFUNCTION("""COMPUTED_VALUE"""),8593159.0)</f>
        <v>8593159</v>
      </c>
    </row>
    <row r="4891">
      <c r="A4891" s="3">
        <f>IFERROR(__xludf.DUMMYFUNCTION("""COMPUTED_VALUE"""),43752.64583333333)</f>
        <v>43752.64583</v>
      </c>
      <c r="B4891" s="2">
        <f>IFERROR(__xludf.DUMMYFUNCTION("""COMPUTED_VALUE"""),1209.0)</f>
        <v>1209</v>
      </c>
      <c r="C4891" s="2">
        <f>IFERROR(__xludf.DUMMYFUNCTION("""COMPUTED_VALUE"""),1219.9)</f>
        <v>1219.9</v>
      </c>
      <c r="D4891" s="2">
        <f>IFERROR(__xludf.DUMMYFUNCTION("""COMPUTED_VALUE"""),1197.4)</f>
        <v>1197.4</v>
      </c>
      <c r="E4891" s="2">
        <f>IFERROR(__xludf.DUMMYFUNCTION("""COMPUTED_VALUE"""),1204.4)</f>
        <v>1204.4</v>
      </c>
      <c r="F4891" s="2">
        <f>IFERROR(__xludf.DUMMYFUNCTION("""COMPUTED_VALUE"""),6133901.0)</f>
        <v>6133901</v>
      </c>
    </row>
    <row r="4892">
      <c r="A4892" s="3">
        <f>IFERROR(__xludf.DUMMYFUNCTION("""COMPUTED_VALUE"""),43753.64583333333)</f>
        <v>43753.64583</v>
      </c>
      <c r="B4892" s="2">
        <f>IFERROR(__xludf.DUMMYFUNCTION("""COMPUTED_VALUE"""),1207.0)</f>
        <v>1207</v>
      </c>
      <c r="C4892" s="2">
        <f>IFERROR(__xludf.DUMMYFUNCTION("""COMPUTED_VALUE"""),1225.0)</f>
        <v>1225</v>
      </c>
      <c r="D4892" s="2">
        <f>IFERROR(__xludf.DUMMYFUNCTION("""COMPUTED_VALUE"""),1206.85)</f>
        <v>1206.85</v>
      </c>
      <c r="E4892" s="2">
        <f>IFERROR(__xludf.DUMMYFUNCTION("""COMPUTED_VALUE"""),1223.05)</f>
        <v>1223.05</v>
      </c>
      <c r="F4892" s="2">
        <f>IFERROR(__xludf.DUMMYFUNCTION("""COMPUTED_VALUE"""),4200187.0)</f>
        <v>4200187</v>
      </c>
    </row>
    <row r="4893">
      <c r="A4893" s="3">
        <f>IFERROR(__xludf.DUMMYFUNCTION("""COMPUTED_VALUE"""),43754.64583333333)</f>
        <v>43754.64583</v>
      </c>
      <c r="B4893" s="2">
        <f>IFERROR(__xludf.DUMMYFUNCTION("""COMPUTED_VALUE"""),1231.65)</f>
        <v>1231.65</v>
      </c>
      <c r="C4893" s="2">
        <f>IFERROR(__xludf.DUMMYFUNCTION("""COMPUTED_VALUE"""),1235.0)</f>
        <v>1235</v>
      </c>
      <c r="D4893" s="2">
        <f>IFERROR(__xludf.DUMMYFUNCTION("""COMPUTED_VALUE"""),1210.1)</f>
        <v>1210.1</v>
      </c>
      <c r="E4893" s="2">
        <f>IFERROR(__xludf.DUMMYFUNCTION("""COMPUTED_VALUE"""),1221.1)</f>
        <v>1221.1</v>
      </c>
      <c r="F4893" s="2">
        <f>IFERROR(__xludf.DUMMYFUNCTION("""COMPUTED_VALUE"""),5293408.0)</f>
        <v>5293408</v>
      </c>
    </row>
    <row r="4894">
      <c r="A4894" s="3">
        <f>IFERROR(__xludf.DUMMYFUNCTION("""COMPUTED_VALUE"""),43755.64583333333)</f>
        <v>43755.64583</v>
      </c>
      <c r="B4894" s="2">
        <f>IFERROR(__xludf.DUMMYFUNCTION("""COMPUTED_VALUE"""),1227.5)</f>
        <v>1227.5</v>
      </c>
      <c r="C4894" s="2">
        <f>IFERROR(__xludf.DUMMYFUNCTION("""COMPUTED_VALUE"""),1229.85)</f>
        <v>1229.85</v>
      </c>
      <c r="D4894" s="2">
        <f>IFERROR(__xludf.DUMMYFUNCTION("""COMPUTED_VALUE"""),1213.1)</f>
        <v>1213.1</v>
      </c>
      <c r="E4894" s="2">
        <f>IFERROR(__xludf.DUMMYFUNCTION("""COMPUTED_VALUE"""),1220.0)</f>
        <v>1220</v>
      </c>
      <c r="F4894" s="2">
        <f>IFERROR(__xludf.DUMMYFUNCTION("""COMPUTED_VALUE"""),6121807.0)</f>
        <v>6121807</v>
      </c>
    </row>
    <row r="4895">
      <c r="A4895" s="3">
        <f>IFERROR(__xludf.DUMMYFUNCTION("""COMPUTED_VALUE"""),43756.64583333333)</f>
        <v>43756.64583</v>
      </c>
      <c r="B4895" s="2">
        <f>IFERROR(__xludf.DUMMYFUNCTION("""COMPUTED_VALUE"""),1225.45)</f>
        <v>1225.45</v>
      </c>
      <c r="C4895" s="2">
        <f>IFERROR(__xludf.DUMMYFUNCTION("""COMPUTED_VALUE"""),1233.85)</f>
        <v>1233.85</v>
      </c>
      <c r="D4895" s="2">
        <f>IFERROR(__xludf.DUMMYFUNCTION("""COMPUTED_VALUE"""),1220.35)</f>
        <v>1220.35</v>
      </c>
      <c r="E4895" s="2">
        <f>IFERROR(__xludf.DUMMYFUNCTION("""COMPUTED_VALUE"""),1229.0)</f>
        <v>1229</v>
      </c>
      <c r="F4895" s="2">
        <f>IFERROR(__xludf.DUMMYFUNCTION("""COMPUTED_VALUE"""),5616903.0)</f>
        <v>5616903</v>
      </c>
    </row>
    <row r="4896">
      <c r="A4896" s="3">
        <f>IFERROR(__xludf.DUMMYFUNCTION("""COMPUTED_VALUE"""),43760.64583333333)</f>
        <v>43760.64583</v>
      </c>
      <c r="B4896" s="2">
        <f>IFERROR(__xludf.DUMMYFUNCTION("""COMPUTED_VALUE"""),1257.0)</f>
        <v>1257</v>
      </c>
      <c r="C4896" s="2">
        <f>IFERROR(__xludf.DUMMYFUNCTION("""COMPUTED_VALUE"""),1257.0)</f>
        <v>1257</v>
      </c>
      <c r="D4896" s="2">
        <f>IFERROR(__xludf.DUMMYFUNCTION("""COMPUTED_VALUE"""),1232.6)</f>
        <v>1232.6</v>
      </c>
      <c r="E4896" s="2">
        <f>IFERROR(__xludf.DUMMYFUNCTION("""COMPUTED_VALUE"""),1239.3)</f>
        <v>1239.3</v>
      </c>
      <c r="F4896" s="2">
        <f>IFERROR(__xludf.DUMMYFUNCTION("""COMPUTED_VALUE"""),1.0003114E7)</f>
        <v>10003114</v>
      </c>
    </row>
    <row r="4897">
      <c r="A4897" s="3">
        <f>IFERROR(__xludf.DUMMYFUNCTION("""COMPUTED_VALUE"""),43761.64583333333)</f>
        <v>43761.64583</v>
      </c>
      <c r="B4897" s="2">
        <f>IFERROR(__xludf.DUMMYFUNCTION("""COMPUTED_VALUE"""),1246.85)</f>
        <v>1246.85</v>
      </c>
      <c r="C4897" s="2">
        <f>IFERROR(__xludf.DUMMYFUNCTION("""COMPUTED_VALUE"""),1249.75)</f>
        <v>1249.75</v>
      </c>
      <c r="D4897" s="2">
        <f>IFERROR(__xludf.DUMMYFUNCTION("""COMPUTED_VALUE"""),1233.0)</f>
        <v>1233</v>
      </c>
      <c r="E4897" s="2">
        <f>IFERROR(__xludf.DUMMYFUNCTION("""COMPUTED_VALUE"""),1241.6)</f>
        <v>1241.6</v>
      </c>
      <c r="F4897" s="2">
        <f>IFERROR(__xludf.DUMMYFUNCTION("""COMPUTED_VALUE"""),5095107.0)</f>
        <v>5095107</v>
      </c>
    </row>
    <row r="4898">
      <c r="A4898" s="3">
        <f>IFERROR(__xludf.DUMMYFUNCTION("""COMPUTED_VALUE"""),43762.64583333333)</f>
        <v>43762.64583</v>
      </c>
      <c r="B4898" s="2">
        <f>IFERROR(__xludf.DUMMYFUNCTION("""COMPUTED_VALUE"""),1248.0)</f>
        <v>1248</v>
      </c>
      <c r="C4898" s="2">
        <f>IFERROR(__xludf.DUMMYFUNCTION("""COMPUTED_VALUE"""),1254.15)</f>
        <v>1254.15</v>
      </c>
      <c r="D4898" s="2">
        <f>IFERROR(__xludf.DUMMYFUNCTION("""COMPUTED_VALUE"""),1226.35)</f>
        <v>1226.35</v>
      </c>
      <c r="E4898" s="2">
        <f>IFERROR(__xludf.DUMMYFUNCTION("""COMPUTED_VALUE"""),1236.1)</f>
        <v>1236.1</v>
      </c>
      <c r="F4898" s="2">
        <f>IFERROR(__xludf.DUMMYFUNCTION("""COMPUTED_VALUE"""),6553747.0)</f>
        <v>6553747</v>
      </c>
    </row>
    <row r="4899">
      <c r="A4899" s="3">
        <f>IFERROR(__xludf.DUMMYFUNCTION("""COMPUTED_VALUE"""),43763.79166666667)</f>
        <v>43763.79167</v>
      </c>
      <c r="B4899" s="2">
        <f>IFERROR(__xludf.DUMMYFUNCTION("""COMPUTED_VALUE"""),1240.0)</f>
        <v>1240</v>
      </c>
      <c r="C4899" s="2">
        <f>IFERROR(__xludf.DUMMYFUNCTION("""COMPUTED_VALUE"""),1246.85)</f>
        <v>1246.85</v>
      </c>
      <c r="D4899" s="2">
        <f>IFERROR(__xludf.DUMMYFUNCTION("""COMPUTED_VALUE"""),1220.0)</f>
        <v>1220</v>
      </c>
      <c r="E4899" s="2">
        <f>IFERROR(__xludf.DUMMYFUNCTION("""COMPUTED_VALUE"""),1229.0)</f>
        <v>1229</v>
      </c>
      <c r="F4899" s="2">
        <f>IFERROR(__xludf.DUMMYFUNCTION("""COMPUTED_VALUE"""),6496771.0)</f>
        <v>6496771</v>
      </c>
    </row>
    <row r="4900">
      <c r="A4900" s="3">
        <f>IFERROR(__xludf.DUMMYFUNCTION("""COMPUTED_VALUE"""),43765.80902777778)</f>
        <v>43765.80903</v>
      </c>
      <c r="B4900" s="2">
        <f>IFERROR(__xludf.DUMMYFUNCTION("""COMPUTED_VALUE"""),1239.95)</f>
        <v>1239.95</v>
      </c>
      <c r="C4900" s="2">
        <f>IFERROR(__xludf.DUMMYFUNCTION("""COMPUTED_VALUE"""),1241.9)</f>
        <v>1241.9</v>
      </c>
      <c r="D4900" s="2">
        <f>IFERROR(__xludf.DUMMYFUNCTION("""COMPUTED_VALUE"""),1235.0)</f>
        <v>1235</v>
      </c>
      <c r="E4900" s="2">
        <f>IFERROR(__xludf.DUMMYFUNCTION("""COMPUTED_VALUE"""),1238.0)</f>
        <v>1238</v>
      </c>
      <c r="F4900" s="2">
        <f>IFERROR(__xludf.DUMMYFUNCTION("""COMPUTED_VALUE"""),875041.0)</f>
        <v>875041</v>
      </c>
    </row>
    <row r="4901">
      <c r="A4901" s="3">
        <f>IFERROR(__xludf.DUMMYFUNCTION("""COMPUTED_VALUE"""),43767.64583333333)</f>
        <v>43767.64583</v>
      </c>
      <c r="B4901" s="2">
        <f>IFERROR(__xludf.DUMMYFUNCTION("""COMPUTED_VALUE"""),1238.0)</f>
        <v>1238</v>
      </c>
      <c r="C4901" s="2">
        <f>IFERROR(__xludf.DUMMYFUNCTION("""COMPUTED_VALUE"""),1257.35)</f>
        <v>1257.35</v>
      </c>
      <c r="D4901" s="2">
        <f>IFERROR(__xludf.DUMMYFUNCTION("""COMPUTED_VALUE"""),1237.7)</f>
        <v>1237.7</v>
      </c>
      <c r="E4901" s="2">
        <f>IFERROR(__xludf.DUMMYFUNCTION("""COMPUTED_VALUE"""),1242.5)</f>
        <v>1242.5</v>
      </c>
      <c r="F4901" s="2">
        <f>IFERROR(__xludf.DUMMYFUNCTION("""COMPUTED_VALUE"""),7116284.0)</f>
        <v>7116284</v>
      </c>
    </row>
    <row r="4902">
      <c r="A4902" s="3">
        <f>IFERROR(__xludf.DUMMYFUNCTION("""COMPUTED_VALUE"""),43768.64583333333)</f>
        <v>43768.64583</v>
      </c>
      <c r="B4902" s="2">
        <f>IFERROR(__xludf.DUMMYFUNCTION("""COMPUTED_VALUE"""),1246.9)</f>
        <v>1246.9</v>
      </c>
      <c r="C4902" s="2">
        <f>IFERROR(__xludf.DUMMYFUNCTION("""COMPUTED_VALUE"""),1262.7)</f>
        <v>1262.7</v>
      </c>
      <c r="D4902" s="2">
        <f>IFERROR(__xludf.DUMMYFUNCTION("""COMPUTED_VALUE"""),1243.0)</f>
        <v>1243</v>
      </c>
      <c r="E4902" s="2">
        <f>IFERROR(__xludf.DUMMYFUNCTION("""COMPUTED_VALUE"""),1248.35)</f>
        <v>1248.35</v>
      </c>
      <c r="F4902" s="2">
        <f>IFERROR(__xludf.DUMMYFUNCTION("""COMPUTED_VALUE"""),6005683.0)</f>
        <v>6005683</v>
      </c>
    </row>
    <row r="4903">
      <c r="A4903" s="3">
        <f>IFERROR(__xludf.DUMMYFUNCTION("""COMPUTED_VALUE"""),43769.64583333333)</f>
        <v>43769.64583</v>
      </c>
      <c r="B4903" s="2">
        <f>IFERROR(__xludf.DUMMYFUNCTION("""COMPUTED_VALUE"""),1257.7)</f>
        <v>1257.7</v>
      </c>
      <c r="C4903" s="2">
        <f>IFERROR(__xludf.DUMMYFUNCTION("""COMPUTED_VALUE"""),1263.9)</f>
        <v>1263.9</v>
      </c>
      <c r="D4903" s="2">
        <f>IFERROR(__xludf.DUMMYFUNCTION("""COMPUTED_VALUE"""),1227.1)</f>
        <v>1227.1</v>
      </c>
      <c r="E4903" s="2">
        <f>IFERROR(__xludf.DUMMYFUNCTION("""COMPUTED_VALUE"""),1230.35)</f>
        <v>1230.35</v>
      </c>
      <c r="F4903" s="2">
        <f>IFERROR(__xludf.DUMMYFUNCTION("""COMPUTED_VALUE"""),6608853.0)</f>
        <v>6608853</v>
      </c>
    </row>
    <row r="4904">
      <c r="A4904" s="3">
        <f>IFERROR(__xludf.DUMMYFUNCTION("""COMPUTED_VALUE"""),43770.64583333333)</f>
        <v>43770.64583</v>
      </c>
      <c r="B4904" s="2">
        <f>IFERROR(__xludf.DUMMYFUNCTION("""COMPUTED_VALUE"""),1239.0)</f>
        <v>1239</v>
      </c>
      <c r="C4904" s="2">
        <f>IFERROR(__xludf.DUMMYFUNCTION("""COMPUTED_VALUE"""),1243.75)</f>
        <v>1243.75</v>
      </c>
      <c r="D4904" s="2">
        <f>IFERROR(__xludf.DUMMYFUNCTION("""COMPUTED_VALUE"""),1227.6)</f>
        <v>1227.6</v>
      </c>
      <c r="E4904" s="2">
        <f>IFERROR(__xludf.DUMMYFUNCTION("""COMPUTED_VALUE"""),1240.05)</f>
        <v>1240.05</v>
      </c>
      <c r="F4904" s="2">
        <f>IFERROR(__xludf.DUMMYFUNCTION("""COMPUTED_VALUE"""),5756130.0)</f>
        <v>5756130</v>
      </c>
    </row>
    <row r="4905">
      <c r="A4905" s="3">
        <f>IFERROR(__xludf.DUMMYFUNCTION("""COMPUTED_VALUE"""),43773.64583333333)</f>
        <v>43773.64583</v>
      </c>
      <c r="B4905" s="2">
        <f>IFERROR(__xludf.DUMMYFUNCTION("""COMPUTED_VALUE"""),1246.45)</f>
        <v>1246.45</v>
      </c>
      <c r="C4905" s="2">
        <f>IFERROR(__xludf.DUMMYFUNCTION("""COMPUTED_VALUE"""),1250.0)</f>
        <v>1250</v>
      </c>
      <c r="D4905" s="2">
        <f>IFERROR(__xludf.DUMMYFUNCTION("""COMPUTED_VALUE"""),1229.05)</f>
        <v>1229.05</v>
      </c>
      <c r="E4905" s="2">
        <f>IFERROR(__xludf.DUMMYFUNCTION("""COMPUTED_VALUE"""),1236.85)</f>
        <v>1236.85</v>
      </c>
      <c r="F4905" s="2">
        <f>IFERROR(__xludf.DUMMYFUNCTION("""COMPUTED_VALUE"""),4967588.0)</f>
        <v>4967588</v>
      </c>
    </row>
    <row r="4906">
      <c r="A4906" s="3">
        <f>IFERROR(__xludf.DUMMYFUNCTION("""COMPUTED_VALUE"""),43774.64583333333)</f>
        <v>43774.64583</v>
      </c>
      <c r="B4906" s="2">
        <f>IFERROR(__xludf.DUMMYFUNCTION("""COMPUTED_VALUE"""),1241.0)</f>
        <v>1241</v>
      </c>
      <c r="C4906" s="2">
        <f>IFERROR(__xludf.DUMMYFUNCTION("""COMPUTED_VALUE"""),1244.8)</f>
        <v>1244.8</v>
      </c>
      <c r="D4906" s="2">
        <f>IFERROR(__xludf.DUMMYFUNCTION("""COMPUTED_VALUE"""),1229.05)</f>
        <v>1229.05</v>
      </c>
      <c r="E4906" s="2">
        <f>IFERROR(__xludf.DUMMYFUNCTION("""COMPUTED_VALUE"""),1239.5)</f>
        <v>1239.5</v>
      </c>
      <c r="F4906" s="2">
        <f>IFERROR(__xludf.DUMMYFUNCTION("""COMPUTED_VALUE"""),6183905.0)</f>
        <v>6183905</v>
      </c>
    </row>
    <row r="4907">
      <c r="A4907" s="3">
        <f>IFERROR(__xludf.DUMMYFUNCTION("""COMPUTED_VALUE"""),43775.64583333333)</f>
        <v>43775.64583</v>
      </c>
      <c r="B4907" s="2">
        <f>IFERROR(__xludf.DUMMYFUNCTION("""COMPUTED_VALUE"""),1242.45)</f>
        <v>1242.45</v>
      </c>
      <c r="C4907" s="2">
        <f>IFERROR(__xludf.DUMMYFUNCTION("""COMPUTED_VALUE"""),1259.0)</f>
        <v>1259</v>
      </c>
      <c r="D4907" s="2">
        <f>IFERROR(__xludf.DUMMYFUNCTION("""COMPUTED_VALUE"""),1228.05)</f>
        <v>1228.05</v>
      </c>
      <c r="E4907" s="2">
        <f>IFERROR(__xludf.DUMMYFUNCTION("""COMPUTED_VALUE"""),1256.65)</f>
        <v>1256.65</v>
      </c>
      <c r="F4907" s="2">
        <f>IFERROR(__xludf.DUMMYFUNCTION("""COMPUTED_VALUE"""),6065168.0)</f>
        <v>6065168</v>
      </c>
    </row>
    <row r="4908">
      <c r="A4908" s="3">
        <f>IFERROR(__xludf.DUMMYFUNCTION("""COMPUTED_VALUE"""),43776.64583333333)</f>
        <v>43776.64583</v>
      </c>
      <c r="B4908" s="2">
        <f>IFERROR(__xludf.DUMMYFUNCTION("""COMPUTED_VALUE"""),1261.0)</f>
        <v>1261</v>
      </c>
      <c r="C4908" s="2">
        <f>IFERROR(__xludf.DUMMYFUNCTION("""COMPUTED_VALUE"""),1269.7)</f>
        <v>1269.7</v>
      </c>
      <c r="D4908" s="2">
        <f>IFERROR(__xludf.DUMMYFUNCTION("""COMPUTED_VALUE"""),1250.0)</f>
        <v>1250</v>
      </c>
      <c r="E4908" s="2">
        <f>IFERROR(__xludf.DUMMYFUNCTION("""COMPUTED_VALUE"""),1263.7)</f>
        <v>1263.7</v>
      </c>
      <c r="F4908" s="2">
        <f>IFERROR(__xludf.DUMMYFUNCTION("""COMPUTED_VALUE"""),8481517.0)</f>
        <v>8481517</v>
      </c>
    </row>
    <row r="4909">
      <c r="A4909" s="3">
        <f>IFERROR(__xludf.DUMMYFUNCTION("""COMPUTED_VALUE"""),43777.64583333333)</f>
        <v>43777.64583</v>
      </c>
      <c r="B4909" s="2">
        <f>IFERROR(__xludf.DUMMYFUNCTION("""COMPUTED_VALUE"""),1259.0)</f>
        <v>1259</v>
      </c>
      <c r="C4909" s="2">
        <f>IFERROR(__xludf.DUMMYFUNCTION("""COMPUTED_VALUE"""),1267.0)</f>
        <v>1267</v>
      </c>
      <c r="D4909" s="2">
        <f>IFERROR(__xludf.DUMMYFUNCTION("""COMPUTED_VALUE"""),1251.45)</f>
        <v>1251.45</v>
      </c>
      <c r="E4909" s="2">
        <f>IFERROR(__xludf.DUMMYFUNCTION("""COMPUTED_VALUE"""),1255.6)</f>
        <v>1255.6</v>
      </c>
      <c r="F4909" s="2">
        <f>IFERROR(__xludf.DUMMYFUNCTION("""COMPUTED_VALUE"""),6625748.0)</f>
        <v>6625748</v>
      </c>
    </row>
    <row r="4910">
      <c r="A4910" s="3">
        <f>IFERROR(__xludf.DUMMYFUNCTION("""COMPUTED_VALUE"""),43780.64583333333)</f>
        <v>43780.64583</v>
      </c>
      <c r="B4910" s="2">
        <f>IFERROR(__xludf.DUMMYFUNCTION("""COMPUTED_VALUE"""),1252.55)</f>
        <v>1252.55</v>
      </c>
      <c r="C4910" s="2">
        <f>IFERROR(__xludf.DUMMYFUNCTION("""COMPUTED_VALUE"""),1268.5)</f>
        <v>1268.5</v>
      </c>
      <c r="D4910" s="2">
        <f>IFERROR(__xludf.DUMMYFUNCTION("""COMPUTED_VALUE"""),1250.5)</f>
        <v>1250.5</v>
      </c>
      <c r="E4910" s="2">
        <f>IFERROR(__xludf.DUMMYFUNCTION("""COMPUTED_VALUE"""),1264.75)</f>
        <v>1264.75</v>
      </c>
      <c r="F4910" s="2">
        <f>IFERROR(__xludf.DUMMYFUNCTION("""COMPUTED_VALUE"""),7143305.0)</f>
        <v>7143305</v>
      </c>
    </row>
    <row r="4911">
      <c r="A4911" s="3">
        <f>IFERROR(__xludf.DUMMYFUNCTION("""COMPUTED_VALUE"""),43782.64583333333)</f>
        <v>43782.64583</v>
      </c>
      <c r="B4911" s="2">
        <f>IFERROR(__xludf.DUMMYFUNCTION("""COMPUTED_VALUE"""),1261.95)</f>
        <v>1261.95</v>
      </c>
      <c r="C4911" s="2">
        <f>IFERROR(__xludf.DUMMYFUNCTION("""COMPUTED_VALUE"""),1270.0)</f>
        <v>1270</v>
      </c>
      <c r="D4911" s="2">
        <f>IFERROR(__xludf.DUMMYFUNCTION("""COMPUTED_VALUE"""),1253.6)</f>
        <v>1253.6</v>
      </c>
      <c r="E4911" s="2">
        <f>IFERROR(__xludf.DUMMYFUNCTION("""COMPUTED_VALUE"""),1257.55)</f>
        <v>1257.55</v>
      </c>
      <c r="F4911" s="2">
        <f>IFERROR(__xludf.DUMMYFUNCTION("""COMPUTED_VALUE"""),4646748.0)</f>
        <v>4646748</v>
      </c>
    </row>
    <row r="4912">
      <c r="A4912" s="3">
        <f>IFERROR(__xludf.DUMMYFUNCTION("""COMPUTED_VALUE"""),43783.64583333333)</f>
        <v>43783.64583</v>
      </c>
      <c r="B4912" s="2">
        <f>IFERROR(__xludf.DUMMYFUNCTION("""COMPUTED_VALUE"""),1263.8)</f>
        <v>1263.8</v>
      </c>
      <c r="C4912" s="2">
        <f>IFERROR(__xludf.DUMMYFUNCTION("""COMPUTED_VALUE"""),1277.0)</f>
        <v>1277</v>
      </c>
      <c r="D4912" s="2">
        <f>IFERROR(__xludf.DUMMYFUNCTION("""COMPUTED_VALUE"""),1257.2)</f>
        <v>1257.2</v>
      </c>
      <c r="E4912" s="2">
        <f>IFERROR(__xludf.DUMMYFUNCTION("""COMPUTED_VALUE"""),1273.9)</f>
        <v>1273.9</v>
      </c>
      <c r="F4912" s="2">
        <f>IFERROR(__xludf.DUMMYFUNCTION("""COMPUTED_VALUE"""),5527609.0)</f>
        <v>5527609</v>
      </c>
    </row>
    <row r="4913">
      <c r="A4913" s="3">
        <f>IFERROR(__xludf.DUMMYFUNCTION("""COMPUTED_VALUE"""),43784.64583333333)</f>
        <v>43784.64583</v>
      </c>
      <c r="B4913" s="2">
        <f>IFERROR(__xludf.DUMMYFUNCTION("""COMPUTED_VALUE"""),1283.85)</f>
        <v>1283.85</v>
      </c>
      <c r="C4913" s="2">
        <f>IFERROR(__xludf.DUMMYFUNCTION("""COMPUTED_VALUE"""),1285.0)</f>
        <v>1285</v>
      </c>
      <c r="D4913" s="2">
        <f>IFERROR(__xludf.DUMMYFUNCTION("""COMPUTED_VALUE"""),1271.1)</f>
        <v>1271.1</v>
      </c>
      <c r="E4913" s="2">
        <f>IFERROR(__xludf.DUMMYFUNCTION("""COMPUTED_VALUE"""),1277.9)</f>
        <v>1277.9</v>
      </c>
      <c r="F4913" s="2">
        <f>IFERROR(__xludf.DUMMYFUNCTION("""COMPUTED_VALUE"""),4639506.0)</f>
        <v>4639506</v>
      </c>
    </row>
    <row r="4914">
      <c r="A4914" s="3">
        <f>IFERROR(__xludf.DUMMYFUNCTION("""COMPUTED_VALUE"""),43787.64583333333)</f>
        <v>43787.64583</v>
      </c>
      <c r="B4914" s="2">
        <f>IFERROR(__xludf.DUMMYFUNCTION("""COMPUTED_VALUE"""),1277.0)</f>
        <v>1277</v>
      </c>
      <c r="C4914" s="2">
        <f>IFERROR(__xludf.DUMMYFUNCTION("""COMPUTED_VALUE"""),1279.45)</f>
        <v>1279.45</v>
      </c>
      <c r="D4914" s="2">
        <f>IFERROR(__xludf.DUMMYFUNCTION("""COMPUTED_VALUE"""),1258.7)</f>
        <v>1258.7</v>
      </c>
      <c r="E4914" s="2">
        <f>IFERROR(__xludf.DUMMYFUNCTION("""COMPUTED_VALUE"""),1262.05)</f>
        <v>1262.05</v>
      </c>
      <c r="F4914" s="2">
        <f>IFERROR(__xludf.DUMMYFUNCTION("""COMPUTED_VALUE"""),4565146.0)</f>
        <v>4565146</v>
      </c>
    </row>
    <row r="4915">
      <c r="A4915" s="3">
        <f>IFERROR(__xludf.DUMMYFUNCTION("""COMPUTED_VALUE"""),43788.64583333333)</f>
        <v>43788.64583</v>
      </c>
      <c r="B4915" s="2">
        <f>IFERROR(__xludf.DUMMYFUNCTION("""COMPUTED_VALUE"""),1265.3)</f>
        <v>1265.3</v>
      </c>
      <c r="C4915" s="2">
        <f>IFERROR(__xludf.DUMMYFUNCTION("""COMPUTED_VALUE"""),1275.0)</f>
        <v>1275</v>
      </c>
      <c r="D4915" s="2">
        <f>IFERROR(__xludf.DUMMYFUNCTION("""COMPUTED_VALUE"""),1261.1)</f>
        <v>1261.1</v>
      </c>
      <c r="E4915" s="2">
        <f>IFERROR(__xludf.DUMMYFUNCTION("""COMPUTED_VALUE"""),1271.9)</f>
        <v>1271.9</v>
      </c>
      <c r="F4915" s="2">
        <f>IFERROR(__xludf.DUMMYFUNCTION("""COMPUTED_VALUE"""),5285289.0)</f>
        <v>5285289</v>
      </c>
    </row>
    <row r="4916">
      <c r="A4916" s="3">
        <f>IFERROR(__xludf.DUMMYFUNCTION("""COMPUTED_VALUE"""),43789.64583333333)</f>
        <v>43789.64583</v>
      </c>
      <c r="B4916" s="2">
        <f>IFERROR(__xludf.DUMMYFUNCTION("""COMPUTED_VALUE"""),1273.0)</f>
        <v>1273</v>
      </c>
      <c r="C4916" s="2">
        <f>IFERROR(__xludf.DUMMYFUNCTION("""COMPUTED_VALUE"""),1282.95)</f>
        <v>1282.95</v>
      </c>
      <c r="D4916" s="2">
        <f>IFERROR(__xludf.DUMMYFUNCTION("""COMPUTED_VALUE"""),1267.0)</f>
        <v>1267</v>
      </c>
      <c r="E4916" s="2">
        <f>IFERROR(__xludf.DUMMYFUNCTION("""COMPUTED_VALUE"""),1273.35)</f>
        <v>1273.35</v>
      </c>
      <c r="F4916" s="2">
        <f>IFERROR(__xludf.DUMMYFUNCTION("""COMPUTED_VALUE"""),5527129.0)</f>
        <v>5527129</v>
      </c>
    </row>
    <row r="4917">
      <c r="A4917" s="3">
        <f>IFERROR(__xludf.DUMMYFUNCTION("""COMPUTED_VALUE"""),43790.64583333333)</f>
        <v>43790.64583</v>
      </c>
      <c r="B4917" s="2">
        <f>IFERROR(__xludf.DUMMYFUNCTION("""COMPUTED_VALUE"""),1270.25)</f>
        <v>1270.25</v>
      </c>
      <c r="C4917" s="2">
        <f>IFERROR(__xludf.DUMMYFUNCTION("""COMPUTED_VALUE"""),1287.0)</f>
        <v>1287</v>
      </c>
      <c r="D4917" s="2">
        <f>IFERROR(__xludf.DUMMYFUNCTION("""COMPUTED_VALUE"""),1268.35)</f>
        <v>1268.35</v>
      </c>
      <c r="E4917" s="2">
        <f>IFERROR(__xludf.DUMMYFUNCTION("""COMPUTED_VALUE"""),1283.35)</f>
        <v>1283.35</v>
      </c>
      <c r="F4917" s="2">
        <f>IFERROR(__xludf.DUMMYFUNCTION("""COMPUTED_VALUE"""),6009763.0)</f>
        <v>6009763</v>
      </c>
    </row>
    <row r="4918">
      <c r="A4918" s="3">
        <f>IFERROR(__xludf.DUMMYFUNCTION("""COMPUTED_VALUE"""),43791.64583333333)</f>
        <v>43791.64583</v>
      </c>
      <c r="B4918" s="2">
        <f>IFERROR(__xludf.DUMMYFUNCTION("""COMPUTED_VALUE"""),1283.65)</f>
        <v>1283.65</v>
      </c>
      <c r="C4918" s="2">
        <f>IFERROR(__xludf.DUMMYFUNCTION("""COMPUTED_VALUE"""),1283.65)</f>
        <v>1283.65</v>
      </c>
      <c r="D4918" s="2">
        <f>IFERROR(__xludf.DUMMYFUNCTION("""COMPUTED_VALUE"""),1262.0)</f>
        <v>1262</v>
      </c>
      <c r="E4918" s="2">
        <f>IFERROR(__xludf.DUMMYFUNCTION("""COMPUTED_VALUE"""),1264.75)</f>
        <v>1264.75</v>
      </c>
      <c r="F4918" s="2">
        <f>IFERROR(__xludf.DUMMYFUNCTION("""COMPUTED_VALUE"""),3844005.0)</f>
        <v>3844005</v>
      </c>
    </row>
    <row r="4919">
      <c r="A4919" s="3">
        <f>IFERROR(__xludf.DUMMYFUNCTION("""COMPUTED_VALUE"""),43794.64583333333)</f>
        <v>43794.64583</v>
      </c>
      <c r="B4919" s="2">
        <f>IFERROR(__xludf.DUMMYFUNCTION("""COMPUTED_VALUE"""),1264.15)</f>
        <v>1264.15</v>
      </c>
      <c r="C4919" s="2">
        <f>IFERROR(__xludf.DUMMYFUNCTION("""COMPUTED_VALUE"""),1279.5)</f>
        <v>1279.5</v>
      </c>
      <c r="D4919" s="2">
        <f>IFERROR(__xludf.DUMMYFUNCTION("""COMPUTED_VALUE"""),1264.15)</f>
        <v>1264.15</v>
      </c>
      <c r="E4919" s="2">
        <f>IFERROR(__xludf.DUMMYFUNCTION("""COMPUTED_VALUE"""),1271.1)</f>
        <v>1271.1</v>
      </c>
      <c r="F4919" s="2">
        <f>IFERROR(__xludf.DUMMYFUNCTION("""COMPUTED_VALUE"""),3946778.0)</f>
        <v>3946778</v>
      </c>
    </row>
    <row r="4920">
      <c r="A4920" s="3">
        <f>IFERROR(__xludf.DUMMYFUNCTION("""COMPUTED_VALUE"""),43795.64583333333)</f>
        <v>43795.64583</v>
      </c>
      <c r="B4920" s="2">
        <f>IFERROR(__xludf.DUMMYFUNCTION("""COMPUTED_VALUE"""),1278.45)</f>
        <v>1278.45</v>
      </c>
      <c r="C4920" s="2">
        <f>IFERROR(__xludf.DUMMYFUNCTION("""COMPUTED_VALUE"""),1279.75)</f>
        <v>1279.75</v>
      </c>
      <c r="D4920" s="2">
        <f>IFERROR(__xludf.DUMMYFUNCTION("""COMPUTED_VALUE"""),1266.95)</f>
        <v>1266.95</v>
      </c>
      <c r="E4920" s="2">
        <f>IFERROR(__xludf.DUMMYFUNCTION("""COMPUTED_VALUE"""),1275.05)</f>
        <v>1275.05</v>
      </c>
      <c r="F4920" s="2">
        <f>IFERROR(__xludf.DUMMYFUNCTION("""COMPUTED_VALUE"""),4358001.0)</f>
        <v>4358001</v>
      </c>
    </row>
    <row r="4921">
      <c r="A4921" s="3">
        <f>IFERROR(__xludf.DUMMYFUNCTION("""COMPUTED_VALUE"""),43796.64583333333)</f>
        <v>43796.64583</v>
      </c>
      <c r="B4921" s="2">
        <f>IFERROR(__xludf.DUMMYFUNCTION("""COMPUTED_VALUE"""),1276.0)</f>
        <v>1276</v>
      </c>
      <c r="C4921" s="2">
        <f>IFERROR(__xludf.DUMMYFUNCTION("""COMPUTED_VALUE"""),1285.75)</f>
        <v>1285.75</v>
      </c>
      <c r="D4921" s="2">
        <f>IFERROR(__xludf.DUMMYFUNCTION("""COMPUTED_VALUE"""),1271.2)</f>
        <v>1271.2</v>
      </c>
      <c r="E4921" s="2">
        <f>IFERROR(__xludf.DUMMYFUNCTION("""COMPUTED_VALUE"""),1278.4)</f>
        <v>1278.4</v>
      </c>
      <c r="F4921" s="2">
        <f>IFERROR(__xludf.DUMMYFUNCTION("""COMPUTED_VALUE"""),4790333.0)</f>
        <v>4790333</v>
      </c>
    </row>
    <row r="4922">
      <c r="A4922" s="3">
        <f>IFERROR(__xludf.DUMMYFUNCTION("""COMPUTED_VALUE"""),43797.64583333333)</f>
        <v>43797.64583</v>
      </c>
      <c r="B4922" s="2">
        <f>IFERROR(__xludf.DUMMYFUNCTION("""COMPUTED_VALUE"""),1280.2)</f>
        <v>1280.2</v>
      </c>
      <c r="C4922" s="2">
        <f>IFERROR(__xludf.DUMMYFUNCTION("""COMPUTED_VALUE"""),1283.05)</f>
        <v>1283.05</v>
      </c>
      <c r="D4922" s="2">
        <f>IFERROR(__xludf.DUMMYFUNCTION("""COMPUTED_VALUE"""),1262.0)</f>
        <v>1262</v>
      </c>
      <c r="E4922" s="2">
        <f>IFERROR(__xludf.DUMMYFUNCTION("""COMPUTED_VALUE"""),1265.3)</f>
        <v>1265.3</v>
      </c>
      <c r="F4922" s="2">
        <f>IFERROR(__xludf.DUMMYFUNCTION("""COMPUTED_VALUE"""),6183020.0)</f>
        <v>6183020</v>
      </c>
    </row>
    <row r="4923">
      <c r="A4923" s="3">
        <f>IFERROR(__xludf.DUMMYFUNCTION("""COMPUTED_VALUE"""),43798.64583333333)</f>
        <v>43798.64583</v>
      </c>
      <c r="B4923" s="2">
        <f>IFERROR(__xludf.DUMMYFUNCTION("""COMPUTED_VALUE"""),1267.7)</f>
        <v>1267.7</v>
      </c>
      <c r="C4923" s="2">
        <f>IFERROR(__xludf.DUMMYFUNCTION("""COMPUTED_VALUE"""),1279.9)</f>
        <v>1279.9</v>
      </c>
      <c r="D4923" s="2">
        <f>IFERROR(__xludf.DUMMYFUNCTION("""COMPUTED_VALUE"""),1252.0)</f>
        <v>1252</v>
      </c>
      <c r="E4923" s="2">
        <f>IFERROR(__xludf.DUMMYFUNCTION("""COMPUTED_VALUE"""),1274.95)</f>
        <v>1274.95</v>
      </c>
      <c r="F4923" s="2">
        <f>IFERROR(__xludf.DUMMYFUNCTION("""COMPUTED_VALUE"""),7783813.0)</f>
        <v>7783813</v>
      </c>
    </row>
    <row r="4924">
      <c r="A4924" s="3">
        <f>IFERROR(__xludf.DUMMYFUNCTION("""COMPUTED_VALUE"""),43801.64583333333)</f>
        <v>43801.64583</v>
      </c>
      <c r="B4924" s="2">
        <f>IFERROR(__xludf.DUMMYFUNCTION("""COMPUTED_VALUE"""),1273.95)</f>
        <v>1273.95</v>
      </c>
      <c r="C4924" s="2">
        <f>IFERROR(__xludf.DUMMYFUNCTION("""COMPUTED_VALUE"""),1273.95)</f>
        <v>1273.95</v>
      </c>
      <c r="D4924" s="2">
        <f>IFERROR(__xludf.DUMMYFUNCTION("""COMPUTED_VALUE"""),1258.6)</f>
        <v>1258.6</v>
      </c>
      <c r="E4924" s="2">
        <f>IFERROR(__xludf.DUMMYFUNCTION("""COMPUTED_VALUE"""),1262.55)</f>
        <v>1262.55</v>
      </c>
      <c r="F4924" s="2">
        <f>IFERROR(__xludf.DUMMYFUNCTION("""COMPUTED_VALUE"""),4473102.0)</f>
        <v>4473102</v>
      </c>
    </row>
    <row r="4925">
      <c r="A4925" s="3">
        <f>IFERROR(__xludf.DUMMYFUNCTION("""COMPUTED_VALUE"""),43802.64583333333)</f>
        <v>43802.64583</v>
      </c>
      <c r="B4925" s="2">
        <f>IFERROR(__xludf.DUMMYFUNCTION("""COMPUTED_VALUE"""),1268.2)</f>
        <v>1268.2</v>
      </c>
      <c r="C4925" s="2">
        <f>IFERROR(__xludf.DUMMYFUNCTION("""COMPUTED_VALUE"""),1269.0)</f>
        <v>1269</v>
      </c>
      <c r="D4925" s="2">
        <f>IFERROR(__xludf.DUMMYFUNCTION("""COMPUTED_VALUE"""),1253.8)</f>
        <v>1253.8</v>
      </c>
      <c r="E4925" s="2">
        <f>IFERROR(__xludf.DUMMYFUNCTION("""COMPUTED_VALUE"""),1255.4)</f>
        <v>1255.4</v>
      </c>
      <c r="F4925" s="2">
        <f>IFERROR(__xludf.DUMMYFUNCTION("""COMPUTED_VALUE"""),3495953.0)</f>
        <v>3495953</v>
      </c>
    </row>
    <row r="4926">
      <c r="A4926" s="3">
        <f>IFERROR(__xludf.DUMMYFUNCTION("""COMPUTED_VALUE"""),43803.64583333333)</f>
        <v>43803.64583</v>
      </c>
      <c r="B4926" s="2">
        <f>IFERROR(__xludf.DUMMYFUNCTION("""COMPUTED_VALUE"""),1252.5)</f>
        <v>1252.5</v>
      </c>
      <c r="C4926" s="2">
        <f>IFERROR(__xludf.DUMMYFUNCTION("""COMPUTED_VALUE"""),1256.9)</f>
        <v>1256.9</v>
      </c>
      <c r="D4926" s="2">
        <f>IFERROR(__xludf.DUMMYFUNCTION("""COMPUTED_VALUE"""),1234.2)</f>
        <v>1234.2</v>
      </c>
      <c r="E4926" s="2">
        <f>IFERROR(__xludf.DUMMYFUNCTION("""COMPUTED_VALUE"""),1251.65)</f>
        <v>1251.65</v>
      </c>
      <c r="F4926" s="2">
        <f>IFERROR(__xludf.DUMMYFUNCTION("""COMPUTED_VALUE"""),5697807.0)</f>
        <v>5697807</v>
      </c>
    </row>
    <row r="4927">
      <c r="A4927" s="3">
        <f>IFERROR(__xludf.DUMMYFUNCTION("""COMPUTED_VALUE"""),43804.64583333333)</f>
        <v>43804.64583</v>
      </c>
      <c r="B4927" s="2">
        <f>IFERROR(__xludf.DUMMYFUNCTION("""COMPUTED_VALUE"""),1255.6)</f>
        <v>1255.6</v>
      </c>
      <c r="C4927" s="2">
        <f>IFERROR(__xludf.DUMMYFUNCTION("""COMPUTED_VALUE"""),1258.75)</f>
        <v>1258.75</v>
      </c>
      <c r="D4927" s="2">
        <f>IFERROR(__xludf.DUMMYFUNCTION("""COMPUTED_VALUE"""),1240.75)</f>
        <v>1240.75</v>
      </c>
      <c r="E4927" s="2">
        <f>IFERROR(__xludf.DUMMYFUNCTION("""COMPUTED_VALUE"""),1245.6)</f>
        <v>1245.6</v>
      </c>
      <c r="F4927" s="2">
        <f>IFERROR(__xludf.DUMMYFUNCTION("""COMPUTED_VALUE"""),6386247.0)</f>
        <v>6386247</v>
      </c>
    </row>
    <row r="4928">
      <c r="A4928" s="3">
        <f>IFERROR(__xludf.DUMMYFUNCTION("""COMPUTED_VALUE"""),43805.64583333333)</f>
        <v>43805.64583</v>
      </c>
      <c r="B4928" s="2">
        <f>IFERROR(__xludf.DUMMYFUNCTION("""COMPUTED_VALUE"""),1248.95)</f>
        <v>1248.95</v>
      </c>
      <c r="C4928" s="2">
        <f>IFERROR(__xludf.DUMMYFUNCTION("""COMPUTED_VALUE"""),1260.0)</f>
        <v>1260</v>
      </c>
      <c r="D4928" s="2">
        <f>IFERROR(__xludf.DUMMYFUNCTION("""COMPUTED_VALUE"""),1238.2)</f>
        <v>1238.2</v>
      </c>
      <c r="E4928" s="2">
        <f>IFERROR(__xludf.DUMMYFUNCTION("""COMPUTED_VALUE"""),1246.05)</f>
        <v>1246.05</v>
      </c>
      <c r="F4928" s="2">
        <f>IFERROR(__xludf.DUMMYFUNCTION("""COMPUTED_VALUE"""),6887325.0)</f>
        <v>6887325</v>
      </c>
    </row>
    <row r="4929">
      <c r="A4929" s="3">
        <f>IFERROR(__xludf.DUMMYFUNCTION("""COMPUTED_VALUE"""),43808.64583333333)</f>
        <v>43808.64583</v>
      </c>
      <c r="B4929" s="2">
        <f>IFERROR(__xludf.DUMMYFUNCTION("""COMPUTED_VALUE"""),1249.5)</f>
        <v>1249.5</v>
      </c>
      <c r="C4929" s="2">
        <f>IFERROR(__xludf.DUMMYFUNCTION("""COMPUTED_VALUE"""),1249.85)</f>
        <v>1249.85</v>
      </c>
      <c r="D4929" s="2">
        <f>IFERROR(__xludf.DUMMYFUNCTION("""COMPUTED_VALUE"""),1237.55)</f>
        <v>1237.55</v>
      </c>
      <c r="E4929" s="2">
        <f>IFERROR(__xludf.DUMMYFUNCTION("""COMPUTED_VALUE"""),1242.95)</f>
        <v>1242.95</v>
      </c>
      <c r="F4929" s="2">
        <f>IFERROR(__xludf.DUMMYFUNCTION("""COMPUTED_VALUE"""),4132675.0)</f>
        <v>4132675</v>
      </c>
    </row>
    <row r="4930">
      <c r="A4930" s="3">
        <f>IFERROR(__xludf.DUMMYFUNCTION("""COMPUTED_VALUE"""),43809.64583333333)</f>
        <v>43809.64583</v>
      </c>
      <c r="B4930" s="2">
        <f>IFERROR(__xludf.DUMMYFUNCTION("""COMPUTED_VALUE"""),1251.0)</f>
        <v>1251</v>
      </c>
      <c r="C4930" s="2">
        <f>IFERROR(__xludf.DUMMYFUNCTION("""COMPUTED_VALUE"""),1253.65)</f>
        <v>1253.65</v>
      </c>
      <c r="D4930" s="2">
        <f>IFERROR(__xludf.DUMMYFUNCTION("""COMPUTED_VALUE"""),1245.1)</f>
        <v>1245.1</v>
      </c>
      <c r="E4930" s="2">
        <f>IFERROR(__xludf.DUMMYFUNCTION("""COMPUTED_VALUE"""),1249.5)</f>
        <v>1249.5</v>
      </c>
      <c r="F4930" s="2">
        <f>IFERROR(__xludf.DUMMYFUNCTION("""COMPUTED_VALUE"""),4894450.0)</f>
        <v>4894450</v>
      </c>
    </row>
    <row r="4931">
      <c r="A4931" s="3">
        <f>IFERROR(__xludf.DUMMYFUNCTION("""COMPUTED_VALUE"""),43810.64583333333)</f>
        <v>43810.64583</v>
      </c>
      <c r="B4931" s="2">
        <f>IFERROR(__xludf.DUMMYFUNCTION("""COMPUTED_VALUE"""),1250.1)</f>
        <v>1250.1</v>
      </c>
      <c r="C4931" s="2">
        <f>IFERROR(__xludf.DUMMYFUNCTION("""COMPUTED_VALUE"""),1254.0)</f>
        <v>1254</v>
      </c>
      <c r="D4931" s="2">
        <f>IFERROR(__xludf.DUMMYFUNCTION("""COMPUTED_VALUE"""),1242.5)</f>
        <v>1242.5</v>
      </c>
      <c r="E4931" s="2">
        <f>IFERROR(__xludf.DUMMYFUNCTION("""COMPUTED_VALUE"""),1248.75)</f>
        <v>1248.75</v>
      </c>
      <c r="F4931" s="2">
        <f>IFERROR(__xludf.DUMMYFUNCTION("""COMPUTED_VALUE"""),5527321.0)</f>
        <v>5527321</v>
      </c>
    </row>
    <row r="4932">
      <c r="A4932" s="3">
        <f>IFERROR(__xludf.DUMMYFUNCTION("""COMPUTED_VALUE"""),43811.64583333333)</f>
        <v>43811.64583</v>
      </c>
      <c r="B4932" s="2">
        <f>IFERROR(__xludf.DUMMYFUNCTION("""COMPUTED_VALUE"""),1253.0)</f>
        <v>1253</v>
      </c>
      <c r="C4932" s="2">
        <f>IFERROR(__xludf.DUMMYFUNCTION("""COMPUTED_VALUE"""),1269.45)</f>
        <v>1269.45</v>
      </c>
      <c r="D4932" s="2">
        <f>IFERROR(__xludf.DUMMYFUNCTION("""COMPUTED_VALUE"""),1253.0)</f>
        <v>1253</v>
      </c>
      <c r="E4932" s="2">
        <f>IFERROR(__xludf.DUMMYFUNCTION("""COMPUTED_VALUE"""),1263.6)</f>
        <v>1263.6</v>
      </c>
      <c r="F4932" s="2">
        <f>IFERROR(__xludf.DUMMYFUNCTION("""COMPUTED_VALUE"""),6456574.0)</f>
        <v>6456574</v>
      </c>
    </row>
    <row r="4933">
      <c r="A4933" s="3">
        <f>IFERROR(__xludf.DUMMYFUNCTION("""COMPUTED_VALUE"""),43812.64583333333)</f>
        <v>43812.64583</v>
      </c>
      <c r="B4933" s="2">
        <f>IFERROR(__xludf.DUMMYFUNCTION("""COMPUTED_VALUE"""),1265.0)</f>
        <v>1265</v>
      </c>
      <c r="C4933" s="2">
        <f>IFERROR(__xludf.DUMMYFUNCTION("""COMPUTED_VALUE"""),1272.35)</f>
        <v>1272.35</v>
      </c>
      <c r="D4933" s="2">
        <f>IFERROR(__xludf.DUMMYFUNCTION("""COMPUTED_VALUE"""),1259.25)</f>
        <v>1259.25</v>
      </c>
      <c r="E4933" s="2">
        <f>IFERROR(__xludf.DUMMYFUNCTION("""COMPUTED_VALUE"""),1263.85)</f>
        <v>1263.85</v>
      </c>
      <c r="F4933" s="2">
        <f>IFERROR(__xludf.DUMMYFUNCTION("""COMPUTED_VALUE"""),5887593.0)</f>
        <v>5887593</v>
      </c>
    </row>
    <row r="4934">
      <c r="A4934" s="3">
        <f>IFERROR(__xludf.DUMMYFUNCTION("""COMPUTED_VALUE"""),43815.64583333333)</f>
        <v>43815.64583</v>
      </c>
      <c r="B4934" s="2">
        <f>IFERROR(__xludf.DUMMYFUNCTION("""COMPUTED_VALUE"""),1269.25)</f>
        <v>1269.25</v>
      </c>
      <c r="C4934" s="2">
        <f>IFERROR(__xludf.DUMMYFUNCTION("""COMPUTED_VALUE"""),1270.0)</f>
        <v>1270</v>
      </c>
      <c r="D4934" s="2">
        <f>IFERROR(__xludf.DUMMYFUNCTION("""COMPUTED_VALUE"""),1248.2)</f>
        <v>1248.2</v>
      </c>
      <c r="E4934" s="2">
        <f>IFERROR(__xludf.DUMMYFUNCTION("""COMPUTED_VALUE"""),1257.35)</f>
        <v>1257.35</v>
      </c>
      <c r="F4934" s="2">
        <f>IFERROR(__xludf.DUMMYFUNCTION("""COMPUTED_VALUE"""),5663788.0)</f>
        <v>5663788</v>
      </c>
    </row>
    <row r="4935">
      <c r="A4935" s="3">
        <f>IFERROR(__xludf.DUMMYFUNCTION("""COMPUTED_VALUE"""),43816.64583333333)</f>
        <v>43816.64583</v>
      </c>
      <c r="B4935" s="2">
        <f>IFERROR(__xludf.DUMMYFUNCTION("""COMPUTED_VALUE"""),1260.0)</f>
        <v>1260</v>
      </c>
      <c r="C4935" s="2">
        <f>IFERROR(__xludf.DUMMYFUNCTION("""COMPUTED_VALUE"""),1274.8)</f>
        <v>1274.8</v>
      </c>
      <c r="D4935" s="2">
        <f>IFERROR(__xludf.DUMMYFUNCTION("""COMPUTED_VALUE"""),1255.35)</f>
        <v>1255.35</v>
      </c>
      <c r="E4935" s="2">
        <f>IFERROR(__xludf.DUMMYFUNCTION("""COMPUTED_VALUE"""),1271.1)</f>
        <v>1271.1</v>
      </c>
      <c r="F4935" s="2">
        <f>IFERROR(__xludf.DUMMYFUNCTION("""COMPUTED_VALUE"""),6213677.0)</f>
        <v>6213677</v>
      </c>
    </row>
    <row r="4936">
      <c r="A4936" s="3">
        <f>IFERROR(__xludf.DUMMYFUNCTION("""COMPUTED_VALUE"""),43817.64583333333)</f>
        <v>43817.64583</v>
      </c>
      <c r="B4936" s="2">
        <f>IFERROR(__xludf.DUMMYFUNCTION("""COMPUTED_VALUE"""),1283.0)</f>
        <v>1283</v>
      </c>
      <c r="C4936" s="2">
        <f>IFERROR(__xludf.DUMMYFUNCTION("""COMPUTED_VALUE"""),1299.0)</f>
        <v>1299</v>
      </c>
      <c r="D4936" s="2">
        <f>IFERROR(__xludf.DUMMYFUNCTION("""COMPUTED_VALUE"""),1273.65)</f>
        <v>1273.65</v>
      </c>
      <c r="E4936" s="2">
        <f>IFERROR(__xludf.DUMMYFUNCTION("""COMPUTED_VALUE"""),1292.35)</f>
        <v>1292.35</v>
      </c>
      <c r="F4936" s="2">
        <f>IFERROR(__xludf.DUMMYFUNCTION("""COMPUTED_VALUE"""),8723586.0)</f>
        <v>8723586</v>
      </c>
    </row>
    <row r="4937">
      <c r="A4937" s="3">
        <f>IFERROR(__xludf.DUMMYFUNCTION("""COMPUTED_VALUE"""),43818.64583333333)</f>
        <v>43818.64583</v>
      </c>
      <c r="B4937" s="2">
        <f>IFERROR(__xludf.DUMMYFUNCTION("""COMPUTED_VALUE"""),1305.0)</f>
        <v>1305</v>
      </c>
      <c r="C4937" s="2">
        <f>IFERROR(__xludf.DUMMYFUNCTION("""COMPUTED_VALUE"""),1305.5)</f>
        <v>1305.5</v>
      </c>
      <c r="D4937" s="2">
        <f>IFERROR(__xludf.DUMMYFUNCTION("""COMPUTED_VALUE"""),1286.1)</f>
        <v>1286.1</v>
      </c>
      <c r="E4937" s="2">
        <f>IFERROR(__xludf.DUMMYFUNCTION("""COMPUTED_VALUE"""),1288.8)</f>
        <v>1288.8</v>
      </c>
      <c r="F4937" s="2">
        <f>IFERROR(__xludf.DUMMYFUNCTION("""COMPUTED_VALUE"""),6509188.0)</f>
        <v>6509188</v>
      </c>
    </row>
    <row r="4938">
      <c r="A4938" s="3">
        <f>IFERROR(__xludf.DUMMYFUNCTION("""COMPUTED_VALUE"""),43819.64583333333)</f>
        <v>43819.64583</v>
      </c>
      <c r="B4938" s="2">
        <f>IFERROR(__xludf.DUMMYFUNCTION("""COMPUTED_VALUE"""),1288.75)</f>
        <v>1288.75</v>
      </c>
      <c r="C4938" s="2">
        <f>IFERROR(__xludf.DUMMYFUNCTION("""COMPUTED_VALUE"""),1299.6)</f>
        <v>1299.6</v>
      </c>
      <c r="D4938" s="2">
        <f>IFERROR(__xludf.DUMMYFUNCTION("""COMPUTED_VALUE"""),1280.05)</f>
        <v>1280.05</v>
      </c>
      <c r="E4938" s="2">
        <f>IFERROR(__xludf.DUMMYFUNCTION("""COMPUTED_VALUE"""),1296.7)</f>
        <v>1296.7</v>
      </c>
      <c r="F4938" s="2">
        <f>IFERROR(__xludf.DUMMYFUNCTION("""COMPUTED_VALUE"""),7513022.0)</f>
        <v>7513022</v>
      </c>
    </row>
    <row r="4939">
      <c r="A4939" s="3">
        <f>IFERROR(__xludf.DUMMYFUNCTION("""COMPUTED_VALUE"""),43822.64583333333)</f>
        <v>43822.64583</v>
      </c>
      <c r="B4939" s="2">
        <f>IFERROR(__xludf.DUMMYFUNCTION("""COMPUTED_VALUE"""),1299.0)</f>
        <v>1299</v>
      </c>
      <c r="C4939" s="2">
        <f>IFERROR(__xludf.DUMMYFUNCTION("""COMPUTED_VALUE"""),1304.0)</f>
        <v>1304</v>
      </c>
      <c r="D4939" s="2">
        <f>IFERROR(__xludf.DUMMYFUNCTION("""COMPUTED_VALUE"""),1288.8)</f>
        <v>1288.8</v>
      </c>
      <c r="E4939" s="2">
        <f>IFERROR(__xludf.DUMMYFUNCTION("""COMPUTED_VALUE"""),1302.4)</f>
        <v>1302.4</v>
      </c>
      <c r="F4939" s="2">
        <f>IFERROR(__xludf.DUMMYFUNCTION("""COMPUTED_VALUE"""),5097891.0)</f>
        <v>5097891</v>
      </c>
    </row>
    <row r="4940">
      <c r="A4940" s="3">
        <f>IFERROR(__xludf.DUMMYFUNCTION("""COMPUTED_VALUE"""),43823.64583333333)</f>
        <v>43823.64583</v>
      </c>
      <c r="B4940" s="2">
        <f>IFERROR(__xludf.DUMMYFUNCTION("""COMPUTED_VALUE"""),1298.6)</f>
        <v>1298.6</v>
      </c>
      <c r="C4940" s="2">
        <f>IFERROR(__xludf.DUMMYFUNCTION("""COMPUTED_VALUE"""),1301.1)</f>
        <v>1301.1</v>
      </c>
      <c r="D4940" s="2">
        <f>IFERROR(__xludf.DUMMYFUNCTION("""COMPUTED_VALUE"""),1286.95)</f>
        <v>1286.95</v>
      </c>
      <c r="E4940" s="2">
        <f>IFERROR(__xludf.DUMMYFUNCTION("""COMPUTED_VALUE"""),1289.15)</f>
        <v>1289.15</v>
      </c>
      <c r="F4940" s="2">
        <f>IFERROR(__xludf.DUMMYFUNCTION("""COMPUTED_VALUE"""),3589604.0)</f>
        <v>3589604</v>
      </c>
    </row>
    <row r="4941">
      <c r="A4941" s="3">
        <f>IFERROR(__xludf.DUMMYFUNCTION("""COMPUTED_VALUE"""),43825.64583333333)</f>
        <v>43825.64583</v>
      </c>
      <c r="B4941" s="2">
        <f>IFERROR(__xludf.DUMMYFUNCTION("""COMPUTED_VALUE"""),1289.7)</f>
        <v>1289.7</v>
      </c>
      <c r="C4941" s="2">
        <f>IFERROR(__xludf.DUMMYFUNCTION("""COMPUTED_VALUE"""),1291.85)</f>
        <v>1291.85</v>
      </c>
      <c r="D4941" s="2">
        <f>IFERROR(__xludf.DUMMYFUNCTION("""COMPUTED_VALUE"""),1264.65)</f>
        <v>1264.65</v>
      </c>
      <c r="E4941" s="2">
        <f>IFERROR(__xludf.DUMMYFUNCTION("""COMPUTED_VALUE"""),1270.45)</f>
        <v>1270.45</v>
      </c>
      <c r="F4941" s="2">
        <f>IFERROR(__xludf.DUMMYFUNCTION("""COMPUTED_VALUE"""),7474879.0)</f>
        <v>7474879</v>
      </c>
    </row>
    <row r="4942">
      <c r="A4942" s="3">
        <f>IFERROR(__xludf.DUMMYFUNCTION("""COMPUTED_VALUE"""),43826.64583333333)</f>
        <v>43826.64583</v>
      </c>
      <c r="B4942" s="2">
        <f>IFERROR(__xludf.DUMMYFUNCTION("""COMPUTED_VALUE"""),1272.0)</f>
        <v>1272</v>
      </c>
      <c r="C4942" s="2">
        <f>IFERROR(__xludf.DUMMYFUNCTION("""COMPUTED_VALUE"""),1279.0)</f>
        <v>1279</v>
      </c>
      <c r="D4942" s="2">
        <f>IFERROR(__xludf.DUMMYFUNCTION("""COMPUTED_VALUE"""),1270.0)</f>
        <v>1270</v>
      </c>
      <c r="E4942" s="2">
        <f>IFERROR(__xludf.DUMMYFUNCTION("""COMPUTED_VALUE"""),1275.0)</f>
        <v>1275</v>
      </c>
      <c r="F4942" s="2">
        <f>IFERROR(__xludf.DUMMYFUNCTION("""COMPUTED_VALUE"""),3546496.0)</f>
        <v>3546496</v>
      </c>
    </row>
    <row r="4943">
      <c r="A4943" s="3">
        <f>IFERROR(__xludf.DUMMYFUNCTION("""COMPUTED_VALUE"""),43829.64583333333)</f>
        <v>43829.64583</v>
      </c>
      <c r="B4943" s="2">
        <f>IFERROR(__xludf.DUMMYFUNCTION("""COMPUTED_VALUE"""),1282.0)</f>
        <v>1282</v>
      </c>
      <c r="C4943" s="2">
        <f>IFERROR(__xludf.DUMMYFUNCTION("""COMPUTED_VALUE"""),1288.75)</f>
        <v>1288.75</v>
      </c>
      <c r="D4943" s="2">
        <f>IFERROR(__xludf.DUMMYFUNCTION("""COMPUTED_VALUE"""),1274.05)</f>
        <v>1274.05</v>
      </c>
      <c r="E4943" s="2">
        <f>IFERROR(__xludf.DUMMYFUNCTION("""COMPUTED_VALUE"""),1282.15)</f>
        <v>1282.15</v>
      </c>
      <c r="F4943" s="2">
        <f>IFERROR(__xludf.DUMMYFUNCTION("""COMPUTED_VALUE"""),4667095.0)</f>
        <v>4667095</v>
      </c>
    </row>
    <row r="4944">
      <c r="A4944" s="3">
        <f>IFERROR(__xludf.DUMMYFUNCTION("""COMPUTED_VALUE"""),43830.64583333333)</f>
        <v>43830.64583</v>
      </c>
      <c r="B4944" s="2">
        <f>IFERROR(__xludf.DUMMYFUNCTION("""COMPUTED_VALUE"""),1281.95)</f>
        <v>1281.95</v>
      </c>
      <c r="C4944" s="2">
        <f>IFERROR(__xludf.DUMMYFUNCTION("""COMPUTED_VALUE"""),1281.95)</f>
        <v>1281.95</v>
      </c>
      <c r="D4944" s="2">
        <f>IFERROR(__xludf.DUMMYFUNCTION("""COMPUTED_VALUE"""),1268.65)</f>
        <v>1268.65</v>
      </c>
      <c r="E4944" s="2">
        <f>IFERROR(__xludf.DUMMYFUNCTION("""COMPUTED_VALUE"""),1272.1)</f>
        <v>1272.1</v>
      </c>
      <c r="F4944" s="2">
        <f>IFERROR(__xludf.DUMMYFUNCTION("""COMPUTED_VALUE"""),4178528.0)</f>
        <v>4178528</v>
      </c>
    </row>
    <row r="4945">
      <c r="A4945" s="3">
        <f>IFERROR(__xludf.DUMMYFUNCTION("""COMPUTED_VALUE"""),43831.64583333333)</f>
        <v>43831.64583</v>
      </c>
      <c r="B4945" s="2">
        <f>IFERROR(__xludf.DUMMYFUNCTION("""COMPUTED_VALUE"""),1276.1)</f>
        <v>1276.1</v>
      </c>
      <c r="C4945" s="2">
        <f>IFERROR(__xludf.DUMMYFUNCTION("""COMPUTED_VALUE"""),1280.0)</f>
        <v>1280</v>
      </c>
      <c r="D4945" s="2">
        <f>IFERROR(__xludf.DUMMYFUNCTION("""COMPUTED_VALUE"""),1270.6)</f>
        <v>1270.6</v>
      </c>
      <c r="E4945" s="2">
        <f>IFERROR(__xludf.DUMMYFUNCTION("""COMPUTED_VALUE"""),1278.6)</f>
        <v>1278.6</v>
      </c>
      <c r="F4945" s="2">
        <f>IFERROR(__xludf.DUMMYFUNCTION("""COMPUTED_VALUE"""),1836849.0)</f>
        <v>1836849</v>
      </c>
    </row>
    <row r="4946">
      <c r="A4946" s="3">
        <f>IFERROR(__xludf.DUMMYFUNCTION("""COMPUTED_VALUE"""),43832.64583333333)</f>
        <v>43832.64583</v>
      </c>
      <c r="B4946" s="2">
        <f>IFERROR(__xludf.DUMMYFUNCTION("""COMPUTED_VALUE"""),1279.0)</f>
        <v>1279</v>
      </c>
      <c r="C4946" s="2">
        <f>IFERROR(__xludf.DUMMYFUNCTION("""COMPUTED_VALUE"""),1288.0)</f>
        <v>1288</v>
      </c>
      <c r="D4946" s="2">
        <f>IFERROR(__xludf.DUMMYFUNCTION("""COMPUTED_VALUE"""),1279.0)</f>
        <v>1279</v>
      </c>
      <c r="E4946" s="2">
        <f>IFERROR(__xludf.DUMMYFUNCTION("""COMPUTED_VALUE"""),1286.75)</f>
        <v>1286.75</v>
      </c>
      <c r="F4946" s="2">
        <f>IFERROR(__xludf.DUMMYFUNCTION("""COMPUTED_VALUE"""),3068583.0)</f>
        <v>3068583</v>
      </c>
    </row>
    <row r="4947">
      <c r="A4947" s="3">
        <f>IFERROR(__xludf.DUMMYFUNCTION("""COMPUTED_VALUE"""),43833.64583333333)</f>
        <v>43833.64583</v>
      </c>
      <c r="B4947" s="2">
        <f>IFERROR(__xludf.DUMMYFUNCTION("""COMPUTED_VALUE"""),1282.2)</f>
        <v>1282.2</v>
      </c>
      <c r="C4947" s="2">
        <f>IFERROR(__xludf.DUMMYFUNCTION("""COMPUTED_VALUE"""),1285.0)</f>
        <v>1285</v>
      </c>
      <c r="D4947" s="2">
        <f>IFERROR(__xludf.DUMMYFUNCTION("""COMPUTED_VALUE"""),1263.6)</f>
        <v>1263.6</v>
      </c>
      <c r="E4947" s="2">
        <f>IFERROR(__xludf.DUMMYFUNCTION("""COMPUTED_VALUE"""),1268.4)</f>
        <v>1268.4</v>
      </c>
      <c r="F4947" s="2">
        <f>IFERROR(__xludf.DUMMYFUNCTION("""COMPUTED_VALUE"""),5427775.0)</f>
        <v>5427775</v>
      </c>
    </row>
    <row r="4948">
      <c r="A4948" s="3">
        <f>IFERROR(__xludf.DUMMYFUNCTION("""COMPUTED_VALUE"""),43836.64583333333)</f>
        <v>43836.64583</v>
      </c>
      <c r="B4948" s="2">
        <f>IFERROR(__xludf.DUMMYFUNCTION("""COMPUTED_VALUE"""),1260.0)</f>
        <v>1260</v>
      </c>
      <c r="C4948" s="2">
        <f>IFERROR(__xludf.DUMMYFUNCTION("""COMPUTED_VALUE"""),1261.8)</f>
        <v>1261.8</v>
      </c>
      <c r="D4948" s="2">
        <f>IFERROR(__xludf.DUMMYFUNCTION("""COMPUTED_VALUE"""),1236.0)</f>
        <v>1236</v>
      </c>
      <c r="E4948" s="2">
        <f>IFERROR(__xludf.DUMMYFUNCTION("""COMPUTED_VALUE"""),1240.95)</f>
        <v>1240.95</v>
      </c>
      <c r="F4948" s="2">
        <f>IFERROR(__xludf.DUMMYFUNCTION("""COMPUTED_VALUE"""),5445093.0)</f>
        <v>5445093</v>
      </c>
    </row>
    <row r="4949">
      <c r="A4949" s="3">
        <f>IFERROR(__xludf.DUMMYFUNCTION("""COMPUTED_VALUE"""),43837.64583333333)</f>
        <v>43837.64583</v>
      </c>
      <c r="B4949" s="2">
        <f>IFERROR(__xludf.DUMMYFUNCTION("""COMPUTED_VALUE"""),1258.9)</f>
        <v>1258.9</v>
      </c>
      <c r="C4949" s="2">
        <f>IFERROR(__xludf.DUMMYFUNCTION("""COMPUTED_VALUE"""),1271.45)</f>
        <v>1271.45</v>
      </c>
      <c r="D4949" s="2">
        <f>IFERROR(__xludf.DUMMYFUNCTION("""COMPUTED_VALUE"""),1252.25)</f>
        <v>1252.25</v>
      </c>
      <c r="E4949" s="2">
        <f>IFERROR(__xludf.DUMMYFUNCTION("""COMPUTED_VALUE"""),1260.6)</f>
        <v>1260.6</v>
      </c>
      <c r="F4949" s="2">
        <f>IFERROR(__xludf.DUMMYFUNCTION("""COMPUTED_VALUE"""),7362247.0)</f>
        <v>7362247</v>
      </c>
    </row>
    <row r="4950">
      <c r="A4950" s="3">
        <f>IFERROR(__xludf.DUMMYFUNCTION("""COMPUTED_VALUE"""),43838.64583333333)</f>
        <v>43838.64583</v>
      </c>
      <c r="B4950" s="2">
        <f>IFERROR(__xludf.DUMMYFUNCTION("""COMPUTED_VALUE"""),1246.95)</f>
        <v>1246.95</v>
      </c>
      <c r="C4950" s="2">
        <f>IFERROR(__xludf.DUMMYFUNCTION("""COMPUTED_VALUE"""),1262.15)</f>
        <v>1262.15</v>
      </c>
      <c r="D4950" s="2">
        <f>IFERROR(__xludf.DUMMYFUNCTION("""COMPUTED_VALUE"""),1240.05)</f>
        <v>1240.05</v>
      </c>
      <c r="E4950" s="2">
        <f>IFERROR(__xludf.DUMMYFUNCTION("""COMPUTED_VALUE"""),1257.3)</f>
        <v>1257.3</v>
      </c>
      <c r="F4950" s="2">
        <f>IFERROR(__xludf.DUMMYFUNCTION("""COMPUTED_VALUE"""),5666055.0)</f>
        <v>5666055</v>
      </c>
    </row>
    <row r="4951">
      <c r="A4951" s="3">
        <f>IFERROR(__xludf.DUMMYFUNCTION("""COMPUTED_VALUE"""),43839.64583333333)</f>
        <v>43839.64583</v>
      </c>
      <c r="B4951" s="2">
        <f>IFERROR(__xludf.DUMMYFUNCTION("""COMPUTED_VALUE"""),1265.0)</f>
        <v>1265</v>
      </c>
      <c r="C4951" s="2">
        <f>IFERROR(__xludf.DUMMYFUNCTION("""COMPUTED_VALUE"""),1275.8)</f>
        <v>1275.8</v>
      </c>
      <c r="D4951" s="2">
        <f>IFERROR(__xludf.DUMMYFUNCTION("""COMPUTED_VALUE"""),1263.1)</f>
        <v>1263.1</v>
      </c>
      <c r="E4951" s="2">
        <f>IFERROR(__xludf.DUMMYFUNCTION("""COMPUTED_VALUE"""),1271.4)</f>
        <v>1271.4</v>
      </c>
      <c r="F4951" s="2">
        <f>IFERROR(__xludf.DUMMYFUNCTION("""COMPUTED_VALUE"""),4773158.0)</f>
        <v>4773158</v>
      </c>
    </row>
    <row r="4952">
      <c r="A4952" s="3">
        <f>IFERROR(__xludf.DUMMYFUNCTION("""COMPUTED_VALUE"""),43840.64583333333)</f>
        <v>43840.64583</v>
      </c>
      <c r="B4952" s="2">
        <f>IFERROR(__xludf.DUMMYFUNCTION("""COMPUTED_VALUE"""),1284.1)</f>
        <v>1284.1</v>
      </c>
      <c r="C4952" s="2">
        <f>IFERROR(__xludf.DUMMYFUNCTION("""COMPUTED_VALUE"""),1286.9)</f>
        <v>1286.9</v>
      </c>
      <c r="D4952" s="2">
        <f>IFERROR(__xludf.DUMMYFUNCTION("""COMPUTED_VALUE"""),1275.1)</f>
        <v>1275.1</v>
      </c>
      <c r="E4952" s="2">
        <f>IFERROR(__xludf.DUMMYFUNCTION("""COMPUTED_VALUE"""),1282.7)</f>
        <v>1282.7</v>
      </c>
      <c r="F4952" s="2">
        <f>IFERROR(__xludf.DUMMYFUNCTION("""COMPUTED_VALUE"""),4607290.0)</f>
        <v>4607290</v>
      </c>
    </row>
    <row r="4953">
      <c r="A4953" s="3">
        <f>IFERROR(__xludf.DUMMYFUNCTION("""COMPUTED_VALUE"""),43843.64583333333)</f>
        <v>43843.64583</v>
      </c>
      <c r="B4953" s="2">
        <f>IFERROR(__xludf.DUMMYFUNCTION("""COMPUTED_VALUE"""),1282.7)</f>
        <v>1282.7</v>
      </c>
      <c r="C4953" s="2">
        <f>IFERROR(__xludf.DUMMYFUNCTION("""COMPUTED_VALUE"""),1296.5)</f>
        <v>1296.5</v>
      </c>
      <c r="D4953" s="2">
        <f>IFERROR(__xludf.DUMMYFUNCTION("""COMPUTED_VALUE"""),1276.0)</f>
        <v>1276</v>
      </c>
      <c r="E4953" s="2">
        <f>IFERROR(__xludf.DUMMYFUNCTION("""COMPUTED_VALUE"""),1286.0)</f>
        <v>1286</v>
      </c>
      <c r="F4953" s="2">
        <f>IFERROR(__xludf.DUMMYFUNCTION("""COMPUTED_VALUE"""),3725784.0)</f>
        <v>3725784</v>
      </c>
    </row>
    <row r="4954">
      <c r="A4954" s="3">
        <f>IFERROR(__xludf.DUMMYFUNCTION("""COMPUTED_VALUE"""),43844.64583333333)</f>
        <v>43844.64583</v>
      </c>
      <c r="B4954" s="2">
        <f>IFERROR(__xludf.DUMMYFUNCTION("""COMPUTED_VALUE"""),1289.0)</f>
        <v>1289</v>
      </c>
      <c r="C4954" s="2">
        <f>IFERROR(__xludf.DUMMYFUNCTION("""COMPUTED_VALUE"""),1292.55)</f>
        <v>1292.55</v>
      </c>
      <c r="D4954" s="2">
        <f>IFERROR(__xludf.DUMMYFUNCTION("""COMPUTED_VALUE"""),1277.5)</f>
        <v>1277.5</v>
      </c>
      <c r="E4954" s="2">
        <f>IFERROR(__xludf.DUMMYFUNCTION("""COMPUTED_VALUE"""),1289.5)</f>
        <v>1289.5</v>
      </c>
      <c r="F4954" s="2">
        <f>IFERROR(__xludf.DUMMYFUNCTION("""COMPUTED_VALUE"""),3943145.0)</f>
        <v>3943145</v>
      </c>
    </row>
    <row r="4955">
      <c r="A4955" s="3">
        <f>IFERROR(__xludf.DUMMYFUNCTION("""COMPUTED_VALUE"""),43845.64583333333)</f>
        <v>43845.64583</v>
      </c>
      <c r="B4955" s="2">
        <f>IFERROR(__xludf.DUMMYFUNCTION("""COMPUTED_VALUE"""),1286.4)</f>
        <v>1286.4</v>
      </c>
      <c r="C4955" s="2">
        <f>IFERROR(__xludf.DUMMYFUNCTION("""COMPUTED_VALUE"""),1287.95)</f>
        <v>1287.95</v>
      </c>
      <c r="D4955" s="2">
        <f>IFERROR(__xludf.DUMMYFUNCTION("""COMPUTED_VALUE"""),1274.1)</f>
        <v>1274.1</v>
      </c>
      <c r="E4955" s="2">
        <f>IFERROR(__xludf.DUMMYFUNCTION("""COMPUTED_VALUE"""),1284.25)</f>
        <v>1284.25</v>
      </c>
      <c r="F4955" s="2">
        <f>IFERROR(__xludf.DUMMYFUNCTION("""COMPUTED_VALUE"""),5893724.0)</f>
        <v>5893724</v>
      </c>
    </row>
    <row r="4956">
      <c r="A4956" s="3">
        <f>IFERROR(__xludf.DUMMYFUNCTION("""COMPUTED_VALUE"""),43846.64583333333)</f>
        <v>43846.64583</v>
      </c>
      <c r="B4956" s="2">
        <f>IFERROR(__xludf.DUMMYFUNCTION("""COMPUTED_VALUE"""),1282.05)</f>
        <v>1282.05</v>
      </c>
      <c r="C4956" s="2">
        <f>IFERROR(__xludf.DUMMYFUNCTION("""COMPUTED_VALUE"""),1291.0)</f>
        <v>1291</v>
      </c>
      <c r="D4956" s="2">
        <f>IFERROR(__xludf.DUMMYFUNCTION("""COMPUTED_VALUE"""),1279.35)</f>
        <v>1279.35</v>
      </c>
      <c r="E4956" s="2">
        <f>IFERROR(__xludf.DUMMYFUNCTION("""COMPUTED_VALUE"""),1287.65)</f>
        <v>1287.65</v>
      </c>
      <c r="F4956" s="2">
        <f>IFERROR(__xludf.DUMMYFUNCTION("""COMPUTED_VALUE"""),3575200.0)</f>
        <v>3575200</v>
      </c>
    </row>
    <row r="4957">
      <c r="A4957" s="3">
        <f>IFERROR(__xludf.DUMMYFUNCTION("""COMPUTED_VALUE"""),43847.64583333333)</f>
        <v>43847.64583</v>
      </c>
      <c r="B4957" s="2">
        <f>IFERROR(__xludf.DUMMYFUNCTION("""COMPUTED_VALUE"""),1281.75)</f>
        <v>1281.75</v>
      </c>
      <c r="C4957" s="2">
        <f>IFERROR(__xludf.DUMMYFUNCTION("""COMPUTED_VALUE"""),1284.9)</f>
        <v>1284.9</v>
      </c>
      <c r="D4957" s="2">
        <f>IFERROR(__xludf.DUMMYFUNCTION("""COMPUTED_VALUE"""),1271.9)</f>
        <v>1271.9</v>
      </c>
      <c r="E4957" s="2">
        <f>IFERROR(__xludf.DUMMYFUNCTION("""COMPUTED_VALUE"""),1278.15)</f>
        <v>1278.15</v>
      </c>
      <c r="F4957" s="2">
        <f>IFERROR(__xludf.DUMMYFUNCTION("""COMPUTED_VALUE"""),8459407.0)</f>
        <v>8459407</v>
      </c>
    </row>
    <row r="4958">
      <c r="A4958" s="3">
        <f>IFERROR(__xludf.DUMMYFUNCTION("""COMPUTED_VALUE"""),43850.64583333333)</f>
        <v>43850.64583</v>
      </c>
      <c r="B4958" s="2">
        <f>IFERROR(__xludf.DUMMYFUNCTION("""COMPUTED_VALUE"""),1304.85)</f>
        <v>1304.85</v>
      </c>
      <c r="C4958" s="2">
        <f>IFERROR(__xludf.DUMMYFUNCTION("""COMPUTED_VALUE"""),1304.85)</f>
        <v>1304.85</v>
      </c>
      <c r="D4958" s="2">
        <f>IFERROR(__xludf.DUMMYFUNCTION("""COMPUTED_VALUE"""),1252.5)</f>
        <v>1252.5</v>
      </c>
      <c r="E4958" s="2">
        <f>IFERROR(__xludf.DUMMYFUNCTION("""COMPUTED_VALUE"""),1254.9)</f>
        <v>1254.9</v>
      </c>
      <c r="F4958" s="2">
        <f>IFERROR(__xludf.DUMMYFUNCTION("""COMPUTED_VALUE"""),1.1089225E7)</f>
        <v>11089225</v>
      </c>
    </row>
    <row r="4959">
      <c r="A4959" s="3">
        <f>IFERROR(__xludf.DUMMYFUNCTION("""COMPUTED_VALUE"""),43851.64583333333)</f>
        <v>43851.64583</v>
      </c>
      <c r="B4959" s="2">
        <f>IFERROR(__xludf.DUMMYFUNCTION("""COMPUTED_VALUE"""),1250.0)</f>
        <v>1250</v>
      </c>
      <c r="C4959" s="2">
        <f>IFERROR(__xludf.DUMMYFUNCTION("""COMPUTED_VALUE"""),1250.0)</f>
        <v>1250</v>
      </c>
      <c r="D4959" s="2">
        <f>IFERROR(__xludf.DUMMYFUNCTION("""COMPUTED_VALUE"""),1238.4)</f>
        <v>1238.4</v>
      </c>
      <c r="E4959" s="2">
        <f>IFERROR(__xludf.DUMMYFUNCTION("""COMPUTED_VALUE"""),1244.35)</f>
        <v>1244.35</v>
      </c>
      <c r="F4959" s="2">
        <f>IFERROR(__xludf.DUMMYFUNCTION("""COMPUTED_VALUE"""),7492402.0)</f>
        <v>7492402</v>
      </c>
    </row>
    <row r="4960">
      <c r="A4960" s="3">
        <f>IFERROR(__xludf.DUMMYFUNCTION("""COMPUTED_VALUE"""),43852.64583333333)</f>
        <v>43852.64583</v>
      </c>
      <c r="B4960" s="2">
        <f>IFERROR(__xludf.DUMMYFUNCTION("""COMPUTED_VALUE"""),1248.05)</f>
        <v>1248.05</v>
      </c>
      <c r="C4960" s="2">
        <f>IFERROR(__xludf.DUMMYFUNCTION("""COMPUTED_VALUE"""),1255.0)</f>
        <v>1255</v>
      </c>
      <c r="D4960" s="2">
        <f>IFERROR(__xludf.DUMMYFUNCTION("""COMPUTED_VALUE"""),1234.4)</f>
        <v>1234.4</v>
      </c>
      <c r="E4960" s="2">
        <f>IFERROR(__xludf.DUMMYFUNCTION("""COMPUTED_VALUE"""),1240.85)</f>
        <v>1240.85</v>
      </c>
      <c r="F4960" s="2">
        <f>IFERROR(__xludf.DUMMYFUNCTION("""COMPUTED_VALUE"""),9184155.0)</f>
        <v>9184155</v>
      </c>
    </row>
    <row r="4961">
      <c r="A4961" s="3">
        <f>IFERROR(__xludf.DUMMYFUNCTION("""COMPUTED_VALUE"""),43853.64583333333)</f>
        <v>43853.64583</v>
      </c>
      <c r="B4961" s="2">
        <f>IFERROR(__xludf.DUMMYFUNCTION("""COMPUTED_VALUE"""),1240.0)</f>
        <v>1240</v>
      </c>
      <c r="C4961" s="2">
        <f>IFERROR(__xludf.DUMMYFUNCTION("""COMPUTED_VALUE"""),1246.85)</f>
        <v>1246.85</v>
      </c>
      <c r="D4961" s="2">
        <f>IFERROR(__xludf.DUMMYFUNCTION("""COMPUTED_VALUE"""),1231.0)</f>
        <v>1231</v>
      </c>
      <c r="E4961" s="2">
        <f>IFERROR(__xludf.DUMMYFUNCTION("""COMPUTED_VALUE"""),1244.85)</f>
        <v>1244.85</v>
      </c>
      <c r="F4961" s="2">
        <f>IFERROR(__xludf.DUMMYFUNCTION("""COMPUTED_VALUE"""),5754460.0)</f>
        <v>5754460</v>
      </c>
    </row>
    <row r="4962">
      <c r="A4962" s="3">
        <f>IFERROR(__xludf.DUMMYFUNCTION("""COMPUTED_VALUE"""),43854.64583333333)</f>
        <v>43854.64583</v>
      </c>
      <c r="B4962" s="2">
        <f>IFERROR(__xludf.DUMMYFUNCTION("""COMPUTED_VALUE"""),1246.0)</f>
        <v>1246</v>
      </c>
      <c r="C4962" s="2">
        <f>IFERROR(__xludf.DUMMYFUNCTION("""COMPUTED_VALUE"""),1254.0)</f>
        <v>1254</v>
      </c>
      <c r="D4962" s="2">
        <f>IFERROR(__xludf.DUMMYFUNCTION("""COMPUTED_VALUE"""),1239.1)</f>
        <v>1239.1</v>
      </c>
      <c r="E4962" s="2">
        <f>IFERROR(__xludf.DUMMYFUNCTION("""COMPUTED_VALUE"""),1244.55)</f>
        <v>1244.55</v>
      </c>
      <c r="F4962" s="2">
        <f>IFERROR(__xludf.DUMMYFUNCTION("""COMPUTED_VALUE"""),5915878.0)</f>
        <v>5915878</v>
      </c>
    </row>
    <row r="4963">
      <c r="A4963" s="3">
        <f>IFERROR(__xludf.DUMMYFUNCTION("""COMPUTED_VALUE"""),43857.64583333333)</f>
        <v>43857.64583</v>
      </c>
      <c r="B4963" s="2">
        <f>IFERROR(__xludf.DUMMYFUNCTION("""COMPUTED_VALUE"""),1235.0)</f>
        <v>1235</v>
      </c>
      <c r="C4963" s="2">
        <f>IFERROR(__xludf.DUMMYFUNCTION("""COMPUTED_VALUE"""),1235.0)</f>
        <v>1235</v>
      </c>
      <c r="D4963" s="2">
        <f>IFERROR(__xludf.DUMMYFUNCTION("""COMPUTED_VALUE"""),1211.75)</f>
        <v>1211.75</v>
      </c>
      <c r="E4963" s="2">
        <f>IFERROR(__xludf.DUMMYFUNCTION("""COMPUTED_VALUE"""),1213.2)</f>
        <v>1213.2</v>
      </c>
      <c r="F4963" s="2">
        <f>IFERROR(__xludf.DUMMYFUNCTION("""COMPUTED_VALUE"""),9444276.0)</f>
        <v>9444276</v>
      </c>
    </row>
    <row r="4964">
      <c r="A4964" s="3">
        <f>IFERROR(__xludf.DUMMYFUNCTION("""COMPUTED_VALUE"""),43858.64583333333)</f>
        <v>43858.64583</v>
      </c>
      <c r="B4964" s="2">
        <f>IFERROR(__xludf.DUMMYFUNCTION("""COMPUTED_VALUE"""),1218.8)</f>
        <v>1218.8</v>
      </c>
      <c r="C4964" s="2">
        <f>IFERROR(__xludf.DUMMYFUNCTION("""COMPUTED_VALUE"""),1227.8)</f>
        <v>1227.8</v>
      </c>
      <c r="D4964" s="2">
        <f>IFERROR(__xludf.DUMMYFUNCTION("""COMPUTED_VALUE"""),1213.25)</f>
        <v>1213.25</v>
      </c>
      <c r="E4964" s="2">
        <f>IFERROR(__xludf.DUMMYFUNCTION("""COMPUTED_VALUE"""),1223.2)</f>
        <v>1223.2</v>
      </c>
      <c r="F4964" s="2">
        <f>IFERROR(__xludf.DUMMYFUNCTION("""COMPUTED_VALUE"""),6706079.0)</f>
        <v>6706079</v>
      </c>
    </row>
    <row r="4965">
      <c r="A4965" s="3">
        <f>IFERROR(__xludf.DUMMYFUNCTION("""COMPUTED_VALUE"""),43859.64583333333)</f>
        <v>43859.64583</v>
      </c>
      <c r="B4965" s="2">
        <f>IFERROR(__xludf.DUMMYFUNCTION("""COMPUTED_VALUE"""),1225.3)</f>
        <v>1225.3</v>
      </c>
      <c r="C4965" s="2">
        <f>IFERROR(__xludf.DUMMYFUNCTION("""COMPUTED_VALUE"""),1242.0)</f>
        <v>1242</v>
      </c>
      <c r="D4965" s="2">
        <f>IFERROR(__xludf.DUMMYFUNCTION("""COMPUTED_VALUE"""),1222.25)</f>
        <v>1222.25</v>
      </c>
      <c r="E4965" s="2">
        <f>IFERROR(__xludf.DUMMYFUNCTION("""COMPUTED_VALUE"""),1235.85)</f>
        <v>1235.85</v>
      </c>
      <c r="F4965" s="2">
        <f>IFERROR(__xludf.DUMMYFUNCTION("""COMPUTED_VALUE"""),6894175.0)</f>
        <v>6894175</v>
      </c>
    </row>
    <row r="4966">
      <c r="A4966" s="3">
        <f>IFERROR(__xludf.DUMMYFUNCTION("""COMPUTED_VALUE"""),43860.64583333333)</f>
        <v>43860.64583</v>
      </c>
      <c r="B4966" s="2">
        <f>IFERROR(__xludf.DUMMYFUNCTION("""COMPUTED_VALUE"""),1238.95)</f>
        <v>1238.95</v>
      </c>
      <c r="C4966" s="2">
        <f>IFERROR(__xludf.DUMMYFUNCTION("""COMPUTED_VALUE"""),1238.95)</f>
        <v>1238.95</v>
      </c>
      <c r="D4966" s="2">
        <f>IFERROR(__xludf.DUMMYFUNCTION("""COMPUTED_VALUE"""),1217.2)</f>
        <v>1217.2</v>
      </c>
      <c r="E4966" s="2">
        <f>IFERROR(__xludf.DUMMYFUNCTION("""COMPUTED_VALUE"""),1226.05)</f>
        <v>1226.05</v>
      </c>
      <c r="F4966" s="2">
        <f>IFERROR(__xludf.DUMMYFUNCTION("""COMPUTED_VALUE"""),6055992.0)</f>
        <v>6055992</v>
      </c>
    </row>
    <row r="4967">
      <c r="A4967" s="3">
        <f>IFERROR(__xludf.DUMMYFUNCTION("""COMPUTED_VALUE"""),43861.64583333333)</f>
        <v>43861.64583</v>
      </c>
      <c r="B4967" s="2">
        <f>IFERROR(__xludf.DUMMYFUNCTION("""COMPUTED_VALUE"""),1231.45)</f>
        <v>1231.45</v>
      </c>
      <c r="C4967" s="2">
        <f>IFERROR(__xludf.DUMMYFUNCTION("""COMPUTED_VALUE"""),1237.8)</f>
        <v>1237.8</v>
      </c>
      <c r="D4967" s="2">
        <f>IFERROR(__xludf.DUMMYFUNCTION("""COMPUTED_VALUE"""),1220.25)</f>
        <v>1220.25</v>
      </c>
      <c r="E4967" s="2">
        <f>IFERROR(__xludf.DUMMYFUNCTION("""COMPUTED_VALUE"""),1226.3)</f>
        <v>1226.3</v>
      </c>
      <c r="F4967" s="2">
        <f>IFERROR(__xludf.DUMMYFUNCTION("""COMPUTED_VALUE"""),5589134.0)</f>
        <v>5589134</v>
      </c>
    </row>
    <row r="4968">
      <c r="A4968" s="3">
        <f>IFERROR(__xludf.DUMMYFUNCTION("""COMPUTED_VALUE"""),43862.70833333333)</f>
        <v>43862.70833</v>
      </c>
      <c r="B4968" s="2">
        <f>IFERROR(__xludf.DUMMYFUNCTION("""COMPUTED_VALUE"""),1220.0)</f>
        <v>1220</v>
      </c>
      <c r="C4968" s="2">
        <f>IFERROR(__xludf.DUMMYFUNCTION("""COMPUTED_VALUE"""),1227.7)</f>
        <v>1227.7</v>
      </c>
      <c r="D4968" s="2">
        <f>IFERROR(__xludf.DUMMYFUNCTION("""COMPUTED_VALUE"""),1191.35)</f>
        <v>1191.35</v>
      </c>
      <c r="E4968" s="2">
        <f>IFERROR(__xludf.DUMMYFUNCTION("""COMPUTED_VALUE"""),1199.75)</f>
        <v>1199.75</v>
      </c>
      <c r="F4968" s="2">
        <f>IFERROR(__xludf.DUMMYFUNCTION("""COMPUTED_VALUE"""),4769310.0)</f>
        <v>4769310</v>
      </c>
    </row>
    <row r="4969">
      <c r="A4969" s="3">
        <f>IFERROR(__xludf.DUMMYFUNCTION("""COMPUTED_VALUE"""),43864.64583333333)</f>
        <v>43864.64583</v>
      </c>
      <c r="B4969" s="2">
        <f>IFERROR(__xludf.DUMMYFUNCTION("""COMPUTED_VALUE"""),1197.0)</f>
        <v>1197</v>
      </c>
      <c r="C4969" s="2">
        <f>IFERROR(__xludf.DUMMYFUNCTION("""COMPUTED_VALUE"""),1197.95)</f>
        <v>1197.95</v>
      </c>
      <c r="D4969" s="2">
        <f>IFERROR(__xludf.DUMMYFUNCTION("""COMPUTED_VALUE"""),1177.7)</f>
        <v>1177.7</v>
      </c>
      <c r="E4969" s="2">
        <f>IFERROR(__xludf.DUMMYFUNCTION("""COMPUTED_VALUE"""),1192.8)</f>
        <v>1192.8</v>
      </c>
      <c r="F4969" s="2">
        <f>IFERROR(__xludf.DUMMYFUNCTION("""COMPUTED_VALUE"""),6538505.0)</f>
        <v>6538505</v>
      </c>
    </row>
    <row r="4970">
      <c r="A4970" s="3">
        <f>IFERROR(__xludf.DUMMYFUNCTION("""COMPUTED_VALUE"""),43865.64583333333)</f>
        <v>43865.64583</v>
      </c>
      <c r="B4970" s="2">
        <f>IFERROR(__xludf.DUMMYFUNCTION("""COMPUTED_VALUE"""),1198.0)</f>
        <v>1198</v>
      </c>
      <c r="C4970" s="2">
        <f>IFERROR(__xludf.DUMMYFUNCTION("""COMPUTED_VALUE"""),1234.0)</f>
        <v>1234</v>
      </c>
      <c r="D4970" s="2">
        <f>IFERROR(__xludf.DUMMYFUNCTION("""COMPUTED_VALUE"""),1198.0)</f>
        <v>1198</v>
      </c>
      <c r="E4970" s="2">
        <f>IFERROR(__xludf.DUMMYFUNCTION("""COMPUTED_VALUE"""),1229.8)</f>
        <v>1229.8</v>
      </c>
      <c r="F4970" s="2">
        <f>IFERROR(__xludf.DUMMYFUNCTION("""COMPUTED_VALUE"""),1.0448852E7)</f>
        <v>10448852</v>
      </c>
    </row>
    <row r="4971">
      <c r="A4971" s="3">
        <f>IFERROR(__xludf.DUMMYFUNCTION("""COMPUTED_VALUE"""),43866.64583333333)</f>
        <v>43866.64583</v>
      </c>
      <c r="B4971" s="2">
        <f>IFERROR(__xludf.DUMMYFUNCTION("""COMPUTED_VALUE"""),1234.9)</f>
        <v>1234.9</v>
      </c>
      <c r="C4971" s="2">
        <f>IFERROR(__xludf.DUMMYFUNCTION("""COMPUTED_VALUE"""),1248.0)</f>
        <v>1248</v>
      </c>
      <c r="D4971" s="2">
        <f>IFERROR(__xludf.DUMMYFUNCTION("""COMPUTED_VALUE"""),1227.3)</f>
        <v>1227.3</v>
      </c>
      <c r="E4971" s="2">
        <f>IFERROR(__xludf.DUMMYFUNCTION("""COMPUTED_VALUE"""),1244.65)</f>
        <v>1244.65</v>
      </c>
      <c r="F4971" s="2">
        <f>IFERROR(__xludf.DUMMYFUNCTION("""COMPUTED_VALUE"""),9010341.0)</f>
        <v>9010341</v>
      </c>
    </row>
    <row r="4972">
      <c r="A4972" s="3">
        <f>IFERROR(__xludf.DUMMYFUNCTION("""COMPUTED_VALUE"""),43867.64583333333)</f>
        <v>43867.64583</v>
      </c>
      <c r="B4972" s="2">
        <f>IFERROR(__xludf.DUMMYFUNCTION("""COMPUTED_VALUE"""),1244.65)</f>
        <v>1244.65</v>
      </c>
      <c r="C4972" s="2">
        <f>IFERROR(__xludf.DUMMYFUNCTION("""COMPUTED_VALUE"""),1248.7)</f>
        <v>1248.7</v>
      </c>
      <c r="D4972" s="2">
        <f>IFERROR(__xludf.DUMMYFUNCTION("""COMPUTED_VALUE"""),1237.2)</f>
        <v>1237.2</v>
      </c>
      <c r="E4972" s="2">
        <f>IFERROR(__xludf.DUMMYFUNCTION("""COMPUTED_VALUE"""),1239.8)</f>
        <v>1239.8</v>
      </c>
      <c r="F4972" s="2">
        <f>IFERROR(__xludf.DUMMYFUNCTION("""COMPUTED_VALUE"""),5913775.0)</f>
        <v>5913775</v>
      </c>
    </row>
    <row r="4973">
      <c r="A4973" s="3">
        <f>IFERROR(__xludf.DUMMYFUNCTION("""COMPUTED_VALUE"""),43868.64583333333)</f>
        <v>43868.64583</v>
      </c>
      <c r="B4973" s="2">
        <f>IFERROR(__xludf.DUMMYFUNCTION("""COMPUTED_VALUE"""),1246.0)</f>
        <v>1246</v>
      </c>
      <c r="C4973" s="2">
        <f>IFERROR(__xludf.DUMMYFUNCTION("""COMPUTED_VALUE"""),1247.0)</f>
        <v>1247</v>
      </c>
      <c r="D4973" s="2">
        <f>IFERROR(__xludf.DUMMYFUNCTION("""COMPUTED_VALUE"""),1231.6)</f>
        <v>1231.6</v>
      </c>
      <c r="E4973" s="2">
        <f>IFERROR(__xludf.DUMMYFUNCTION("""COMPUTED_VALUE"""),1242.2)</f>
        <v>1242.2</v>
      </c>
      <c r="F4973" s="2">
        <f>IFERROR(__xludf.DUMMYFUNCTION("""COMPUTED_VALUE"""),3407724.0)</f>
        <v>3407724</v>
      </c>
    </row>
    <row r="4974">
      <c r="A4974" s="3">
        <f>IFERROR(__xludf.DUMMYFUNCTION("""COMPUTED_VALUE"""),43871.64583333333)</f>
        <v>43871.64583</v>
      </c>
      <c r="B4974" s="2">
        <f>IFERROR(__xludf.DUMMYFUNCTION("""COMPUTED_VALUE"""),1242.95)</f>
        <v>1242.95</v>
      </c>
      <c r="C4974" s="2">
        <f>IFERROR(__xludf.DUMMYFUNCTION("""COMPUTED_VALUE"""),1242.95)</f>
        <v>1242.95</v>
      </c>
      <c r="D4974" s="2">
        <f>IFERROR(__xludf.DUMMYFUNCTION("""COMPUTED_VALUE"""),1226.05)</f>
        <v>1226.05</v>
      </c>
      <c r="E4974" s="2">
        <f>IFERROR(__xludf.DUMMYFUNCTION("""COMPUTED_VALUE"""),1240.3)</f>
        <v>1240.3</v>
      </c>
      <c r="F4974" s="2">
        <f>IFERROR(__xludf.DUMMYFUNCTION("""COMPUTED_VALUE"""),4609917.0)</f>
        <v>4609917</v>
      </c>
    </row>
    <row r="4975">
      <c r="A4975" s="3">
        <f>IFERROR(__xludf.DUMMYFUNCTION("""COMPUTED_VALUE"""),43872.64583333333)</f>
        <v>43872.64583</v>
      </c>
      <c r="B4975" s="2">
        <f>IFERROR(__xludf.DUMMYFUNCTION("""COMPUTED_VALUE"""),1243.3)</f>
        <v>1243.3</v>
      </c>
      <c r="C4975" s="2">
        <f>IFERROR(__xludf.DUMMYFUNCTION("""COMPUTED_VALUE"""),1255.0)</f>
        <v>1255</v>
      </c>
      <c r="D4975" s="2">
        <f>IFERROR(__xludf.DUMMYFUNCTION("""COMPUTED_VALUE"""),1238.05)</f>
        <v>1238.05</v>
      </c>
      <c r="E4975" s="2">
        <f>IFERROR(__xludf.DUMMYFUNCTION("""COMPUTED_VALUE"""),1240.6)</f>
        <v>1240.6</v>
      </c>
      <c r="F4975" s="2">
        <f>IFERROR(__xludf.DUMMYFUNCTION("""COMPUTED_VALUE"""),5806760.0)</f>
        <v>5806760</v>
      </c>
    </row>
    <row r="4976">
      <c r="A4976" s="3">
        <f>IFERROR(__xludf.DUMMYFUNCTION("""COMPUTED_VALUE"""),43873.64583333333)</f>
        <v>43873.64583</v>
      </c>
      <c r="B4976" s="2">
        <f>IFERROR(__xludf.DUMMYFUNCTION("""COMPUTED_VALUE"""),1245.2)</f>
        <v>1245.2</v>
      </c>
      <c r="C4976" s="2">
        <f>IFERROR(__xludf.DUMMYFUNCTION("""COMPUTED_VALUE"""),1252.9)</f>
        <v>1252.9</v>
      </c>
      <c r="D4976" s="2">
        <f>IFERROR(__xludf.DUMMYFUNCTION("""COMPUTED_VALUE"""),1244.05)</f>
        <v>1244.05</v>
      </c>
      <c r="E4976" s="2">
        <f>IFERROR(__xludf.DUMMYFUNCTION("""COMPUTED_VALUE"""),1249.0)</f>
        <v>1249</v>
      </c>
      <c r="F4976" s="2">
        <f>IFERROR(__xludf.DUMMYFUNCTION("""COMPUTED_VALUE"""),3148965.0)</f>
        <v>3148965</v>
      </c>
    </row>
    <row r="4977">
      <c r="A4977" s="3">
        <f>IFERROR(__xludf.DUMMYFUNCTION("""COMPUTED_VALUE"""),43874.64583333333)</f>
        <v>43874.64583</v>
      </c>
      <c r="B4977" s="2">
        <f>IFERROR(__xludf.DUMMYFUNCTION("""COMPUTED_VALUE"""),1259.9)</f>
        <v>1259.9</v>
      </c>
      <c r="C4977" s="2">
        <f>IFERROR(__xludf.DUMMYFUNCTION("""COMPUTED_VALUE"""),1259.9)</f>
        <v>1259.9</v>
      </c>
      <c r="D4977" s="2">
        <f>IFERROR(__xludf.DUMMYFUNCTION("""COMPUTED_VALUE"""),1233.6)</f>
        <v>1233.6</v>
      </c>
      <c r="E4977" s="2">
        <f>IFERROR(__xludf.DUMMYFUNCTION("""COMPUTED_VALUE"""),1241.4)</f>
        <v>1241.4</v>
      </c>
      <c r="F4977" s="2">
        <f>IFERROR(__xludf.DUMMYFUNCTION("""COMPUTED_VALUE"""),4556070.0)</f>
        <v>4556070</v>
      </c>
    </row>
    <row r="4978">
      <c r="A4978" s="3">
        <f>IFERROR(__xludf.DUMMYFUNCTION("""COMPUTED_VALUE"""),43875.64583333333)</f>
        <v>43875.64583</v>
      </c>
      <c r="B4978" s="2">
        <f>IFERROR(__xludf.DUMMYFUNCTION("""COMPUTED_VALUE"""),1243.2)</f>
        <v>1243.2</v>
      </c>
      <c r="C4978" s="2">
        <f>IFERROR(__xludf.DUMMYFUNCTION("""COMPUTED_VALUE"""),1248.4)</f>
        <v>1248.4</v>
      </c>
      <c r="D4978" s="2">
        <f>IFERROR(__xludf.DUMMYFUNCTION("""COMPUTED_VALUE"""),1215.0)</f>
        <v>1215</v>
      </c>
      <c r="E4978" s="2">
        <f>IFERROR(__xludf.DUMMYFUNCTION("""COMPUTED_VALUE"""),1219.35)</f>
        <v>1219.35</v>
      </c>
      <c r="F4978" s="2">
        <f>IFERROR(__xludf.DUMMYFUNCTION("""COMPUTED_VALUE"""),7344429.0)</f>
        <v>7344429</v>
      </c>
    </row>
    <row r="4979">
      <c r="A4979" s="3">
        <f>IFERROR(__xludf.DUMMYFUNCTION("""COMPUTED_VALUE"""),43878.64583333333)</f>
        <v>43878.64583</v>
      </c>
      <c r="B4979" s="2">
        <f>IFERROR(__xludf.DUMMYFUNCTION("""COMPUTED_VALUE"""),1225.0)</f>
        <v>1225</v>
      </c>
      <c r="C4979" s="2">
        <f>IFERROR(__xludf.DUMMYFUNCTION("""COMPUTED_VALUE"""),1233.0)</f>
        <v>1233</v>
      </c>
      <c r="D4979" s="2">
        <f>IFERROR(__xludf.DUMMYFUNCTION("""COMPUTED_VALUE"""),1214.45)</f>
        <v>1214.45</v>
      </c>
      <c r="E4979" s="2">
        <f>IFERROR(__xludf.DUMMYFUNCTION("""COMPUTED_VALUE"""),1217.15)</f>
        <v>1217.15</v>
      </c>
      <c r="F4979" s="2">
        <f>IFERROR(__xludf.DUMMYFUNCTION("""COMPUTED_VALUE"""),5076345.0)</f>
        <v>5076345</v>
      </c>
    </row>
    <row r="4980">
      <c r="A4980" s="3">
        <f>IFERROR(__xludf.DUMMYFUNCTION("""COMPUTED_VALUE"""),43879.64583333333)</f>
        <v>43879.64583</v>
      </c>
      <c r="B4980" s="2">
        <f>IFERROR(__xludf.DUMMYFUNCTION("""COMPUTED_VALUE"""),1216.9)</f>
        <v>1216.9</v>
      </c>
      <c r="C4980" s="2">
        <f>IFERROR(__xludf.DUMMYFUNCTION("""COMPUTED_VALUE"""),1218.5)</f>
        <v>1218.5</v>
      </c>
      <c r="D4980" s="2">
        <f>IFERROR(__xludf.DUMMYFUNCTION("""COMPUTED_VALUE"""),1203.5)</f>
        <v>1203.5</v>
      </c>
      <c r="E4980" s="2">
        <f>IFERROR(__xludf.DUMMYFUNCTION("""COMPUTED_VALUE"""),1213.25)</f>
        <v>1213.25</v>
      </c>
      <c r="F4980" s="2">
        <f>IFERROR(__xludf.DUMMYFUNCTION("""COMPUTED_VALUE"""),5264558.0)</f>
        <v>5264558</v>
      </c>
    </row>
    <row r="4981">
      <c r="A4981" s="3">
        <f>IFERROR(__xludf.DUMMYFUNCTION("""COMPUTED_VALUE"""),43880.64583333333)</f>
        <v>43880.64583</v>
      </c>
      <c r="B4981" s="2">
        <f>IFERROR(__xludf.DUMMYFUNCTION("""COMPUTED_VALUE"""),1222.5)</f>
        <v>1222.5</v>
      </c>
      <c r="C4981" s="2">
        <f>IFERROR(__xludf.DUMMYFUNCTION("""COMPUTED_VALUE"""),1230.0)</f>
        <v>1230</v>
      </c>
      <c r="D4981" s="2">
        <f>IFERROR(__xludf.DUMMYFUNCTION("""COMPUTED_VALUE"""),1213.9)</f>
        <v>1213.9</v>
      </c>
      <c r="E4981" s="2">
        <f>IFERROR(__xludf.DUMMYFUNCTION("""COMPUTED_VALUE"""),1227.2)</f>
        <v>1227.2</v>
      </c>
      <c r="F4981" s="2">
        <f>IFERROR(__xludf.DUMMYFUNCTION("""COMPUTED_VALUE"""),5006134.0)</f>
        <v>5006134</v>
      </c>
    </row>
    <row r="4982">
      <c r="A4982" s="3">
        <f>IFERROR(__xludf.DUMMYFUNCTION("""COMPUTED_VALUE"""),43881.64583333333)</f>
        <v>43881.64583</v>
      </c>
      <c r="B4982" s="2">
        <f>IFERROR(__xludf.DUMMYFUNCTION("""COMPUTED_VALUE"""),1230.0)</f>
        <v>1230</v>
      </c>
      <c r="C4982" s="2">
        <f>IFERROR(__xludf.DUMMYFUNCTION("""COMPUTED_VALUE"""),1230.0)</f>
        <v>1230</v>
      </c>
      <c r="D4982" s="2">
        <f>IFERROR(__xludf.DUMMYFUNCTION("""COMPUTED_VALUE"""),1214.1)</f>
        <v>1214.1</v>
      </c>
      <c r="E4982" s="2">
        <f>IFERROR(__xludf.DUMMYFUNCTION("""COMPUTED_VALUE"""),1217.1)</f>
        <v>1217.1</v>
      </c>
      <c r="F4982" s="2">
        <f>IFERROR(__xludf.DUMMYFUNCTION("""COMPUTED_VALUE"""),5561707.0)</f>
        <v>5561707</v>
      </c>
    </row>
    <row r="4983">
      <c r="A4983" s="3">
        <f>IFERROR(__xludf.DUMMYFUNCTION("""COMPUTED_VALUE"""),43885.64583333333)</f>
        <v>43885.64583</v>
      </c>
      <c r="B4983" s="2">
        <f>IFERROR(__xludf.DUMMYFUNCTION("""COMPUTED_VALUE"""),1208.95)</f>
        <v>1208.95</v>
      </c>
      <c r="C4983" s="2">
        <f>IFERROR(__xludf.DUMMYFUNCTION("""COMPUTED_VALUE"""),1214.75)</f>
        <v>1214.75</v>
      </c>
      <c r="D4983" s="2">
        <f>IFERROR(__xludf.DUMMYFUNCTION("""COMPUTED_VALUE"""),1200.0)</f>
        <v>1200</v>
      </c>
      <c r="E4983" s="2">
        <f>IFERROR(__xludf.DUMMYFUNCTION("""COMPUTED_VALUE"""),1209.95)</f>
        <v>1209.95</v>
      </c>
      <c r="F4983" s="2">
        <f>IFERROR(__xludf.DUMMYFUNCTION("""COMPUTED_VALUE"""),8284042.0)</f>
        <v>8284042</v>
      </c>
    </row>
    <row r="4984">
      <c r="A4984" s="3">
        <f>IFERROR(__xludf.DUMMYFUNCTION("""COMPUTED_VALUE"""),43886.64583333333)</f>
        <v>43886.64583</v>
      </c>
      <c r="B4984" s="2">
        <f>IFERROR(__xludf.DUMMYFUNCTION("""COMPUTED_VALUE"""),1204.0)</f>
        <v>1204</v>
      </c>
      <c r="C4984" s="2">
        <f>IFERROR(__xludf.DUMMYFUNCTION("""COMPUTED_VALUE"""),1209.0)</f>
        <v>1209</v>
      </c>
      <c r="D4984" s="2">
        <f>IFERROR(__xludf.DUMMYFUNCTION("""COMPUTED_VALUE"""),1198.0)</f>
        <v>1198</v>
      </c>
      <c r="E4984" s="2">
        <f>IFERROR(__xludf.DUMMYFUNCTION("""COMPUTED_VALUE"""),1200.3)</f>
        <v>1200.3</v>
      </c>
      <c r="F4984" s="2">
        <f>IFERROR(__xludf.DUMMYFUNCTION("""COMPUTED_VALUE"""),6943340.0)</f>
        <v>6943340</v>
      </c>
    </row>
    <row r="4985">
      <c r="A4985" s="3">
        <f>IFERROR(__xludf.DUMMYFUNCTION("""COMPUTED_VALUE"""),43887.64583333333)</f>
        <v>43887.64583</v>
      </c>
      <c r="B4985" s="2">
        <f>IFERROR(__xludf.DUMMYFUNCTION("""COMPUTED_VALUE"""),1197.5)</f>
        <v>1197.5</v>
      </c>
      <c r="C4985" s="2">
        <f>IFERROR(__xludf.DUMMYFUNCTION("""COMPUTED_VALUE"""),1204.7)</f>
        <v>1204.7</v>
      </c>
      <c r="D4985" s="2">
        <f>IFERROR(__xludf.DUMMYFUNCTION("""COMPUTED_VALUE"""),1185.65)</f>
        <v>1185.65</v>
      </c>
      <c r="E4985" s="2">
        <f>IFERROR(__xludf.DUMMYFUNCTION("""COMPUTED_VALUE"""),1199.25)</f>
        <v>1199.25</v>
      </c>
      <c r="F4985" s="2">
        <f>IFERROR(__xludf.DUMMYFUNCTION("""COMPUTED_VALUE"""),6907393.0)</f>
        <v>6907393</v>
      </c>
    </row>
    <row r="4986">
      <c r="A4986" s="3">
        <f>IFERROR(__xludf.DUMMYFUNCTION("""COMPUTED_VALUE"""),43888.64583333333)</f>
        <v>43888.64583</v>
      </c>
      <c r="B4986" s="2">
        <f>IFERROR(__xludf.DUMMYFUNCTION("""COMPUTED_VALUE"""),1195.0)</f>
        <v>1195</v>
      </c>
      <c r="C4986" s="2">
        <f>IFERROR(__xludf.DUMMYFUNCTION("""COMPUTED_VALUE"""),1202.5)</f>
        <v>1202.5</v>
      </c>
      <c r="D4986" s="2">
        <f>IFERROR(__xludf.DUMMYFUNCTION("""COMPUTED_VALUE"""),1181.0)</f>
        <v>1181</v>
      </c>
      <c r="E4986" s="2">
        <f>IFERROR(__xludf.DUMMYFUNCTION("""COMPUTED_VALUE"""),1199.45)</f>
        <v>1199.45</v>
      </c>
      <c r="F4986" s="2">
        <f>IFERROR(__xludf.DUMMYFUNCTION("""COMPUTED_VALUE"""),1.0327549E7)</f>
        <v>10327549</v>
      </c>
    </row>
    <row r="4987">
      <c r="A4987" s="3">
        <f>IFERROR(__xludf.DUMMYFUNCTION("""COMPUTED_VALUE"""),43889.64583333333)</f>
        <v>43889.64583</v>
      </c>
      <c r="B4987" s="2">
        <f>IFERROR(__xludf.DUMMYFUNCTION("""COMPUTED_VALUE"""),1175.5)</f>
        <v>1175.5</v>
      </c>
      <c r="C4987" s="2">
        <f>IFERROR(__xludf.DUMMYFUNCTION("""COMPUTED_VALUE"""),1185.0)</f>
        <v>1185</v>
      </c>
      <c r="D4987" s="2">
        <f>IFERROR(__xludf.DUMMYFUNCTION("""COMPUTED_VALUE"""),1170.1)</f>
        <v>1170.1</v>
      </c>
      <c r="E4987" s="2">
        <f>IFERROR(__xludf.DUMMYFUNCTION("""COMPUTED_VALUE"""),1177.65)</f>
        <v>1177.65</v>
      </c>
      <c r="F4987" s="2">
        <f>IFERROR(__xludf.DUMMYFUNCTION("""COMPUTED_VALUE"""),1.2156528E7)</f>
        <v>12156528</v>
      </c>
    </row>
    <row r="4988">
      <c r="A4988" s="3">
        <f>IFERROR(__xludf.DUMMYFUNCTION("""COMPUTED_VALUE"""),43892.64583333333)</f>
        <v>43892.64583</v>
      </c>
      <c r="B4988" s="2">
        <f>IFERROR(__xludf.DUMMYFUNCTION("""COMPUTED_VALUE"""),1200.2)</f>
        <v>1200.2</v>
      </c>
      <c r="C4988" s="2">
        <f>IFERROR(__xludf.DUMMYFUNCTION("""COMPUTED_VALUE"""),1201.15)</f>
        <v>1201.15</v>
      </c>
      <c r="D4988" s="2">
        <f>IFERROR(__xludf.DUMMYFUNCTION("""COMPUTED_VALUE"""),1166.15)</f>
        <v>1166.15</v>
      </c>
      <c r="E4988" s="2">
        <f>IFERROR(__xludf.DUMMYFUNCTION("""COMPUTED_VALUE"""),1179.6)</f>
        <v>1179.6</v>
      </c>
      <c r="F4988" s="2">
        <f>IFERROR(__xludf.DUMMYFUNCTION("""COMPUTED_VALUE"""),7332449.0)</f>
        <v>7332449</v>
      </c>
    </row>
    <row r="4989">
      <c r="A4989" s="3">
        <f>IFERROR(__xludf.DUMMYFUNCTION("""COMPUTED_VALUE"""),43893.64583333333)</f>
        <v>43893.64583</v>
      </c>
      <c r="B4989" s="2">
        <f>IFERROR(__xludf.DUMMYFUNCTION("""COMPUTED_VALUE"""),1175.0)</f>
        <v>1175</v>
      </c>
      <c r="C4989" s="2">
        <f>IFERROR(__xludf.DUMMYFUNCTION("""COMPUTED_VALUE"""),1185.35)</f>
        <v>1185.35</v>
      </c>
      <c r="D4989" s="2">
        <f>IFERROR(__xludf.DUMMYFUNCTION("""COMPUTED_VALUE"""),1168.0)</f>
        <v>1168</v>
      </c>
      <c r="E4989" s="2">
        <f>IFERROR(__xludf.DUMMYFUNCTION("""COMPUTED_VALUE"""),1181.8)</f>
        <v>1181.8</v>
      </c>
      <c r="F4989" s="2">
        <f>IFERROR(__xludf.DUMMYFUNCTION("""COMPUTED_VALUE"""),1.1184775E7)</f>
        <v>11184775</v>
      </c>
    </row>
    <row r="4990">
      <c r="A4990" s="3">
        <f>IFERROR(__xludf.DUMMYFUNCTION("""COMPUTED_VALUE"""),43894.64583333333)</f>
        <v>43894.64583</v>
      </c>
      <c r="B4990" s="2">
        <f>IFERROR(__xludf.DUMMYFUNCTION("""COMPUTED_VALUE"""),1178.35)</f>
        <v>1178.35</v>
      </c>
      <c r="C4990" s="2">
        <f>IFERROR(__xludf.DUMMYFUNCTION("""COMPUTED_VALUE"""),1180.0)</f>
        <v>1180</v>
      </c>
      <c r="D4990" s="2">
        <f>IFERROR(__xludf.DUMMYFUNCTION("""COMPUTED_VALUE"""),1133.1)</f>
        <v>1133.1</v>
      </c>
      <c r="E4990" s="2">
        <f>IFERROR(__xludf.DUMMYFUNCTION("""COMPUTED_VALUE"""),1148.85)</f>
        <v>1148.85</v>
      </c>
      <c r="F4990" s="2">
        <f>IFERROR(__xludf.DUMMYFUNCTION("""COMPUTED_VALUE"""),1.7144435E7)</f>
        <v>17144435</v>
      </c>
    </row>
    <row r="4991">
      <c r="A4991" s="3">
        <f>IFERROR(__xludf.DUMMYFUNCTION("""COMPUTED_VALUE"""),43895.64583333333)</f>
        <v>43895.64583</v>
      </c>
      <c r="B4991" s="2">
        <f>IFERROR(__xludf.DUMMYFUNCTION("""COMPUTED_VALUE"""),1153.0)</f>
        <v>1153</v>
      </c>
      <c r="C4991" s="2">
        <f>IFERROR(__xludf.DUMMYFUNCTION("""COMPUTED_VALUE"""),1165.0)</f>
        <v>1165</v>
      </c>
      <c r="D4991" s="2">
        <f>IFERROR(__xludf.DUMMYFUNCTION("""COMPUTED_VALUE"""),1142.75)</f>
        <v>1142.75</v>
      </c>
      <c r="E4991" s="2">
        <f>IFERROR(__xludf.DUMMYFUNCTION("""COMPUTED_VALUE"""),1151.35)</f>
        <v>1151.35</v>
      </c>
      <c r="F4991" s="2">
        <f>IFERROR(__xludf.DUMMYFUNCTION("""COMPUTED_VALUE"""),9774854.0)</f>
        <v>9774854</v>
      </c>
    </row>
    <row r="4992">
      <c r="A4992" s="3">
        <f>IFERROR(__xludf.DUMMYFUNCTION("""COMPUTED_VALUE"""),43896.64583333333)</f>
        <v>43896.64583</v>
      </c>
      <c r="B4992" s="2">
        <f>IFERROR(__xludf.DUMMYFUNCTION("""COMPUTED_VALUE"""),1125.0)</f>
        <v>1125</v>
      </c>
      <c r="C4992" s="2">
        <f>IFERROR(__xludf.DUMMYFUNCTION("""COMPUTED_VALUE"""),1140.9)</f>
        <v>1140.9</v>
      </c>
      <c r="D4992" s="2">
        <f>IFERROR(__xludf.DUMMYFUNCTION("""COMPUTED_VALUE"""),1101.0)</f>
        <v>1101</v>
      </c>
      <c r="E4992" s="2">
        <f>IFERROR(__xludf.DUMMYFUNCTION("""COMPUTED_VALUE"""),1134.9)</f>
        <v>1134.9</v>
      </c>
      <c r="F4992" s="2">
        <f>IFERROR(__xludf.DUMMYFUNCTION("""COMPUTED_VALUE"""),1.1526783E7)</f>
        <v>11526783</v>
      </c>
    </row>
    <row r="4993">
      <c r="A4993" s="3">
        <f>IFERROR(__xludf.DUMMYFUNCTION("""COMPUTED_VALUE"""),43899.64583333333)</f>
        <v>43899.64583</v>
      </c>
      <c r="B4993" s="2">
        <f>IFERROR(__xludf.DUMMYFUNCTION("""COMPUTED_VALUE"""),1110.0)</f>
        <v>1110</v>
      </c>
      <c r="C4993" s="2">
        <f>IFERROR(__xludf.DUMMYFUNCTION("""COMPUTED_VALUE"""),1118.4)</f>
        <v>1118.4</v>
      </c>
      <c r="D4993" s="2">
        <f>IFERROR(__xludf.DUMMYFUNCTION("""COMPUTED_VALUE"""),1065.0)</f>
        <v>1065</v>
      </c>
      <c r="E4993" s="2">
        <f>IFERROR(__xludf.DUMMYFUNCTION("""COMPUTED_VALUE"""),1107.3)</f>
        <v>1107.3</v>
      </c>
      <c r="F4993" s="2">
        <f>IFERROR(__xludf.DUMMYFUNCTION("""COMPUTED_VALUE"""),1.7210297E7)</f>
        <v>17210297</v>
      </c>
    </row>
    <row r="4994">
      <c r="A4994" s="3">
        <f>IFERROR(__xludf.DUMMYFUNCTION("""COMPUTED_VALUE"""),43901.64583333333)</f>
        <v>43901.64583</v>
      </c>
      <c r="B4994" s="2">
        <f>IFERROR(__xludf.DUMMYFUNCTION("""COMPUTED_VALUE"""),1105.0)</f>
        <v>1105</v>
      </c>
      <c r="C4994" s="2">
        <f>IFERROR(__xludf.DUMMYFUNCTION("""COMPUTED_VALUE"""),1120.0)</f>
        <v>1120</v>
      </c>
      <c r="D4994" s="2">
        <f>IFERROR(__xludf.DUMMYFUNCTION("""COMPUTED_VALUE"""),1092.0)</f>
        <v>1092</v>
      </c>
      <c r="E4994" s="2">
        <f>IFERROR(__xludf.DUMMYFUNCTION("""COMPUTED_VALUE"""),1113.8)</f>
        <v>1113.8</v>
      </c>
      <c r="F4994" s="2">
        <f>IFERROR(__xludf.DUMMYFUNCTION("""COMPUTED_VALUE"""),1.7769198E7)</f>
        <v>17769198</v>
      </c>
    </row>
    <row r="4995">
      <c r="A4995" s="3">
        <f>IFERROR(__xludf.DUMMYFUNCTION("""COMPUTED_VALUE"""),43902.64583333333)</f>
        <v>43902.64583</v>
      </c>
      <c r="B4995" s="2">
        <f>IFERROR(__xludf.DUMMYFUNCTION("""COMPUTED_VALUE"""),1075.0)</f>
        <v>1075</v>
      </c>
      <c r="C4995" s="2">
        <f>IFERROR(__xludf.DUMMYFUNCTION("""COMPUTED_VALUE"""),1080.0)</f>
        <v>1080</v>
      </c>
      <c r="D4995" s="2">
        <f>IFERROR(__xludf.DUMMYFUNCTION("""COMPUTED_VALUE"""),1003.45)</f>
        <v>1003.45</v>
      </c>
      <c r="E4995" s="2">
        <f>IFERROR(__xludf.DUMMYFUNCTION("""COMPUTED_VALUE"""),1021.3)</f>
        <v>1021.3</v>
      </c>
      <c r="F4995" s="2">
        <f>IFERROR(__xludf.DUMMYFUNCTION("""COMPUTED_VALUE"""),2.9500406E7)</f>
        <v>29500406</v>
      </c>
    </row>
    <row r="4996">
      <c r="A4996" s="3">
        <f>IFERROR(__xludf.DUMMYFUNCTION("""COMPUTED_VALUE"""),43903.64583333333)</f>
        <v>43903.64583</v>
      </c>
      <c r="B4996" s="2">
        <f>IFERROR(__xludf.DUMMYFUNCTION("""COMPUTED_VALUE"""),980.05)</f>
        <v>980.05</v>
      </c>
      <c r="C4996" s="2">
        <f>IFERROR(__xludf.DUMMYFUNCTION("""COMPUTED_VALUE"""),1081.45)</f>
        <v>1081.45</v>
      </c>
      <c r="D4996" s="2">
        <f>IFERROR(__xludf.DUMMYFUNCTION("""COMPUTED_VALUE"""),919.2)</f>
        <v>919.2</v>
      </c>
      <c r="E4996" s="2">
        <f>IFERROR(__xludf.DUMMYFUNCTION("""COMPUTED_VALUE"""),1069.8)</f>
        <v>1069.8</v>
      </c>
      <c r="F4996" s="2">
        <f>IFERROR(__xludf.DUMMYFUNCTION("""COMPUTED_VALUE"""),3.3171603E7)</f>
        <v>33171603</v>
      </c>
    </row>
    <row r="4997">
      <c r="A4997" s="3">
        <f>IFERROR(__xludf.DUMMYFUNCTION("""COMPUTED_VALUE"""),43906.64583333333)</f>
        <v>43906.64583</v>
      </c>
      <c r="B4997" s="2">
        <f>IFERROR(__xludf.DUMMYFUNCTION("""COMPUTED_VALUE"""),1035.0)</f>
        <v>1035</v>
      </c>
      <c r="C4997" s="2">
        <f>IFERROR(__xludf.DUMMYFUNCTION("""COMPUTED_VALUE"""),1037.0)</f>
        <v>1037</v>
      </c>
      <c r="D4997" s="2">
        <f>IFERROR(__xludf.DUMMYFUNCTION("""COMPUTED_VALUE"""),995.0)</f>
        <v>995</v>
      </c>
      <c r="E4997" s="2">
        <f>IFERROR(__xludf.DUMMYFUNCTION("""COMPUTED_VALUE"""),999.5)</f>
        <v>999.5</v>
      </c>
      <c r="F4997" s="2">
        <f>IFERROR(__xludf.DUMMYFUNCTION("""COMPUTED_VALUE"""),1.5993174E7)</f>
        <v>15993174</v>
      </c>
    </row>
    <row r="4998">
      <c r="A4998" s="3">
        <f>IFERROR(__xludf.DUMMYFUNCTION("""COMPUTED_VALUE"""),43907.64583333333)</f>
        <v>43907.64583</v>
      </c>
      <c r="B4998" s="2">
        <f>IFERROR(__xludf.DUMMYFUNCTION("""COMPUTED_VALUE"""),1008.0)</f>
        <v>1008</v>
      </c>
      <c r="C4998" s="2">
        <f>IFERROR(__xludf.DUMMYFUNCTION("""COMPUTED_VALUE"""),1010.0)</f>
        <v>1010</v>
      </c>
      <c r="D4998" s="2">
        <f>IFERROR(__xludf.DUMMYFUNCTION("""COMPUTED_VALUE"""),954.7)</f>
        <v>954.7</v>
      </c>
      <c r="E4998" s="2">
        <f>IFERROR(__xludf.DUMMYFUNCTION("""COMPUTED_VALUE"""),975.1)</f>
        <v>975.1</v>
      </c>
      <c r="F4998" s="2">
        <f>IFERROR(__xludf.DUMMYFUNCTION("""COMPUTED_VALUE"""),2.1338641E7)</f>
        <v>21338641</v>
      </c>
    </row>
    <row r="4999">
      <c r="A4999" s="3">
        <f>IFERROR(__xludf.DUMMYFUNCTION("""COMPUTED_VALUE"""),43908.64583333333)</f>
        <v>43908.64583</v>
      </c>
      <c r="B4999" s="2">
        <f>IFERROR(__xludf.DUMMYFUNCTION("""COMPUTED_VALUE"""),985.0)</f>
        <v>985</v>
      </c>
      <c r="C4999" s="2">
        <f>IFERROR(__xludf.DUMMYFUNCTION("""COMPUTED_VALUE"""),993.0)</f>
        <v>993</v>
      </c>
      <c r="D4999" s="2">
        <f>IFERROR(__xludf.DUMMYFUNCTION("""COMPUTED_VALUE"""),865.0)</f>
        <v>865</v>
      </c>
      <c r="E4999" s="2">
        <f>IFERROR(__xludf.DUMMYFUNCTION("""COMPUTED_VALUE"""),876.9)</f>
        <v>876.9</v>
      </c>
      <c r="F4999" s="2">
        <f>IFERROR(__xludf.DUMMYFUNCTION("""COMPUTED_VALUE"""),3.0593809E7)</f>
        <v>30593809</v>
      </c>
    </row>
    <row r="5000">
      <c r="A5000" s="3">
        <f>IFERROR(__xludf.DUMMYFUNCTION("""COMPUTED_VALUE"""),43909.64583333333)</f>
        <v>43909.64583</v>
      </c>
      <c r="B5000" s="2">
        <f>IFERROR(__xludf.DUMMYFUNCTION("""COMPUTED_VALUE"""),847.0)</f>
        <v>847</v>
      </c>
      <c r="C5000" s="2">
        <f>IFERROR(__xludf.DUMMYFUNCTION("""COMPUTED_VALUE"""),919.95)</f>
        <v>919.95</v>
      </c>
      <c r="D5000" s="2">
        <f>IFERROR(__xludf.DUMMYFUNCTION("""COMPUTED_VALUE"""),795.0)</f>
        <v>795</v>
      </c>
      <c r="E5000" s="2">
        <f>IFERROR(__xludf.DUMMYFUNCTION("""COMPUTED_VALUE"""),895.55)</f>
        <v>895.55</v>
      </c>
      <c r="F5000" s="2">
        <f>IFERROR(__xludf.DUMMYFUNCTION("""COMPUTED_VALUE"""),3.3610239E7)</f>
        <v>33610239</v>
      </c>
    </row>
    <row r="5001">
      <c r="A5001" s="3">
        <f>IFERROR(__xludf.DUMMYFUNCTION("""COMPUTED_VALUE"""),43910.64583333333)</f>
        <v>43910.64583</v>
      </c>
      <c r="B5001" s="2">
        <f>IFERROR(__xludf.DUMMYFUNCTION("""COMPUTED_VALUE"""),875.0)</f>
        <v>875</v>
      </c>
      <c r="C5001" s="2">
        <f>IFERROR(__xludf.DUMMYFUNCTION("""COMPUTED_VALUE"""),914.6)</f>
        <v>914.6</v>
      </c>
      <c r="D5001" s="2">
        <f>IFERROR(__xludf.DUMMYFUNCTION("""COMPUTED_VALUE"""),824.55)</f>
        <v>824.55</v>
      </c>
      <c r="E5001" s="2">
        <f>IFERROR(__xludf.DUMMYFUNCTION("""COMPUTED_VALUE"""),882.85)</f>
        <v>882.85</v>
      </c>
      <c r="F5001" s="2">
        <f>IFERROR(__xludf.DUMMYFUNCTION("""COMPUTED_VALUE"""),4.4319015E7)</f>
        <v>44319015</v>
      </c>
    </row>
    <row r="5002">
      <c r="A5002" s="3">
        <f>IFERROR(__xludf.DUMMYFUNCTION("""COMPUTED_VALUE"""),43913.64583333333)</f>
        <v>43913.64583</v>
      </c>
      <c r="B5002" s="2">
        <f>IFERROR(__xludf.DUMMYFUNCTION("""COMPUTED_VALUE"""),794.6)</f>
        <v>794.6</v>
      </c>
      <c r="C5002" s="2">
        <f>IFERROR(__xludf.DUMMYFUNCTION("""COMPUTED_VALUE"""),838.75)</f>
        <v>838.75</v>
      </c>
      <c r="D5002" s="2">
        <f>IFERROR(__xludf.DUMMYFUNCTION("""COMPUTED_VALUE"""),765.0)</f>
        <v>765</v>
      </c>
      <c r="E5002" s="2">
        <f>IFERROR(__xludf.DUMMYFUNCTION("""COMPUTED_VALUE"""),771.55)</f>
        <v>771.55</v>
      </c>
      <c r="F5002" s="2">
        <f>IFERROR(__xludf.DUMMYFUNCTION("""COMPUTED_VALUE"""),2.5142273E7)</f>
        <v>25142273</v>
      </c>
    </row>
    <row r="5003">
      <c r="A5003" s="3">
        <f>IFERROR(__xludf.DUMMYFUNCTION("""COMPUTED_VALUE"""),43914.64583333333)</f>
        <v>43914.64583</v>
      </c>
      <c r="B5003" s="2">
        <f>IFERROR(__xludf.DUMMYFUNCTION("""COMPUTED_VALUE"""),795.25)</f>
        <v>795.25</v>
      </c>
      <c r="C5003" s="2">
        <f>IFERROR(__xludf.DUMMYFUNCTION("""COMPUTED_VALUE"""),810.0)</f>
        <v>810</v>
      </c>
      <c r="D5003" s="2">
        <f>IFERROR(__xludf.DUMMYFUNCTION("""COMPUTED_VALUE"""),738.75)</f>
        <v>738.75</v>
      </c>
      <c r="E5003" s="2">
        <f>IFERROR(__xludf.DUMMYFUNCTION("""COMPUTED_VALUE"""),767.7)</f>
        <v>767.7</v>
      </c>
      <c r="F5003" s="2">
        <f>IFERROR(__xludf.DUMMYFUNCTION("""COMPUTED_VALUE"""),3.0528676E7)</f>
        <v>30528676</v>
      </c>
    </row>
    <row r="5004">
      <c r="A5004" s="3">
        <f>IFERROR(__xludf.DUMMYFUNCTION("""COMPUTED_VALUE"""),43915.64583333333)</f>
        <v>43915.64583</v>
      </c>
      <c r="B5004" s="2">
        <f>IFERROR(__xludf.DUMMYFUNCTION("""COMPUTED_VALUE"""),770.45)</f>
        <v>770.45</v>
      </c>
      <c r="C5004" s="2">
        <f>IFERROR(__xludf.DUMMYFUNCTION("""COMPUTED_VALUE"""),867.45)</f>
        <v>867.45</v>
      </c>
      <c r="D5004" s="2">
        <f>IFERROR(__xludf.DUMMYFUNCTION("""COMPUTED_VALUE"""),755.25)</f>
        <v>755.25</v>
      </c>
      <c r="E5004" s="2">
        <f>IFERROR(__xludf.DUMMYFUNCTION("""COMPUTED_VALUE"""),856.75)</f>
        <v>856.75</v>
      </c>
      <c r="F5004" s="2">
        <f>IFERROR(__xludf.DUMMYFUNCTION("""COMPUTED_VALUE"""),2.3614449E7)</f>
        <v>23614449</v>
      </c>
    </row>
    <row r="5005">
      <c r="A5005" s="3">
        <f>IFERROR(__xludf.DUMMYFUNCTION("""COMPUTED_VALUE"""),43916.64583333333)</f>
        <v>43916.64583</v>
      </c>
      <c r="B5005" s="2">
        <f>IFERROR(__xludf.DUMMYFUNCTION("""COMPUTED_VALUE"""),870.1)</f>
        <v>870.1</v>
      </c>
      <c r="C5005" s="2">
        <f>IFERROR(__xludf.DUMMYFUNCTION("""COMPUTED_VALUE"""),937.7)</f>
        <v>937.7</v>
      </c>
      <c r="D5005" s="2">
        <f>IFERROR(__xludf.DUMMYFUNCTION("""COMPUTED_VALUE"""),841.0)</f>
        <v>841</v>
      </c>
      <c r="E5005" s="2">
        <f>IFERROR(__xludf.DUMMYFUNCTION("""COMPUTED_VALUE"""),901.1)</f>
        <v>901.1</v>
      </c>
      <c r="F5005" s="2">
        <f>IFERROR(__xludf.DUMMYFUNCTION("""COMPUTED_VALUE"""),2.8521681E7)</f>
        <v>28521681</v>
      </c>
    </row>
    <row r="5006">
      <c r="A5006" s="3">
        <f>IFERROR(__xludf.DUMMYFUNCTION("""COMPUTED_VALUE"""),43917.64583333333)</f>
        <v>43917.64583</v>
      </c>
      <c r="B5006" s="2">
        <f>IFERROR(__xludf.DUMMYFUNCTION("""COMPUTED_VALUE"""),944.95)</f>
        <v>944.95</v>
      </c>
      <c r="C5006" s="2">
        <f>IFERROR(__xludf.DUMMYFUNCTION("""COMPUTED_VALUE"""),988.65)</f>
        <v>988.65</v>
      </c>
      <c r="D5006" s="2">
        <f>IFERROR(__xludf.DUMMYFUNCTION("""COMPUTED_VALUE"""),872.1)</f>
        <v>872.1</v>
      </c>
      <c r="E5006" s="2">
        <f>IFERROR(__xludf.DUMMYFUNCTION("""COMPUTED_VALUE"""),904.45)</f>
        <v>904.45</v>
      </c>
      <c r="F5006" s="2">
        <f>IFERROR(__xludf.DUMMYFUNCTION("""COMPUTED_VALUE"""),2.7619436E7)</f>
        <v>27619436</v>
      </c>
    </row>
    <row r="5007">
      <c r="A5007" s="3">
        <f>IFERROR(__xludf.DUMMYFUNCTION("""COMPUTED_VALUE"""),43920.64583333333)</f>
        <v>43920.64583</v>
      </c>
      <c r="B5007" s="2">
        <f>IFERROR(__xludf.DUMMYFUNCTION("""COMPUTED_VALUE"""),880.0)</f>
        <v>880</v>
      </c>
      <c r="C5007" s="2">
        <f>IFERROR(__xludf.DUMMYFUNCTION("""COMPUTED_VALUE"""),887.0)</f>
        <v>887</v>
      </c>
      <c r="D5007" s="2">
        <f>IFERROR(__xludf.DUMMYFUNCTION("""COMPUTED_VALUE"""),828.0)</f>
        <v>828</v>
      </c>
      <c r="E5007" s="2">
        <f>IFERROR(__xludf.DUMMYFUNCTION("""COMPUTED_VALUE"""),831.65)</f>
        <v>831.65</v>
      </c>
      <c r="F5007" s="2">
        <f>IFERROR(__xludf.DUMMYFUNCTION("""COMPUTED_VALUE"""),1.9634313E7)</f>
        <v>19634313</v>
      </c>
    </row>
    <row r="5008">
      <c r="A5008" s="3">
        <f>IFERROR(__xludf.DUMMYFUNCTION("""COMPUTED_VALUE"""),43921.64583333333)</f>
        <v>43921.64583</v>
      </c>
      <c r="B5008" s="2">
        <f>IFERROR(__xludf.DUMMYFUNCTION("""COMPUTED_VALUE"""),853.8)</f>
        <v>853.8</v>
      </c>
      <c r="C5008" s="2">
        <f>IFERROR(__xludf.DUMMYFUNCTION("""COMPUTED_VALUE"""),873.6)</f>
        <v>873.6</v>
      </c>
      <c r="D5008" s="2">
        <f>IFERROR(__xludf.DUMMYFUNCTION("""COMPUTED_VALUE"""),838.0)</f>
        <v>838</v>
      </c>
      <c r="E5008" s="2">
        <f>IFERROR(__xludf.DUMMYFUNCTION("""COMPUTED_VALUE"""),861.9)</f>
        <v>861.9</v>
      </c>
      <c r="F5008" s="2">
        <f>IFERROR(__xludf.DUMMYFUNCTION("""COMPUTED_VALUE"""),1.7605997E7)</f>
        <v>17605997</v>
      </c>
    </row>
    <row r="5009">
      <c r="A5009" s="3">
        <f>IFERROR(__xludf.DUMMYFUNCTION("""COMPUTED_VALUE"""),43922.64583333333)</f>
        <v>43922.64583</v>
      </c>
      <c r="B5009" s="2">
        <f>IFERROR(__xludf.DUMMYFUNCTION("""COMPUTED_VALUE"""),863.85)</f>
        <v>863.85</v>
      </c>
      <c r="C5009" s="2">
        <f>IFERROR(__xludf.DUMMYFUNCTION("""COMPUTED_VALUE"""),863.85)</f>
        <v>863.85</v>
      </c>
      <c r="D5009" s="2">
        <f>IFERROR(__xludf.DUMMYFUNCTION("""COMPUTED_VALUE"""),820.0)</f>
        <v>820</v>
      </c>
      <c r="E5009" s="2">
        <f>IFERROR(__xludf.DUMMYFUNCTION("""COMPUTED_VALUE"""),829.65)</f>
        <v>829.65</v>
      </c>
      <c r="F5009" s="2">
        <f>IFERROR(__xludf.DUMMYFUNCTION("""COMPUTED_VALUE"""),1.4551758E7)</f>
        <v>14551758</v>
      </c>
    </row>
    <row r="5010">
      <c r="A5010" s="3">
        <f>IFERROR(__xludf.DUMMYFUNCTION("""COMPUTED_VALUE"""),43924.64583333333)</f>
        <v>43924.64583</v>
      </c>
      <c r="B5010" s="2">
        <f>IFERROR(__xludf.DUMMYFUNCTION("""COMPUTED_VALUE"""),843.0)</f>
        <v>843</v>
      </c>
      <c r="C5010" s="2">
        <f>IFERROR(__xludf.DUMMYFUNCTION("""COMPUTED_VALUE"""),844.0)</f>
        <v>844</v>
      </c>
      <c r="D5010" s="2">
        <f>IFERROR(__xludf.DUMMYFUNCTION("""COMPUTED_VALUE"""),810.0)</f>
        <v>810</v>
      </c>
      <c r="E5010" s="2">
        <f>IFERROR(__xludf.DUMMYFUNCTION("""COMPUTED_VALUE"""),813.85)</f>
        <v>813.85</v>
      </c>
      <c r="F5010" s="2">
        <f>IFERROR(__xludf.DUMMYFUNCTION("""COMPUTED_VALUE"""),1.7499063E7)</f>
        <v>17499063</v>
      </c>
    </row>
    <row r="5011">
      <c r="A5011" s="3">
        <f>IFERROR(__xludf.DUMMYFUNCTION("""COMPUTED_VALUE"""),43928.64583333333)</f>
        <v>43928.64583</v>
      </c>
      <c r="B5011" s="2">
        <f>IFERROR(__xludf.DUMMYFUNCTION("""COMPUTED_VALUE"""),874.0)</f>
        <v>874</v>
      </c>
      <c r="C5011" s="2">
        <f>IFERROR(__xludf.DUMMYFUNCTION("""COMPUTED_VALUE"""),907.3)</f>
        <v>907.3</v>
      </c>
      <c r="D5011" s="2">
        <f>IFERROR(__xludf.DUMMYFUNCTION("""COMPUTED_VALUE"""),845.35)</f>
        <v>845.35</v>
      </c>
      <c r="E5011" s="2">
        <f>IFERROR(__xludf.DUMMYFUNCTION("""COMPUTED_VALUE"""),896.1)</f>
        <v>896.1</v>
      </c>
      <c r="F5011" s="2">
        <f>IFERROR(__xludf.DUMMYFUNCTION("""COMPUTED_VALUE"""),3.0206626E7)</f>
        <v>30206626</v>
      </c>
    </row>
    <row r="5012">
      <c r="A5012" s="3">
        <f>IFERROR(__xludf.DUMMYFUNCTION("""COMPUTED_VALUE"""),43929.64583333333)</f>
        <v>43929.64583</v>
      </c>
      <c r="B5012" s="2">
        <f>IFERROR(__xludf.DUMMYFUNCTION("""COMPUTED_VALUE"""),879.95)</f>
        <v>879.95</v>
      </c>
      <c r="C5012" s="2">
        <f>IFERROR(__xludf.DUMMYFUNCTION("""COMPUTED_VALUE"""),945.0)</f>
        <v>945</v>
      </c>
      <c r="D5012" s="2">
        <f>IFERROR(__xludf.DUMMYFUNCTION("""COMPUTED_VALUE"""),866.1)</f>
        <v>866.1</v>
      </c>
      <c r="E5012" s="2">
        <f>IFERROR(__xludf.DUMMYFUNCTION("""COMPUTED_VALUE"""),888.9)</f>
        <v>888.9</v>
      </c>
      <c r="F5012" s="2">
        <f>IFERROR(__xludf.DUMMYFUNCTION("""COMPUTED_VALUE"""),2.8109877E7)</f>
        <v>28109877</v>
      </c>
    </row>
    <row r="5013">
      <c r="A5013" s="3">
        <f>IFERROR(__xludf.DUMMYFUNCTION("""COMPUTED_VALUE"""),43930.64583333333)</f>
        <v>43930.64583</v>
      </c>
      <c r="B5013" s="2">
        <f>IFERROR(__xludf.DUMMYFUNCTION("""COMPUTED_VALUE"""),913.0)</f>
        <v>913</v>
      </c>
      <c r="C5013" s="2">
        <f>IFERROR(__xludf.DUMMYFUNCTION("""COMPUTED_VALUE"""),930.9)</f>
        <v>930.9</v>
      </c>
      <c r="D5013" s="2">
        <f>IFERROR(__xludf.DUMMYFUNCTION("""COMPUTED_VALUE"""),890.0)</f>
        <v>890</v>
      </c>
      <c r="E5013" s="2">
        <f>IFERROR(__xludf.DUMMYFUNCTION("""COMPUTED_VALUE"""),925.05)</f>
        <v>925.05</v>
      </c>
      <c r="F5013" s="2">
        <f>IFERROR(__xludf.DUMMYFUNCTION("""COMPUTED_VALUE"""),2.2229012E7)</f>
        <v>22229012</v>
      </c>
    </row>
    <row r="5014">
      <c r="A5014" s="3">
        <f>IFERROR(__xludf.DUMMYFUNCTION("""COMPUTED_VALUE"""),43934.64583333333)</f>
        <v>43934.64583</v>
      </c>
      <c r="B5014" s="2">
        <f>IFERROR(__xludf.DUMMYFUNCTION("""COMPUTED_VALUE"""),934.0)</f>
        <v>934</v>
      </c>
      <c r="C5014" s="2">
        <f>IFERROR(__xludf.DUMMYFUNCTION("""COMPUTED_VALUE"""),946.7)</f>
        <v>946.7</v>
      </c>
      <c r="D5014" s="2">
        <f>IFERROR(__xludf.DUMMYFUNCTION("""COMPUTED_VALUE"""),886.2)</f>
        <v>886.2</v>
      </c>
      <c r="E5014" s="2">
        <f>IFERROR(__xludf.DUMMYFUNCTION("""COMPUTED_VALUE"""),895.35)</f>
        <v>895.35</v>
      </c>
      <c r="F5014" s="2">
        <f>IFERROR(__xludf.DUMMYFUNCTION("""COMPUTED_VALUE"""),1.7079259E7)</f>
        <v>17079259</v>
      </c>
    </row>
    <row r="5015">
      <c r="A5015" s="3">
        <f>IFERROR(__xludf.DUMMYFUNCTION("""COMPUTED_VALUE"""),43936.64583333333)</f>
        <v>43936.64583</v>
      </c>
      <c r="B5015" s="2">
        <f>IFERROR(__xludf.DUMMYFUNCTION("""COMPUTED_VALUE"""),930.5)</f>
        <v>930.5</v>
      </c>
      <c r="C5015" s="2">
        <f>IFERROR(__xludf.DUMMYFUNCTION("""COMPUTED_VALUE"""),930.5)</f>
        <v>930.5</v>
      </c>
      <c r="D5015" s="2">
        <f>IFERROR(__xludf.DUMMYFUNCTION("""COMPUTED_VALUE"""),843.0)</f>
        <v>843</v>
      </c>
      <c r="E5015" s="2">
        <f>IFERROR(__xludf.DUMMYFUNCTION("""COMPUTED_VALUE"""),863.3)</f>
        <v>863.3</v>
      </c>
      <c r="F5015" s="2">
        <f>IFERROR(__xludf.DUMMYFUNCTION("""COMPUTED_VALUE"""),2.8989523E7)</f>
        <v>28989523</v>
      </c>
    </row>
    <row r="5016">
      <c r="A5016" s="3">
        <f>IFERROR(__xludf.DUMMYFUNCTION("""COMPUTED_VALUE"""),43937.64583333333)</f>
        <v>43937.64583</v>
      </c>
      <c r="B5016" s="2">
        <f>IFERROR(__xludf.DUMMYFUNCTION("""COMPUTED_VALUE"""),865.0)</f>
        <v>865</v>
      </c>
      <c r="C5016" s="2">
        <f>IFERROR(__xludf.DUMMYFUNCTION("""COMPUTED_VALUE"""),890.7)</f>
        <v>890.7</v>
      </c>
      <c r="D5016" s="2">
        <f>IFERROR(__xludf.DUMMYFUNCTION("""COMPUTED_VALUE"""),856.25)</f>
        <v>856.25</v>
      </c>
      <c r="E5016" s="2">
        <f>IFERROR(__xludf.DUMMYFUNCTION("""COMPUTED_VALUE"""),879.75)</f>
        <v>879.75</v>
      </c>
      <c r="F5016" s="2">
        <f>IFERROR(__xludf.DUMMYFUNCTION("""COMPUTED_VALUE"""),2.6927231E7)</f>
        <v>26927231</v>
      </c>
    </row>
    <row r="5017">
      <c r="A5017" s="3">
        <f>IFERROR(__xludf.DUMMYFUNCTION("""COMPUTED_VALUE"""),43938.64583333333)</f>
        <v>43938.64583</v>
      </c>
      <c r="B5017" s="2">
        <f>IFERROR(__xludf.DUMMYFUNCTION("""COMPUTED_VALUE"""),915.0)</f>
        <v>915</v>
      </c>
      <c r="C5017" s="2">
        <f>IFERROR(__xludf.DUMMYFUNCTION("""COMPUTED_VALUE"""),920.0)</f>
        <v>920</v>
      </c>
      <c r="D5017" s="2">
        <f>IFERROR(__xludf.DUMMYFUNCTION("""COMPUTED_VALUE"""),887.25)</f>
        <v>887.25</v>
      </c>
      <c r="E5017" s="2">
        <f>IFERROR(__xludf.DUMMYFUNCTION("""COMPUTED_VALUE"""),910.3)</f>
        <v>910.3</v>
      </c>
      <c r="F5017" s="2">
        <f>IFERROR(__xludf.DUMMYFUNCTION("""COMPUTED_VALUE"""),2.7941831E7)</f>
        <v>27941831</v>
      </c>
    </row>
    <row r="5018">
      <c r="A5018" s="3">
        <f>IFERROR(__xludf.DUMMYFUNCTION("""COMPUTED_VALUE"""),43941.64583333333)</f>
        <v>43941.64583</v>
      </c>
      <c r="B5018" s="2">
        <f>IFERROR(__xludf.DUMMYFUNCTION("""COMPUTED_VALUE"""),951.0)</f>
        <v>951</v>
      </c>
      <c r="C5018" s="2">
        <f>IFERROR(__xludf.DUMMYFUNCTION("""COMPUTED_VALUE"""),960.95)</f>
        <v>960.95</v>
      </c>
      <c r="D5018" s="2">
        <f>IFERROR(__xludf.DUMMYFUNCTION("""COMPUTED_VALUE"""),935.0)</f>
        <v>935</v>
      </c>
      <c r="E5018" s="2">
        <f>IFERROR(__xludf.DUMMYFUNCTION("""COMPUTED_VALUE"""),944.85)</f>
        <v>944.85</v>
      </c>
      <c r="F5018" s="2">
        <f>IFERROR(__xludf.DUMMYFUNCTION("""COMPUTED_VALUE"""),3.3116614E7)</f>
        <v>33116614</v>
      </c>
    </row>
    <row r="5019">
      <c r="A5019" s="3">
        <f>IFERROR(__xludf.DUMMYFUNCTION("""COMPUTED_VALUE"""),43942.64583333333)</f>
        <v>43942.64583</v>
      </c>
      <c r="B5019" s="2">
        <f>IFERROR(__xludf.DUMMYFUNCTION("""COMPUTED_VALUE"""),925.0)</f>
        <v>925</v>
      </c>
      <c r="C5019" s="2">
        <f>IFERROR(__xludf.DUMMYFUNCTION("""COMPUTED_VALUE"""),934.0)</f>
        <v>934</v>
      </c>
      <c r="D5019" s="2">
        <f>IFERROR(__xludf.DUMMYFUNCTION("""COMPUTED_VALUE"""),908.0)</f>
        <v>908</v>
      </c>
      <c r="E5019" s="2">
        <f>IFERROR(__xludf.DUMMYFUNCTION("""COMPUTED_VALUE"""),921.65)</f>
        <v>921.65</v>
      </c>
      <c r="F5019" s="2">
        <f>IFERROR(__xludf.DUMMYFUNCTION("""COMPUTED_VALUE"""),1.6589148E7)</f>
        <v>16589148</v>
      </c>
    </row>
    <row r="5020">
      <c r="A5020" s="3">
        <f>IFERROR(__xludf.DUMMYFUNCTION("""COMPUTED_VALUE"""),43943.64583333333)</f>
        <v>43943.64583</v>
      </c>
      <c r="B5020" s="2">
        <f>IFERROR(__xludf.DUMMYFUNCTION("""COMPUTED_VALUE"""),919.15)</f>
        <v>919.15</v>
      </c>
      <c r="C5020" s="2">
        <f>IFERROR(__xludf.DUMMYFUNCTION("""COMPUTED_VALUE"""),933.0)</f>
        <v>933</v>
      </c>
      <c r="D5020" s="2">
        <f>IFERROR(__xludf.DUMMYFUNCTION("""COMPUTED_VALUE"""),907.3)</f>
        <v>907.3</v>
      </c>
      <c r="E5020" s="2">
        <f>IFERROR(__xludf.DUMMYFUNCTION("""COMPUTED_VALUE"""),928.6)</f>
        <v>928.6</v>
      </c>
      <c r="F5020" s="2">
        <f>IFERROR(__xludf.DUMMYFUNCTION("""COMPUTED_VALUE"""),1.9144678E7)</f>
        <v>19144678</v>
      </c>
    </row>
    <row r="5021">
      <c r="A5021" s="3">
        <f>IFERROR(__xludf.DUMMYFUNCTION("""COMPUTED_VALUE"""),43944.64583333333)</f>
        <v>43944.64583</v>
      </c>
      <c r="B5021" s="2">
        <f>IFERROR(__xludf.DUMMYFUNCTION("""COMPUTED_VALUE"""),935.0)</f>
        <v>935</v>
      </c>
      <c r="C5021" s="2">
        <f>IFERROR(__xludf.DUMMYFUNCTION("""COMPUTED_VALUE"""),958.5)</f>
        <v>958.5</v>
      </c>
      <c r="D5021" s="2">
        <f>IFERROR(__xludf.DUMMYFUNCTION("""COMPUTED_VALUE"""),912.55)</f>
        <v>912.55</v>
      </c>
      <c r="E5021" s="2">
        <f>IFERROR(__xludf.DUMMYFUNCTION("""COMPUTED_VALUE"""),954.95)</f>
        <v>954.95</v>
      </c>
      <c r="F5021" s="2">
        <f>IFERROR(__xludf.DUMMYFUNCTION("""COMPUTED_VALUE"""),2.0450895E7)</f>
        <v>20450895</v>
      </c>
    </row>
    <row r="5022">
      <c r="A5022" s="3">
        <f>IFERROR(__xludf.DUMMYFUNCTION("""COMPUTED_VALUE"""),43945.64583333333)</f>
        <v>43945.64583</v>
      </c>
      <c r="B5022" s="2">
        <f>IFERROR(__xludf.DUMMYFUNCTION("""COMPUTED_VALUE"""),933.0)</f>
        <v>933</v>
      </c>
      <c r="C5022" s="2">
        <f>IFERROR(__xludf.DUMMYFUNCTION("""COMPUTED_VALUE"""),958.4)</f>
        <v>958.4</v>
      </c>
      <c r="D5022" s="2">
        <f>IFERROR(__xludf.DUMMYFUNCTION("""COMPUTED_VALUE"""),926.0)</f>
        <v>926</v>
      </c>
      <c r="E5022" s="2">
        <f>IFERROR(__xludf.DUMMYFUNCTION("""COMPUTED_VALUE"""),938.05)</f>
        <v>938.05</v>
      </c>
      <c r="F5022" s="2">
        <f>IFERROR(__xludf.DUMMYFUNCTION("""COMPUTED_VALUE"""),1.6642831E7)</f>
        <v>16642831</v>
      </c>
    </row>
    <row r="5023">
      <c r="A5023" s="3">
        <f>IFERROR(__xludf.DUMMYFUNCTION("""COMPUTED_VALUE"""),43948.64583333333)</f>
        <v>43948.64583</v>
      </c>
      <c r="B5023" s="2">
        <f>IFERROR(__xludf.DUMMYFUNCTION("""COMPUTED_VALUE"""),945.15)</f>
        <v>945.15</v>
      </c>
      <c r="C5023" s="2">
        <f>IFERROR(__xludf.DUMMYFUNCTION("""COMPUTED_VALUE"""),957.4)</f>
        <v>957.4</v>
      </c>
      <c r="D5023" s="2">
        <f>IFERROR(__xludf.DUMMYFUNCTION("""COMPUTED_VALUE"""),926.3)</f>
        <v>926.3</v>
      </c>
      <c r="E5023" s="2">
        <f>IFERROR(__xludf.DUMMYFUNCTION("""COMPUTED_VALUE"""),929.7)</f>
        <v>929.7</v>
      </c>
      <c r="F5023" s="2">
        <f>IFERROR(__xludf.DUMMYFUNCTION("""COMPUTED_VALUE"""),1.3710727E7)</f>
        <v>13710727</v>
      </c>
    </row>
    <row r="5024">
      <c r="A5024" s="3">
        <f>IFERROR(__xludf.DUMMYFUNCTION("""COMPUTED_VALUE"""),43949.64583333333)</f>
        <v>43949.64583</v>
      </c>
      <c r="B5024" s="2">
        <f>IFERROR(__xludf.DUMMYFUNCTION("""COMPUTED_VALUE"""),943.8)</f>
        <v>943.8</v>
      </c>
      <c r="C5024" s="2">
        <f>IFERROR(__xludf.DUMMYFUNCTION("""COMPUTED_VALUE"""),943.8)</f>
        <v>943.8</v>
      </c>
      <c r="D5024" s="2">
        <f>IFERROR(__xludf.DUMMYFUNCTION("""COMPUTED_VALUE"""),922.0)</f>
        <v>922</v>
      </c>
      <c r="E5024" s="2">
        <f>IFERROR(__xludf.DUMMYFUNCTION("""COMPUTED_VALUE"""),931.4)</f>
        <v>931.4</v>
      </c>
      <c r="F5024" s="2">
        <f>IFERROR(__xludf.DUMMYFUNCTION("""COMPUTED_VALUE"""),1.4720773E7)</f>
        <v>14720773</v>
      </c>
    </row>
    <row r="5025">
      <c r="A5025" s="3">
        <f>IFERROR(__xludf.DUMMYFUNCTION("""COMPUTED_VALUE"""),43950.64583333333)</f>
        <v>43950.64583</v>
      </c>
      <c r="B5025" s="2">
        <f>IFERROR(__xludf.DUMMYFUNCTION("""COMPUTED_VALUE"""),935.0)</f>
        <v>935</v>
      </c>
      <c r="C5025" s="2">
        <f>IFERROR(__xludf.DUMMYFUNCTION("""COMPUTED_VALUE"""),992.7)</f>
        <v>992.7</v>
      </c>
      <c r="D5025" s="2">
        <f>IFERROR(__xludf.DUMMYFUNCTION("""COMPUTED_VALUE"""),934.1)</f>
        <v>934.1</v>
      </c>
      <c r="E5025" s="2">
        <f>IFERROR(__xludf.DUMMYFUNCTION("""COMPUTED_VALUE"""),977.1)</f>
        <v>977.1</v>
      </c>
      <c r="F5025" s="2">
        <f>IFERROR(__xludf.DUMMYFUNCTION("""COMPUTED_VALUE"""),2.7939019E7)</f>
        <v>27939019</v>
      </c>
    </row>
    <row r="5026">
      <c r="A5026" s="3">
        <f>IFERROR(__xludf.DUMMYFUNCTION("""COMPUTED_VALUE"""),43951.64583333333)</f>
        <v>43951.64583</v>
      </c>
      <c r="B5026" s="2">
        <f>IFERROR(__xludf.DUMMYFUNCTION("""COMPUTED_VALUE"""),1001.4)</f>
        <v>1001.4</v>
      </c>
      <c r="C5026" s="2">
        <f>IFERROR(__xludf.DUMMYFUNCTION("""COMPUTED_VALUE"""),1019.0)</f>
        <v>1019</v>
      </c>
      <c r="D5026" s="2">
        <f>IFERROR(__xludf.DUMMYFUNCTION("""COMPUTED_VALUE"""),992.1)</f>
        <v>992.1</v>
      </c>
      <c r="E5026" s="2">
        <f>IFERROR(__xludf.DUMMYFUNCTION("""COMPUTED_VALUE"""),1001.8)</f>
        <v>1001.8</v>
      </c>
      <c r="F5026" s="2">
        <f>IFERROR(__xludf.DUMMYFUNCTION("""COMPUTED_VALUE"""),2.1897643E7)</f>
        <v>21897643</v>
      </c>
    </row>
    <row r="5027">
      <c r="A5027" s="3">
        <f>IFERROR(__xludf.DUMMYFUNCTION("""COMPUTED_VALUE"""),43955.64583333333)</f>
        <v>43955.64583</v>
      </c>
      <c r="B5027" s="2">
        <f>IFERROR(__xludf.DUMMYFUNCTION("""COMPUTED_VALUE"""),957.5)</f>
        <v>957.5</v>
      </c>
      <c r="C5027" s="2">
        <f>IFERROR(__xludf.DUMMYFUNCTION("""COMPUTED_VALUE"""),960.0)</f>
        <v>960</v>
      </c>
      <c r="D5027" s="2">
        <f>IFERROR(__xludf.DUMMYFUNCTION("""COMPUTED_VALUE"""),917.5)</f>
        <v>917.5</v>
      </c>
      <c r="E5027" s="2">
        <f>IFERROR(__xludf.DUMMYFUNCTION("""COMPUTED_VALUE"""),923.0)</f>
        <v>923</v>
      </c>
      <c r="F5027" s="2">
        <f>IFERROR(__xludf.DUMMYFUNCTION("""COMPUTED_VALUE"""),1.3361177E7)</f>
        <v>13361177</v>
      </c>
    </row>
    <row r="5028">
      <c r="A5028" s="3">
        <f>IFERROR(__xludf.DUMMYFUNCTION("""COMPUTED_VALUE"""),43956.64583333333)</f>
        <v>43956.64583</v>
      </c>
      <c r="B5028" s="2">
        <f>IFERROR(__xludf.DUMMYFUNCTION("""COMPUTED_VALUE"""),938.0)</f>
        <v>938</v>
      </c>
      <c r="C5028" s="2">
        <f>IFERROR(__xludf.DUMMYFUNCTION("""COMPUTED_VALUE"""),944.0)</f>
        <v>944</v>
      </c>
      <c r="D5028" s="2">
        <f>IFERROR(__xludf.DUMMYFUNCTION("""COMPUTED_VALUE"""),908.05)</f>
        <v>908.05</v>
      </c>
      <c r="E5028" s="2">
        <f>IFERROR(__xludf.DUMMYFUNCTION("""COMPUTED_VALUE"""),911.45)</f>
        <v>911.45</v>
      </c>
      <c r="F5028" s="2">
        <f>IFERROR(__xludf.DUMMYFUNCTION("""COMPUTED_VALUE"""),1.483719E7)</f>
        <v>14837190</v>
      </c>
    </row>
    <row r="5029">
      <c r="A5029" s="3">
        <f>IFERROR(__xludf.DUMMYFUNCTION("""COMPUTED_VALUE"""),43957.64583333333)</f>
        <v>43957.64583</v>
      </c>
      <c r="B5029" s="2">
        <f>IFERROR(__xludf.DUMMYFUNCTION("""COMPUTED_VALUE"""),919.0)</f>
        <v>919</v>
      </c>
      <c r="C5029" s="2">
        <f>IFERROR(__xludf.DUMMYFUNCTION("""COMPUTED_VALUE"""),950.0)</f>
        <v>950</v>
      </c>
      <c r="D5029" s="2">
        <f>IFERROR(__xludf.DUMMYFUNCTION("""COMPUTED_VALUE"""),905.65)</f>
        <v>905.65</v>
      </c>
      <c r="E5029" s="2">
        <f>IFERROR(__xludf.DUMMYFUNCTION("""COMPUTED_VALUE"""),946.4)</f>
        <v>946.4</v>
      </c>
      <c r="F5029" s="2">
        <f>IFERROR(__xludf.DUMMYFUNCTION("""COMPUTED_VALUE"""),1.689314E7)</f>
        <v>16893140</v>
      </c>
    </row>
    <row r="5030">
      <c r="A5030" s="3">
        <f>IFERROR(__xludf.DUMMYFUNCTION("""COMPUTED_VALUE"""),43958.64583333333)</f>
        <v>43958.64583</v>
      </c>
      <c r="B5030" s="2">
        <f>IFERROR(__xludf.DUMMYFUNCTION("""COMPUTED_VALUE"""),940.5)</f>
        <v>940.5</v>
      </c>
      <c r="C5030" s="2">
        <f>IFERROR(__xludf.DUMMYFUNCTION("""COMPUTED_VALUE"""),943.3)</f>
        <v>943.3</v>
      </c>
      <c r="D5030" s="2">
        <f>IFERROR(__xludf.DUMMYFUNCTION("""COMPUTED_VALUE"""),921.35)</f>
        <v>921.35</v>
      </c>
      <c r="E5030" s="2">
        <f>IFERROR(__xludf.DUMMYFUNCTION("""COMPUTED_VALUE"""),925.0)</f>
        <v>925</v>
      </c>
      <c r="F5030" s="2">
        <f>IFERROR(__xludf.DUMMYFUNCTION("""COMPUTED_VALUE"""),1.0916003E7)</f>
        <v>10916003</v>
      </c>
    </row>
    <row r="5031">
      <c r="A5031" s="3">
        <f>IFERROR(__xludf.DUMMYFUNCTION("""COMPUTED_VALUE"""),43959.64583333333)</f>
        <v>43959.64583</v>
      </c>
      <c r="B5031" s="2">
        <f>IFERROR(__xludf.DUMMYFUNCTION("""COMPUTED_VALUE"""),942.0)</f>
        <v>942</v>
      </c>
      <c r="C5031" s="2">
        <f>IFERROR(__xludf.DUMMYFUNCTION("""COMPUTED_VALUE"""),943.95)</f>
        <v>943.95</v>
      </c>
      <c r="D5031" s="2">
        <f>IFERROR(__xludf.DUMMYFUNCTION("""COMPUTED_VALUE"""),925.2)</f>
        <v>925.2</v>
      </c>
      <c r="E5031" s="2">
        <f>IFERROR(__xludf.DUMMYFUNCTION("""COMPUTED_VALUE"""),929.05)</f>
        <v>929.05</v>
      </c>
      <c r="F5031" s="2">
        <f>IFERROR(__xludf.DUMMYFUNCTION("""COMPUTED_VALUE"""),1.0403747E7)</f>
        <v>10403747</v>
      </c>
    </row>
    <row r="5032">
      <c r="A5032" s="3">
        <f>IFERROR(__xludf.DUMMYFUNCTION("""COMPUTED_VALUE"""),43962.64583333333)</f>
        <v>43962.64583</v>
      </c>
      <c r="B5032" s="2">
        <f>IFERROR(__xludf.DUMMYFUNCTION("""COMPUTED_VALUE"""),937.0)</f>
        <v>937</v>
      </c>
      <c r="C5032" s="2">
        <f>IFERROR(__xludf.DUMMYFUNCTION("""COMPUTED_VALUE"""),954.0)</f>
        <v>954</v>
      </c>
      <c r="D5032" s="2">
        <f>IFERROR(__xludf.DUMMYFUNCTION("""COMPUTED_VALUE"""),914.0)</f>
        <v>914</v>
      </c>
      <c r="E5032" s="2">
        <f>IFERROR(__xludf.DUMMYFUNCTION("""COMPUTED_VALUE"""),915.8)</f>
        <v>915.8</v>
      </c>
      <c r="F5032" s="2">
        <f>IFERROR(__xludf.DUMMYFUNCTION("""COMPUTED_VALUE"""),1.4275392E7)</f>
        <v>14275392</v>
      </c>
    </row>
    <row r="5033">
      <c r="A5033" s="3">
        <f>IFERROR(__xludf.DUMMYFUNCTION("""COMPUTED_VALUE"""),43963.64583333333)</f>
        <v>43963.64583</v>
      </c>
      <c r="B5033" s="2">
        <f>IFERROR(__xludf.DUMMYFUNCTION("""COMPUTED_VALUE"""),901.0)</f>
        <v>901</v>
      </c>
      <c r="C5033" s="2">
        <f>IFERROR(__xludf.DUMMYFUNCTION("""COMPUTED_VALUE"""),909.4)</f>
        <v>909.4</v>
      </c>
      <c r="D5033" s="2">
        <f>IFERROR(__xludf.DUMMYFUNCTION("""COMPUTED_VALUE"""),871.1)</f>
        <v>871.1</v>
      </c>
      <c r="E5033" s="2">
        <f>IFERROR(__xludf.DUMMYFUNCTION("""COMPUTED_VALUE"""),901.55)</f>
        <v>901.55</v>
      </c>
      <c r="F5033" s="2">
        <f>IFERROR(__xludf.DUMMYFUNCTION("""COMPUTED_VALUE"""),2.4784324E7)</f>
        <v>24784324</v>
      </c>
    </row>
    <row r="5034">
      <c r="A5034" s="3">
        <f>IFERROR(__xludf.DUMMYFUNCTION("""COMPUTED_VALUE"""),43964.64583333333)</f>
        <v>43964.64583</v>
      </c>
      <c r="B5034" s="2">
        <f>IFERROR(__xludf.DUMMYFUNCTION("""COMPUTED_VALUE"""),951.0)</f>
        <v>951</v>
      </c>
      <c r="C5034" s="2">
        <f>IFERROR(__xludf.DUMMYFUNCTION("""COMPUTED_VALUE"""),960.0)</f>
        <v>960</v>
      </c>
      <c r="D5034" s="2">
        <f>IFERROR(__xludf.DUMMYFUNCTION("""COMPUTED_VALUE"""),922.1)</f>
        <v>922.1</v>
      </c>
      <c r="E5034" s="2">
        <f>IFERROR(__xludf.DUMMYFUNCTION("""COMPUTED_VALUE"""),927.65)</f>
        <v>927.65</v>
      </c>
      <c r="F5034" s="2">
        <f>IFERROR(__xludf.DUMMYFUNCTION("""COMPUTED_VALUE"""),2.2173554E7)</f>
        <v>22173554</v>
      </c>
    </row>
    <row r="5035">
      <c r="A5035" s="3">
        <f>IFERROR(__xludf.DUMMYFUNCTION("""COMPUTED_VALUE"""),43965.64583333333)</f>
        <v>43965.64583</v>
      </c>
      <c r="B5035" s="2">
        <f>IFERROR(__xludf.DUMMYFUNCTION("""COMPUTED_VALUE"""),898.0)</f>
        <v>898</v>
      </c>
      <c r="C5035" s="2">
        <f>IFERROR(__xludf.DUMMYFUNCTION("""COMPUTED_VALUE"""),911.0)</f>
        <v>911</v>
      </c>
      <c r="D5035" s="2">
        <f>IFERROR(__xludf.DUMMYFUNCTION("""COMPUTED_VALUE"""),890.0)</f>
        <v>890</v>
      </c>
      <c r="E5035" s="2">
        <f>IFERROR(__xludf.DUMMYFUNCTION("""COMPUTED_VALUE"""),893.7)</f>
        <v>893.7</v>
      </c>
      <c r="F5035" s="2">
        <f>IFERROR(__xludf.DUMMYFUNCTION("""COMPUTED_VALUE"""),1.9777445E7)</f>
        <v>19777445</v>
      </c>
    </row>
    <row r="5036">
      <c r="A5036" s="3">
        <f>IFERROR(__xludf.DUMMYFUNCTION("""COMPUTED_VALUE"""),43966.64583333333)</f>
        <v>43966.64583</v>
      </c>
      <c r="B5036" s="2">
        <f>IFERROR(__xludf.DUMMYFUNCTION("""COMPUTED_VALUE"""),890.5)</f>
        <v>890.5</v>
      </c>
      <c r="C5036" s="2">
        <f>IFERROR(__xludf.DUMMYFUNCTION("""COMPUTED_VALUE"""),892.4)</f>
        <v>892.4</v>
      </c>
      <c r="D5036" s="2">
        <f>IFERROR(__xludf.DUMMYFUNCTION("""COMPUTED_VALUE"""),875.0)</f>
        <v>875</v>
      </c>
      <c r="E5036" s="2">
        <f>IFERROR(__xludf.DUMMYFUNCTION("""COMPUTED_VALUE"""),888.15)</f>
        <v>888.15</v>
      </c>
      <c r="F5036" s="2">
        <f>IFERROR(__xludf.DUMMYFUNCTION("""COMPUTED_VALUE"""),1.217487E7)</f>
        <v>12174870</v>
      </c>
    </row>
    <row r="5037">
      <c r="A5037" s="3">
        <f>IFERROR(__xludf.DUMMYFUNCTION("""COMPUTED_VALUE"""),43969.64583333333)</f>
        <v>43969.64583</v>
      </c>
      <c r="B5037" s="2">
        <f>IFERROR(__xludf.DUMMYFUNCTION("""COMPUTED_VALUE"""),888.0)</f>
        <v>888</v>
      </c>
      <c r="C5037" s="2">
        <f>IFERROR(__xludf.DUMMYFUNCTION("""COMPUTED_VALUE"""),888.0)</f>
        <v>888</v>
      </c>
      <c r="D5037" s="2">
        <f>IFERROR(__xludf.DUMMYFUNCTION("""COMPUTED_VALUE"""),831.3)</f>
        <v>831.3</v>
      </c>
      <c r="E5037" s="2">
        <f>IFERROR(__xludf.DUMMYFUNCTION("""COMPUTED_VALUE"""),836.65)</f>
        <v>836.65</v>
      </c>
      <c r="F5037" s="2">
        <f>IFERROR(__xludf.DUMMYFUNCTION("""COMPUTED_VALUE"""),2.3326656E7)</f>
        <v>23326656</v>
      </c>
    </row>
    <row r="5038">
      <c r="A5038" s="3">
        <f>IFERROR(__xludf.DUMMYFUNCTION("""COMPUTED_VALUE"""),43970.64583333333)</f>
        <v>43970.64583</v>
      </c>
      <c r="B5038" s="2">
        <f>IFERROR(__xludf.DUMMYFUNCTION("""COMPUTED_VALUE"""),860.85)</f>
        <v>860.85</v>
      </c>
      <c r="C5038" s="2">
        <f>IFERROR(__xludf.DUMMYFUNCTION("""COMPUTED_VALUE"""),867.3)</f>
        <v>867.3</v>
      </c>
      <c r="D5038" s="2">
        <f>IFERROR(__xludf.DUMMYFUNCTION("""COMPUTED_VALUE"""),826.1)</f>
        <v>826.1</v>
      </c>
      <c r="E5038" s="2">
        <f>IFERROR(__xludf.DUMMYFUNCTION("""COMPUTED_VALUE"""),830.65)</f>
        <v>830.65</v>
      </c>
      <c r="F5038" s="2">
        <f>IFERROR(__xludf.DUMMYFUNCTION("""COMPUTED_VALUE"""),2.3730561E7)</f>
        <v>23730561</v>
      </c>
    </row>
    <row r="5039">
      <c r="A5039" s="3">
        <f>IFERROR(__xludf.DUMMYFUNCTION("""COMPUTED_VALUE"""),43971.64583333333)</f>
        <v>43971.64583</v>
      </c>
      <c r="B5039" s="2">
        <f>IFERROR(__xludf.DUMMYFUNCTION("""COMPUTED_VALUE"""),836.45)</f>
        <v>836.45</v>
      </c>
      <c r="C5039" s="2">
        <f>IFERROR(__xludf.DUMMYFUNCTION("""COMPUTED_VALUE"""),864.0)</f>
        <v>864</v>
      </c>
      <c r="D5039" s="2">
        <f>IFERROR(__xludf.DUMMYFUNCTION("""COMPUTED_VALUE"""),832.2)</f>
        <v>832.2</v>
      </c>
      <c r="E5039" s="2">
        <f>IFERROR(__xludf.DUMMYFUNCTION("""COMPUTED_VALUE"""),857.1)</f>
        <v>857.1</v>
      </c>
      <c r="F5039" s="2">
        <f>IFERROR(__xludf.DUMMYFUNCTION("""COMPUTED_VALUE"""),2.0007413E7)</f>
        <v>20007413</v>
      </c>
    </row>
    <row r="5040">
      <c r="A5040" s="3">
        <f>IFERROR(__xludf.DUMMYFUNCTION("""COMPUTED_VALUE"""),43972.64583333333)</f>
        <v>43972.64583</v>
      </c>
      <c r="B5040" s="2">
        <f>IFERROR(__xludf.DUMMYFUNCTION("""COMPUTED_VALUE"""),861.45)</f>
        <v>861.45</v>
      </c>
      <c r="C5040" s="2">
        <f>IFERROR(__xludf.DUMMYFUNCTION("""COMPUTED_VALUE"""),884.0)</f>
        <v>884</v>
      </c>
      <c r="D5040" s="2">
        <f>IFERROR(__xludf.DUMMYFUNCTION("""COMPUTED_VALUE"""),852.3)</f>
        <v>852.3</v>
      </c>
      <c r="E5040" s="2">
        <f>IFERROR(__xludf.DUMMYFUNCTION("""COMPUTED_VALUE"""),859.55)</f>
        <v>859.55</v>
      </c>
      <c r="F5040" s="2">
        <f>IFERROR(__xludf.DUMMYFUNCTION("""COMPUTED_VALUE"""),2.4239683E7)</f>
        <v>24239683</v>
      </c>
    </row>
    <row r="5041">
      <c r="A5041" s="3">
        <f>IFERROR(__xludf.DUMMYFUNCTION("""COMPUTED_VALUE"""),43973.64583333333)</f>
        <v>43973.64583</v>
      </c>
      <c r="B5041" s="2">
        <f>IFERROR(__xludf.DUMMYFUNCTION("""COMPUTED_VALUE"""),850.0)</f>
        <v>850</v>
      </c>
      <c r="C5041" s="2">
        <f>IFERROR(__xludf.DUMMYFUNCTION("""COMPUTED_VALUE"""),870.3)</f>
        <v>870.3</v>
      </c>
      <c r="D5041" s="2">
        <f>IFERROR(__xludf.DUMMYFUNCTION("""COMPUTED_VALUE"""),833.05)</f>
        <v>833.05</v>
      </c>
      <c r="E5041" s="2">
        <f>IFERROR(__xludf.DUMMYFUNCTION("""COMPUTED_VALUE"""),838.85)</f>
        <v>838.85</v>
      </c>
      <c r="F5041" s="2">
        <f>IFERROR(__xludf.DUMMYFUNCTION("""COMPUTED_VALUE"""),2.1025849E7)</f>
        <v>21025849</v>
      </c>
    </row>
    <row r="5042">
      <c r="A5042" s="3">
        <f>IFERROR(__xludf.DUMMYFUNCTION("""COMPUTED_VALUE"""),43977.64583333333)</f>
        <v>43977.64583</v>
      </c>
      <c r="B5042" s="2">
        <f>IFERROR(__xludf.DUMMYFUNCTION("""COMPUTED_VALUE"""),857.0)</f>
        <v>857</v>
      </c>
      <c r="C5042" s="2">
        <f>IFERROR(__xludf.DUMMYFUNCTION("""COMPUTED_VALUE"""),871.75)</f>
        <v>871.75</v>
      </c>
      <c r="D5042" s="2">
        <f>IFERROR(__xludf.DUMMYFUNCTION("""COMPUTED_VALUE"""),848.75)</f>
        <v>848.75</v>
      </c>
      <c r="E5042" s="2">
        <f>IFERROR(__xludf.DUMMYFUNCTION("""COMPUTED_VALUE"""),852.4)</f>
        <v>852.4</v>
      </c>
      <c r="F5042" s="2">
        <f>IFERROR(__xludf.DUMMYFUNCTION("""COMPUTED_VALUE"""),1.9002589E7)</f>
        <v>19002589</v>
      </c>
    </row>
    <row r="5043">
      <c r="A5043" s="3">
        <f>IFERROR(__xludf.DUMMYFUNCTION("""COMPUTED_VALUE"""),43978.64583333333)</f>
        <v>43978.64583</v>
      </c>
      <c r="B5043" s="2">
        <f>IFERROR(__xludf.DUMMYFUNCTION("""COMPUTED_VALUE"""),859.9)</f>
        <v>859.9</v>
      </c>
      <c r="C5043" s="2">
        <f>IFERROR(__xludf.DUMMYFUNCTION("""COMPUTED_VALUE"""),909.8)</f>
        <v>909.8</v>
      </c>
      <c r="D5043" s="2">
        <f>IFERROR(__xludf.DUMMYFUNCTION("""COMPUTED_VALUE"""),857.15)</f>
        <v>857.15</v>
      </c>
      <c r="E5043" s="2">
        <f>IFERROR(__xludf.DUMMYFUNCTION("""COMPUTED_VALUE"""),903.65)</f>
        <v>903.65</v>
      </c>
      <c r="F5043" s="2">
        <f>IFERROR(__xludf.DUMMYFUNCTION("""COMPUTED_VALUE"""),2.8013227E7)</f>
        <v>28013227</v>
      </c>
    </row>
    <row r="5044">
      <c r="A5044" s="3">
        <f>IFERROR(__xludf.DUMMYFUNCTION("""COMPUTED_VALUE"""),43979.64583333333)</f>
        <v>43979.64583</v>
      </c>
      <c r="B5044" s="2">
        <f>IFERROR(__xludf.DUMMYFUNCTION("""COMPUTED_VALUE"""),920.0)</f>
        <v>920</v>
      </c>
      <c r="C5044" s="2">
        <f>IFERROR(__xludf.DUMMYFUNCTION("""COMPUTED_VALUE"""),950.0)</f>
        <v>950</v>
      </c>
      <c r="D5044" s="2">
        <f>IFERROR(__xludf.DUMMYFUNCTION("""COMPUTED_VALUE"""),913.95)</f>
        <v>913.95</v>
      </c>
      <c r="E5044" s="2">
        <f>IFERROR(__xludf.DUMMYFUNCTION("""COMPUTED_VALUE"""),945.25)</f>
        <v>945.25</v>
      </c>
      <c r="F5044" s="2">
        <f>IFERROR(__xludf.DUMMYFUNCTION("""COMPUTED_VALUE"""),3.7744926E7)</f>
        <v>37744926</v>
      </c>
    </row>
    <row r="5045">
      <c r="A5045" s="3">
        <f>IFERROR(__xludf.DUMMYFUNCTION("""COMPUTED_VALUE"""),43980.64583333333)</f>
        <v>43980.64583</v>
      </c>
      <c r="B5045" s="2">
        <f>IFERROR(__xludf.DUMMYFUNCTION("""COMPUTED_VALUE"""),944.0)</f>
        <v>944</v>
      </c>
      <c r="C5045" s="2">
        <f>IFERROR(__xludf.DUMMYFUNCTION("""COMPUTED_VALUE"""),955.0)</f>
        <v>955</v>
      </c>
      <c r="D5045" s="2">
        <f>IFERROR(__xludf.DUMMYFUNCTION("""COMPUTED_VALUE"""),923.45)</f>
        <v>923.45</v>
      </c>
      <c r="E5045" s="2">
        <f>IFERROR(__xludf.DUMMYFUNCTION("""COMPUTED_VALUE"""),951.65)</f>
        <v>951.65</v>
      </c>
      <c r="F5045" s="2">
        <f>IFERROR(__xludf.DUMMYFUNCTION("""COMPUTED_VALUE"""),2.65126E7)</f>
        <v>26512600</v>
      </c>
    </row>
    <row r="5046">
      <c r="A5046" s="3">
        <f>IFERROR(__xludf.DUMMYFUNCTION("""COMPUTED_VALUE"""),43983.64583333333)</f>
        <v>43983.64583</v>
      </c>
      <c r="B5046" s="2">
        <f>IFERROR(__xludf.DUMMYFUNCTION("""COMPUTED_VALUE"""),975.0)</f>
        <v>975</v>
      </c>
      <c r="C5046" s="2">
        <f>IFERROR(__xludf.DUMMYFUNCTION("""COMPUTED_VALUE"""),995.0)</f>
        <v>995</v>
      </c>
      <c r="D5046" s="2">
        <f>IFERROR(__xludf.DUMMYFUNCTION("""COMPUTED_VALUE"""),966.1)</f>
        <v>966.1</v>
      </c>
      <c r="E5046" s="2">
        <f>IFERROR(__xludf.DUMMYFUNCTION("""COMPUTED_VALUE"""),987.65)</f>
        <v>987.65</v>
      </c>
      <c r="F5046" s="2">
        <f>IFERROR(__xludf.DUMMYFUNCTION("""COMPUTED_VALUE"""),1.9595373E7)</f>
        <v>19595373</v>
      </c>
    </row>
    <row r="5047">
      <c r="A5047" s="3">
        <f>IFERROR(__xludf.DUMMYFUNCTION("""COMPUTED_VALUE"""),43984.64583333333)</f>
        <v>43984.64583</v>
      </c>
      <c r="B5047" s="2">
        <f>IFERROR(__xludf.DUMMYFUNCTION("""COMPUTED_VALUE"""),986.7)</f>
        <v>986.7</v>
      </c>
      <c r="C5047" s="2">
        <f>IFERROR(__xludf.DUMMYFUNCTION("""COMPUTED_VALUE"""),1005.0)</f>
        <v>1005</v>
      </c>
      <c r="D5047" s="2">
        <f>IFERROR(__xludf.DUMMYFUNCTION("""COMPUTED_VALUE"""),975.2)</f>
        <v>975.2</v>
      </c>
      <c r="E5047" s="2">
        <f>IFERROR(__xludf.DUMMYFUNCTION("""COMPUTED_VALUE"""),1001.0)</f>
        <v>1001</v>
      </c>
      <c r="F5047" s="2">
        <f>IFERROR(__xludf.DUMMYFUNCTION("""COMPUTED_VALUE"""),2.0811909E7)</f>
        <v>20811909</v>
      </c>
    </row>
    <row r="5048">
      <c r="A5048" s="3">
        <f>IFERROR(__xludf.DUMMYFUNCTION("""COMPUTED_VALUE"""),43985.64583333333)</f>
        <v>43985.64583</v>
      </c>
      <c r="B5048" s="2">
        <f>IFERROR(__xludf.DUMMYFUNCTION("""COMPUTED_VALUE"""),1020.0)</f>
        <v>1020</v>
      </c>
      <c r="C5048" s="2">
        <f>IFERROR(__xludf.DUMMYFUNCTION("""COMPUTED_VALUE"""),1046.25)</f>
        <v>1046.25</v>
      </c>
      <c r="D5048" s="2">
        <f>IFERROR(__xludf.DUMMYFUNCTION("""COMPUTED_VALUE"""),1015.45)</f>
        <v>1015.45</v>
      </c>
      <c r="E5048" s="2">
        <f>IFERROR(__xludf.DUMMYFUNCTION("""COMPUTED_VALUE"""),1022.25)</f>
        <v>1022.25</v>
      </c>
      <c r="F5048" s="2">
        <f>IFERROR(__xludf.DUMMYFUNCTION("""COMPUTED_VALUE"""),2.5273067E7)</f>
        <v>25273067</v>
      </c>
    </row>
    <row r="5049">
      <c r="A5049" s="3">
        <f>IFERROR(__xludf.DUMMYFUNCTION("""COMPUTED_VALUE"""),43986.64583333333)</f>
        <v>43986.64583</v>
      </c>
      <c r="B5049" s="2">
        <f>IFERROR(__xludf.DUMMYFUNCTION("""COMPUTED_VALUE"""),1028.05)</f>
        <v>1028.05</v>
      </c>
      <c r="C5049" s="2">
        <f>IFERROR(__xludf.DUMMYFUNCTION("""COMPUTED_VALUE"""),1038.95)</f>
        <v>1038.95</v>
      </c>
      <c r="D5049" s="2">
        <f>IFERROR(__xludf.DUMMYFUNCTION("""COMPUTED_VALUE"""),991.1)</f>
        <v>991.1</v>
      </c>
      <c r="E5049" s="2">
        <f>IFERROR(__xludf.DUMMYFUNCTION("""COMPUTED_VALUE"""),1001.7)</f>
        <v>1001.7</v>
      </c>
      <c r="F5049" s="2">
        <f>IFERROR(__xludf.DUMMYFUNCTION("""COMPUTED_VALUE"""),2.7139478E7)</f>
        <v>27139478</v>
      </c>
    </row>
    <row r="5050">
      <c r="A5050" s="3">
        <f>IFERROR(__xludf.DUMMYFUNCTION("""COMPUTED_VALUE"""),43987.64583333333)</f>
        <v>43987.64583</v>
      </c>
      <c r="B5050" s="2">
        <f>IFERROR(__xludf.DUMMYFUNCTION("""COMPUTED_VALUE"""),1003.1)</f>
        <v>1003.1</v>
      </c>
      <c r="C5050" s="2">
        <f>IFERROR(__xludf.DUMMYFUNCTION("""COMPUTED_VALUE"""),1042.4)</f>
        <v>1042.4</v>
      </c>
      <c r="D5050" s="2">
        <f>IFERROR(__xludf.DUMMYFUNCTION("""COMPUTED_VALUE"""),1002.8)</f>
        <v>1002.8</v>
      </c>
      <c r="E5050" s="2">
        <f>IFERROR(__xludf.DUMMYFUNCTION("""COMPUTED_VALUE"""),1033.35)</f>
        <v>1033.35</v>
      </c>
      <c r="F5050" s="2">
        <f>IFERROR(__xludf.DUMMYFUNCTION("""COMPUTED_VALUE"""),1.7598103E7)</f>
        <v>17598103</v>
      </c>
    </row>
    <row r="5051">
      <c r="A5051" s="3">
        <f>IFERROR(__xludf.DUMMYFUNCTION("""COMPUTED_VALUE"""),43990.64583333333)</f>
        <v>43990.64583</v>
      </c>
      <c r="B5051" s="2">
        <f>IFERROR(__xludf.DUMMYFUNCTION("""COMPUTED_VALUE"""),1060.0)</f>
        <v>1060</v>
      </c>
      <c r="C5051" s="2">
        <f>IFERROR(__xludf.DUMMYFUNCTION("""COMPUTED_VALUE"""),1066.65)</f>
        <v>1066.65</v>
      </c>
      <c r="D5051" s="2">
        <f>IFERROR(__xludf.DUMMYFUNCTION("""COMPUTED_VALUE"""),1006.4)</f>
        <v>1006.4</v>
      </c>
      <c r="E5051" s="2">
        <f>IFERROR(__xludf.DUMMYFUNCTION("""COMPUTED_VALUE"""),1015.9)</f>
        <v>1015.9</v>
      </c>
      <c r="F5051" s="2">
        <f>IFERROR(__xludf.DUMMYFUNCTION("""COMPUTED_VALUE"""),2.4906362E7)</f>
        <v>24906362</v>
      </c>
    </row>
    <row r="5052">
      <c r="A5052" s="3">
        <f>IFERROR(__xludf.DUMMYFUNCTION("""COMPUTED_VALUE"""),43991.64583333333)</f>
        <v>43991.64583</v>
      </c>
      <c r="B5052" s="2">
        <f>IFERROR(__xludf.DUMMYFUNCTION("""COMPUTED_VALUE"""),1020.0)</f>
        <v>1020</v>
      </c>
      <c r="C5052" s="2">
        <f>IFERROR(__xludf.DUMMYFUNCTION("""COMPUTED_VALUE"""),1026.75)</f>
        <v>1026.75</v>
      </c>
      <c r="D5052" s="2">
        <f>IFERROR(__xludf.DUMMYFUNCTION("""COMPUTED_VALUE"""),979.55)</f>
        <v>979.55</v>
      </c>
      <c r="E5052" s="2">
        <f>IFERROR(__xludf.DUMMYFUNCTION("""COMPUTED_VALUE"""),987.3)</f>
        <v>987.3</v>
      </c>
      <c r="F5052" s="2">
        <f>IFERROR(__xludf.DUMMYFUNCTION("""COMPUTED_VALUE"""),3.0922894E7)</f>
        <v>30922894</v>
      </c>
    </row>
    <row r="5053">
      <c r="A5053" s="3">
        <f>IFERROR(__xludf.DUMMYFUNCTION("""COMPUTED_VALUE"""),43992.64583333333)</f>
        <v>43992.64583</v>
      </c>
      <c r="B5053" s="2">
        <f>IFERROR(__xludf.DUMMYFUNCTION("""COMPUTED_VALUE"""),990.0)</f>
        <v>990</v>
      </c>
      <c r="C5053" s="2">
        <f>IFERROR(__xludf.DUMMYFUNCTION("""COMPUTED_VALUE"""),999.85)</f>
        <v>999.85</v>
      </c>
      <c r="D5053" s="2">
        <f>IFERROR(__xludf.DUMMYFUNCTION("""COMPUTED_VALUE"""),978.2)</f>
        <v>978.2</v>
      </c>
      <c r="E5053" s="2">
        <f>IFERROR(__xludf.DUMMYFUNCTION("""COMPUTED_VALUE"""),991.85)</f>
        <v>991.85</v>
      </c>
      <c r="F5053" s="2">
        <f>IFERROR(__xludf.DUMMYFUNCTION("""COMPUTED_VALUE"""),1.824888E7)</f>
        <v>18248880</v>
      </c>
    </row>
    <row r="5054">
      <c r="A5054" s="3">
        <f>IFERROR(__xludf.DUMMYFUNCTION("""COMPUTED_VALUE"""),43993.64583333333)</f>
        <v>43993.64583</v>
      </c>
      <c r="B5054" s="2">
        <f>IFERROR(__xludf.DUMMYFUNCTION("""COMPUTED_VALUE"""),985.0)</f>
        <v>985</v>
      </c>
      <c r="C5054" s="2">
        <f>IFERROR(__xludf.DUMMYFUNCTION("""COMPUTED_VALUE"""),988.4)</f>
        <v>988.4</v>
      </c>
      <c r="D5054" s="2">
        <f>IFERROR(__xludf.DUMMYFUNCTION("""COMPUTED_VALUE"""),965.0)</f>
        <v>965</v>
      </c>
      <c r="E5054" s="2">
        <f>IFERROR(__xludf.DUMMYFUNCTION("""COMPUTED_VALUE"""),968.6)</f>
        <v>968.6</v>
      </c>
      <c r="F5054" s="2">
        <f>IFERROR(__xludf.DUMMYFUNCTION("""COMPUTED_VALUE"""),1.5449142E7)</f>
        <v>15449142</v>
      </c>
    </row>
    <row r="5055">
      <c r="A5055" s="3">
        <f>IFERROR(__xludf.DUMMYFUNCTION("""COMPUTED_VALUE"""),43994.64583333333)</f>
        <v>43994.64583</v>
      </c>
      <c r="B5055" s="2">
        <f>IFERROR(__xludf.DUMMYFUNCTION("""COMPUTED_VALUE"""),928.0)</f>
        <v>928</v>
      </c>
      <c r="C5055" s="2">
        <f>IFERROR(__xludf.DUMMYFUNCTION("""COMPUTED_VALUE"""),986.65)</f>
        <v>986.65</v>
      </c>
      <c r="D5055" s="2">
        <f>IFERROR(__xludf.DUMMYFUNCTION("""COMPUTED_VALUE"""),928.0)</f>
        <v>928</v>
      </c>
      <c r="E5055" s="2">
        <f>IFERROR(__xludf.DUMMYFUNCTION("""COMPUTED_VALUE"""),982.75)</f>
        <v>982.75</v>
      </c>
      <c r="F5055" s="2">
        <f>IFERROR(__xludf.DUMMYFUNCTION("""COMPUTED_VALUE"""),2.132288E7)</f>
        <v>21322880</v>
      </c>
    </row>
    <row r="5056">
      <c r="A5056" s="3">
        <f>IFERROR(__xludf.DUMMYFUNCTION("""COMPUTED_VALUE"""),43997.64583333333)</f>
        <v>43997.64583</v>
      </c>
      <c r="B5056" s="2">
        <f>IFERROR(__xludf.DUMMYFUNCTION("""COMPUTED_VALUE"""),968.0)</f>
        <v>968</v>
      </c>
      <c r="C5056" s="2">
        <f>IFERROR(__xludf.DUMMYFUNCTION("""COMPUTED_VALUE"""),974.0)</f>
        <v>974</v>
      </c>
      <c r="D5056" s="2">
        <f>IFERROR(__xludf.DUMMYFUNCTION("""COMPUTED_VALUE"""),943.0)</f>
        <v>943</v>
      </c>
      <c r="E5056" s="2">
        <f>IFERROR(__xludf.DUMMYFUNCTION("""COMPUTED_VALUE"""),949.85)</f>
        <v>949.85</v>
      </c>
      <c r="F5056" s="2">
        <f>IFERROR(__xludf.DUMMYFUNCTION("""COMPUTED_VALUE"""),1.6004973E7)</f>
        <v>16004973</v>
      </c>
    </row>
    <row r="5057">
      <c r="A5057" s="3">
        <f>IFERROR(__xludf.DUMMYFUNCTION("""COMPUTED_VALUE"""),43998.64583333333)</f>
        <v>43998.64583</v>
      </c>
      <c r="B5057" s="2">
        <f>IFERROR(__xludf.DUMMYFUNCTION("""COMPUTED_VALUE"""),975.0)</f>
        <v>975</v>
      </c>
      <c r="C5057" s="2">
        <f>IFERROR(__xludf.DUMMYFUNCTION("""COMPUTED_VALUE"""),993.95)</f>
        <v>993.95</v>
      </c>
      <c r="D5057" s="2">
        <f>IFERROR(__xludf.DUMMYFUNCTION("""COMPUTED_VALUE"""),952.0)</f>
        <v>952</v>
      </c>
      <c r="E5057" s="2">
        <f>IFERROR(__xludf.DUMMYFUNCTION("""COMPUTED_VALUE"""),990.4)</f>
        <v>990.4</v>
      </c>
      <c r="F5057" s="2">
        <f>IFERROR(__xludf.DUMMYFUNCTION("""COMPUTED_VALUE"""),2.2700113E7)</f>
        <v>22700113</v>
      </c>
    </row>
    <row r="5058">
      <c r="A5058" s="3">
        <f>IFERROR(__xludf.DUMMYFUNCTION("""COMPUTED_VALUE"""),43999.64583333333)</f>
        <v>43999.64583</v>
      </c>
      <c r="B5058" s="2">
        <f>IFERROR(__xludf.DUMMYFUNCTION("""COMPUTED_VALUE"""),989.0)</f>
        <v>989</v>
      </c>
      <c r="C5058" s="2">
        <f>IFERROR(__xludf.DUMMYFUNCTION("""COMPUTED_VALUE"""),998.9)</f>
        <v>998.9</v>
      </c>
      <c r="D5058" s="2">
        <f>IFERROR(__xludf.DUMMYFUNCTION("""COMPUTED_VALUE"""),973.25)</f>
        <v>973.25</v>
      </c>
      <c r="E5058" s="2">
        <f>IFERROR(__xludf.DUMMYFUNCTION("""COMPUTED_VALUE"""),979.25)</f>
        <v>979.25</v>
      </c>
      <c r="F5058" s="2">
        <f>IFERROR(__xludf.DUMMYFUNCTION("""COMPUTED_VALUE"""),1.8479504E7)</f>
        <v>18479504</v>
      </c>
    </row>
    <row r="5059">
      <c r="A5059" s="3">
        <f>IFERROR(__xludf.DUMMYFUNCTION("""COMPUTED_VALUE"""),44000.64583333333)</f>
        <v>44000.64583</v>
      </c>
      <c r="B5059" s="2">
        <f>IFERROR(__xludf.DUMMYFUNCTION("""COMPUTED_VALUE"""),980.0)</f>
        <v>980</v>
      </c>
      <c r="C5059" s="2">
        <f>IFERROR(__xludf.DUMMYFUNCTION("""COMPUTED_VALUE"""),1024.9)</f>
        <v>1024.9</v>
      </c>
      <c r="D5059" s="2">
        <f>IFERROR(__xludf.DUMMYFUNCTION("""COMPUTED_VALUE"""),972.0)</f>
        <v>972</v>
      </c>
      <c r="E5059" s="2">
        <f>IFERROR(__xludf.DUMMYFUNCTION("""COMPUTED_VALUE"""),1019.95)</f>
        <v>1019.95</v>
      </c>
      <c r="F5059" s="2">
        <f>IFERROR(__xludf.DUMMYFUNCTION("""COMPUTED_VALUE"""),2.0435469E7)</f>
        <v>20435469</v>
      </c>
    </row>
    <row r="5060">
      <c r="A5060" s="3">
        <f>IFERROR(__xludf.DUMMYFUNCTION("""COMPUTED_VALUE"""),44001.64583333333)</f>
        <v>44001.64583</v>
      </c>
      <c r="B5060" s="2">
        <f>IFERROR(__xludf.DUMMYFUNCTION("""COMPUTED_VALUE"""),1017.95)</f>
        <v>1017.95</v>
      </c>
      <c r="C5060" s="2">
        <f>IFERROR(__xludf.DUMMYFUNCTION("""COMPUTED_VALUE"""),1043.0)</f>
        <v>1043</v>
      </c>
      <c r="D5060" s="2">
        <f>IFERROR(__xludf.DUMMYFUNCTION("""COMPUTED_VALUE"""),1012.15)</f>
        <v>1012.15</v>
      </c>
      <c r="E5060" s="2">
        <f>IFERROR(__xludf.DUMMYFUNCTION("""COMPUTED_VALUE"""),1033.35)</f>
        <v>1033.35</v>
      </c>
      <c r="F5060" s="2">
        <f>IFERROR(__xludf.DUMMYFUNCTION("""COMPUTED_VALUE"""),2.3939324E7)</f>
        <v>23939324</v>
      </c>
    </row>
    <row r="5061">
      <c r="A5061" s="3">
        <f>IFERROR(__xludf.DUMMYFUNCTION("""COMPUTED_VALUE"""),44004.64583333333)</f>
        <v>44004.64583</v>
      </c>
      <c r="B5061" s="2">
        <f>IFERROR(__xludf.DUMMYFUNCTION("""COMPUTED_VALUE"""),1039.45)</f>
        <v>1039.45</v>
      </c>
      <c r="C5061" s="2">
        <f>IFERROR(__xludf.DUMMYFUNCTION("""COMPUTED_VALUE"""),1045.95)</f>
        <v>1045.95</v>
      </c>
      <c r="D5061" s="2">
        <f>IFERROR(__xludf.DUMMYFUNCTION("""COMPUTED_VALUE"""),1023.8)</f>
        <v>1023.8</v>
      </c>
      <c r="E5061" s="2">
        <f>IFERROR(__xludf.DUMMYFUNCTION("""COMPUTED_VALUE"""),1028.75)</f>
        <v>1028.75</v>
      </c>
      <c r="F5061" s="2">
        <f>IFERROR(__xludf.DUMMYFUNCTION("""COMPUTED_VALUE"""),1.4847321E7)</f>
        <v>14847321</v>
      </c>
    </row>
    <row r="5062">
      <c r="A5062" s="3">
        <f>IFERROR(__xludf.DUMMYFUNCTION("""COMPUTED_VALUE"""),44005.64583333333)</f>
        <v>44005.64583</v>
      </c>
      <c r="B5062" s="2">
        <f>IFERROR(__xludf.DUMMYFUNCTION("""COMPUTED_VALUE"""),1039.0)</f>
        <v>1039</v>
      </c>
      <c r="C5062" s="2">
        <f>IFERROR(__xludf.DUMMYFUNCTION("""COMPUTED_VALUE"""),1045.0)</f>
        <v>1045</v>
      </c>
      <c r="D5062" s="2">
        <f>IFERROR(__xludf.DUMMYFUNCTION("""COMPUTED_VALUE"""),1016.55)</f>
        <v>1016.55</v>
      </c>
      <c r="E5062" s="2">
        <f>IFERROR(__xludf.DUMMYFUNCTION("""COMPUTED_VALUE"""),1042.3)</f>
        <v>1042.3</v>
      </c>
      <c r="F5062" s="2">
        <f>IFERROR(__xludf.DUMMYFUNCTION("""COMPUTED_VALUE"""),1.441564E7)</f>
        <v>14415640</v>
      </c>
    </row>
    <row r="5063">
      <c r="A5063" s="3">
        <f>IFERROR(__xludf.DUMMYFUNCTION("""COMPUTED_VALUE"""),44006.64583333333)</f>
        <v>44006.64583</v>
      </c>
      <c r="B5063" s="2">
        <f>IFERROR(__xludf.DUMMYFUNCTION("""COMPUTED_VALUE"""),1048.5)</f>
        <v>1048.5</v>
      </c>
      <c r="C5063" s="2">
        <f>IFERROR(__xludf.DUMMYFUNCTION("""COMPUTED_VALUE"""),1057.5)</f>
        <v>1057.5</v>
      </c>
      <c r="D5063" s="2">
        <f>IFERROR(__xludf.DUMMYFUNCTION("""COMPUTED_VALUE"""),1030.05)</f>
        <v>1030.05</v>
      </c>
      <c r="E5063" s="2">
        <f>IFERROR(__xludf.DUMMYFUNCTION("""COMPUTED_VALUE"""),1032.5)</f>
        <v>1032.5</v>
      </c>
      <c r="F5063" s="2">
        <f>IFERROR(__xludf.DUMMYFUNCTION("""COMPUTED_VALUE"""),1.9714664E7)</f>
        <v>19714664</v>
      </c>
    </row>
    <row r="5064">
      <c r="A5064" s="3">
        <f>IFERROR(__xludf.DUMMYFUNCTION("""COMPUTED_VALUE"""),44007.64583333333)</f>
        <v>44007.64583</v>
      </c>
      <c r="B5064" s="2">
        <f>IFERROR(__xludf.DUMMYFUNCTION("""COMPUTED_VALUE"""),1021.9)</f>
        <v>1021.9</v>
      </c>
      <c r="C5064" s="2">
        <f>IFERROR(__xludf.DUMMYFUNCTION("""COMPUTED_VALUE"""),1049.0)</f>
        <v>1049</v>
      </c>
      <c r="D5064" s="2">
        <f>IFERROR(__xludf.DUMMYFUNCTION("""COMPUTED_VALUE"""),1007.0)</f>
        <v>1007</v>
      </c>
      <c r="E5064" s="2">
        <f>IFERROR(__xludf.DUMMYFUNCTION("""COMPUTED_VALUE"""),1028.75)</f>
        <v>1028.75</v>
      </c>
      <c r="F5064" s="2">
        <f>IFERROR(__xludf.DUMMYFUNCTION("""COMPUTED_VALUE"""),3.5323457E7)</f>
        <v>35323457</v>
      </c>
    </row>
    <row r="5065">
      <c r="A5065" s="3">
        <f>IFERROR(__xludf.DUMMYFUNCTION("""COMPUTED_VALUE"""),44008.64583333333)</f>
        <v>44008.64583</v>
      </c>
      <c r="B5065" s="2">
        <f>IFERROR(__xludf.DUMMYFUNCTION("""COMPUTED_VALUE"""),1041.0)</f>
        <v>1041</v>
      </c>
      <c r="C5065" s="2">
        <f>IFERROR(__xludf.DUMMYFUNCTION("""COMPUTED_VALUE"""),1063.0)</f>
        <v>1063</v>
      </c>
      <c r="D5065" s="2">
        <f>IFERROR(__xludf.DUMMYFUNCTION("""COMPUTED_VALUE"""),1028.0)</f>
        <v>1028</v>
      </c>
      <c r="E5065" s="2">
        <f>IFERROR(__xludf.DUMMYFUNCTION("""COMPUTED_VALUE"""),1056.45)</f>
        <v>1056.45</v>
      </c>
      <c r="F5065" s="2">
        <f>IFERROR(__xludf.DUMMYFUNCTION("""COMPUTED_VALUE"""),1.9986677E7)</f>
        <v>19986677</v>
      </c>
    </row>
    <row r="5066">
      <c r="A5066" s="3">
        <f>IFERROR(__xludf.DUMMYFUNCTION("""COMPUTED_VALUE"""),44011.64583333333)</f>
        <v>44011.64583</v>
      </c>
      <c r="B5066" s="2">
        <f>IFERROR(__xludf.DUMMYFUNCTION("""COMPUTED_VALUE"""),1037.0)</f>
        <v>1037</v>
      </c>
      <c r="C5066" s="2">
        <f>IFERROR(__xludf.DUMMYFUNCTION("""COMPUTED_VALUE"""),1082.6)</f>
        <v>1082.6</v>
      </c>
      <c r="D5066" s="2">
        <f>IFERROR(__xludf.DUMMYFUNCTION("""COMPUTED_VALUE"""),1037.0)</f>
        <v>1037</v>
      </c>
      <c r="E5066" s="2">
        <f>IFERROR(__xludf.DUMMYFUNCTION("""COMPUTED_VALUE"""),1076.05)</f>
        <v>1076.05</v>
      </c>
      <c r="F5066" s="2">
        <f>IFERROR(__xludf.DUMMYFUNCTION("""COMPUTED_VALUE"""),2.3003725E7)</f>
        <v>23003725</v>
      </c>
    </row>
    <row r="5067">
      <c r="A5067" s="3">
        <f>IFERROR(__xludf.DUMMYFUNCTION("""COMPUTED_VALUE"""),44012.64583333333)</f>
        <v>44012.64583</v>
      </c>
      <c r="B5067" s="2">
        <f>IFERROR(__xludf.DUMMYFUNCTION("""COMPUTED_VALUE"""),1074.0)</f>
        <v>1074</v>
      </c>
      <c r="C5067" s="2">
        <f>IFERROR(__xludf.DUMMYFUNCTION("""COMPUTED_VALUE"""),1078.55)</f>
        <v>1078.55</v>
      </c>
      <c r="D5067" s="2">
        <f>IFERROR(__xludf.DUMMYFUNCTION("""COMPUTED_VALUE"""),1056.3)</f>
        <v>1056.3</v>
      </c>
      <c r="E5067" s="2">
        <f>IFERROR(__xludf.DUMMYFUNCTION("""COMPUTED_VALUE"""),1065.85)</f>
        <v>1065.85</v>
      </c>
      <c r="F5067" s="2">
        <f>IFERROR(__xludf.DUMMYFUNCTION("""COMPUTED_VALUE"""),1.7873316E7)</f>
        <v>17873316</v>
      </c>
    </row>
    <row r="5068">
      <c r="A5068" s="3">
        <f>IFERROR(__xludf.DUMMYFUNCTION("""COMPUTED_VALUE"""),44013.64583333333)</f>
        <v>44013.64583</v>
      </c>
      <c r="B5068" s="2">
        <f>IFERROR(__xludf.DUMMYFUNCTION("""COMPUTED_VALUE"""),1065.85)</f>
        <v>1065.85</v>
      </c>
      <c r="C5068" s="2">
        <f>IFERROR(__xludf.DUMMYFUNCTION("""COMPUTED_VALUE"""),1096.0)</f>
        <v>1096</v>
      </c>
      <c r="D5068" s="2">
        <f>IFERROR(__xludf.DUMMYFUNCTION("""COMPUTED_VALUE"""),1061.3)</f>
        <v>1061.3</v>
      </c>
      <c r="E5068" s="2">
        <f>IFERROR(__xludf.DUMMYFUNCTION("""COMPUTED_VALUE"""),1084.6)</f>
        <v>1084.6</v>
      </c>
      <c r="F5068" s="2">
        <f>IFERROR(__xludf.DUMMYFUNCTION("""COMPUTED_VALUE"""),1.7423378E7)</f>
        <v>17423378</v>
      </c>
    </row>
    <row r="5069">
      <c r="A5069" s="3">
        <f>IFERROR(__xludf.DUMMYFUNCTION("""COMPUTED_VALUE"""),44014.64583333333)</f>
        <v>44014.64583</v>
      </c>
      <c r="B5069" s="2">
        <f>IFERROR(__xludf.DUMMYFUNCTION("""COMPUTED_VALUE"""),1090.3)</f>
        <v>1090.3</v>
      </c>
      <c r="C5069" s="2">
        <f>IFERROR(__xludf.DUMMYFUNCTION("""COMPUTED_VALUE"""),1111.25)</f>
        <v>1111.25</v>
      </c>
      <c r="D5069" s="2">
        <f>IFERROR(__xludf.DUMMYFUNCTION("""COMPUTED_VALUE"""),1085.2)</f>
        <v>1085.2</v>
      </c>
      <c r="E5069" s="2">
        <f>IFERROR(__xludf.DUMMYFUNCTION("""COMPUTED_VALUE"""),1089.4)</f>
        <v>1089.4</v>
      </c>
      <c r="F5069" s="2">
        <f>IFERROR(__xludf.DUMMYFUNCTION("""COMPUTED_VALUE"""),1.8477248E7)</f>
        <v>18477248</v>
      </c>
    </row>
    <row r="5070">
      <c r="A5070" s="3">
        <f>IFERROR(__xludf.DUMMYFUNCTION("""COMPUTED_VALUE"""),44015.64583333333)</f>
        <v>44015.64583</v>
      </c>
      <c r="B5070" s="2">
        <f>IFERROR(__xludf.DUMMYFUNCTION("""COMPUTED_VALUE"""),1093.0)</f>
        <v>1093</v>
      </c>
      <c r="C5070" s="2">
        <f>IFERROR(__xludf.DUMMYFUNCTION("""COMPUTED_VALUE"""),1095.8)</f>
        <v>1095.8</v>
      </c>
      <c r="D5070" s="2">
        <f>IFERROR(__xludf.DUMMYFUNCTION("""COMPUTED_VALUE"""),1070.0)</f>
        <v>1070</v>
      </c>
      <c r="E5070" s="2">
        <f>IFERROR(__xludf.DUMMYFUNCTION("""COMPUTED_VALUE"""),1073.95)</f>
        <v>1073.95</v>
      </c>
      <c r="F5070" s="2">
        <f>IFERROR(__xludf.DUMMYFUNCTION("""COMPUTED_VALUE"""),1.3798879E7)</f>
        <v>13798879</v>
      </c>
    </row>
    <row r="5071">
      <c r="A5071" s="3">
        <f>IFERROR(__xludf.DUMMYFUNCTION("""COMPUTED_VALUE"""),44018.64583333333)</f>
        <v>44018.64583</v>
      </c>
      <c r="B5071" s="2">
        <f>IFERROR(__xludf.DUMMYFUNCTION("""COMPUTED_VALUE"""),1107.95)</f>
        <v>1107.95</v>
      </c>
      <c r="C5071" s="2">
        <f>IFERROR(__xludf.DUMMYFUNCTION("""COMPUTED_VALUE"""),1119.9)</f>
        <v>1119.9</v>
      </c>
      <c r="D5071" s="2">
        <f>IFERROR(__xludf.DUMMYFUNCTION("""COMPUTED_VALUE"""),1100.0)</f>
        <v>1100</v>
      </c>
      <c r="E5071" s="2">
        <f>IFERROR(__xludf.DUMMYFUNCTION("""COMPUTED_VALUE"""),1103.0)</f>
        <v>1103</v>
      </c>
      <c r="F5071" s="2">
        <f>IFERROR(__xludf.DUMMYFUNCTION("""COMPUTED_VALUE"""),1.7779243E7)</f>
        <v>17779243</v>
      </c>
    </row>
    <row r="5072">
      <c r="A5072" s="3">
        <f>IFERROR(__xludf.DUMMYFUNCTION("""COMPUTED_VALUE"""),44019.64583333333)</f>
        <v>44019.64583</v>
      </c>
      <c r="B5072" s="2">
        <f>IFERROR(__xludf.DUMMYFUNCTION("""COMPUTED_VALUE"""),1109.4)</f>
        <v>1109.4</v>
      </c>
      <c r="C5072" s="2">
        <f>IFERROR(__xludf.DUMMYFUNCTION("""COMPUTED_VALUE"""),1111.7)</f>
        <v>1111.7</v>
      </c>
      <c r="D5072" s="2">
        <f>IFERROR(__xludf.DUMMYFUNCTION("""COMPUTED_VALUE"""),1093.05)</f>
        <v>1093.05</v>
      </c>
      <c r="E5072" s="2">
        <f>IFERROR(__xludf.DUMMYFUNCTION("""COMPUTED_VALUE"""),1105.15)</f>
        <v>1105.15</v>
      </c>
      <c r="F5072" s="2">
        <f>IFERROR(__xludf.DUMMYFUNCTION("""COMPUTED_VALUE"""),1.2175425E7)</f>
        <v>12175425</v>
      </c>
    </row>
    <row r="5073">
      <c r="A5073" s="3">
        <f>IFERROR(__xludf.DUMMYFUNCTION("""COMPUTED_VALUE"""),44020.64583333333)</f>
        <v>44020.64583</v>
      </c>
      <c r="B5073" s="2">
        <f>IFERROR(__xludf.DUMMYFUNCTION("""COMPUTED_VALUE"""),1107.0)</f>
        <v>1107</v>
      </c>
      <c r="C5073" s="2">
        <f>IFERROR(__xludf.DUMMYFUNCTION("""COMPUTED_VALUE"""),1124.9)</f>
        <v>1124.9</v>
      </c>
      <c r="D5073" s="2">
        <f>IFERROR(__xludf.DUMMYFUNCTION("""COMPUTED_VALUE"""),1105.0)</f>
        <v>1105</v>
      </c>
      <c r="E5073" s="2">
        <f>IFERROR(__xludf.DUMMYFUNCTION("""COMPUTED_VALUE"""),1110.35)</f>
        <v>1110.35</v>
      </c>
      <c r="F5073" s="2">
        <f>IFERROR(__xludf.DUMMYFUNCTION("""COMPUTED_VALUE"""),1.5028412E7)</f>
        <v>15028412</v>
      </c>
    </row>
    <row r="5074">
      <c r="A5074" s="3">
        <f>IFERROR(__xludf.DUMMYFUNCTION("""COMPUTED_VALUE"""),44021.64583333333)</f>
        <v>44021.64583</v>
      </c>
      <c r="B5074" s="2">
        <f>IFERROR(__xludf.DUMMYFUNCTION("""COMPUTED_VALUE"""),1118.0)</f>
        <v>1118</v>
      </c>
      <c r="C5074" s="2">
        <f>IFERROR(__xludf.DUMMYFUNCTION("""COMPUTED_VALUE"""),1129.7)</f>
        <v>1129.7</v>
      </c>
      <c r="D5074" s="2">
        <f>IFERROR(__xludf.DUMMYFUNCTION("""COMPUTED_VALUE"""),1107.25)</f>
        <v>1107.25</v>
      </c>
      <c r="E5074" s="2">
        <f>IFERROR(__xludf.DUMMYFUNCTION("""COMPUTED_VALUE"""),1124.95)</f>
        <v>1124.95</v>
      </c>
      <c r="F5074" s="2">
        <f>IFERROR(__xludf.DUMMYFUNCTION("""COMPUTED_VALUE"""),1.0057717E7)</f>
        <v>10057717</v>
      </c>
    </row>
    <row r="5075">
      <c r="A5075" s="3">
        <f>IFERROR(__xludf.DUMMYFUNCTION("""COMPUTED_VALUE"""),44022.64583333333)</f>
        <v>44022.64583</v>
      </c>
      <c r="B5075" s="2">
        <f>IFERROR(__xludf.DUMMYFUNCTION("""COMPUTED_VALUE"""),1117.9)</f>
        <v>1117.9</v>
      </c>
      <c r="C5075" s="2">
        <f>IFERROR(__xludf.DUMMYFUNCTION("""COMPUTED_VALUE"""),1120.0)</f>
        <v>1120</v>
      </c>
      <c r="D5075" s="2">
        <f>IFERROR(__xludf.DUMMYFUNCTION("""COMPUTED_VALUE"""),1099.55)</f>
        <v>1099.55</v>
      </c>
      <c r="E5075" s="2">
        <f>IFERROR(__xludf.DUMMYFUNCTION("""COMPUTED_VALUE"""),1105.1)</f>
        <v>1105.1</v>
      </c>
      <c r="F5075" s="2">
        <f>IFERROR(__xludf.DUMMYFUNCTION("""COMPUTED_VALUE"""),8781604.0)</f>
        <v>8781604</v>
      </c>
    </row>
    <row r="5076">
      <c r="A5076" s="3">
        <f>IFERROR(__xludf.DUMMYFUNCTION("""COMPUTED_VALUE"""),44025.64583333333)</f>
        <v>44025.64583</v>
      </c>
      <c r="B5076" s="2">
        <f>IFERROR(__xludf.DUMMYFUNCTION("""COMPUTED_VALUE"""),1109.9)</f>
        <v>1109.9</v>
      </c>
      <c r="C5076" s="2">
        <f>IFERROR(__xludf.DUMMYFUNCTION("""COMPUTED_VALUE"""),1113.0)</f>
        <v>1113</v>
      </c>
      <c r="D5076" s="2">
        <f>IFERROR(__xludf.DUMMYFUNCTION("""COMPUTED_VALUE"""),1071.3)</f>
        <v>1071.3</v>
      </c>
      <c r="E5076" s="2">
        <f>IFERROR(__xludf.DUMMYFUNCTION("""COMPUTED_VALUE"""),1080.25)</f>
        <v>1080.25</v>
      </c>
      <c r="F5076" s="2">
        <f>IFERROR(__xludf.DUMMYFUNCTION("""COMPUTED_VALUE"""),1.4961695E7)</f>
        <v>14961695</v>
      </c>
    </row>
    <row r="5077">
      <c r="A5077" s="3">
        <f>IFERROR(__xludf.DUMMYFUNCTION("""COMPUTED_VALUE"""),44026.64583333333)</f>
        <v>44026.64583</v>
      </c>
      <c r="B5077" s="2">
        <f>IFERROR(__xludf.DUMMYFUNCTION("""COMPUTED_VALUE"""),1062.6)</f>
        <v>1062.6</v>
      </c>
      <c r="C5077" s="2">
        <f>IFERROR(__xludf.DUMMYFUNCTION("""COMPUTED_VALUE"""),1068.9)</f>
        <v>1068.9</v>
      </c>
      <c r="D5077" s="2">
        <f>IFERROR(__xludf.DUMMYFUNCTION("""COMPUTED_VALUE"""),1050.0)</f>
        <v>1050</v>
      </c>
      <c r="E5077" s="2">
        <f>IFERROR(__xludf.DUMMYFUNCTION("""COMPUTED_VALUE"""),1058.85)</f>
        <v>1058.85</v>
      </c>
      <c r="F5077" s="2">
        <f>IFERROR(__xludf.DUMMYFUNCTION("""COMPUTED_VALUE"""),1.3306511E7)</f>
        <v>13306511</v>
      </c>
    </row>
    <row r="5078">
      <c r="A5078" s="3">
        <f>IFERROR(__xludf.DUMMYFUNCTION("""COMPUTED_VALUE"""),44027.64583333333)</f>
        <v>44027.64583</v>
      </c>
      <c r="B5078" s="2">
        <f>IFERROR(__xludf.DUMMYFUNCTION("""COMPUTED_VALUE"""),1070.2)</f>
        <v>1070.2</v>
      </c>
      <c r="C5078" s="2">
        <f>IFERROR(__xludf.DUMMYFUNCTION("""COMPUTED_VALUE"""),1079.0)</f>
        <v>1079</v>
      </c>
      <c r="D5078" s="2">
        <f>IFERROR(__xludf.DUMMYFUNCTION("""COMPUTED_VALUE"""),1050.1)</f>
        <v>1050.1</v>
      </c>
      <c r="E5078" s="2">
        <f>IFERROR(__xludf.DUMMYFUNCTION("""COMPUTED_VALUE"""),1053.15)</f>
        <v>1053.15</v>
      </c>
      <c r="F5078" s="2">
        <f>IFERROR(__xludf.DUMMYFUNCTION("""COMPUTED_VALUE"""),1.0487246E7)</f>
        <v>10487246</v>
      </c>
    </row>
    <row r="5079">
      <c r="A5079" s="3">
        <f>IFERROR(__xludf.DUMMYFUNCTION("""COMPUTED_VALUE"""),44028.64583333333)</f>
        <v>44028.64583</v>
      </c>
      <c r="B5079" s="2">
        <f>IFERROR(__xludf.DUMMYFUNCTION("""COMPUTED_VALUE"""),1053.65)</f>
        <v>1053.65</v>
      </c>
      <c r="C5079" s="2">
        <f>IFERROR(__xludf.DUMMYFUNCTION("""COMPUTED_VALUE"""),1065.5)</f>
        <v>1065.5</v>
      </c>
      <c r="D5079" s="2">
        <f>IFERROR(__xludf.DUMMYFUNCTION("""COMPUTED_VALUE"""),1034.1)</f>
        <v>1034.1</v>
      </c>
      <c r="E5079" s="2">
        <f>IFERROR(__xludf.DUMMYFUNCTION("""COMPUTED_VALUE"""),1062.55)</f>
        <v>1062.55</v>
      </c>
      <c r="F5079" s="2">
        <f>IFERROR(__xludf.DUMMYFUNCTION("""COMPUTED_VALUE"""),1.1831256E7)</f>
        <v>11831256</v>
      </c>
    </row>
    <row r="5080">
      <c r="A5080" s="3">
        <f>IFERROR(__xludf.DUMMYFUNCTION("""COMPUTED_VALUE"""),44029.64583333333)</f>
        <v>44029.64583</v>
      </c>
      <c r="B5080" s="2">
        <f>IFERROR(__xludf.DUMMYFUNCTION("""COMPUTED_VALUE"""),1059.05)</f>
        <v>1059.05</v>
      </c>
      <c r="C5080" s="2">
        <f>IFERROR(__xludf.DUMMYFUNCTION("""COMPUTED_VALUE"""),1104.0)</f>
        <v>1104</v>
      </c>
      <c r="D5080" s="2">
        <f>IFERROR(__xludf.DUMMYFUNCTION("""COMPUTED_VALUE"""),1058.3)</f>
        <v>1058.3</v>
      </c>
      <c r="E5080" s="2">
        <f>IFERROR(__xludf.DUMMYFUNCTION("""COMPUTED_VALUE"""),1098.45)</f>
        <v>1098.45</v>
      </c>
      <c r="F5080" s="2">
        <f>IFERROR(__xludf.DUMMYFUNCTION("""COMPUTED_VALUE"""),1.4202933E7)</f>
        <v>14202933</v>
      </c>
    </row>
    <row r="5081">
      <c r="A5081" s="3">
        <f>IFERROR(__xludf.DUMMYFUNCTION("""COMPUTED_VALUE"""),44032.64583333333)</f>
        <v>44032.64583</v>
      </c>
      <c r="B5081" s="2">
        <f>IFERROR(__xludf.DUMMYFUNCTION("""COMPUTED_VALUE"""),1135.0)</f>
        <v>1135</v>
      </c>
      <c r="C5081" s="2">
        <f>IFERROR(__xludf.DUMMYFUNCTION("""COMPUTED_VALUE"""),1152.9)</f>
        <v>1152.9</v>
      </c>
      <c r="D5081" s="2">
        <f>IFERROR(__xludf.DUMMYFUNCTION("""COMPUTED_VALUE"""),1124.15)</f>
        <v>1124.15</v>
      </c>
      <c r="E5081" s="2">
        <f>IFERROR(__xludf.DUMMYFUNCTION("""COMPUTED_VALUE"""),1133.05)</f>
        <v>1133.05</v>
      </c>
      <c r="F5081" s="2">
        <f>IFERROR(__xludf.DUMMYFUNCTION("""COMPUTED_VALUE"""),3.2562064E7)</f>
        <v>32562064</v>
      </c>
    </row>
    <row r="5082">
      <c r="A5082" s="3">
        <f>IFERROR(__xludf.DUMMYFUNCTION("""COMPUTED_VALUE"""),44033.64583333333)</f>
        <v>44033.64583</v>
      </c>
      <c r="B5082" s="2">
        <f>IFERROR(__xludf.DUMMYFUNCTION("""COMPUTED_VALUE"""),1152.05)</f>
        <v>1152.05</v>
      </c>
      <c r="C5082" s="2">
        <f>IFERROR(__xludf.DUMMYFUNCTION("""COMPUTED_VALUE"""),1157.95)</f>
        <v>1157.95</v>
      </c>
      <c r="D5082" s="2">
        <f>IFERROR(__xludf.DUMMYFUNCTION("""COMPUTED_VALUE"""),1134.0)</f>
        <v>1134</v>
      </c>
      <c r="E5082" s="2">
        <f>IFERROR(__xludf.DUMMYFUNCTION("""COMPUTED_VALUE"""),1138.55)</f>
        <v>1138.55</v>
      </c>
      <c r="F5082" s="2">
        <f>IFERROR(__xludf.DUMMYFUNCTION("""COMPUTED_VALUE"""),2.3757768E7)</f>
        <v>23757768</v>
      </c>
    </row>
    <row r="5083">
      <c r="A5083" s="3">
        <f>IFERROR(__xludf.DUMMYFUNCTION("""COMPUTED_VALUE"""),44034.64583333333)</f>
        <v>44034.64583</v>
      </c>
      <c r="B5083" s="2">
        <f>IFERROR(__xludf.DUMMYFUNCTION("""COMPUTED_VALUE"""),1138.5)</f>
        <v>1138.5</v>
      </c>
      <c r="C5083" s="2">
        <f>IFERROR(__xludf.DUMMYFUNCTION("""COMPUTED_VALUE"""),1144.5)</f>
        <v>1144.5</v>
      </c>
      <c r="D5083" s="2">
        <f>IFERROR(__xludf.DUMMYFUNCTION("""COMPUTED_VALUE"""),1117.55)</f>
        <v>1117.55</v>
      </c>
      <c r="E5083" s="2">
        <f>IFERROR(__xludf.DUMMYFUNCTION("""COMPUTED_VALUE"""),1126.35)</f>
        <v>1126.35</v>
      </c>
      <c r="F5083" s="2">
        <f>IFERROR(__xludf.DUMMYFUNCTION("""COMPUTED_VALUE"""),1.2359024E7)</f>
        <v>12359024</v>
      </c>
    </row>
    <row r="5084">
      <c r="A5084" s="3">
        <f>IFERROR(__xludf.DUMMYFUNCTION("""COMPUTED_VALUE"""),44035.64583333333)</f>
        <v>44035.64583</v>
      </c>
      <c r="B5084" s="2">
        <f>IFERROR(__xludf.DUMMYFUNCTION("""COMPUTED_VALUE"""),1125.0)</f>
        <v>1125</v>
      </c>
      <c r="C5084" s="2">
        <f>IFERROR(__xludf.DUMMYFUNCTION("""COMPUTED_VALUE"""),1143.9)</f>
        <v>1143.9</v>
      </c>
      <c r="D5084" s="2">
        <f>IFERROR(__xludf.DUMMYFUNCTION("""COMPUTED_VALUE"""),1116.25)</f>
        <v>1116.25</v>
      </c>
      <c r="E5084" s="2">
        <f>IFERROR(__xludf.DUMMYFUNCTION("""COMPUTED_VALUE"""),1130.4)</f>
        <v>1130.4</v>
      </c>
      <c r="F5084" s="2">
        <f>IFERROR(__xludf.DUMMYFUNCTION("""COMPUTED_VALUE"""),1.0074805E7)</f>
        <v>10074805</v>
      </c>
    </row>
    <row r="5085">
      <c r="A5085" s="3">
        <f>IFERROR(__xludf.DUMMYFUNCTION("""COMPUTED_VALUE"""),44036.64583333333)</f>
        <v>44036.64583</v>
      </c>
      <c r="B5085" s="2">
        <f>IFERROR(__xludf.DUMMYFUNCTION("""COMPUTED_VALUE"""),1122.9)</f>
        <v>1122.9</v>
      </c>
      <c r="C5085" s="2">
        <f>IFERROR(__xludf.DUMMYFUNCTION("""COMPUTED_VALUE"""),1122.9)</f>
        <v>1122.9</v>
      </c>
      <c r="D5085" s="2">
        <f>IFERROR(__xludf.DUMMYFUNCTION("""COMPUTED_VALUE"""),1101.25)</f>
        <v>1101.25</v>
      </c>
      <c r="E5085" s="2">
        <f>IFERROR(__xludf.DUMMYFUNCTION("""COMPUTED_VALUE"""),1119.1)</f>
        <v>1119.1</v>
      </c>
      <c r="F5085" s="2">
        <f>IFERROR(__xludf.DUMMYFUNCTION("""COMPUTED_VALUE"""),9799222.0)</f>
        <v>9799222</v>
      </c>
    </row>
    <row r="5086">
      <c r="A5086" s="3">
        <f>IFERROR(__xludf.DUMMYFUNCTION("""COMPUTED_VALUE"""),44039.64583333333)</f>
        <v>44039.64583</v>
      </c>
      <c r="B5086" s="2">
        <f>IFERROR(__xludf.DUMMYFUNCTION("""COMPUTED_VALUE"""),1099.85)</f>
        <v>1099.85</v>
      </c>
      <c r="C5086" s="2">
        <f>IFERROR(__xludf.DUMMYFUNCTION("""COMPUTED_VALUE"""),1103.0)</f>
        <v>1103</v>
      </c>
      <c r="D5086" s="2">
        <f>IFERROR(__xludf.DUMMYFUNCTION("""COMPUTED_VALUE"""),1075.35)</f>
        <v>1075.35</v>
      </c>
      <c r="E5086" s="2">
        <f>IFERROR(__xludf.DUMMYFUNCTION("""COMPUTED_VALUE"""),1079.5)</f>
        <v>1079.5</v>
      </c>
      <c r="F5086" s="2">
        <f>IFERROR(__xludf.DUMMYFUNCTION("""COMPUTED_VALUE"""),1.8985167E7)</f>
        <v>18985167</v>
      </c>
    </row>
    <row r="5087">
      <c r="A5087" s="3">
        <f>IFERROR(__xludf.DUMMYFUNCTION("""COMPUTED_VALUE"""),44040.64583333333)</f>
        <v>44040.64583</v>
      </c>
      <c r="B5087" s="2">
        <f>IFERROR(__xludf.DUMMYFUNCTION("""COMPUTED_VALUE"""),1079.0)</f>
        <v>1079</v>
      </c>
      <c r="C5087" s="2">
        <f>IFERROR(__xludf.DUMMYFUNCTION("""COMPUTED_VALUE"""),1094.4)</f>
        <v>1094.4</v>
      </c>
      <c r="D5087" s="2">
        <f>IFERROR(__xludf.DUMMYFUNCTION("""COMPUTED_VALUE"""),1059.5)</f>
        <v>1059.5</v>
      </c>
      <c r="E5087" s="2">
        <f>IFERROR(__xludf.DUMMYFUNCTION("""COMPUTED_VALUE"""),1086.65)</f>
        <v>1086.65</v>
      </c>
      <c r="F5087" s="2">
        <f>IFERROR(__xludf.DUMMYFUNCTION("""COMPUTED_VALUE"""),1.779833E7)</f>
        <v>17798330</v>
      </c>
    </row>
    <row r="5088">
      <c r="A5088" s="3">
        <f>IFERROR(__xludf.DUMMYFUNCTION("""COMPUTED_VALUE"""),44041.64583333333)</f>
        <v>44041.64583</v>
      </c>
      <c r="B5088" s="2">
        <f>IFERROR(__xludf.DUMMYFUNCTION("""COMPUTED_VALUE"""),1081.0)</f>
        <v>1081</v>
      </c>
      <c r="C5088" s="2">
        <f>IFERROR(__xludf.DUMMYFUNCTION("""COMPUTED_VALUE"""),1088.5)</f>
        <v>1088.5</v>
      </c>
      <c r="D5088" s="2">
        <f>IFERROR(__xludf.DUMMYFUNCTION("""COMPUTED_VALUE"""),1055.55)</f>
        <v>1055.55</v>
      </c>
      <c r="E5088" s="2">
        <f>IFERROR(__xludf.DUMMYFUNCTION("""COMPUTED_VALUE"""),1064.6)</f>
        <v>1064.6</v>
      </c>
      <c r="F5088" s="2">
        <f>IFERROR(__xludf.DUMMYFUNCTION("""COMPUTED_VALUE"""),1.6796652E7)</f>
        <v>16796652</v>
      </c>
    </row>
    <row r="5089">
      <c r="A5089" s="3">
        <f>IFERROR(__xludf.DUMMYFUNCTION("""COMPUTED_VALUE"""),44042.64583333333)</f>
        <v>44042.64583</v>
      </c>
      <c r="B5089" s="2">
        <f>IFERROR(__xludf.DUMMYFUNCTION("""COMPUTED_VALUE"""),1074.0)</f>
        <v>1074</v>
      </c>
      <c r="C5089" s="2">
        <f>IFERROR(__xludf.DUMMYFUNCTION("""COMPUTED_VALUE"""),1083.65)</f>
        <v>1083.65</v>
      </c>
      <c r="D5089" s="2">
        <f>IFERROR(__xludf.DUMMYFUNCTION("""COMPUTED_VALUE"""),1046.7)</f>
        <v>1046.7</v>
      </c>
      <c r="E5089" s="2">
        <f>IFERROR(__xludf.DUMMYFUNCTION("""COMPUTED_VALUE"""),1050.65)</f>
        <v>1050.65</v>
      </c>
      <c r="F5089" s="2">
        <f>IFERROR(__xludf.DUMMYFUNCTION("""COMPUTED_VALUE"""),1.3478951E7)</f>
        <v>13478951</v>
      </c>
    </row>
    <row r="5090">
      <c r="A5090" s="3">
        <f>IFERROR(__xludf.DUMMYFUNCTION("""COMPUTED_VALUE"""),44043.64583333333)</f>
        <v>44043.64583</v>
      </c>
      <c r="B5090" s="2">
        <f>IFERROR(__xludf.DUMMYFUNCTION("""COMPUTED_VALUE"""),1057.7)</f>
        <v>1057.7</v>
      </c>
      <c r="C5090" s="2">
        <f>IFERROR(__xludf.DUMMYFUNCTION("""COMPUTED_VALUE"""),1057.7)</f>
        <v>1057.7</v>
      </c>
      <c r="D5090" s="2">
        <f>IFERROR(__xludf.DUMMYFUNCTION("""COMPUTED_VALUE"""),1020.05)</f>
        <v>1020.05</v>
      </c>
      <c r="E5090" s="2">
        <f>IFERROR(__xludf.DUMMYFUNCTION("""COMPUTED_VALUE"""),1032.8)</f>
        <v>1032.8</v>
      </c>
      <c r="F5090" s="2">
        <f>IFERROR(__xludf.DUMMYFUNCTION("""COMPUTED_VALUE"""),1.886523E7)</f>
        <v>18865230</v>
      </c>
    </row>
    <row r="5091">
      <c r="A5091" s="3">
        <f>IFERROR(__xludf.DUMMYFUNCTION("""COMPUTED_VALUE"""),44046.64583333333)</f>
        <v>44046.64583</v>
      </c>
      <c r="B5091" s="2">
        <f>IFERROR(__xludf.DUMMYFUNCTION("""COMPUTED_VALUE"""),1025.95)</f>
        <v>1025.95</v>
      </c>
      <c r="C5091" s="2">
        <f>IFERROR(__xludf.DUMMYFUNCTION("""COMPUTED_VALUE"""),1026.95)</f>
        <v>1026.95</v>
      </c>
      <c r="D5091" s="2">
        <f>IFERROR(__xludf.DUMMYFUNCTION("""COMPUTED_VALUE"""),993.0)</f>
        <v>993</v>
      </c>
      <c r="E5091" s="2">
        <f>IFERROR(__xludf.DUMMYFUNCTION("""COMPUTED_VALUE"""),1002.0)</f>
        <v>1002</v>
      </c>
      <c r="F5091" s="2">
        <f>IFERROR(__xludf.DUMMYFUNCTION("""COMPUTED_VALUE"""),1.5891781E7)</f>
        <v>15891781</v>
      </c>
    </row>
    <row r="5092">
      <c r="A5092" s="3">
        <f>IFERROR(__xludf.DUMMYFUNCTION("""COMPUTED_VALUE"""),44047.64583333333)</f>
        <v>44047.64583</v>
      </c>
      <c r="B5092" s="2">
        <f>IFERROR(__xludf.DUMMYFUNCTION("""COMPUTED_VALUE"""),1008.0)</f>
        <v>1008</v>
      </c>
      <c r="C5092" s="2">
        <f>IFERROR(__xludf.DUMMYFUNCTION("""COMPUTED_VALUE"""),1061.05)</f>
        <v>1061.05</v>
      </c>
      <c r="D5092" s="2">
        <f>IFERROR(__xludf.DUMMYFUNCTION("""COMPUTED_VALUE"""),1003.0)</f>
        <v>1003</v>
      </c>
      <c r="E5092" s="2">
        <f>IFERROR(__xludf.DUMMYFUNCTION("""COMPUTED_VALUE"""),1041.65)</f>
        <v>1041.65</v>
      </c>
      <c r="F5092" s="2">
        <f>IFERROR(__xludf.DUMMYFUNCTION("""COMPUTED_VALUE"""),3.0153418E7)</f>
        <v>30153418</v>
      </c>
    </row>
    <row r="5093">
      <c r="A5093" s="3">
        <f>IFERROR(__xludf.DUMMYFUNCTION("""COMPUTED_VALUE"""),44048.64583333333)</f>
        <v>44048.64583</v>
      </c>
      <c r="B5093" s="2">
        <f>IFERROR(__xludf.DUMMYFUNCTION("""COMPUTED_VALUE"""),1047.95)</f>
        <v>1047.95</v>
      </c>
      <c r="C5093" s="2">
        <f>IFERROR(__xludf.DUMMYFUNCTION("""COMPUTED_VALUE"""),1055.8)</f>
        <v>1055.8</v>
      </c>
      <c r="D5093" s="2">
        <f>IFERROR(__xludf.DUMMYFUNCTION("""COMPUTED_VALUE"""),1020.0)</f>
        <v>1020</v>
      </c>
      <c r="E5093" s="2">
        <f>IFERROR(__xludf.DUMMYFUNCTION("""COMPUTED_VALUE"""),1027.55)</f>
        <v>1027.55</v>
      </c>
      <c r="F5093" s="2">
        <f>IFERROR(__xludf.DUMMYFUNCTION("""COMPUTED_VALUE"""),1.6610696E7)</f>
        <v>16610696</v>
      </c>
    </row>
    <row r="5094">
      <c r="A5094" s="3">
        <f>IFERROR(__xludf.DUMMYFUNCTION("""COMPUTED_VALUE"""),44049.64583333333)</f>
        <v>44049.64583</v>
      </c>
      <c r="B5094" s="2">
        <f>IFERROR(__xludf.DUMMYFUNCTION("""COMPUTED_VALUE"""),1037.0)</f>
        <v>1037</v>
      </c>
      <c r="C5094" s="2">
        <f>IFERROR(__xludf.DUMMYFUNCTION("""COMPUTED_VALUE"""),1055.0)</f>
        <v>1055</v>
      </c>
      <c r="D5094" s="2">
        <f>IFERROR(__xludf.DUMMYFUNCTION("""COMPUTED_VALUE"""),1026.25)</f>
        <v>1026.25</v>
      </c>
      <c r="E5094" s="2">
        <f>IFERROR(__xludf.DUMMYFUNCTION("""COMPUTED_VALUE"""),1040.7)</f>
        <v>1040.7</v>
      </c>
      <c r="F5094" s="2">
        <f>IFERROR(__xludf.DUMMYFUNCTION("""COMPUTED_VALUE"""),1.6823558E7)</f>
        <v>16823558</v>
      </c>
    </row>
    <row r="5095">
      <c r="A5095" s="3">
        <f>IFERROR(__xludf.DUMMYFUNCTION("""COMPUTED_VALUE"""),44050.64583333333)</f>
        <v>44050.64583</v>
      </c>
      <c r="B5095" s="2">
        <f>IFERROR(__xludf.DUMMYFUNCTION("""COMPUTED_VALUE"""),1034.85)</f>
        <v>1034.85</v>
      </c>
      <c r="C5095" s="2">
        <f>IFERROR(__xludf.DUMMYFUNCTION("""COMPUTED_VALUE"""),1047.2)</f>
        <v>1047.2</v>
      </c>
      <c r="D5095" s="2">
        <f>IFERROR(__xludf.DUMMYFUNCTION("""COMPUTED_VALUE"""),1020.6)</f>
        <v>1020.6</v>
      </c>
      <c r="E5095" s="2">
        <f>IFERROR(__xludf.DUMMYFUNCTION("""COMPUTED_VALUE"""),1043.85)</f>
        <v>1043.85</v>
      </c>
      <c r="F5095" s="2">
        <f>IFERROR(__xludf.DUMMYFUNCTION("""COMPUTED_VALUE"""),1.2418816E7)</f>
        <v>12418816</v>
      </c>
    </row>
    <row r="5096">
      <c r="A5096" s="3">
        <f>IFERROR(__xludf.DUMMYFUNCTION("""COMPUTED_VALUE"""),44053.64583333333)</f>
        <v>44053.64583</v>
      </c>
      <c r="B5096" s="2">
        <f>IFERROR(__xludf.DUMMYFUNCTION("""COMPUTED_VALUE"""),1044.0)</f>
        <v>1044</v>
      </c>
      <c r="C5096" s="2">
        <f>IFERROR(__xludf.DUMMYFUNCTION("""COMPUTED_VALUE"""),1064.0)</f>
        <v>1064</v>
      </c>
      <c r="D5096" s="2">
        <f>IFERROR(__xludf.DUMMYFUNCTION("""COMPUTED_VALUE"""),1043.8)</f>
        <v>1043.8</v>
      </c>
      <c r="E5096" s="2">
        <f>IFERROR(__xludf.DUMMYFUNCTION("""COMPUTED_VALUE"""),1050.65)</f>
        <v>1050.65</v>
      </c>
      <c r="F5096" s="2">
        <f>IFERROR(__xludf.DUMMYFUNCTION("""COMPUTED_VALUE"""),1.1086465E7)</f>
        <v>11086465</v>
      </c>
    </row>
    <row r="5097">
      <c r="A5097" s="3">
        <f>IFERROR(__xludf.DUMMYFUNCTION("""COMPUTED_VALUE"""),44054.64583333333)</f>
        <v>44054.64583</v>
      </c>
      <c r="B5097" s="2">
        <f>IFERROR(__xludf.DUMMYFUNCTION("""COMPUTED_VALUE"""),1048.5)</f>
        <v>1048.5</v>
      </c>
      <c r="C5097" s="2">
        <f>IFERROR(__xludf.DUMMYFUNCTION("""COMPUTED_VALUE"""),1071.0)</f>
        <v>1071</v>
      </c>
      <c r="D5097" s="2">
        <f>IFERROR(__xludf.DUMMYFUNCTION("""COMPUTED_VALUE"""),1048.5)</f>
        <v>1048.5</v>
      </c>
      <c r="E5097" s="2">
        <f>IFERROR(__xludf.DUMMYFUNCTION("""COMPUTED_VALUE"""),1066.65)</f>
        <v>1066.65</v>
      </c>
      <c r="F5097" s="2">
        <f>IFERROR(__xludf.DUMMYFUNCTION("""COMPUTED_VALUE"""),1.006815E7)</f>
        <v>10068150</v>
      </c>
    </row>
    <row r="5098">
      <c r="A5098" s="3">
        <f>IFERROR(__xludf.DUMMYFUNCTION("""COMPUTED_VALUE"""),44055.64583333333)</f>
        <v>44055.64583</v>
      </c>
      <c r="B5098" s="2">
        <f>IFERROR(__xludf.DUMMYFUNCTION("""COMPUTED_VALUE"""),1065.0)</f>
        <v>1065</v>
      </c>
      <c r="C5098" s="2">
        <f>IFERROR(__xludf.DUMMYFUNCTION("""COMPUTED_VALUE"""),1066.0)</f>
        <v>1066</v>
      </c>
      <c r="D5098" s="2">
        <f>IFERROR(__xludf.DUMMYFUNCTION("""COMPUTED_VALUE"""),1048.0)</f>
        <v>1048</v>
      </c>
      <c r="E5098" s="2">
        <f>IFERROR(__xludf.DUMMYFUNCTION("""COMPUTED_VALUE"""),1063.7)</f>
        <v>1063.7</v>
      </c>
      <c r="F5098" s="2">
        <f>IFERROR(__xludf.DUMMYFUNCTION("""COMPUTED_VALUE"""),1.0333222E7)</f>
        <v>10333222</v>
      </c>
    </row>
    <row r="5099">
      <c r="A5099" s="3">
        <f>IFERROR(__xludf.DUMMYFUNCTION("""COMPUTED_VALUE"""),44056.64583333333)</f>
        <v>44056.64583</v>
      </c>
      <c r="B5099" s="2">
        <f>IFERROR(__xludf.DUMMYFUNCTION("""COMPUTED_VALUE"""),1067.95)</f>
        <v>1067.95</v>
      </c>
      <c r="C5099" s="2">
        <f>IFERROR(__xludf.DUMMYFUNCTION("""COMPUTED_VALUE"""),1071.35)</f>
        <v>1071.35</v>
      </c>
      <c r="D5099" s="2">
        <f>IFERROR(__xludf.DUMMYFUNCTION("""COMPUTED_VALUE"""),1056.5)</f>
        <v>1056.5</v>
      </c>
      <c r="E5099" s="2">
        <f>IFERROR(__xludf.DUMMYFUNCTION("""COMPUTED_VALUE"""),1059.05)</f>
        <v>1059.05</v>
      </c>
      <c r="F5099" s="2">
        <f>IFERROR(__xludf.DUMMYFUNCTION("""COMPUTED_VALUE"""),9946370.0)</f>
        <v>9946370</v>
      </c>
    </row>
    <row r="5100">
      <c r="A5100" s="3">
        <f>IFERROR(__xludf.DUMMYFUNCTION("""COMPUTED_VALUE"""),44057.64583333333)</f>
        <v>44057.64583</v>
      </c>
      <c r="B5100" s="2">
        <f>IFERROR(__xludf.DUMMYFUNCTION("""COMPUTED_VALUE"""),1065.9)</f>
        <v>1065.9</v>
      </c>
      <c r="C5100" s="2">
        <f>IFERROR(__xludf.DUMMYFUNCTION("""COMPUTED_VALUE"""),1065.9)</f>
        <v>1065.9</v>
      </c>
      <c r="D5100" s="2">
        <f>IFERROR(__xludf.DUMMYFUNCTION("""COMPUTED_VALUE"""),1027.3)</f>
        <v>1027.3</v>
      </c>
      <c r="E5100" s="2">
        <f>IFERROR(__xludf.DUMMYFUNCTION("""COMPUTED_VALUE"""),1034.45)</f>
        <v>1034.45</v>
      </c>
      <c r="F5100" s="2">
        <f>IFERROR(__xludf.DUMMYFUNCTION("""COMPUTED_VALUE"""),1.046235E7)</f>
        <v>10462350</v>
      </c>
    </row>
    <row r="5101">
      <c r="A5101" s="3">
        <f>IFERROR(__xludf.DUMMYFUNCTION("""COMPUTED_VALUE"""),44060.64583333333)</f>
        <v>44060.64583</v>
      </c>
      <c r="B5101" s="2">
        <f>IFERROR(__xludf.DUMMYFUNCTION("""COMPUTED_VALUE"""),1047.0)</f>
        <v>1047</v>
      </c>
      <c r="C5101" s="2">
        <f>IFERROR(__xludf.DUMMYFUNCTION("""COMPUTED_VALUE"""),1047.0)</f>
        <v>1047</v>
      </c>
      <c r="D5101" s="2">
        <f>IFERROR(__xludf.DUMMYFUNCTION("""COMPUTED_VALUE"""),1020.2)</f>
        <v>1020.2</v>
      </c>
      <c r="E5101" s="2">
        <f>IFERROR(__xludf.DUMMYFUNCTION("""COMPUTED_VALUE"""),1032.75)</f>
        <v>1032.75</v>
      </c>
      <c r="F5101" s="2">
        <f>IFERROR(__xludf.DUMMYFUNCTION("""COMPUTED_VALUE"""),9780591.0)</f>
        <v>9780591</v>
      </c>
    </row>
    <row r="5102">
      <c r="A5102" s="3">
        <f>IFERROR(__xludf.DUMMYFUNCTION("""COMPUTED_VALUE"""),44061.64583333333)</f>
        <v>44061.64583</v>
      </c>
      <c r="B5102" s="2">
        <f>IFERROR(__xludf.DUMMYFUNCTION("""COMPUTED_VALUE"""),1028.0)</f>
        <v>1028</v>
      </c>
      <c r="C5102" s="2">
        <f>IFERROR(__xludf.DUMMYFUNCTION("""COMPUTED_VALUE"""),1061.65)</f>
        <v>1061.65</v>
      </c>
      <c r="D5102" s="2">
        <f>IFERROR(__xludf.DUMMYFUNCTION("""COMPUTED_VALUE"""),1022.0)</f>
        <v>1022</v>
      </c>
      <c r="E5102" s="2">
        <f>IFERROR(__xludf.DUMMYFUNCTION("""COMPUTED_VALUE"""),1056.5)</f>
        <v>1056.5</v>
      </c>
      <c r="F5102" s="2">
        <f>IFERROR(__xludf.DUMMYFUNCTION("""COMPUTED_VALUE"""),1.2020562E7)</f>
        <v>12020562</v>
      </c>
    </row>
    <row r="5103">
      <c r="A5103" s="3">
        <f>IFERROR(__xludf.DUMMYFUNCTION("""COMPUTED_VALUE"""),44062.64583333333)</f>
        <v>44062.64583</v>
      </c>
      <c r="B5103" s="2">
        <f>IFERROR(__xludf.DUMMYFUNCTION("""COMPUTED_VALUE"""),1065.0)</f>
        <v>1065</v>
      </c>
      <c r="C5103" s="2">
        <f>IFERROR(__xludf.DUMMYFUNCTION("""COMPUTED_VALUE"""),1069.8)</f>
        <v>1069.8</v>
      </c>
      <c r="D5103" s="2">
        <f>IFERROR(__xludf.DUMMYFUNCTION("""COMPUTED_VALUE"""),1056.25)</f>
        <v>1056.25</v>
      </c>
      <c r="E5103" s="2">
        <f>IFERROR(__xludf.DUMMYFUNCTION("""COMPUTED_VALUE"""),1066.6)</f>
        <v>1066.6</v>
      </c>
      <c r="F5103" s="2">
        <f>IFERROR(__xludf.DUMMYFUNCTION("""COMPUTED_VALUE"""),8858056.0)</f>
        <v>8858056</v>
      </c>
    </row>
    <row r="5104">
      <c r="A5104" s="3">
        <f>IFERROR(__xludf.DUMMYFUNCTION("""COMPUTED_VALUE"""),44063.64583333333)</f>
        <v>44063.64583</v>
      </c>
      <c r="B5104" s="2">
        <f>IFERROR(__xludf.DUMMYFUNCTION("""COMPUTED_VALUE"""),1054.95)</f>
        <v>1054.95</v>
      </c>
      <c r="C5104" s="2">
        <f>IFERROR(__xludf.DUMMYFUNCTION("""COMPUTED_VALUE"""),1068.95)</f>
        <v>1068.95</v>
      </c>
      <c r="D5104" s="2">
        <f>IFERROR(__xludf.DUMMYFUNCTION("""COMPUTED_VALUE"""),1052.0)</f>
        <v>1052</v>
      </c>
      <c r="E5104" s="2">
        <f>IFERROR(__xludf.DUMMYFUNCTION("""COMPUTED_VALUE"""),1059.0)</f>
        <v>1059</v>
      </c>
      <c r="F5104" s="2">
        <f>IFERROR(__xludf.DUMMYFUNCTION("""COMPUTED_VALUE"""),9608591.0)</f>
        <v>9608591</v>
      </c>
    </row>
    <row r="5105">
      <c r="A5105" s="3">
        <f>IFERROR(__xludf.DUMMYFUNCTION("""COMPUTED_VALUE"""),44064.64583333333)</f>
        <v>44064.64583</v>
      </c>
      <c r="B5105" s="2">
        <f>IFERROR(__xludf.DUMMYFUNCTION("""COMPUTED_VALUE"""),1065.4)</f>
        <v>1065.4</v>
      </c>
      <c r="C5105" s="2">
        <f>IFERROR(__xludf.DUMMYFUNCTION("""COMPUTED_VALUE"""),1088.8)</f>
        <v>1088.8</v>
      </c>
      <c r="D5105" s="2">
        <f>IFERROR(__xludf.DUMMYFUNCTION("""COMPUTED_VALUE"""),1064.6)</f>
        <v>1064.6</v>
      </c>
      <c r="E5105" s="2">
        <f>IFERROR(__xludf.DUMMYFUNCTION("""COMPUTED_VALUE"""),1085.65)</f>
        <v>1085.65</v>
      </c>
      <c r="F5105" s="2">
        <f>IFERROR(__xludf.DUMMYFUNCTION("""COMPUTED_VALUE"""),1.4462237E7)</f>
        <v>14462237</v>
      </c>
    </row>
    <row r="5106">
      <c r="A5106" s="3">
        <f>IFERROR(__xludf.DUMMYFUNCTION("""COMPUTED_VALUE"""),44067.64583333333)</f>
        <v>44067.64583</v>
      </c>
      <c r="B5106" s="2">
        <f>IFERROR(__xludf.DUMMYFUNCTION("""COMPUTED_VALUE"""),1086.0)</f>
        <v>1086</v>
      </c>
      <c r="C5106" s="2">
        <f>IFERROR(__xludf.DUMMYFUNCTION("""COMPUTED_VALUE"""),1122.95)</f>
        <v>1122.95</v>
      </c>
      <c r="D5106" s="2">
        <f>IFERROR(__xludf.DUMMYFUNCTION("""COMPUTED_VALUE"""),1085.65)</f>
        <v>1085.65</v>
      </c>
      <c r="E5106" s="2">
        <f>IFERROR(__xludf.DUMMYFUNCTION("""COMPUTED_VALUE"""),1117.05)</f>
        <v>1117.05</v>
      </c>
      <c r="F5106" s="2">
        <f>IFERROR(__xludf.DUMMYFUNCTION("""COMPUTED_VALUE"""),1.8389929E7)</f>
        <v>18389929</v>
      </c>
    </row>
    <row r="5107">
      <c r="A5107" s="3">
        <f>IFERROR(__xludf.DUMMYFUNCTION("""COMPUTED_VALUE"""),44068.64583333333)</f>
        <v>44068.64583</v>
      </c>
      <c r="B5107" s="2">
        <f>IFERROR(__xludf.DUMMYFUNCTION("""COMPUTED_VALUE"""),1119.0)</f>
        <v>1119</v>
      </c>
      <c r="C5107" s="2">
        <f>IFERROR(__xludf.DUMMYFUNCTION("""COMPUTED_VALUE"""),1127.0)</f>
        <v>1127</v>
      </c>
      <c r="D5107" s="2">
        <f>IFERROR(__xludf.DUMMYFUNCTION("""COMPUTED_VALUE"""),1106.2)</f>
        <v>1106.2</v>
      </c>
      <c r="E5107" s="2">
        <f>IFERROR(__xludf.DUMMYFUNCTION("""COMPUTED_VALUE"""),1119.7)</f>
        <v>1119.7</v>
      </c>
      <c r="F5107" s="2">
        <f>IFERROR(__xludf.DUMMYFUNCTION("""COMPUTED_VALUE"""),1.3800972E7)</f>
        <v>13800972</v>
      </c>
    </row>
    <row r="5108">
      <c r="A5108" s="3">
        <f>IFERROR(__xludf.DUMMYFUNCTION("""COMPUTED_VALUE"""),44069.64583333333)</f>
        <v>44069.64583</v>
      </c>
      <c r="B5108" s="2">
        <f>IFERROR(__xludf.DUMMYFUNCTION("""COMPUTED_VALUE"""),1121.0)</f>
        <v>1121</v>
      </c>
      <c r="C5108" s="2">
        <f>IFERROR(__xludf.DUMMYFUNCTION("""COMPUTED_VALUE"""),1131.75)</f>
        <v>1131.75</v>
      </c>
      <c r="D5108" s="2">
        <f>IFERROR(__xludf.DUMMYFUNCTION("""COMPUTED_VALUE"""),1109.5)</f>
        <v>1109.5</v>
      </c>
      <c r="E5108" s="2">
        <f>IFERROR(__xludf.DUMMYFUNCTION("""COMPUTED_VALUE"""),1118.45)</f>
        <v>1118.45</v>
      </c>
      <c r="F5108" s="2">
        <f>IFERROR(__xludf.DUMMYFUNCTION("""COMPUTED_VALUE"""),1.2595131E7)</f>
        <v>12595131</v>
      </c>
    </row>
    <row r="5109">
      <c r="A5109" s="3">
        <f>IFERROR(__xludf.DUMMYFUNCTION("""COMPUTED_VALUE"""),44070.64583333333)</f>
        <v>44070.64583</v>
      </c>
      <c r="B5109" s="2">
        <f>IFERROR(__xludf.DUMMYFUNCTION("""COMPUTED_VALUE"""),1125.8)</f>
        <v>1125.8</v>
      </c>
      <c r="C5109" s="2">
        <f>IFERROR(__xludf.DUMMYFUNCTION("""COMPUTED_VALUE"""),1129.9)</f>
        <v>1129.9</v>
      </c>
      <c r="D5109" s="2">
        <f>IFERROR(__xludf.DUMMYFUNCTION("""COMPUTED_VALUE"""),1106.25)</f>
        <v>1106.25</v>
      </c>
      <c r="E5109" s="2">
        <f>IFERROR(__xludf.DUMMYFUNCTION("""COMPUTED_VALUE"""),1112.1)</f>
        <v>1112.1</v>
      </c>
      <c r="F5109" s="2">
        <f>IFERROR(__xludf.DUMMYFUNCTION("""COMPUTED_VALUE"""),1.0323015E7)</f>
        <v>10323015</v>
      </c>
    </row>
    <row r="5110">
      <c r="A5110" s="3">
        <f>IFERROR(__xludf.DUMMYFUNCTION("""COMPUTED_VALUE"""),44071.64583333333)</f>
        <v>44071.64583</v>
      </c>
      <c r="B5110" s="2">
        <f>IFERROR(__xludf.DUMMYFUNCTION("""COMPUTED_VALUE"""),1111.95)</f>
        <v>1111.95</v>
      </c>
      <c r="C5110" s="2">
        <f>IFERROR(__xludf.DUMMYFUNCTION("""COMPUTED_VALUE"""),1125.0)</f>
        <v>1125</v>
      </c>
      <c r="D5110" s="2">
        <f>IFERROR(__xludf.DUMMYFUNCTION("""COMPUTED_VALUE"""),1095.0)</f>
        <v>1095</v>
      </c>
      <c r="E5110" s="2">
        <f>IFERROR(__xludf.DUMMYFUNCTION("""COMPUTED_VALUE"""),1114.5)</f>
        <v>1114.5</v>
      </c>
      <c r="F5110" s="2">
        <f>IFERROR(__xludf.DUMMYFUNCTION("""COMPUTED_VALUE"""),1.9349069E7)</f>
        <v>19349069</v>
      </c>
    </row>
    <row r="5111">
      <c r="A5111" s="3">
        <f>IFERROR(__xludf.DUMMYFUNCTION("""COMPUTED_VALUE"""),44074.64583333333)</f>
        <v>44074.64583</v>
      </c>
      <c r="B5111" s="2">
        <f>IFERROR(__xludf.DUMMYFUNCTION("""COMPUTED_VALUE"""),1129.5)</f>
        <v>1129.5</v>
      </c>
      <c r="C5111" s="2">
        <f>IFERROR(__xludf.DUMMYFUNCTION("""COMPUTED_VALUE"""),1148.8)</f>
        <v>1148.8</v>
      </c>
      <c r="D5111" s="2">
        <f>IFERROR(__xludf.DUMMYFUNCTION("""COMPUTED_VALUE"""),1100.7)</f>
        <v>1100.7</v>
      </c>
      <c r="E5111" s="2">
        <f>IFERROR(__xludf.DUMMYFUNCTION("""COMPUTED_VALUE"""),1115.85)</f>
        <v>1115.85</v>
      </c>
      <c r="F5111" s="2">
        <f>IFERROR(__xludf.DUMMYFUNCTION("""COMPUTED_VALUE"""),1.9250721E7)</f>
        <v>19250721</v>
      </c>
    </row>
    <row r="5112">
      <c r="A5112" s="3">
        <f>IFERROR(__xludf.DUMMYFUNCTION("""COMPUTED_VALUE"""),44075.64583333333)</f>
        <v>44075.64583</v>
      </c>
      <c r="B5112" s="2">
        <f>IFERROR(__xludf.DUMMYFUNCTION("""COMPUTED_VALUE"""),1128.0)</f>
        <v>1128</v>
      </c>
      <c r="C5112" s="2">
        <f>IFERROR(__xludf.DUMMYFUNCTION("""COMPUTED_VALUE"""),1143.6)</f>
        <v>1143.6</v>
      </c>
      <c r="D5112" s="2">
        <f>IFERROR(__xludf.DUMMYFUNCTION("""COMPUTED_VALUE"""),1108.0)</f>
        <v>1108</v>
      </c>
      <c r="E5112" s="2">
        <f>IFERROR(__xludf.DUMMYFUNCTION("""COMPUTED_VALUE"""),1127.3)</f>
        <v>1127.3</v>
      </c>
      <c r="F5112" s="2">
        <f>IFERROR(__xludf.DUMMYFUNCTION("""COMPUTED_VALUE"""),1.4438949E7)</f>
        <v>14438949</v>
      </c>
    </row>
    <row r="5113">
      <c r="A5113" s="3">
        <f>IFERROR(__xludf.DUMMYFUNCTION("""COMPUTED_VALUE"""),44076.64583333333)</f>
        <v>44076.64583</v>
      </c>
      <c r="B5113" s="2">
        <f>IFERROR(__xludf.DUMMYFUNCTION("""COMPUTED_VALUE"""),1124.1)</f>
        <v>1124.1</v>
      </c>
      <c r="C5113" s="2">
        <f>IFERROR(__xludf.DUMMYFUNCTION("""COMPUTED_VALUE"""),1139.0)</f>
        <v>1139</v>
      </c>
      <c r="D5113" s="2">
        <f>IFERROR(__xludf.DUMMYFUNCTION("""COMPUTED_VALUE"""),1120.7)</f>
        <v>1120.7</v>
      </c>
      <c r="E5113" s="2">
        <f>IFERROR(__xludf.DUMMYFUNCTION("""COMPUTED_VALUE"""),1134.15)</f>
        <v>1134.15</v>
      </c>
      <c r="F5113" s="2">
        <f>IFERROR(__xludf.DUMMYFUNCTION("""COMPUTED_VALUE"""),9880855.0)</f>
        <v>9880855</v>
      </c>
    </row>
    <row r="5114">
      <c r="A5114" s="3">
        <f>IFERROR(__xludf.DUMMYFUNCTION("""COMPUTED_VALUE"""),44077.64583333333)</f>
        <v>44077.64583</v>
      </c>
      <c r="B5114" s="2">
        <f>IFERROR(__xludf.DUMMYFUNCTION("""COMPUTED_VALUE"""),1137.25)</f>
        <v>1137.25</v>
      </c>
      <c r="C5114" s="2">
        <f>IFERROR(__xludf.DUMMYFUNCTION("""COMPUTED_VALUE"""),1145.95)</f>
        <v>1145.95</v>
      </c>
      <c r="D5114" s="2">
        <f>IFERROR(__xludf.DUMMYFUNCTION("""COMPUTED_VALUE"""),1128.0)</f>
        <v>1128</v>
      </c>
      <c r="E5114" s="2">
        <f>IFERROR(__xludf.DUMMYFUNCTION("""COMPUTED_VALUE"""),1130.9)</f>
        <v>1130.9</v>
      </c>
      <c r="F5114" s="2">
        <f>IFERROR(__xludf.DUMMYFUNCTION("""COMPUTED_VALUE"""),9916701.0)</f>
        <v>9916701</v>
      </c>
    </row>
    <row r="5115">
      <c r="A5115" s="3">
        <f>IFERROR(__xludf.DUMMYFUNCTION("""COMPUTED_VALUE"""),44078.64583333333)</f>
        <v>44078.64583</v>
      </c>
      <c r="B5115" s="2">
        <f>IFERROR(__xludf.DUMMYFUNCTION("""COMPUTED_VALUE"""),1110.0)</f>
        <v>1110</v>
      </c>
      <c r="C5115" s="2">
        <f>IFERROR(__xludf.DUMMYFUNCTION("""COMPUTED_VALUE"""),1125.4)</f>
        <v>1125.4</v>
      </c>
      <c r="D5115" s="2">
        <f>IFERROR(__xludf.DUMMYFUNCTION("""COMPUTED_VALUE"""),1104.4)</f>
        <v>1104.4</v>
      </c>
      <c r="E5115" s="2">
        <f>IFERROR(__xludf.DUMMYFUNCTION("""COMPUTED_VALUE"""),1119.3)</f>
        <v>1119.3</v>
      </c>
      <c r="F5115" s="2">
        <f>IFERROR(__xludf.DUMMYFUNCTION("""COMPUTED_VALUE"""),1.1830686E7)</f>
        <v>11830686</v>
      </c>
    </row>
    <row r="5116">
      <c r="A5116" s="3">
        <f>IFERROR(__xludf.DUMMYFUNCTION("""COMPUTED_VALUE"""),44081.64583333333)</f>
        <v>44081.64583</v>
      </c>
      <c r="B5116" s="2">
        <f>IFERROR(__xludf.DUMMYFUNCTION("""COMPUTED_VALUE"""),1116.3)</f>
        <v>1116.3</v>
      </c>
      <c r="C5116" s="2">
        <f>IFERROR(__xludf.DUMMYFUNCTION("""COMPUTED_VALUE"""),1119.5)</f>
        <v>1119.5</v>
      </c>
      <c r="D5116" s="2">
        <f>IFERROR(__xludf.DUMMYFUNCTION("""COMPUTED_VALUE"""),1099.0)</f>
        <v>1099</v>
      </c>
      <c r="E5116" s="2">
        <f>IFERROR(__xludf.DUMMYFUNCTION("""COMPUTED_VALUE"""),1110.5)</f>
        <v>1110.5</v>
      </c>
      <c r="F5116" s="2">
        <f>IFERROR(__xludf.DUMMYFUNCTION("""COMPUTED_VALUE"""),8807764.0)</f>
        <v>8807764</v>
      </c>
    </row>
    <row r="5117">
      <c r="A5117" s="3">
        <f>IFERROR(__xludf.DUMMYFUNCTION("""COMPUTED_VALUE"""),44082.64583333333)</f>
        <v>44082.64583</v>
      </c>
      <c r="B5117" s="2">
        <f>IFERROR(__xludf.DUMMYFUNCTION("""COMPUTED_VALUE"""),1114.0)</f>
        <v>1114</v>
      </c>
      <c r="C5117" s="2">
        <f>IFERROR(__xludf.DUMMYFUNCTION("""COMPUTED_VALUE"""),1118.8)</f>
        <v>1118.8</v>
      </c>
      <c r="D5117" s="2">
        <f>IFERROR(__xludf.DUMMYFUNCTION("""COMPUTED_VALUE"""),1103.0)</f>
        <v>1103</v>
      </c>
      <c r="E5117" s="2">
        <f>IFERROR(__xludf.DUMMYFUNCTION("""COMPUTED_VALUE"""),1112.45)</f>
        <v>1112.45</v>
      </c>
      <c r="F5117" s="2">
        <f>IFERROR(__xludf.DUMMYFUNCTION("""COMPUTED_VALUE"""),7312460.0)</f>
        <v>7312460</v>
      </c>
    </row>
    <row r="5118">
      <c r="A5118" s="3">
        <f>IFERROR(__xludf.DUMMYFUNCTION("""COMPUTED_VALUE"""),44083.64583333333)</f>
        <v>44083.64583</v>
      </c>
      <c r="B5118" s="2">
        <f>IFERROR(__xludf.DUMMYFUNCTION("""COMPUTED_VALUE"""),1101.0)</f>
        <v>1101</v>
      </c>
      <c r="C5118" s="2">
        <f>IFERROR(__xludf.DUMMYFUNCTION("""COMPUTED_VALUE"""),1110.0)</f>
        <v>1110</v>
      </c>
      <c r="D5118" s="2">
        <f>IFERROR(__xludf.DUMMYFUNCTION("""COMPUTED_VALUE"""),1091.25)</f>
        <v>1091.25</v>
      </c>
      <c r="E5118" s="2">
        <f>IFERROR(__xludf.DUMMYFUNCTION("""COMPUTED_VALUE"""),1096.5)</f>
        <v>1096.5</v>
      </c>
      <c r="F5118" s="2">
        <f>IFERROR(__xludf.DUMMYFUNCTION("""COMPUTED_VALUE"""),7864545.0)</f>
        <v>7864545</v>
      </c>
    </row>
    <row r="5119">
      <c r="A5119" s="3">
        <f>IFERROR(__xludf.DUMMYFUNCTION("""COMPUTED_VALUE"""),44084.64583333333)</f>
        <v>44084.64583</v>
      </c>
      <c r="B5119" s="2">
        <f>IFERROR(__xludf.DUMMYFUNCTION("""COMPUTED_VALUE"""),1103.0)</f>
        <v>1103</v>
      </c>
      <c r="C5119" s="2">
        <f>IFERROR(__xludf.DUMMYFUNCTION("""COMPUTED_VALUE"""),1104.85)</f>
        <v>1104.85</v>
      </c>
      <c r="D5119" s="2">
        <f>IFERROR(__xludf.DUMMYFUNCTION("""COMPUTED_VALUE"""),1084.0)</f>
        <v>1084</v>
      </c>
      <c r="E5119" s="2">
        <f>IFERROR(__xludf.DUMMYFUNCTION("""COMPUTED_VALUE"""),1090.55)</f>
        <v>1090.55</v>
      </c>
      <c r="F5119" s="2">
        <f>IFERROR(__xludf.DUMMYFUNCTION("""COMPUTED_VALUE"""),7594209.0)</f>
        <v>7594209</v>
      </c>
    </row>
    <row r="5120">
      <c r="A5120" s="3">
        <f>IFERROR(__xludf.DUMMYFUNCTION("""COMPUTED_VALUE"""),44085.64583333333)</f>
        <v>44085.64583</v>
      </c>
      <c r="B5120" s="2">
        <f>IFERROR(__xludf.DUMMYFUNCTION("""COMPUTED_VALUE"""),1096.45)</f>
        <v>1096.45</v>
      </c>
      <c r="C5120" s="2">
        <f>IFERROR(__xludf.DUMMYFUNCTION("""COMPUTED_VALUE"""),1104.85)</f>
        <v>1104.85</v>
      </c>
      <c r="D5120" s="2">
        <f>IFERROR(__xludf.DUMMYFUNCTION("""COMPUTED_VALUE"""),1071.0)</f>
        <v>1071</v>
      </c>
      <c r="E5120" s="2">
        <f>IFERROR(__xludf.DUMMYFUNCTION("""COMPUTED_VALUE"""),1078.65)</f>
        <v>1078.65</v>
      </c>
      <c r="F5120" s="2">
        <f>IFERROR(__xludf.DUMMYFUNCTION("""COMPUTED_VALUE"""),1.0397545E7)</f>
        <v>10397545</v>
      </c>
    </row>
    <row r="5121">
      <c r="A5121" s="3">
        <f>IFERROR(__xludf.DUMMYFUNCTION("""COMPUTED_VALUE"""),44088.64583333333)</f>
        <v>44088.64583</v>
      </c>
      <c r="B5121" s="2">
        <f>IFERROR(__xludf.DUMMYFUNCTION("""COMPUTED_VALUE"""),1088.0)</f>
        <v>1088</v>
      </c>
      <c r="C5121" s="2">
        <f>IFERROR(__xludf.DUMMYFUNCTION("""COMPUTED_VALUE"""),1094.0)</f>
        <v>1094</v>
      </c>
      <c r="D5121" s="2">
        <f>IFERROR(__xludf.DUMMYFUNCTION("""COMPUTED_VALUE"""),1052.35)</f>
        <v>1052.35</v>
      </c>
      <c r="E5121" s="2">
        <f>IFERROR(__xludf.DUMMYFUNCTION("""COMPUTED_VALUE"""),1057.95)</f>
        <v>1057.95</v>
      </c>
      <c r="F5121" s="2">
        <f>IFERROR(__xludf.DUMMYFUNCTION("""COMPUTED_VALUE"""),1.0825874E7)</f>
        <v>10825874</v>
      </c>
    </row>
    <row r="5122">
      <c r="A5122" s="3">
        <f>IFERROR(__xludf.DUMMYFUNCTION("""COMPUTED_VALUE"""),44089.64583333333)</f>
        <v>44089.64583</v>
      </c>
      <c r="B5122" s="2">
        <f>IFERROR(__xludf.DUMMYFUNCTION("""COMPUTED_VALUE"""),1068.0)</f>
        <v>1068</v>
      </c>
      <c r="C5122" s="2">
        <f>IFERROR(__xludf.DUMMYFUNCTION("""COMPUTED_VALUE"""),1076.15)</f>
        <v>1076.15</v>
      </c>
      <c r="D5122" s="2">
        <f>IFERROR(__xludf.DUMMYFUNCTION("""COMPUTED_VALUE"""),1058.1)</f>
        <v>1058.1</v>
      </c>
      <c r="E5122" s="2">
        <f>IFERROR(__xludf.DUMMYFUNCTION("""COMPUTED_VALUE"""),1070.5)</f>
        <v>1070.5</v>
      </c>
      <c r="F5122" s="2">
        <f>IFERROR(__xludf.DUMMYFUNCTION("""COMPUTED_VALUE"""),8252566.0)</f>
        <v>8252566</v>
      </c>
    </row>
    <row r="5123">
      <c r="A5123" s="3">
        <f>IFERROR(__xludf.DUMMYFUNCTION("""COMPUTED_VALUE"""),44090.64583333333)</f>
        <v>44090.64583</v>
      </c>
      <c r="B5123" s="2">
        <f>IFERROR(__xludf.DUMMYFUNCTION("""COMPUTED_VALUE"""),1070.2)</f>
        <v>1070.2</v>
      </c>
      <c r="C5123" s="2">
        <f>IFERROR(__xludf.DUMMYFUNCTION("""COMPUTED_VALUE"""),1096.0)</f>
        <v>1096</v>
      </c>
      <c r="D5123" s="2">
        <f>IFERROR(__xludf.DUMMYFUNCTION("""COMPUTED_VALUE"""),1068.35)</f>
        <v>1068.35</v>
      </c>
      <c r="E5123" s="2">
        <f>IFERROR(__xludf.DUMMYFUNCTION("""COMPUTED_VALUE"""),1093.65)</f>
        <v>1093.65</v>
      </c>
      <c r="F5123" s="2">
        <f>IFERROR(__xludf.DUMMYFUNCTION("""COMPUTED_VALUE"""),9355126.0)</f>
        <v>9355126</v>
      </c>
    </row>
    <row r="5124">
      <c r="A5124" s="3">
        <f>IFERROR(__xludf.DUMMYFUNCTION("""COMPUTED_VALUE"""),44091.64583333333)</f>
        <v>44091.64583</v>
      </c>
      <c r="B5124" s="2">
        <f>IFERROR(__xludf.DUMMYFUNCTION("""COMPUTED_VALUE"""),1084.0)</f>
        <v>1084</v>
      </c>
      <c r="C5124" s="2">
        <f>IFERROR(__xludf.DUMMYFUNCTION("""COMPUTED_VALUE"""),1094.0)</f>
        <v>1094</v>
      </c>
      <c r="D5124" s="2">
        <f>IFERROR(__xludf.DUMMYFUNCTION("""COMPUTED_VALUE"""),1078.0)</f>
        <v>1078</v>
      </c>
      <c r="E5124" s="2">
        <f>IFERROR(__xludf.DUMMYFUNCTION("""COMPUTED_VALUE"""),1083.6)</f>
        <v>1083.6</v>
      </c>
      <c r="F5124" s="2">
        <f>IFERROR(__xludf.DUMMYFUNCTION("""COMPUTED_VALUE"""),9159413.0)</f>
        <v>9159413</v>
      </c>
    </row>
    <row r="5125">
      <c r="A5125" s="3">
        <f>IFERROR(__xludf.DUMMYFUNCTION("""COMPUTED_VALUE"""),44092.64583333333)</f>
        <v>44092.64583</v>
      </c>
      <c r="B5125" s="2">
        <f>IFERROR(__xludf.DUMMYFUNCTION("""COMPUTED_VALUE"""),1092.0)</f>
        <v>1092</v>
      </c>
      <c r="C5125" s="2">
        <f>IFERROR(__xludf.DUMMYFUNCTION("""COMPUTED_VALUE"""),1092.2)</f>
        <v>1092.2</v>
      </c>
      <c r="D5125" s="2">
        <f>IFERROR(__xludf.DUMMYFUNCTION("""COMPUTED_VALUE"""),1047.2)</f>
        <v>1047.2</v>
      </c>
      <c r="E5125" s="2">
        <f>IFERROR(__xludf.DUMMYFUNCTION("""COMPUTED_VALUE"""),1057.3)</f>
        <v>1057.3</v>
      </c>
      <c r="F5125" s="2">
        <f>IFERROR(__xludf.DUMMYFUNCTION("""COMPUTED_VALUE"""),1.1740889E7)</f>
        <v>11740889</v>
      </c>
    </row>
    <row r="5126">
      <c r="A5126" s="3">
        <f>IFERROR(__xludf.DUMMYFUNCTION("""COMPUTED_VALUE"""),44095.64583333333)</f>
        <v>44095.64583</v>
      </c>
      <c r="B5126" s="2">
        <f>IFERROR(__xludf.DUMMYFUNCTION("""COMPUTED_VALUE"""),1055.0)</f>
        <v>1055</v>
      </c>
      <c r="C5126" s="2">
        <f>IFERROR(__xludf.DUMMYFUNCTION("""COMPUTED_VALUE"""),1071.35)</f>
        <v>1071.35</v>
      </c>
      <c r="D5126" s="2">
        <f>IFERROR(__xludf.DUMMYFUNCTION("""COMPUTED_VALUE"""),1041.5)</f>
        <v>1041.5</v>
      </c>
      <c r="E5126" s="2">
        <f>IFERROR(__xludf.DUMMYFUNCTION("""COMPUTED_VALUE"""),1049.3)</f>
        <v>1049.3</v>
      </c>
      <c r="F5126" s="2">
        <f>IFERROR(__xludf.DUMMYFUNCTION("""COMPUTED_VALUE"""),9921439.0)</f>
        <v>9921439</v>
      </c>
    </row>
    <row r="5127">
      <c r="A5127" s="3">
        <f>IFERROR(__xludf.DUMMYFUNCTION("""COMPUTED_VALUE"""),44096.64583333333)</f>
        <v>44096.64583</v>
      </c>
      <c r="B5127" s="2">
        <f>IFERROR(__xludf.DUMMYFUNCTION("""COMPUTED_VALUE"""),1054.05)</f>
        <v>1054.05</v>
      </c>
      <c r="C5127" s="2">
        <f>IFERROR(__xludf.DUMMYFUNCTION("""COMPUTED_VALUE"""),1058.15)</f>
        <v>1058.15</v>
      </c>
      <c r="D5127" s="2">
        <f>IFERROR(__xludf.DUMMYFUNCTION("""COMPUTED_VALUE"""),1029.5)</f>
        <v>1029.5</v>
      </c>
      <c r="E5127" s="2">
        <f>IFERROR(__xludf.DUMMYFUNCTION("""COMPUTED_VALUE"""),1035.4)</f>
        <v>1035.4</v>
      </c>
      <c r="F5127" s="2">
        <f>IFERROR(__xludf.DUMMYFUNCTION("""COMPUTED_VALUE"""),9310339.0)</f>
        <v>9310339</v>
      </c>
    </row>
    <row r="5128">
      <c r="A5128" s="3">
        <f>IFERROR(__xludf.DUMMYFUNCTION("""COMPUTED_VALUE"""),44097.64583333333)</f>
        <v>44097.64583</v>
      </c>
      <c r="B5128" s="2">
        <f>IFERROR(__xludf.DUMMYFUNCTION("""COMPUTED_VALUE"""),1046.0)</f>
        <v>1046</v>
      </c>
      <c r="C5128" s="2">
        <f>IFERROR(__xludf.DUMMYFUNCTION("""COMPUTED_VALUE"""),1055.0)</f>
        <v>1055</v>
      </c>
      <c r="D5128" s="2">
        <f>IFERROR(__xludf.DUMMYFUNCTION("""COMPUTED_VALUE"""),1034.35)</f>
        <v>1034.35</v>
      </c>
      <c r="E5128" s="2">
        <f>IFERROR(__xludf.DUMMYFUNCTION("""COMPUTED_VALUE"""),1047.25)</f>
        <v>1047.25</v>
      </c>
      <c r="F5128" s="2">
        <f>IFERROR(__xludf.DUMMYFUNCTION("""COMPUTED_VALUE"""),8039935.0)</f>
        <v>8039935</v>
      </c>
    </row>
    <row r="5129">
      <c r="A5129" s="3">
        <f>IFERROR(__xludf.DUMMYFUNCTION("""COMPUTED_VALUE"""),44098.64583333333)</f>
        <v>44098.64583</v>
      </c>
      <c r="B5129" s="2">
        <f>IFERROR(__xludf.DUMMYFUNCTION("""COMPUTED_VALUE"""),1038.0)</f>
        <v>1038</v>
      </c>
      <c r="C5129" s="2">
        <f>IFERROR(__xludf.DUMMYFUNCTION("""COMPUTED_VALUE"""),1047.0)</f>
        <v>1047</v>
      </c>
      <c r="D5129" s="2">
        <f>IFERROR(__xludf.DUMMYFUNCTION("""COMPUTED_VALUE"""),1025.0)</f>
        <v>1025</v>
      </c>
      <c r="E5129" s="2">
        <f>IFERROR(__xludf.DUMMYFUNCTION("""COMPUTED_VALUE"""),1030.4)</f>
        <v>1030.4</v>
      </c>
      <c r="F5129" s="2">
        <f>IFERROR(__xludf.DUMMYFUNCTION("""COMPUTED_VALUE"""),9904895.0)</f>
        <v>9904895</v>
      </c>
    </row>
    <row r="5130">
      <c r="A5130" s="3">
        <f>IFERROR(__xludf.DUMMYFUNCTION("""COMPUTED_VALUE"""),44099.64583333333)</f>
        <v>44099.64583</v>
      </c>
      <c r="B5130" s="2">
        <f>IFERROR(__xludf.DUMMYFUNCTION("""COMPUTED_VALUE"""),1050.0)</f>
        <v>1050</v>
      </c>
      <c r="C5130" s="2">
        <f>IFERROR(__xludf.DUMMYFUNCTION("""COMPUTED_VALUE"""),1051.95)</f>
        <v>1051.95</v>
      </c>
      <c r="D5130" s="2">
        <f>IFERROR(__xludf.DUMMYFUNCTION("""COMPUTED_VALUE"""),1025.65)</f>
        <v>1025.65</v>
      </c>
      <c r="E5130" s="2">
        <f>IFERROR(__xludf.DUMMYFUNCTION("""COMPUTED_VALUE"""),1044.0)</f>
        <v>1044</v>
      </c>
      <c r="F5130" s="2">
        <f>IFERROR(__xludf.DUMMYFUNCTION("""COMPUTED_VALUE"""),1.0160775E7)</f>
        <v>10160775</v>
      </c>
    </row>
    <row r="5131">
      <c r="A5131" s="3">
        <f>IFERROR(__xludf.DUMMYFUNCTION("""COMPUTED_VALUE"""),44102.64583333333)</f>
        <v>44102.64583</v>
      </c>
      <c r="B5131" s="2">
        <f>IFERROR(__xludf.DUMMYFUNCTION("""COMPUTED_VALUE"""),1048.95)</f>
        <v>1048.95</v>
      </c>
      <c r="C5131" s="2">
        <f>IFERROR(__xludf.DUMMYFUNCTION("""COMPUTED_VALUE"""),1059.0)</f>
        <v>1059</v>
      </c>
      <c r="D5131" s="2">
        <f>IFERROR(__xludf.DUMMYFUNCTION("""COMPUTED_VALUE"""),1042.65)</f>
        <v>1042.65</v>
      </c>
      <c r="E5131" s="2">
        <f>IFERROR(__xludf.DUMMYFUNCTION("""COMPUTED_VALUE"""),1054.2)</f>
        <v>1054.2</v>
      </c>
      <c r="F5131" s="2">
        <f>IFERROR(__xludf.DUMMYFUNCTION("""COMPUTED_VALUE"""),8076211.0)</f>
        <v>8076211</v>
      </c>
    </row>
    <row r="5132">
      <c r="A5132" s="3">
        <f>IFERROR(__xludf.DUMMYFUNCTION("""COMPUTED_VALUE"""),44103.64583333333)</f>
        <v>44103.64583</v>
      </c>
      <c r="B5132" s="2">
        <f>IFERROR(__xludf.DUMMYFUNCTION("""COMPUTED_VALUE"""),1058.0)</f>
        <v>1058</v>
      </c>
      <c r="C5132" s="2">
        <f>IFERROR(__xludf.DUMMYFUNCTION("""COMPUTED_VALUE"""),1069.9)</f>
        <v>1069.9</v>
      </c>
      <c r="D5132" s="2">
        <f>IFERROR(__xludf.DUMMYFUNCTION("""COMPUTED_VALUE"""),1051.0)</f>
        <v>1051</v>
      </c>
      <c r="E5132" s="2">
        <f>IFERROR(__xludf.DUMMYFUNCTION("""COMPUTED_VALUE"""),1062.55)</f>
        <v>1062.55</v>
      </c>
      <c r="F5132" s="2">
        <f>IFERROR(__xludf.DUMMYFUNCTION("""COMPUTED_VALUE"""),6322274.0)</f>
        <v>6322274</v>
      </c>
    </row>
    <row r="5133">
      <c r="A5133" s="3">
        <f>IFERROR(__xludf.DUMMYFUNCTION("""COMPUTED_VALUE"""),44104.64583333333)</f>
        <v>44104.64583</v>
      </c>
      <c r="B5133" s="2">
        <f>IFERROR(__xludf.DUMMYFUNCTION("""COMPUTED_VALUE"""),1060.0)</f>
        <v>1060</v>
      </c>
      <c r="C5133" s="2">
        <f>IFERROR(__xludf.DUMMYFUNCTION("""COMPUTED_VALUE"""),1086.9)</f>
        <v>1086.9</v>
      </c>
      <c r="D5133" s="2">
        <f>IFERROR(__xludf.DUMMYFUNCTION("""COMPUTED_VALUE"""),1052.0)</f>
        <v>1052</v>
      </c>
      <c r="E5133" s="2">
        <f>IFERROR(__xludf.DUMMYFUNCTION("""COMPUTED_VALUE"""),1078.6)</f>
        <v>1078.6</v>
      </c>
      <c r="F5133" s="2">
        <f>IFERROR(__xludf.DUMMYFUNCTION("""COMPUTED_VALUE"""),9407038.0)</f>
        <v>9407038</v>
      </c>
    </row>
    <row r="5134">
      <c r="A5134" s="3">
        <f>IFERROR(__xludf.DUMMYFUNCTION("""COMPUTED_VALUE"""),44105.64583333333)</f>
        <v>44105.64583</v>
      </c>
      <c r="B5134" s="2">
        <f>IFERROR(__xludf.DUMMYFUNCTION("""COMPUTED_VALUE"""),1090.1)</f>
        <v>1090.1</v>
      </c>
      <c r="C5134" s="2">
        <f>IFERROR(__xludf.DUMMYFUNCTION("""COMPUTED_VALUE"""),1110.0)</f>
        <v>1110</v>
      </c>
      <c r="D5134" s="2">
        <f>IFERROR(__xludf.DUMMYFUNCTION("""COMPUTED_VALUE"""),1090.1)</f>
        <v>1090.1</v>
      </c>
      <c r="E5134" s="2">
        <f>IFERROR(__xludf.DUMMYFUNCTION("""COMPUTED_VALUE"""),1106.95)</f>
        <v>1106.95</v>
      </c>
      <c r="F5134" s="2">
        <f>IFERROR(__xludf.DUMMYFUNCTION("""COMPUTED_VALUE"""),1.0601566E7)</f>
        <v>10601566</v>
      </c>
    </row>
    <row r="5135">
      <c r="A5135" s="3">
        <f>IFERROR(__xludf.DUMMYFUNCTION("""COMPUTED_VALUE"""),44109.64583333333)</f>
        <v>44109.64583</v>
      </c>
      <c r="B5135" s="2">
        <f>IFERROR(__xludf.DUMMYFUNCTION("""COMPUTED_VALUE"""),1112.0)</f>
        <v>1112</v>
      </c>
      <c r="C5135" s="2">
        <f>IFERROR(__xludf.DUMMYFUNCTION("""COMPUTED_VALUE"""),1132.0)</f>
        <v>1132</v>
      </c>
      <c r="D5135" s="2">
        <f>IFERROR(__xludf.DUMMYFUNCTION("""COMPUTED_VALUE"""),1111.0)</f>
        <v>1111</v>
      </c>
      <c r="E5135" s="2">
        <f>IFERROR(__xludf.DUMMYFUNCTION("""COMPUTED_VALUE"""),1114.35)</f>
        <v>1114.35</v>
      </c>
      <c r="F5135" s="2">
        <f>IFERROR(__xludf.DUMMYFUNCTION("""COMPUTED_VALUE"""),8470109.0)</f>
        <v>8470109</v>
      </c>
    </row>
    <row r="5136">
      <c r="A5136" s="3">
        <f>IFERROR(__xludf.DUMMYFUNCTION("""COMPUTED_VALUE"""),44110.64583333333)</f>
        <v>44110.64583</v>
      </c>
      <c r="B5136" s="2">
        <f>IFERROR(__xludf.DUMMYFUNCTION("""COMPUTED_VALUE"""),1135.05)</f>
        <v>1135.05</v>
      </c>
      <c r="C5136" s="2">
        <f>IFERROR(__xludf.DUMMYFUNCTION("""COMPUTED_VALUE"""),1148.0)</f>
        <v>1148</v>
      </c>
      <c r="D5136" s="2">
        <f>IFERROR(__xludf.DUMMYFUNCTION("""COMPUTED_VALUE"""),1126.2)</f>
        <v>1126.2</v>
      </c>
      <c r="E5136" s="2">
        <f>IFERROR(__xludf.DUMMYFUNCTION("""COMPUTED_VALUE"""),1144.1)</f>
        <v>1144.1</v>
      </c>
      <c r="F5136" s="2">
        <f>IFERROR(__xludf.DUMMYFUNCTION("""COMPUTED_VALUE"""),9685997.0)</f>
        <v>9685997</v>
      </c>
    </row>
    <row r="5137">
      <c r="A5137" s="3">
        <f>IFERROR(__xludf.DUMMYFUNCTION("""COMPUTED_VALUE"""),44111.64583333333)</f>
        <v>44111.64583</v>
      </c>
      <c r="B5137" s="2">
        <f>IFERROR(__xludf.DUMMYFUNCTION("""COMPUTED_VALUE"""),1144.9)</f>
        <v>1144.9</v>
      </c>
      <c r="C5137" s="2">
        <f>IFERROR(__xludf.DUMMYFUNCTION("""COMPUTED_VALUE"""),1164.85)</f>
        <v>1164.85</v>
      </c>
      <c r="D5137" s="2">
        <f>IFERROR(__xludf.DUMMYFUNCTION("""COMPUTED_VALUE"""),1137.6)</f>
        <v>1137.6</v>
      </c>
      <c r="E5137" s="2">
        <f>IFERROR(__xludf.DUMMYFUNCTION("""COMPUTED_VALUE"""),1162.25)</f>
        <v>1162.25</v>
      </c>
      <c r="F5137" s="2">
        <f>IFERROR(__xludf.DUMMYFUNCTION("""COMPUTED_VALUE"""),1.0624527E7)</f>
        <v>10624527</v>
      </c>
    </row>
    <row r="5138">
      <c r="A5138" s="3">
        <f>IFERROR(__xludf.DUMMYFUNCTION("""COMPUTED_VALUE"""),44112.64583333333)</f>
        <v>44112.64583</v>
      </c>
      <c r="B5138" s="2">
        <f>IFERROR(__xludf.DUMMYFUNCTION("""COMPUTED_VALUE"""),1180.0)</f>
        <v>1180</v>
      </c>
      <c r="C5138" s="2">
        <f>IFERROR(__xludf.DUMMYFUNCTION("""COMPUTED_VALUE"""),1203.0)</f>
        <v>1203</v>
      </c>
      <c r="D5138" s="2">
        <f>IFERROR(__xludf.DUMMYFUNCTION("""COMPUTED_VALUE"""),1163.35)</f>
        <v>1163.35</v>
      </c>
      <c r="E5138" s="2">
        <f>IFERROR(__xludf.DUMMYFUNCTION("""COMPUTED_VALUE"""),1191.8)</f>
        <v>1191.8</v>
      </c>
      <c r="F5138" s="2">
        <f>IFERROR(__xludf.DUMMYFUNCTION("""COMPUTED_VALUE"""),1.7530368E7)</f>
        <v>17530368</v>
      </c>
    </row>
    <row r="5139">
      <c r="A5139" s="3">
        <f>IFERROR(__xludf.DUMMYFUNCTION("""COMPUTED_VALUE"""),44113.64583333333)</f>
        <v>44113.64583</v>
      </c>
      <c r="B5139" s="2">
        <f>IFERROR(__xludf.DUMMYFUNCTION("""COMPUTED_VALUE"""),1201.0)</f>
        <v>1201</v>
      </c>
      <c r="C5139" s="2">
        <f>IFERROR(__xludf.DUMMYFUNCTION("""COMPUTED_VALUE"""),1237.0)</f>
        <v>1237</v>
      </c>
      <c r="D5139" s="2">
        <f>IFERROR(__xludf.DUMMYFUNCTION("""COMPUTED_VALUE"""),1191.65)</f>
        <v>1191.65</v>
      </c>
      <c r="E5139" s="2">
        <f>IFERROR(__xludf.DUMMYFUNCTION("""COMPUTED_VALUE"""),1233.55)</f>
        <v>1233.55</v>
      </c>
      <c r="F5139" s="2">
        <f>IFERROR(__xludf.DUMMYFUNCTION("""COMPUTED_VALUE"""),2.2486215E7)</f>
        <v>22486215</v>
      </c>
    </row>
    <row r="5140">
      <c r="A5140" s="3">
        <f>IFERROR(__xludf.DUMMYFUNCTION("""COMPUTED_VALUE"""),44116.64583333333)</f>
        <v>44116.64583</v>
      </c>
      <c r="B5140" s="2">
        <f>IFERROR(__xludf.DUMMYFUNCTION("""COMPUTED_VALUE"""),1231.55)</f>
        <v>1231.55</v>
      </c>
      <c r="C5140" s="2">
        <f>IFERROR(__xludf.DUMMYFUNCTION("""COMPUTED_VALUE"""),1242.75)</f>
        <v>1242.75</v>
      </c>
      <c r="D5140" s="2">
        <f>IFERROR(__xludf.DUMMYFUNCTION("""COMPUTED_VALUE"""),1205.6)</f>
        <v>1205.6</v>
      </c>
      <c r="E5140" s="2">
        <f>IFERROR(__xludf.DUMMYFUNCTION("""COMPUTED_VALUE"""),1213.65)</f>
        <v>1213.65</v>
      </c>
      <c r="F5140" s="2">
        <f>IFERROR(__xludf.DUMMYFUNCTION("""COMPUTED_VALUE"""),9610277.0)</f>
        <v>9610277</v>
      </c>
    </row>
    <row r="5141">
      <c r="A5141" s="3">
        <f>IFERROR(__xludf.DUMMYFUNCTION("""COMPUTED_VALUE"""),44117.64583333333)</f>
        <v>44117.64583</v>
      </c>
      <c r="B5141" s="2">
        <f>IFERROR(__xludf.DUMMYFUNCTION("""COMPUTED_VALUE"""),1213.4)</f>
        <v>1213.4</v>
      </c>
      <c r="C5141" s="2">
        <f>IFERROR(__xludf.DUMMYFUNCTION("""COMPUTED_VALUE"""),1222.45)</f>
        <v>1222.45</v>
      </c>
      <c r="D5141" s="2">
        <f>IFERROR(__xludf.DUMMYFUNCTION("""COMPUTED_VALUE"""),1195.0)</f>
        <v>1195</v>
      </c>
      <c r="E5141" s="2">
        <f>IFERROR(__xludf.DUMMYFUNCTION("""COMPUTED_VALUE"""),1198.45)</f>
        <v>1198.45</v>
      </c>
      <c r="F5141" s="2">
        <f>IFERROR(__xludf.DUMMYFUNCTION("""COMPUTED_VALUE"""),9177015.0)</f>
        <v>9177015</v>
      </c>
    </row>
    <row r="5142">
      <c r="A5142" s="3">
        <f>IFERROR(__xludf.DUMMYFUNCTION("""COMPUTED_VALUE"""),44118.64583333333)</f>
        <v>44118.64583</v>
      </c>
      <c r="B5142" s="2">
        <f>IFERROR(__xludf.DUMMYFUNCTION("""COMPUTED_VALUE"""),1195.55)</f>
        <v>1195.55</v>
      </c>
      <c r="C5142" s="2">
        <f>IFERROR(__xludf.DUMMYFUNCTION("""COMPUTED_VALUE"""),1214.3)</f>
        <v>1214.3</v>
      </c>
      <c r="D5142" s="2">
        <f>IFERROR(__xludf.DUMMYFUNCTION("""COMPUTED_VALUE"""),1175.5)</f>
        <v>1175.5</v>
      </c>
      <c r="E5142" s="2">
        <f>IFERROR(__xludf.DUMMYFUNCTION("""COMPUTED_VALUE"""),1211.5)</f>
        <v>1211.5</v>
      </c>
      <c r="F5142" s="2">
        <f>IFERROR(__xludf.DUMMYFUNCTION("""COMPUTED_VALUE"""),1.1291473E7)</f>
        <v>11291473</v>
      </c>
    </row>
    <row r="5143">
      <c r="A5143" s="3">
        <f>IFERROR(__xludf.DUMMYFUNCTION("""COMPUTED_VALUE"""),44119.64583333333)</f>
        <v>44119.64583</v>
      </c>
      <c r="B5143" s="2">
        <f>IFERROR(__xludf.DUMMYFUNCTION("""COMPUTED_VALUE"""),1214.2)</f>
        <v>1214.2</v>
      </c>
      <c r="C5143" s="2">
        <f>IFERROR(__xludf.DUMMYFUNCTION("""COMPUTED_VALUE"""),1217.0)</f>
        <v>1217</v>
      </c>
      <c r="D5143" s="2">
        <f>IFERROR(__xludf.DUMMYFUNCTION("""COMPUTED_VALUE"""),1164.0)</f>
        <v>1164</v>
      </c>
      <c r="E5143" s="2">
        <f>IFERROR(__xludf.DUMMYFUNCTION("""COMPUTED_VALUE"""),1169.25)</f>
        <v>1169.25</v>
      </c>
      <c r="F5143" s="2">
        <f>IFERROR(__xludf.DUMMYFUNCTION("""COMPUTED_VALUE"""),1.4123569E7)</f>
        <v>14123569</v>
      </c>
    </row>
    <row r="5144">
      <c r="A5144" s="3">
        <f>IFERROR(__xludf.DUMMYFUNCTION("""COMPUTED_VALUE"""),44120.64583333333)</f>
        <v>44120.64583</v>
      </c>
      <c r="B5144" s="2">
        <f>IFERROR(__xludf.DUMMYFUNCTION("""COMPUTED_VALUE"""),1180.0)</f>
        <v>1180</v>
      </c>
      <c r="C5144" s="2">
        <f>IFERROR(__xludf.DUMMYFUNCTION("""COMPUTED_VALUE"""),1203.5)</f>
        <v>1203.5</v>
      </c>
      <c r="D5144" s="2">
        <f>IFERROR(__xludf.DUMMYFUNCTION("""COMPUTED_VALUE"""),1173.0)</f>
        <v>1173</v>
      </c>
      <c r="E5144" s="2">
        <f>IFERROR(__xludf.DUMMYFUNCTION("""COMPUTED_VALUE"""),1199.35)</f>
        <v>1199.35</v>
      </c>
      <c r="F5144" s="2">
        <f>IFERROR(__xludf.DUMMYFUNCTION("""COMPUTED_VALUE"""),1.2911559E7)</f>
        <v>12911559</v>
      </c>
    </row>
    <row r="5145">
      <c r="A5145" s="3">
        <f>IFERROR(__xludf.DUMMYFUNCTION("""COMPUTED_VALUE"""),44123.64583333333)</f>
        <v>44123.64583</v>
      </c>
      <c r="B5145" s="2">
        <f>IFERROR(__xludf.DUMMYFUNCTION("""COMPUTED_VALUE"""),1235.0)</f>
        <v>1235</v>
      </c>
      <c r="C5145" s="2">
        <f>IFERROR(__xludf.DUMMYFUNCTION("""COMPUTED_VALUE"""),1235.0)</f>
        <v>1235</v>
      </c>
      <c r="D5145" s="2">
        <f>IFERROR(__xludf.DUMMYFUNCTION("""COMPUTED_VALUE"""),1192.6)</f>
        <v>1192.6</v>
      </c>
      <c r="E5145" s="2">
        <f>IFERROR(__xludf.DUMMYFUNCTION("""COMPUTED_VALUE"""),1203.55)</f>
        <v>1203.55</v>
      </c>
      <c r="F5145" s="2">
        <f>IFERROR(__xludf.DUMMYFUNCTION("""COMPUTED_VALUE"""),2.1179884E7)</f>
        <v>21179884</v>
      </c>
    </row>
    <row r="5146">
      <c r="A5146" s="3">
        <f>IFERROR(__xludf.DUMMYFUNCTION("""COMPUTED_VALUE"""),44124.64583333333)</f>
        <v>44124.64583</v>
      </c>
      <c r="B5146" s="2">
        <f>IFERROR(__xludf.DUMMYFUNCTION("""COMPUTED_VALUE"""),1207.5)</f>
        <v>1207.5</v>
      </c>
      <c r="C5146" s="2">
        <f>IFERROR(__xludf.DUMMYFUNCTION("""COMPUTED_VALUE"""),1227.4)</f>
        <v>1227.4</v>
      </c>
      <c r="D5146" s="2">
        <f>IFERROR(__xludf.DUMMYFUNCTION("""COMPUTED_VALUE"""),1205.9)</f>
        <v>1205.9</v>
      </c>
      <c r="E5146" s="2">
        <f>IFERROR(__xludf.DUMMYFUNCTION("""COMPUTED_VALUE"""),1223.95)</f>
        <v>1223.95</v>
      </c>
      <c r="F5146" s="2">
        <f>IFERROR(__xludf.DUMMYFUNCTION("""COMPUTED_VALUE"""),1.3705994E7)</f>
        <v>13705994</v>
      </c>
    </row>
    <row r="5147">
      <c r="A5147" s="3">
        <f>IFERROR(__xludf.DUMMYFUNCTION("""COMPUTED_VALUE"""),44125.64583333333)</f>
        <v>44125.64583</v>
      </c>
      <c r="B5147" s="2">
        <f>IFERROR(__xludf.DUMMYFUNCTION("""COMPUTED_VALUE"""),1230.6)</f>
        <v>1230.6</v>
      </c>
      <c r="C5147" s="2">
        <f>IFERROR(__xludf.DUMMYFUNCTION("""COMPUTED_VALUE"""),1251.0)</f>
        <v>1251</v>
      </c>
      <c r="D5147" s="2">
        <f>IFERROR(__xludf.DUMMYFUNCTION("""COMPUTED_VALUE"""),1221.7)</f>
        <v>1221.7</v>
      </c>
      <c r="E5147" s="2">
        <f>IFERROR(__xludf.DUMMYFUNCTION("""COMPUTED_VALUE"""),1246.7)</f>
        <v>1246.7</v>
      </c>
      <c r="F5147" s="2">
        <f>IFERROR(__xludf.DUMMYFUNCTION("""COMPUTED_VALUE"""),1.7820565E7)</f>
        <v>17820565</v>
      </c>
    </row>
    <row r="5148">
      <c r="A5148" s="3">
        <f>IFERROR(__xludf.DUMMYFUNCTION("""COMPUTED_VALUE"""),44126.64583333333)</f>
        <v>44126.64583</v>
      </c>
      <c r="B5148" s="2">
        <f>IFERROR(__xludf.DUMMYFUNCTION("""COMPUTED_VALUE"""),1239.95)</f>
        <v>1239.95</v>
      </c>
      <c r="C5148" s="2">
        <f>IFERROR(__xludf.DUMMYFUNCTION("""COMPUTED_VALUE"""),1250.0)</f>
        <v>1250</v>
      </c>
      <c r="D5148" s="2">
        <f>IFERROR(__xludf.DUMMYFUNCTION("""COMPUTED_VALUE"""),1223.0)</f>
        <v>1223</v>
      </c>
      <c r="E5148" s="2">
        <f>IFERROR(__xludf.DUMMYFUNCTION("""COMPUTED_VALUE"""),1233.3)</f>
        <v>1233.3</v>
      </c>
      <c r="F5148" s="2">
        <f>IFERROR(__xludf.DUMMYFUNCTION("""COMPUTED_VALUE"""),1.0956548E7)</f>
        <v>10956548</v>
      </c>
    </row>
    <row r="5149">
      <c r="A5149" s="3">
        <f>IFERROR(__xludf.DUMMYFUNCTION("""COMPUTED_VALUE"""),44127.64583333333)</f>
        <v>44127.64583</v>
      </c>
      <c r="B5149" s="2">
        <f>IFERROR(__xludf.DUMMYFUNCTION("""COMPUTED_VALUE"""),1243.5)</f>
        <v>1243.5</v>
      </c>
      <c r="C5149" s="2">
        <f>IFERROR(__xludf.DUMMYFUNCTION("""COMPUTED_VALUE"""),1248.45)</f>
        <v>1248.45</v>
      </c>
      <c r="D5149" s="2">
        <f>IFERROR(__xludf.DUMMYFUNCTION("""COMPUTED_VALUE"""),1231.2)</f>
        <v>1231.2</v>
      </c>
      <c r="E5149" s="2">
        <f>IFERROR(__xludf.DUMMYFUNCTION("""COMPUTED_VALUE"""),1235.8)</f>
        <v>1235.8</v>
      </c>
      <c r="F5149" s="2">
        <f>IFERROR(__xludf.DUMMYFUNCTION("""COMPUTED_VALUE"""),7933126.0)</f>
        <v>7933126</v>
      </c>
    </row>
    <row r="5150">
      <c r="A5150" s="3">
        <f>IFERROR(__xludf.DUMMYFUNCTION("""COMPUTED_VALUE"""),44130.64583333333)</f>
        <v>44130.64583</v>
      </c>
      <c r="B5150" s="2">
        <f>IFERROR(__xludf.DUMMYFUNCTION("""COMPUTED_VALUE"""),1229.8)</f>
        <v>1229.8</v>
      </c>
      <c r="C5150" s="2">
        <f>IFERROR(__xludf.DUMMYFUNCTION("""COMPUTED_VALUE"""),1242.0)</f>
        <v>1242</v>
      </c>
      <c r="D5150" s="2">
        <f>IFERROR(__xludf.DUMMYFUNCTION("""COMPUTED_VALUE"""),1204.6)</f>
        <v>1204.6</v>
      </c>
      <c r="E5150" s="2">
        <f>IFERROR(__xludf.DUMMYFUNCTION("""COMPUTED_VALUE"""),1210.9)</f>
        <v>1210.9</v>
      </c>
      <c r="F5150" s="2">
        <f>IFERROR(__xludf.DUMMYFUNCTION("""COMPUTED_VALUE"""),9786023.0)</f>
        <v>9786023</v>
      </c>
    </row>
    <row r="5151">
      <c r="A5151" s="3">
        <f>IFERROR(__xludf.DUMMYFUNCTION("""COMPUTED_VALUE"""),44131.64583333333)</f>
        <v>44131.64583</v>
      </c>
      <c r="B5151" s="2">
        <f>IFERROR(__xludf.DUMMYFUNCTION("""COMPUTED_VALUE"""),1226.0)</f>
        <v>1226</v>
      </c>
      <c r="C5151" s="2">
        <f>IFERROR(__xludf.DUMMYFUNCTION("""COMPUTED_VALUE"""),1236.0)</f>
        <v>1236</v>
      </c>
      <c r="D5151" s="2">
        <f>IFERROR(__xludf.DUMMYFUNCTION("""COMPUTED_VALUE"""),1197.85)</f>
        <v>1197.85</v>
      </c>
      <c r="E5151" s="2">
        <f>IFERROR(__xludf.DUMMYFUNCTION("""COMPUTED_VALUE"""),1233.1)</f>
        <v>1233.1</v>
      </c>
      <c r="F5151" s="2">
        <f>IFERROR(__xludf.DUMMYFUNCTION("""COMPUTED_VALUE"""),1.2158922E7)</f>
        <v>12158922</v>
      </c>
    </row>
    <row r="5152">
      <c r="A5152" s="3">
        <f>IFERROR(__xludf.DUMMYFUNCTION("""COMPUTED_VALUE"""),44132.64583333333)</f>
        <v>44132.64583</v>
      </c>
      <c r="B5152" s="2">
        <f>IFERROR(__xludf.DUMMYFUNCTION("""COMPUTED_VALUE"""),1228.0)</f>
        <v>1228</v>
      </c>
      <c r="C5152" s="2">
        <f>IFERROR(__xludf.DUMMYFUNCTION("""COMPUTED_VALUE"""),1232.0)</f>
        <v>1232</v>
      </c>
      <c r="D5152" s="2">
        <f>IFERROR(__xludf.DUMMYFUNCTION("""COMPUTED_VALUE"""),1201.5)</f>
        <v>1201.5</v>
      </c>
      <c r="E5152" s="2">
        <f>IFERROR(__xludf.DUMMYFUNCTION("""COMPUTED_VALUE"""),1209.6)</f>
        <v>1209.6</v>
      </c>
      <c r="F5152" s="2">
        <f>IFERROR(__xludf.DUMMYFUNCTION("""COMPUTED_VALUE"""),8285625.0)</f>
        <v>8285625</v>
      </c>
    </row>
    <row r="5153">
      <c r="A5153" s="3">
        <f>IFERROR(__xludf.DUMMYFUNCTION("""COMPUTED_VALUE"""),44133.64583333333)</f>
        <v>44133.64583</v>
      </c>
      <c r="B5153" s="2">
        <f>IFERROR(__xludf.DUMMYFUNCTION("""COMPUTED_VALUE"""),1200.6)</f>
        <v>1200.6</v>
      </c>
      <c r="C5153" s="2">
        <f>IFERROR(__xludf.DUMMYFUNCTION("""COMPUTED_VALUE"""),1204.45)</f>
        <v>1204.45</v>
      </c>
      <c r="D5153" s="2">
        <f>IFERROR(__xludf.DUMMYFUNCTION("""COMPUTED_VALUE"""),1178.5)</f>
        <v>1178.5</v>
      </c>
      <c r="E5153" s="2">
        <f>IFERROR(__xludf.DUMMYFUNCTION("""COMPUTED_VALUE"""),1187.2)</f>
        <v>1187.2</v>
      </c>
      <c r="F5153" s="2">
        <f>IFERROR(__xludf.DUMMYFUNCTION("""COMPUTED_VALUE"""),1.1530152E7)</f>
        <v>11530152</v>
      </c>
    </row>
    <row r="5154">
      <c r="A5154" s="3">
        <f>IFERROR(__xludf.DUMMYFUNCTION("""COMPUTED_VALUE"""),44134.64583333333)</f>
        <v>44134.64583</v>
      </c>
      <c r="B5154" s="2">
        <f>IFERROR(__xludf.DUMMYFUNCTION("""COMPUTED_VALUE"""),1182.55)</f>
        <v>1182.55</v>
      </c>
      <c r="C5154" s="2">
        <f>IFERROR(__xludf.DUMMYFUNCTION("""COMPUTED_VALUE"""),1199.3)</f>
        <v>1199.3</v>
      </c>
      <c r="D5154" s="2">
        <f>IFERROR(__xludf.DUMMYFUNCTION("""COMPUTED_VALUE"""),1176.35)</f>
        <v>1176.35</v>
      </c>
      <c r="E5154" s="2">
        <f>IFERROR(__xludf.DUMMYFUNCTION("""COMPUTED_VALUE"""),1183.55)</f>
        <v>1183.55</v>
      </c>
      <c r="F5154" s="2">
        <f>IFERROR(__xludf.DUMMYFUNCTION("""COMPUTED_VALUE"""),5761470.0)</f>
        <v>5761470</v>
      </c>
    </row>
    <row r="5155">
      <c r="A5155" s="3">
        <f>IFERROR(__xludf.DUMMYFUNCTION("""COMPUTED_VALUE"""),44137.64583333333)</f>
        <v>44137.64583</v>
      </c>
      <c r="B5155" s="2">
        <f>IFERROR(__xludf.DUMMYFUNCTION("""COMPUTED_VALUE"""),1194.35)</f>
        <v>1194.35</v>
      </c>
      <c r="C5155" s="2">
        <f>IFERROR(__xludf.DUMMYFUNCTION("""COMPUTED_VALUE"""),1225.0)</f>
        <v>1225</v>
      </c>
      <c r="D5155" s="2">
        <f>IFERROR(__xludf.DUMMYFUNCTION("""COMPUTED_VALUE"""),1177.5)</f>
        <v>1177.5</v>
      </c>
      <c r="E5155" s="2">
        <f>IFERROR(__xludf.DUMMYFUNCTION("""COMPUTED_VALUE"""),1215.25)</f>
        <v>1215.25</v>
      </c>
      <c r="F5155" s="2">
        <f>IFERROR(__xludf.DUMMYFUNCTION("""COMPUTED_VALUE"""),1.096304E7)</f>
        <v>10963040</v>
      </c>
    </row>
    <row r="5156">
      <c r="A5156" s="3">
        <f>IFERROR(__xludf.DUMMYFUNCTION("""COMPUTED_VALUE"""),44138.64583333333)</f>
        <v>44138.64583</v>
      </c>
      <c r="B5156" s="2">
        <f>IFERROR(__xludf.DUMMYFUNCTION("""COMPUTED_VALUE"""),1226.45)</f>
        <v>1226.45</v>
      </c>
      <c r="C5156" s="2">
        <f>IFERROR(__xludf.DUMMYFUNCTION("""COMPUTED_VALUE"""),1250.75)</f>
        <v>1250.75</v>
      </c>
      <c r="D5156" s="2">
        <f>IFERROR(__xludf.DUMMYFUNCTION("""COMPUTED_VALUE"""),1225.5)</f>
        <v>1225.5</v>
      </c>
      <c r="E5156" s="2">
        <f>IFERROR(__xludf.DUMMYFUNCTION("""COMPUTED_VALUE"""),1247.95)</f>
        <v>1247.95</v>
      </c>
      <c r="F5156" s="2">
        <f>IFERROR(__xludf.DUMMYFUNCTION("""COMPUTED_VALUE"""),1.4082115E7)</f>
        <v>14082115</v>
      </c>
    </row>
    <row r="5157">
      <c r="A5157" s="3">
        <f>IFERROR(__xludf.DUMMYFUNCTION("""COMPUTED_VALUE"""),44139.64583333333)</f>
        <v>44139.64583</v>
      </c>
      <c r="B5157" s="2">
        <f>IFERROR(__xludf.DUMMYFUNCTION("""COMPUTED_VALUE"""),1252.0)</f>
        <v>1252</v>
      </c>
      <c r="C5157" s="2">
        <f>IFERROR(__xludf.DUMMYFUNCTION("""COMPUTED_VALUE"""),1264.8)</f>
        <v>1264.8</v>
      </c>
      <c r="D5157" s="2">
        <f>IFERROR(__xludf.DUMMYFUNCTION("""COMPUTED_VALUE"""),1230.0)</f>
        <v>1230</v>
      </c>
      <c r="E5157" s="2">
        <f>IFERROR(__xludf.DUMMYFUNCTION("""COMPUTED_VALUE"""),1257.4)</f>
        <v>1257.4</v>
      </c>
      <c r="F5157" s="2">
        <f>IFERROR(__xludf.DUMMYFUNCTION("""COMPUTED_VALUE"""),1.1702411E7)</f>
        <v>11702411</v>
      </c>
    </row>
    <row r="5158">
      <c r="A5158" s="3">
        <f>IFERROR(__xludf.DUMMYFUNCTION("""COMPUTED_VALUE"""),44140.64583333333)</f>
        <v>44140.64583</v>
      </c>
      <c r="B5158" s="2">
        <f>IFERROR(__xludf.DUMMYFUNCTION("""COMPUTED_VALUE"""),1266.0)</f>
        <v>1266</v>
      </c>
      <c r="C5158" s="2">
        <f>IFERROR(__xludf.DUMMYFUNCTION("""COMPUTED_VALUE"""),1276.0)</f>
        <v>1276</v>
      </c>
      <c r="D5158" s="2">
        <f>IFERROR(__xludf.DUMMYFUNCTION("""COMPUTED_VALUE"""),1252.35)</f>
        <v>1252.35</v>
      </c>
      <c r="E5158" s="2">
        <f>IFERROR(__xludf.DUMMYFUNCTION("""COMPUTED_VALUE"""),1269.2)</f>
        <v>1269.2</v>
      </c>
      <c r="F5158" s="2">
        <f>IFERROR(__xludf.DUMMYFUNCTION("""COMPUTED_VALUE"""),1.0716964E7)</f>
        <v>10716964</v>
      </c>
    </row>
    <row r="5159">
      <c r="A5159" s="3">
        <f>IFERROR(__xludf.DUMMYFUNCTION("""COMPUTED_VALUE"""),44141.64583333333)</f>
        <v>44141.64583</v>
      </c>
      <c r="B5159" s="2">
        <f>IFERROR(__xludf.DUMMYFUNCTION("""COMPUTED_VALUE"""),1266.25)</f>
        <v>1266.25</v>
      </c>
      <c r="C5159" s="2">
        <f>IFERROR(__xludf.DUMMYFUNCTION("""COMPUTED_VALUE"""),1310.0)</f>
        <v>1310</v>
      </c>
      <c r="D5159" s="2">
        <f>IFERROR(__xludf.DUMMYFUNCTION("""COMPUTED_VALUE"""),1265.5)</f>
        <v>1265.5</v>
      </c>
      <c r="E5159" s="2">
        <f>IFERROR(__xludf.DUMMYFUNCTION("""COMPUTED_VALUE"""),1307.65)</f>
        <v>1307.65</v>
      </c>
      <c r="F5159" s="2">
        <f>IFERROR(__xludf.DUMMYFUNCTION("""COMPUTED_VALUE"""),1.7852862E7)</f>
        <v>17852862</v>
      </c>
    </row>
    <row r="5160">
      <c r="A5160" s="3">
        <f>IFERROR(__xludf.DUMMYFUNCTION("""COMPUTED_VALUE"""),44144.64583333333)</f>
        <v>44144.64583</v>
      </c>
      <c r="B5160" s="2">
        <f>IFERROR(__xludf.DUMMYFUNCTION("""COMPUTED_VALUE"""),1315.2)</f>
        <v>1315.2</v>
      </c>
      <c r="C5160" s="2">
        <f>IFERROR(__xludf.DUMMYFUNCTION("""COMPUTED_VALUE"""),1345.95)</f>
        <v>1345.95</v>
      </c>
      <c r="D5160" s="2">
        <f>IFERROR(__xludf.DUMMYFUNCTION("""COMPUTED_VALUE"""),1315.2)</f>
        <v>1315.2</v>
      </c>
      <c r="E5160" s="2">
        <f>IFERROR(__xludf.DUMMYFUNCTION("""COMPUTED_VALUE"""),1340.55)</f>
        <v>1340.55</v>
      </c>
      <c r="F5160" s="2">
        <f>IFERROR(__xludf.DUMMYFUNCTION("""COMPUTED_VALUE"""),1.314422E7)</f>
        <v>13144220</v>
      </c>
    </row>
    <row r="5161">
      <c r="A5161" s="3">
        <f>IFERROR(__xludf.DUMMYFUNCTION("""COMPUTED_VALUE"""),44145.64583333333)</f>
        <v>44145.64583</v>
      </c>
      <c r="B5161" s="2">
        <f>IFERROR(__xludf.DUMMYFUNCTION("""COMPUTED_VALUE"""),1357.0)</f>
        <v>1357</v>
      </c>
      <c r="C5161" s="2">
        <f>IFERROR(__xludf.DUMMYFUNCTION("""COMPUTED_VALUE"""),1395.0)</f>
        <v>1395</v>
      </c>
      <c r="D5161" s="2">
        <f>IFERROR(__xludf.DUMMYFUNCTION("""COMPUTED_VALUE"""),1351.55)</f>
        <v>1351.55</v>
      </c>
      <c r="E5161" s="2">
        <f>IFERROR(__xludf.DUMMYFUNCTION("""COMPUTED_VALUE"""),1393.65)</f>
        <v>1393.65</v>
      </c>
      <c r="F5161" s="2">
        <f>IFERROR(__xludf.DUMMYFUNCTION("""COMPUTED_VALUE"""),2.0758678E7)</f>
        <v>20758678</v>
      </c>
    </row>
    <row r="5162">
      <c r="A5162" s="3">
        <f>IFERROR(__xludf.DUMMYFUNCTION("""COMPUTED_VALUE"""),44146.64583333333)</f>
        <v>44146.64583</v>
      </c>
      <c r="B5162" s="2">
        <f>IFERROR(__xludf.DUMMYFUNCTION("""COMPUTED_VALUE"""),1399.9)</f>
        <v>1399.9</v>
      </c>
      <c r="C5162" s="2">
        <f>IFERROR(__xludf.DUMMYFUNCTION("""COMPUTED_VALUE"""),1414.8)</f>
        <v>1414.8</v>
      </c>
      <c r="D5162" s="2">
        <f>IFERROR(__xludf.DUMMYFUNCTION("""COMPUTED_VALUE"""),1370.5)</f>
        <v>1370.5</v>
      </c>
      <c r="E5162" s="2">
        <f>IFERROR(__xludf.DUMMYFUNCTION("""COMPUTED_VALUE"""),1389.95)</f>
        <v>1389.95</v>
      </c>
      <c r="F5162" s="2">
        <f>IFERROR(__xludf.DUMMYFUNCTION("""COMPUTED_VALUE"""),1.8058097E7)</f>
        <v>18058097</v>
      </c>
    </row>
    <row r="5163">
      <c r="A5163" s="3">
        <f>IFERROR(__xludf.DUMMYFUNCTION("""COMPUTED_VALUE"""),44147.64583333333)</f>
        <v>44147.64583</v>
      </c>
      <c r="B5163" s="2">
        <f>IFERROR(__xludf.DUMMYFUNCTION("""COMPUTED_VALUE"""),1377.4)</f>
        <v>1377.4</v>
      </c>
      <c r="C5163" s="2">
        <f>IFERROR(__xludf.DUMMYFUNCTION("""COMPUTED_VALUE"""),1388.55)</f>
        <v>1388.55</v>
      </c>
      <c r="D5163" s="2">
        <f>IFERROR(__xludf.DUMMYFUNCTION("""COMPUTED_VALUE"""),1360.0)</f>
        <v>1360</v>
      </c>
      <c r="E5163" s="2">
        <f>IFERROR(__xludf.DUMMYFUNCTION("""COMPUTED_VALUE"""),1371.7)</f>
        <v>1371.7</v>
      </c>
      <c r="F5163" s="2">
        <f>IFERROR(__xludf.DUMMYFUNCTION("""COMPUTED_VALUE"""),1.3526974E7)</f>
        <v>13526974</v>
      </c>
    </row>
    <row r="5164">
      <c r="A5164" s="3">
        <f>IFERROR(__xludf.DUMMYFUNCTION("""COMPUTED_VALUE"""),44148.64583333333)</f>
        <v>44148.64583</v>
      </c>
      <c r="B5164" s="2">
        <f>IFERROR(__xludf.DUMMYFUNCTION("""COMPUTED_VALUE"""),1368.8)</f>
        <v>1368.8</v>
      </c>
      <c r="C5164" s="2">
        <f>IFERROR(__xludf.DUMMYFUNCTION("""COMPUTED_VALUE"""),1368.8)</f>
        <v>1368.8</v>
      </c>
      <c r="D5164" s="2">
        <f>IFERROR(__xludf.DUMMYFUNCTION("""COMPUTED_VALUE"""),1347.0)</f>
        <v>1347</v>
      </c>
      <c r="E5164" s="2">
        <f>IFERROR(__xludf.DUMMYFUNCTION("""COMPUTED_VALUE"""),1358.8)</f>
        <v>1358.8</v>
      </c>
      <c r="F5164" s="2">
        <f>IFERROR(__xludf.DUMMYFUNCTION("""COMPUTED_VALUE"""),1.123624E7)</f>
        <v>11236240</v>
      </c>
    </row>
    <row r="5165">
      <c r="A5165" s="3">
        <f>IFERROR(__xludf.DUMMYFUNCTION("""COMPUTED_VALUE"""),44152.64583333333)</f>
        <v>44152.64583</v>
      </c>
      <c r="B5165" s="2">
        <f>IFERROR(__xludf.DUMMYFUNCTION("""COMPUTED_VALUE"""),1385.8)</f>
        <v>1385.8</v>
      </c>
      <c r="C5165" s="2">
        <f>IFERROR(__xludf.DUMMYFUNCTION("""COMPUTED_VALUE"""),1412.6)</f>
        <v>1412.6</v>
      </c>
      <c r="D5165" s="2">
        <f>IFERROR(__xludf.DUMMYFUNCTION("""COMPUTED_VALUE"""),1380.6)</f>
        <v>1380.6</v>
      </c>
      <c r="E5165" s="2">
        <f>IFERROR(__xludf.DUMMYFUNCTION("""COMPUTED_VALUE"""),1408.45)</f>
        <v>1408.45</v>
      </c>
      <c r="F5165" s="2">
        <f>IFERROR(__xludf.DUMMYFUNCTION("""COMPUTED_VALUE"""),1.552995E7)</f>
        <v>15529950</v>
      </c>
    </row>
    <row r="5166">
      <c r="A5166" s="3">
        <f>IFERROR(__xludf.DUMMYFUNCTION("""COMPUTED_VALUE"""),44153.64583333333)</f>
        <v>44153.64583</v>
      </c>
      <c r="B5166" s="2">
        <f>IFERROR(__xludf.DUMMYFUNCTION("""COMPUTED_VALUE"""),1403.0)</f>
        <v>1403</v>
      </c>
      <c r="C5166" s="2">
        <f>IFERROR(__xludf.DUMMYFUNCTION("""COMPUTED_VALUE"""),1419.0)</f>
        <v>1419</v>
      </c>
      <c r="D5166" s="2">
        <f>IFERROR(__xludf.DUMMYFUNCTION("""COMPUTED_VALUE"""),1399.05)</f>
        <v>1399.05</v>
      </c>
      <c r="E5166" s="2">
        <f>IFERROR(__xludf.DUMMYFUNCTION("""COMPUTED_VALUE"""),1408.7)</f>
        <v>1408.7</v>
      </c>
      <c r="F5166" s="2">
        <f>IFERROR(__xludf.DUMMYFUNCTION("""COMPUTED_VALUE"""),9431388.0)</f>
        <v>9431388</v>
      </c>
    </row>
    <row r="5167">
      <c r="A5167" s="3">
        <f>IFERROR(__xludf.DUMMYFUNCTION("""COMPUTED_VALUE"""),44154.64583333333)</f>
        <v>44154.64583</v>
      </c>
      <c r="B5167" s="2">
        <f>IFERROR(__xludf.DUMMYFUNCTION("""COMPUTED_VALUE"""),1389.7)</f>
        <v>1389.7</v>
      </c>
      <c r="C5167" s="2">
        <f>IFERROR(__xludf.DUMMYFUNCTION("""COMPUTED_VALUE"""),1399.45)</f>
        <v>1399.45</v>
      </c>
      <c r="D5167" s="2">
        <f>IFERROR(__xludf.DUMMYFUNCTION("""COMPUTED_VALUE"""),1368.0)</f>
        <v>1368</v>
      </c>
      <c r="E5167" s="2">
        <f>IFERROR(__xludf.DUMMYFUNCTION("""COMPUTED_VALUE"""),1374.35)</f>
        <v>1374.35</v>
      </c>
      <c r="F5167" s="2">
        <f>IFERROR(__xludf.DUMMYFUNCTION("""COMPUTED_VALUE"""),1.0133441E7)</f>
        <v>10133441</v>
      </c>
    </row>
    <row r="5168">
      <c r="A5168" s="3">
        <f>IFERROR(__xludf.DUMMYFUNCTION("""COMPUTED_VALUE"""),44155.64583333333)</f>
        <v>44155.64583</v>
      </c>
      <c r="B5168" s="2">
        <f>IFERROR(__xludf.DUMMYFUNCTION("""COMPUTED_VALUE"""),1372.65)</f>
        <v>1372.65</v>
      </c>
      <c r="C5168" s="2">
        <f>IFERROR(__xludf.DUMMYFUNCTION("""COMPUTED_VALUE"""),1408.4)</f>
        <v>1408.4</v>
      </c>
      <c r="D5168" s="2">
        <f>IFERROR(__xludf.DUMMYFUNCTION("""COMPUTED_VALUE"""),1365.05)</f>
        <v>1365.05</v>
      </c>
      <c r="E5168" s="2">
        <f>IFERROR(__xludf.DUMMYFUNCTION("""COMPUTED_VALUE"""),1403.65)</f>
        <v>1403.65</v>
      </c>
      <c r="F5168" s="2">
        <f>IFERROR(__xludf.DUMMYFUNCTION("""COMPUTED_VALUE"""),1.0202681E7)</f>
        <v>10202681</v>
      </c>
    </row>
    <row r="5169">
      <c r="A5169" s="3">
        <f>IFERROR(__xludf.DUMMYFUNCTION("""COMPUTED_VALUE"""),44158.64583333333)</f>
        <v>44158.64583</v>
      </c>
      <c r="B5169" s="2">
        <f>IFERROR(__xludf.DUMMYFUNCTION("""COMPUTED_VALUE"""),1415.0)</f>
        <v>1415</v>
      </c>
      <c r="C5169" s="2">
        <f>IFERROR(__xludf.DUMMYFUNCTION("""COMPUTED_VALUE"""),1423.65)</f>
        <v>1423.65</v>
      </c>
      <c r="D5169" s="2">
        <f>IFERROR(__xludf.DUMMYFUNCTION("""COMPUTED_VALUE"""),1375.35)</f>
        <v>1375.35</v>
      </c>
      <c r="E5169" s="2">
        <f>IFERROR(__xludf.DUMMYFUNCTION("""COMPUTED_VALUE"""),1394.6)</f>
        <v>1394.6</v>
      </c>
      <c r="F5169" s="2">
        <f>IFERROR(__xludf.DUMMYFUNCTION("""COMPUTED_VALUE"""),1.2623318E7)</f>
        <v>12623318</v>
      </c>
    </row>
    <row r="5170">
      <c r="A5170" s="3">
        <f>IFERROR(__xludf.DUMMYFUNCTION("""COMPUTED_VALUE"""),44159.64583333333)</f>
        <v>44159.64583</v>
      </c>
      <c r="B5170" s="2">
        <f>IFERROR(__xludf.DUMMYFUNCTION("""COMPUTED_VALUE"""),1408.0)</f>
        <v>1408</v>
      </c>
      <c r="C5170" s="2">
        <f>IFERROR(__xludf.DUMMYFUNCTION("""COMPUTED_VALUE"""),1445.0)</f>
        <v>1445</v>
      </c>
      <c r="D5170" s="2">
        <f>IFERROR(__xludf.DUMMYFUNCTION("""COMPUTED_VALUE"""),1402.05)</f>
        <v>1402.05</v>
      </c>
      <c r="E5170" s="2">
        <f>IFERROR(__xludf.DUMMYFUNCTION("""COMPUTED_VALUE"""),1438.2)</f>
        <v>1438.2</v>
      </c>
      <c r="F5170" s="2">
        <f>IFERROR(__xludf.DUMMYFUNCTION("""COMPUTED_VALUE"""),2.00772E7)</f>
        <v>20077200</v>
      </c>
    </row>
    <row r="5171">
      <c r="A5171" s="3">
        <f>IFERROR(__xludf.DUMMYFUNCTION("""COMPUTED_VALUE"""),44160.64583333333)</f>
        <v>44160.64583</v>
      </c>
      <c r="B5171" s="2">
        <f>IFERROR(__xludf.DUMMYFUNCTION("""COMPUTED_VALUE"""),1451.3)</f>
        <v>1451.3</v>
      </c>
      <c r="C5171" s="2">
        <f>IFERROR(__xludf.DUMMYFUNCTION("""COMPUTED_VALUE"""),1464.4)</f>
        <v>1464.4</v>
      </c>
      <c r="D5171" s="2">
        <f>IFERROR(__xludf.DUMMYFUNCTION("""COMPUTED_VALUE"""),1397.0)</f>
        <v>1397</v>
      </c>
      <c r="E5171" s="2">
        <f>IFERROR(__xludf.DUMMYFUNCTION("""COMPUTED_VALUE"""),1402.8)</f>
        <v>1402.8</v>
      </c>
      <c r="F5171" s="2">
        <f>IFERROR(__xludf.DUMMYFUNCTION("""COMPUTED_VALUE"""),1.2076301E7)</f>
        <v>12076301</v>
      </c>
    </row>
    <row r="5172">
      <c r="A5172" s="3">
        <f>IFERROR(__xludf.DUMMYFUNCTION("""COMPUTED_VALUE"""),44161.64583333333)</f>
        <v>44161.64583</v>
      </c>
      <c r="B5172" s="2">
        <f>IFERROR(__xludf.DUMMYFUNCTION("""COMPUTED_VALUE"""),1415.0)</f>
        <v>1415</v>
      </c>
      <c r="C5172" s="2">
        <f>IFERROR(__xludf.DUMMYFUNCTION("""COMPUTED_VALUE"""),1432.0)</f>
        <v>1432</v>
      </c>
      <c r="D5172" s="2">
        <f>IFERROR(__xludf.DUMMYFUNCTION("""COMPUTED_VALUE"""),1387.0)</f>
        <v>1387</v>
      </c>
      <c r="E5172" s="2">
        <f>IFERROR(__xludf.DUMMYFUNCTION("""COMPUTED_VALUE"""),1426.65)</f>
        <v>1426.65</v>
      </c>
      <c r="F5172" s="2">
        <f>IFERROR(__xludf.DUMMYFUNCTION("""COMPUTED_VALUE"""),1.3971563E7)</f>
        <v>13971563</v>
      </c>
    </row>
    <row r="5173">
      <c r="A5173" s="3">
        <f>IFERROR(__xludf.DUMMYFUNCTION("""COMPUTED_VALUE"""),44162.64583333333)</f>
        <v>44162.64583</v>
      </c>
      <c r="B5173" s="2">
        <f>IFERROR(__xludf.DUMMYFUNCTION("""COMPUTED_VALUE"""),1431.8)</f>
        <v>1431.8</v>
      </c>
      <c r="C5173" s="2">
        <f>IFERROR(__xludf.DUMMYFUNCTION("""COMPUTED_VALUE"""),1446.0)</f>
        <v>1446</v>
      </c>
      <c r="D5173" s="2">
        <f>IFERROR(__xludf.DUMMYFUNCTION("""COMPUTED_VALUE"""),1415.55)</f>
        <v>1415.55</v>
      </c>
      <c r="E5173" s="2">
        <f>IFERROR(__xludf.DUMMYFUNCTION("""COMPUTED_VALUE"""),1440.85)</f>
        <v>1440.85</v>
      </c>
      <c r="F5173" s="2">
        <f>IFERROR(__xludf.DUMMYFUNCTION("""COMPUTED_VALUE"""),8997290.0)</f>
        <v>8997290</v>
      </c>
    </row>
    <row r="5174">
      <c r="A5174" s="3">
        <f>IFERROR(__xludf.DUMMYFUNCTION("""COMPUTED_VALUE"""),44166.64583333333)</f>
        <v>44166.64583</v>
      </c>
      <c r="B5174" s="2">
        <f>IFERROR(__xludf.DUMMYFUNCTION("""COMPUTED_VALUE"""),1440.85)</f>
        <v>1440.85</v>
      </c>
      <c r="C5174" s="2">
        <f>IFERROR(__xludf.DUMMYFUNCTION("""COMPUTED_VALUE"""),1449.0)</f>
        <v>1449</v>
      </c>
      <c r="D5174" s="2">
        <f>IFERROR(__xludf.DUMMYFUNCTION("""COMPUTED_VALUE"""),1425.5)</f>
        <v>1425.5</v>
      </c>
      <c r="E5174" s="2">
        <f>IFERROR(__xludf.DUMMYFUNCTION("""COMPUTED_VALUE"""),1433.3)</f>
        <v>1433.3</v>
      </c>
      <c r="F5174" s="2">
        <f>IFERROR(__xludf.DUMMYFUNCTION("""COMPUTED_VALUE"""),8573787.0)</f>
        <v>8573787</v>
      </c>
    </row>
    <row r="5175">
      <c r="A5175" s="3">
        <f>IFERROR(__xludf.DUMMYFUNCTION("""COMPUTED_VALUE"""),44167.64583333333)</f>
        <v>44167.64583</v>
      </c>
      <c r="B5175" s="2">
        <f>IFERROR(__xludf.DUMMYFUNCTION("""COMPUTED_VALUE"""),1431.0)</f>
        <v>1431</v>
      </c>
      <c r="C5175" s="2">
        <f>IFERROR(__xludf.DUMMYFUNCTION("""COMPUTED_VALUE"""),1431.8)</f>
        <v>1431.8</v>
      </c>
      <c r="D5175" s="2">
        <f>IFERROR(__xludf.DUMMYFUNCTION("""COMPUTED_VALUE"""),1394.8)</f>
        <v>1394.8</v>
      </c>
      <c r="E5175" s="2">
        <f>IFERROR(__xludf.DUMMYFUNCTION("""COMPUTED_VALUE"""),1406.95)</f>
        <v>1406.95</v>
      </c>
      <c r="F5175" s="2">
        <f>IFERROR(__xludf.DUMMYFUNCTION("""COMPUTED_VALUE"""),8946075.0)</f>
        <v>8946075</v>
      </c>
    </row>
    <row r="5176">
      <c r="A5176" s="3">
        <f>IFERROR(__xludf.DUMMYFUNCTION("""COMPUTED_VALUE"""),44168.64583333333)</f>
        <v>44168.64583</v>
      </c>
      <c r="B5176" s="2">
        <f>IFERROR(__xludf.DUMMYFUNCTION("""COMPUTED_VALUE"""),1429.0)</f>
        <v>1429</v>
      </c>
      <c r="C5176" s="2">
        <f>IFERROR(__xludf.DUMMYFUNCTION("""COMPUTED_VALUE"""),1432.0)</f>
        <v>1432</v>
      </c>
      <c r="D5176" s="2">
        <f>IFERROR(__xludf.DUMMYFUNCTION("""COMPUTED_VALUE"""),1374.05)</f>
        <v>1374.05</v>
      </c>
      <c r="E5176" s="2">
        <f>IFERROR(__xludf.DUMMYFUNCTION("""COMPUTED_VALUE"""),1377.2)</f>
        <v>1377.2</v>
      </c>
      <c r="F5176" s="2">
        <f>IFERROR(__xludf.DUMMYFUNCTION("""COMPUTED_VALUE"""),1.8966611E7)</f>
        <v>18966611</v>
      </c>
    </row>
    <row r="5177">
      <c r="A5177" s="3">
        <f>IFERROR(__xludf.DUMMYFUNCTION("""COMPUTED_VALUE"""),44169.64583333333)</f>
        <v>44169.64583</v>
      </c>
      <c r="B5177" s="2">
        <f>IFERROR(__xludf.DUMMYFUNCTION("""COMPUTED_VALUE"""),1381.0)</f>
        <v>1381</v>
      </c>
      <c r="C5177" s="2">
        <f>IFERROR(__xludf.DUMMYFUNCTION("""COMPUTED_VALUE"""),1401.45)</f>
        <v>1401.45</v>
      </c>
      <c r="D5177" s="2">
        <f>IFERROR(__xludf.DUMMYFUNCTION("""COMPUTED_VALUE"""),1373.3)</f>
        <v>1373.3</v>
      </c>
      <c r="E5177" s="2">
        <f>IFERROR(__xludf.DUMMYFUNCTION("""COMPUTED_VALUE"""),1385.6)</f>
        <v>1385.6</v>
      </c>
      <c r="F5177" s="2">
        <f>IFERROR(__xludf.DUMMYFUNCTION("""COMPUTED_VALUE"""),1.3456161E7)</f>
        <v>13456161</v>
      </c>
    </row>
    <row r="5178">
      <c r="A5178" s="3">
        <f>IFERROR(__xludf.DUMMYFUNCTION("""COMPUTED_VALUE"""),44172.64583333333)</f>
        <v>44172.64583</v>
      </c>
      <c r="B5178" s="2">
        <f>IFERROR(__xludf.DUMMYFUNCTION("""COMPUTED_VALUE"""),1375.0)</f>
        <v>1375</v>
      </c>
      <c r="C5178" s="2">
        <f>IFERROR(__xludf.DUMMYFUNCTION("""COMPUTED_VALUE"""),1379.95)</f>
        <v>1379.95</v>
      </c>
      <c r="D5178" s="2">
        <f>IFERROR(__xludf.DUMMYFUNCTION("""COMPUTED_VALUE"""),1358.1)</f>
        <v>1358.1</v>
      </c>
      <c r="E5178" s="2">
        <f>IFERROR(__xludf.DUMMYFUNCTION("""COMPUTED_VALUE"""),1372.25)</f>
        <v>1372.25</v>
      </c>
      <c r="F5178" s="2">
        <f>IFERROR(__xludf.DUMMYFUNCTION("""COMPUTED_VALUE"""),1.2158159E7)</f>
        <v>12158159</v>
      </c>
    </row>
    <row r="5179">
      <c r="A5179" s="3">
        <f>IFERROR(__xludf.DUMMYFUNCTION("""COMPUTED_VALUE"""),44173.64583333333)</f>
        <v>44173.64583</v>
      </c>
      <c r="B5179" s="2">
        <f>IFERROR(__xludf.DUMMYFUNCTION("""COMPUTED_VALUE"""),1375.0)</f>
        <v>1375</v>
      </c>
      <c r="C5179" s="2">
        <f>IFERROR(__xludf.DUMMYFUNCTION("""COMPUTED_VALUE"""),1388.8)</f>
        <v>1388.8</v>
      </c>
      <c r="D5179" s="2">
        <f>IFERROR(__xludf.DUMMYFUNCTION("""COMPUTED_VALUE"""),1365.15)</f>
        <v>1365.15</v>
      </c>
      <c r="E5179" s="2">
        <f>IFERROR(__xludf.DUMMYFUNCTION("""COMPUTED_VALUE"""),1376.3)</f>
        <v>1376.3</v>
      </c>
      <c r="F5179" s="2">
        <f>IFERROR(__xludf.DUMMYFUNCTION("""COMPUTED_VALUE"""),9728948.0)</f>
        <v>9728948</v>
      </c>
    </row>
    <row r="5180">
      <c r="A5180" s="3">
        <f>IFERROR(__xludf.DUMMYFUNCTION("""COMPUTED_VALUE"""),44174.64583333333)</f>
        <v>44174.64583</v>
      </c>
      <c r="B5180" s="2">
        <f>IFERROR(__xludf.DUMMYFUNCTION("""COMPUTED_VALUE"""),1377.0)</f>
        <v>1377</v>
      </c>
      <c r="C5180" s="2">
        <f>IFERROR(__xludf.DUMMYFUNCTION("""COMPUTED_VALUE"""),1410.05)</f>
        <v>1410.05</v>
      </c>
      <c r="D5180" s="2">
        <f>IFERROR(__xludf.DUMMYFUNCTION("""COMPUTED_VALUE"""),1375.05)</f>
        <v>1375.05</v>
      </c>
      <c r="E5180" s="2">
        <f>IFERROR(__xludf.DUMMYFUNCTION("""COMPUTED_VALUE"""),1407.2)</f>
        <v>1407.2</v>
      </c>
      <c r="F5180" s="2">
        <f>IFERROR(__xludf.DUMMYFUNCTION("""COMPUTED_VALUE"""),1.1034537E7)</f>
        <v>11034537</v>
      </c>
    </row>
    <row r="5181">
      <c r="A5181" s="3">
        <f>IFERROR(__xludf.DUMMYFUNCTION("""COMPUTED_VALUE"""),44175.64583333333)</f>
        <v>44175.64583</v>
      </c>
      <c r="B5181" s="2">
        <f>IFERROR(__xludf.DUMMYFUNCTION("""COMPUTED_VALUE"""),1398.0)</f>
        <v>1398</v>
      </c>
      <c r="C5181" s="2">
        <f>IFERROR(__xludf.DUMMYFUNCTION("""COMPUTED_VALUE"""),1402.0)</f>
        <v>1402</v>
      </c>
      <c r="D5181" s="2">
        <f>IFERROR(__xludf.DUMMYFUNCTION("""COMPUTED_VALUE"""),1375.75)</f>
        <v>1375.75</v>
      </c>
      <c r="E5181" s="2">
        <f>IFERROR(__xludf.DUMMYFUNCTION("""COMPUTED_VALUE"""),1385.85)</f>
        <v>1385.85</v>
      </c>
      <c r="F5181" s="2">
        <f>IFERROR(__xludf.DUMMYFUNCTION("""COMPUTED_VALUE"""),9863983.0)</f>
        <v>9863983</v>
      </c>
    </row>
    <row r="5182">
      <c r="A5182" s="3">
        <f>IFERROR(__xludf.DUMMYFUNCTION("""COMPUTED_VALUE"""),44176.64583333333)</f>
        <v>44176.64583</v>
      </c>
      <c r="B5182" s="2">
        <f>IFERROR(__xludf.DUMMYFUNCTION("""COMPUTED_VALUE"""),1390.05)</f>
        <v>1390.05</v>
      </c>
      <c r="C5182" s="2">
        <f>IFERROR(__xludf.DUMMYFUNCTION("""COMPUTED_VALUE"""),1395.0)</f>
        <v>1395</v>
      </c>
      <c r="D5182" s="2">
        <f>IFERROR(__xludf.DUMMYFUNCTION("""COMPUTED_VALUE"""),1373.0)</f>
        <v>1373</v>
      </c>
      <c r="E5182" s="2">
        <f>IFERROR(__xludf.DUMMYFUNCTION("""COMPUTED_VALUE"""),1382.8)</f>
        <v>1382.8</v>
      </c>
      <c r="F5182" s="2">
        <f>IFERROR(__xludf.DUMMYFUNCTION("""COMPUTED_VALUE"""),1.0678192E7)</f>
        <v>10678192</v>
      </c>
    </row>
    <row r="5183">
      <c r="A5183" s="3">
        <f>IFERROR(__xludf.DUMMYFUNCTION("""COMPUTED_VALUE"""),44179.64583333333)</f>
        <v>44179.64583</v>
      </c>
      <c r="B5183" s="2">
        <f>IFERROR(__xludf.DUMMYFUNCTION("""COMPUTED_VALUE"""),1383.0)</f>
        <v>1383</v>
      </c>
      <c r="C5183" s="2">
        <f>IFERROR(__xludf.DUMMYFUNCTION("""COMPUTED_VALUE"""),1388.0)</f>
        <v>1388</v>
      </c>
      <c r="D5183" s="2">
        <f>IFERROR(__xludf.DUMMYFUNCTION("""COMPUTED_VALUE"""),1368.0)</f>
        <v>1368</v>
      </c>
      <c r="E5183" s="2">
        <f>IFERROR(__xludf.DUMMYFUNCTION("""COMPUTED_VALUE"""),1372.15)</f>
        <v>1372.15</v>
      </c>
      <c r="F5183" s="2">
        <f>IFERROR(__xludf.DUMMYFUNCTION("""COMPUTED_VALUE"""),8611025.0)</f>
        <v>8611025</v>
      </c>
    </row>
    <row r="5184">
      <c r="A5184" s="3">
        <f>IFERROR(__xludf.DUMMYFUNCTION("""COMPUTED_VALUE"""),44180.64583333333)</f>
        <v>44180.64583</v>
      </c>
      <c r="B5184" s="2">
        <f>IFERROR(__xludf.DUMMYFUNCTION("""COMPUTED_VALUE"""),1380.8)</f>
        <v>1380.8</v>
      </c>
      <c r="C5184" s="2">
        <f>IFERROR(__xludf.DUMMYFUNCTION("""COMPUTED_VALUE"""),1394.95)</f>
        <v>1394.95</v>
      </c>
      <c r="D5184" s="2">
        <f>IFERROR(__xludf.DUMMYFUNCTION("""COMPUTED_VALUE"""),1366.0)</f>
        <v>1366</v>
      </c>
      <c r="E5184" s="2">
        <f>IFERROR(__xludf.DUMMYFUNCTION("""COMPUTED_VALUE"""),1391.3)</f>
        <v>1391.3</v>
      </c>
      <c r="F5184" s="2">
        <f>IFERROR(__xludf.DUMMYFUNCTION("""COMPUTED_VALUE"""),1.0780718E7)</f>
        <v>10780718</v>
      </c>
    </row>
    <row r="5185">
      <c r="A5185" s="3">
        <f>IFERROR(__xludf.DUMMYFUNCTION("""COMPUTED_VALUE"""),44181.64583333333)</f>
        <v>44181.64583</v>
      </c>
      <c r="B5185" s="2">
        <f>IFERROR(__xludf.DUMMYFUNCTION("""COMPUTED_VALUE"""),1404.0)</f>
        <v>1404</v>
      </c>
      <c r="C5185" s="2">
        <f>IFERROR(__xludf.DUMMYFUNCTION("""COMPUTED_VALUE"""),1416.8)</f>
        <v>1416.8</v>
      </c>
      <c r="D5185" s="2">
        <f>IFERROR(__xludf.DUMMYFUNCTION("""COMPUTED_VALUE"""),1394.5)</f>
        <v>1394.5</v>
      </c>
      <c r="E5185" s="2">
        <f>IFERROR(__xludf.DUMMYFUNCTION("""COMPUTED_VALUE"""),1410.7)</f>
        <v>1410.7</v>
      </c>
      <c r="F5185" s="2">
        <f>IFERROR(__xludf.DUMMYFUNCTION("""COMPUTED_VALUE"""),8416046.0)</f>
        <v>8416046</v>
      </c>
    </row>
    <row r="5186">
      <c r="A5186" s="3">
        <f>IFERROR(__xludf.DUMMYFUNCTION("""COMPUTED_VALUE"""),44182.64583333333)</f>
        <v>44182.64583</v>
      </c>
      <c r="B5186" s="2">
        <f>IFERROR(__xludf.DUMMYFUNCTION("""COMPUTED_VALUE"""),1418.6)</f>
        <v>1418.6</v>
      </c>
      <c r="C5186" s="2">
        <f>IFERROR(__xludf.DUMMYFUNCTION("""COMPUTED_VALUE"""),1445.0)</f>
        <v>1445</v>
      </c>
      <c r="D5186" s="2">
        <f>IFERROR(__xludf.DUMMYFUNCTION("""COMPUTED_VALUE"""),1404.5)</f>
        <v>1404.5</v>
      </c>
      <c r="E5186" s="2">
        <f>IFERROR(__xludf.DUMMYFUNCTION("""COMPUTED_VALUE"""),1441.8)</f>
        <v>1441.8</v>
      </c>
      <c r="F5186" s="2">
        <f>IFERROR(__xludf.DUMMYFUNCTION("""COMPUTED_VALUE"""),1.0962239E7)</f>
        <v>10962239</v>
      </c>
    </row>
    <row r="5187">
      <c r="A5187" s="3">
        <f>IFERROR(__xludf.DUMMYFUNCTION("""COMPUTED_VALUE"""),44183.64583333333)</f>
        <v>44183.64583</v>
      </c>
      <c r="B5187" s="2">
        <f>IFERROR(__xludf.DUMMYFUNCTION("""COMPUTED_VALUE"""),1435.0)</f>
        <v>1435</v>
      </c>
      <c r="C5187" s="2">
        <f>IFERROR(__xludf.DUMMYFUNCTION("""COMPUTED_VALUE"""),1439.7)</f>
        <v>1439.7</v>
      </c>
      <c r="D5187" s="2">
        <f>IFERROR(__xludf.DUMMYFUNCTION("""COMPUTED_VALUE"""),1406.3)</f>
        <v>1406.3</v>
      </c>
      <c r="E5187" s="2">
        <f>IFERROR(__xludf.DUMMYFUNCTION("""COMPUTED_VALUE"""),1411.35)</f>
        <v>1411.35</v>
      </c>
      <c r="F5187" s="2">
        <f>IFERROR(__xludf.DUMMYFUNCTION("""COMPUTED_VALUE"""),1.1497959E7)</f>
        <v>11497959</v>
      </c>
    </row>
    <row r="5188">
      <c r="A5188" s="3">
        <f>IFERROR(__xludf.DUMMYFUNCTION("""COMPUTED_VALUE"""),44186.64583333333)</f>
        <v>44186.64583</v>
      </c>
      <c r="B5188" s="2">
        <f>IFERROR(__xludf.DUMMYFUNCTION("""COMPUTED_VALUE"""),1417.5)</f>
        <v>1417.5</v>
      </c>
      <c r="C5188" s="2">
        <f>IFERROR(__xludf.DUMMYFUNCTION("""COMPUTED_VALUE"""),1423.85)</f>
        <v>1423.85</v>
      </c>
      <c r="D5188" s="2">
        <f>IFERROR(__xludf.DUMMYFUNCTION("""COMPUTED_VALUE"""),1366.7)</f>
        <v>1366.7</v>
      </c>
      <c r="E5188" s="2">
        <f>IFERROR(__xludf.DUMMYFUNCTION("""COMPUTED_VALUE"""),1372.65)</f>
        <v>1372.65</v>
      </c>
      <c r="F5188" s="2">
        <f>IFERROR(__xludf.DUMMYFUNCTION("""COMPUTED_VALUE"""),1.1880912E7)</f>
        <v>11880912</v>
      </c>
    </row>
    <row r="5189">
      <c r="A5189" s="3">
        <f>IFERROR(__xludf.DUMMYFUNCTION("""COMPUTED_VALUE"""),44187.64583333333)</f>
        <v>44187.64583</v>
      </c>
      <c r="B5189" s="2">
        <f>IFERROR(__xludf.DUMMYFUNCTION("""COMPUTED_VALUE"""),1384.8)</f>
        <v>1384.8</v>
      </c>
      <c r="C5189" s="2">
        <f>IFERROR(__xludf.DUMMYFUNCTION("""COMPUTED_VALUE"""),1384.8)</f>
        <v>1384.8</v>
      </c>
      <c r="D5189" s="2">
        <f>IFERROR(__xludf.DUMMYFUNCTION("""COMPUTED_VALUE"""),1345.0)</f>
        <v>1345</v>
      </c>
      <c r="E5189" s="2">
        <f>IFERROR(__xludf.DUMMYFUNCTION("""COMPUTED_VALUE"""),1373.1)</f>
        <v>1373.1</v>
      </c>
      <c r="F5189" s="2">
        <f>IFERROR(__xludf.DUMMYFUNCTION("""COMPUTED_VALUE"""),1.1425779E7)</f>
        <v>11425779</v>
      </c>
    </row>
    <row r="5190">
      <c r="A5190" s="3">
        <f>IFERROR(__xludf.DUMMYFUNCTION("""COMPUTED_VALUE"""),44188.64583333333)</f>
        <v>44188.64583</v>
      </c>
      <c r="B5190" s="2">
        <f>IFERROR(__xludf.DUMMYFUNCTION("""COMPUTED_VALUE"""),1367.5)</f>
        <v>1367.5</v>
      </c>
      <c r="C5190" s="2">
        <f>IFERROR(__xludf.DUMMYFUNCTION("""COMPUTED_VALUE"""),1380.95)</f>
        <v>1380.95</v>
      </c>
      <c r="D5190" s="2">
        <f>IFERROR(__xludf.DUMMYFUNCTION("""COMPUTED_VALUE"""),1361.05)</f>
        <v>1361.05</v>
      </c>
      <c r="E5190" s="2">
        <f>IFERROR(__xludf.DUMMYFUNCTION("""COMPUTED_VALUE"""),1375.65)</f>
        <v>1375.65</v>
      </c>
      <c r="F5190" s="2">
        <f>IFERROR(__xludf.DUMMYFUNCTION("""COMPUTED_VALUE"""),7733697.0)</f>
        <v>7733697</v>
      </c>
    </row>
    <row r="5191">
      <c r="A5191" s="3">
        <f>IFERROR(__xludf.DUMMYFUNCTION("""COMPUTED_VALUE"""),44189.64583333333)</f>
        <v>44189.64583</v>
      </c>
      <c r="B5191" s="2">
        <f>IFERROR(__xludf.DUMMYFUNCTION("""COMPUTED_VALUE"""),1389.4)</f>
        <v>1389.4</v>
      </c>
      <c r="C5191" s="2">
        <f>IFERROR(__xludf.DUMMYFUNCTION("""COMPUTED_VALUE"""),1404.0)</f>
        <v>1404</v>
      </c>
      <c r="D5191" s="2">
        <f>IFERROR(__xludf.DUMMYFUNCTION("""COMPUTED_VALUE"""),1377.0)</f>
        <v>1377</v>
      </c>
      <c r="E5191" s="2">
        <f>IFERROR(__xludf.DUMMYFUNCTION("""COMPUTED_VALUE"""),1397.1)</f>
        <v>1397.1</v>
      </c>
      <c r="F5191" s="2">
        <f>IFERROR(__xludf.DUMMYFUNCTION("""COMPUTED_VALUE"""),7476094.0)</f>
        <v>7476094</v>
      </c>
    </row>
    <row r="5192">
      <c r="A5192" s="3">
        <f>IFERROR(__xludf.DUMMYFUNCTION("""COMPUTED_VALUE"""),44193.64583333333)</f>
        <v>44193.64583</v>
      </c>
      <c r="B5192" s="2">
        <f>IFERROR(__xludf.DUMMYFUNCTION("""COMPUTED_VALUE"""),1405.0)</f>
        <v>1405</v>
      </c>
      <c r="C5192" s="2">
        <f>IFERROR(__xludf.DUMMYFUNCTION("""COMPUTED_VALUE"""),1421.0)</f>
        <v>1421</v>
      </c>
      <c r="D5192" s="2">
        <f>IFERROR(__xludf.DUMMYFUNCTION("""COMPUTED_VALUE"""),1404.0)</f>
        <v>1404</v>
      </c>
      <c r="E5192" s="2">
        <f>IFERROR(__xludf.DUMMYFUNCTION("""COMPUTED_VALUE"""),1412.85)</f>
        <v>1412.85</v>
      </c>
      <c r="F5192" s="2">
        <f>IFERROR(__xludf.DUMMYFUNCTION("""COMPUTED_VALUE"""),5849597.0)</f>
        <v>5849597</v>
      </c>
    </row>
    <row r="5193">
      <c r="A5193" s="3">
        <f>IFERROR(__xludf.DUMMYFUNCTION("""COMPUTED_VALUE"""),44194.64583333333)</f>
        <v>44194.64583</v>
      </c>
      <c r="B5193" s="2">
        <f>IFERROR(__xludf.DUMMYFUNCTION("""COMPUTED_VALUE"""),1421.05)</f>
        <v>1421.05</v>
      </c>
      <c r="C5193" s="2">
        <f>IFERROR(__xludf.DUMMYFUNCTION("""COMPUTED_VALUE"""),1434.75)</f>
        <v>1434.75</v>
      </c>
      <c r="D5193" s="2">
        <f>IFERROR(__xludf.DUMMYFUNCTION("""COMPUTED_VALUE"""),1420.0)</f>
        <v>1420</v>
      </c>
      <c r="E5193" s="2">
        <f>IFERROR(__xludf.DUMMYFUNCTION("""COMPUTED_VALUE"""),1427.2)</f>
        <v>1427.2</v>
      </c>
      <c r="F5193" s="2">
        <f>IFERROR(__xludf.DUMMYFUNCTION("""COMPUTED_VALUE"""),7247673.0)</f>
        <v>7247673</v>
      </c>
    </row>
    <row r="5194">
      <c r="A5194" s="3">
        <f>IFERROR(__xludf.DUMMYFUNCTION("""COMPUTED_VALUE"""),44195.64583333333)</f>
        <v>44195.64583</v>
      </c>
      <c r="B5194" s="2">
        <f>IFERROR(__xludf.DUMMYFUNCTION("""COMPUTED_VALUE"""),1439.9)</f>
        <v>1439.9</v>
      </c>
      <c r="C5194" s="2">
        <f>IFERROR(__xludf.DUMMYFUNCTION("""COMPUTED_VALUE"""),1439.9)</f>
        <v>1439.9</v>
      </c>
      <c r="D5194" s="2">
        <f>IFERROR(__xludf.DUMMYFUNCTION("""COMPUTED_VALUE"""),1413.0)</f>
        <v>1413</v>
      </c>
      <c r="E5194" s="2">
        <f>IFERROR(__xludf.DUMMYFUNCTION("""COMPUTED_VALUE"""),1432.5)</f>
        <v>1432.5</v>
      </c>
      <c r="F5194" s="2">
        <f>IFERROR(__xludf.DUMMYFUNCTION("""COMPUTED_VALUE"""),8108363.0)</f>
        <v>8108363</v>
      </c>
    </row>
    <row r="5195">
      <c r="A5195" s="3">
        <f>IFERROR(__xludf.DUMMYFUNCTION("""COMPUTED_VALUE"""),44196.64583333333)</f>
        <v>44196.64583</v>
      </c>
      <c r="B5195" s="2">
        <f>IFERROR(__xludf.DUMMYFUNCTION("""COMPUTED_VALUE"""),1435.0)</f>
        <v>1435</v>
      </c>
      <c r="C5195" s="2">
        <f>IFERROR(__xludf.DUMMYFUNCTION("""COMPUTED_VALUE"""),1444.0)</f>
        <v>1444</v>
      </c>
      <c r="D5195" s="2">
        <f>IFERROR(__xludf.DUMMYFUNCTION("""COMPUTED_VALUE"""),1425.05)</f>
        <v>1425.05</v>
      </c>
      <c r="E5195" s="2">
        <f>IFERROR(__xludf.DUMMYFUNCTION("""COMPUTED_VALUE"""),1436.3)</f>
        <v>1436.3</v>
      </c>
      <c r="F5195" s="2">
        <f>IFERROR(__xludf.DUMMYFUNCTION("""COMPUTED_VALUE"""),1.1072875E7)</f>
        <v>11072875</v>
      </c>
    </row>
    <row r="5196">
      <c r="A5196" s="3">
        <f>IFERROR(__xludf.DUMMYFUNCTION("""COMPUTED_VALUE"""),44197.64583333333)</f>
        <v>44197.64583</v>
      </c>
      <c r="B5196" s="2">
        <f>IFERROR(__xludf.DUMMYFUNCTION("""COMPUTED_VALUE"""),1440.0)</f>
        <v>1440</v>
      </c>
      <c r="C5196" s="2">
        <f>IFERROR(__xludf.DUMMYFUNCTION("""COMPUTED_VALUE"""),1443.0)</f>
        <v>1443</v>
      </c>
      <c r="D5196" s="2">
        <f>IFERROR(__xludf.DUMMYFUNCTION("""COMPUTED_VALUE"""),1420.6)</f>
        <v>1420.6</v>
      </c>
      <c r="E5196" s="2">
        <f>IFERROR(__xludf.DUMMYFUNCTION("""COMPUTED_VALUE"""),1425.05)</f>
        <v>1425.05</v>
      </c>
      <c r="F5196" s="2">
        <f>IFERROR(__xludf.DUMMYFUNCTION("""COMPUTED_VALUE"""),4405469.0)</f>
        <v>4405469</v>
      </c>
    </row>
    <row r="5197">
      <c r="A5197" s="3">
        <f>IFERROR(__xludf.DUMMYFUNCTION("""COMPUTED_VALUE"""),44200.64583333333)</f>
        <v>44200.64583</v>
      </c>
      <c r="B5197" s="2">
        <f>IFERROR(__xludf.DUMMYFUNCTION("""COMPUTED_VALUE"""),1438.0)</f>
        <v>1438</v>
      </c>
      <c r="C5197" s="2">
        <f>IFERROR(__xludf.DUMMYFUNCTION("""COMPUTED_VALUE"""),1438.0)</f>
        <v>1438</v>
      </c>
      <c r="D5197" s="2">
        <f>IFERROR(__xludf.DUMMYFUNCTION("""COMPUTED_VALUE"""),1399.0)</f>
        <v>1399</v>
      </c>
      <c r="E5197" s="2">
        <f>IFERROR(__xludf.DUMMYFUNCTION("""COMPUTED_VALUE"""),1416.0)</f>
        <v>1416</v>
      </c>
      <c r="F5197" s="2">
        <f>IFERROR(__xludf.DUMMYFUNCTION("""COMPUTED_VALUE"""),7870096.0)</f>
        <v>7870096</v>
      </c>
    </row>
    <row r="5198">
      <c r="A5198" s="3">
        <f>IFERROR(__xludf.DUMMYFUNCTION("""COMPUTED_VALUE"""),44201.64583333333)</f>
        <v>44201.64583</v>
      </c>
      <c r="B5198" s="2">
        <f>IFERROR(__xludf.DUMMYFUNCTION("""COMPUTED_VALUE"""),1419.2)</f>
        <v>1419.2</v>
      </c>
      <c r="C5198" s="2">
        <f>IFERROR(__xludf.DUMMYFUNCTION("""COMPUTED_VALUE"""),1430.75)</f>
        <v>1430.75</v>
      </c>
      <c r="D5198" s="2">
        <f>IFERROR(__xludf.DUMMYFUNCTION("""COMPUTED_VALUE"""),1409.0)</f>
        <v>1409</v>
      </c>
      <c r="E5198" s="2">
        <f>IFERROR(__xludf.DUMMYFUNCTION("""COMPUTED_VALUE"""),1426.7)</f>
        <v>1426.7</v>
      </c>
      <c r="F5198" s="2">
        <f>IFERROR(__xludf.DUMMYFUNCTION("""COMPUTED_VALUE"""),7193412.0)</f>
        <v>7193412</v>
      </c>
    </row>
    <row r="5199">
      <c r="A5199" s="3">
        <f>IFERROR(__xludf.DUMMYFUNCTION("""COMPUTED_VALUE"""),44202.64583333333)</f>
        <v>44202.64583</v>
      </c>
      <c r="B5199" s="2">
        <f>IFERROR(__xludf.DUMMYFUNCTION("""COMPUTED_VALUE"""),1435.0)</f>
        <v>1435</v>
      </c>
      <c r="C5199" s="2">
        <f>IFERROR(__xludf.DUMMYFUNCTION("""COMPUTED_VALUE"""),1440.0)</f>
        <v>1440</v>
      </c>
      <c r="D5199" s="2">
        <f>IFERROR(__xludf.DUMMYFUNCTION("""COMPUTED_VALUE"""),1413.1)</f>
        <v>1413.1</v>
      </c>
      <c r="E5199" s="2">
        <f>IFERROR(__xludf.DUMMYFUNCTION("""COMPUTED_VALUE"""),1420.55)</f>
        <v>1420.55</v>
      </c>
      <c r="F5199" s="2">
        <f>IFERROR(__xludf.DUMMYFUNCTION("""COMPUTED_VALUE"""),1.1067025E7)</f>
        <v>11067025</v>
      </c>
    </row>
    <row r="5200">
      <c r="A5200" s="3">
        <f>IFERROR(__xludf.DUMMYFUNCTION("""COMPUTED_VALUE"""),44203.64583333333)</f>
        <v>44203.64583</v>
      </c>
      <c r="B5200" s="2">
        <f>IFERROR(__xludf.DUMMYFUNCTION("""COMPUTED_VALUE"""),1432.5)</f>
        <v>1432.5</v>
      </c>
      <c r="C5200" s="2">
        <f>IFERROR(__xludf.DUMMYFUNCTION("""COMPUTED_VALUE"""),1432.6)</f>
        <v>1432.6</v>
      </c>
      <c r="D5200" s="2">
        <f>IFERROR(__xludf.DUMMYFUNCTION("""COMPUTED_VALUE"""),1412.55)</f>
        <v>1412.55</v>
      </c>
      <c r="E5200" s="2">
        <f>IFERROR(__xludf.DUMMYFUNCTION("""COMPUTED_VALUE"""),1416.25)</f>
        <v>1416.25</v>
      </c>
      <c r="F5200" s="2">
        <f>IFERROR(__xludf.DUMMYFUNCTION("""COMPUTED_VALUE"""),9947421.0)</f>
        <v>9947421</v>
      </c>
    </row>
    <row r="5201">
      <c r="A5201" s="3">
        <f>IFERROR(__xludf.DUMMYFUNCTION("""COMPUTED_VALUE"""),44204.64583333333)</f>
        <v>44204.64583</v>
      </c>
      <c r="B5201" s="2">
        <f>IFERROR(__xludf.DUMMYFUNCTION("""COMPUTED_VALUE"""),1432.0)</f>
        <v>1432</v>
      </c>
      <c r="C5201" s="2">
        <f>IFERROR(__xludf.DUMMYFUNCTION("""COMPUTED_VALUE"""),1442.0)</f>
        <v>1442</v>
      </c>
      <c r="D5201" s="2">
        <f>IFERROR(__xludf.DUMMYFUNCTION("""COMPUTED_VALUE"""),1423.1)</f>
        <v>1423.1</v>
      </c>
      <c r="E5201" s="2">
        <f>IFERROR(__xludf.DUMMYFUNCTION("""COMPUTED_VALUE"""),1431.65)</f>
        <v>1431.65</v>
      </c>
      <c r="F5201" s="2">
        <f>IFERROR(__xludf.DUMMYFUNCTION("""COMPUTED_VALUE"""),6884382.0)</f>
        <v>6884382</v>
      </c>
    </row>
    <row r="5202">
      <c r="A5202" s="3">
        <f>IFERROR(__xludf.DUMMYFUNCTION("""COMPUTED_VALUE"""),44207.64583333333)</f>
        <v>44207.64583</v>
      </c>
      <c r="B5202" s="2">
        <f>IFERROR(__xludf.DUMMYFUNCTION("""COMPUTED_VALUE"""),1450.0)</f>
        <v>1450</v>
      </c>
      <c r="C5202" s="2">
        <f>IFERROR(__xludf.DUMMYFUNCTION("""COMPUTED_VALUE"""),1464.9)</f>
        <v>1464.9</v>
      </c>
      <c r="D5202" s="2">
        <f>IFERROR(__xludf.DUMMYFUNCTION("""COMPUTED_VALUE"""),1436.3)</f>
        <v>1436.3</v>
      </c>
      <c r="E5202" s="2">
        <f>IFERROR(__xludf.DUMMYFUNCTION("""COMPUTED_VALUE"""),1451.45)</f>
        <v>1451.45</v>
      </c>
      <c r="F5202" s="2">
        <f>IFERROR(__xludf.DUMMYFUNCTION("""COMPUTED_VALUE"""),8665696.0)</f>
        <v>8665696</v>
      </c>
    </row>
    <row r="5203">
      <c r="A5203" s="3">
        <f>IFERROR(__xludf.DUMMYFUNCTION("""COMPUTED_VALUE"""),44208.64583333333)</f>
        <v>44208.64583</v>
      </c>
      <c r="B5203" s="2">
        <f>IFERROR(__xludf.DUMMYFUNCTION("""COMPUTED_VALUE"""),1452.45)</f>
        <v>1452.45</v>
      </c>
      <c r="C5203" s="2">
        <f>IFERROR(__xludf.DUMMYFUNCTION("""COMPUTED_VALUE"""),1487.7)</f>
        <v>1487.7</v>
      </c>
      <c r="D5203" s="2">
        <f>IFERROR(__xludf.DUMMYFUNCTION("""COMPUTED_VALUE"""),1449.1)</f>
        <v>1449.1</v>
      </c>
      <c r="E5203" s="2">
        <f>IFERROR(__xludf.DUMMYFUNCTION("""COMPUTED_VALUE"""),1481.0)</f>
        <v>1481</v>
      </c>
      <c r="F5203" s="2">
        <f>IFERROR(__xludf.DUMMYFUNCTION("""COMPUTED_VALUE"""),1.0194078E7)</f>
        <v>10194078</v>
      </c>
    </row>
    <row r="5204">
      <c r="A5204" s="3">
        <f>IFERROR(__xludf.DUMMYFUNCTION("""COMPUTED_VALUE"""),44209.64583333333)</f>
        <v>44209.64583</v>
      </c>
      <c r="B5204" s="2">
        <f>IFERROR(__xludf.DUMMYFUNCTION("""COMPUTED_VALUE"""),1492.9)</f>
        <v>1492.9</v>
      </c>
      <c r="C5204" s="2">
        <f>IFERROR(__xludf.DUMMYFUNCTION("""COMPUTED_VALUE"""),1496.9)</f>
        <v>1496.9</v>
      </c>
      <c r="D5204" s="2">
        <f>IFERROR(__xludf.DUMMYFUNCTION("""COMPUTED_VALUE"""),1462.1)</f>
        <v>1462.1</v>
      </c>
      <c r="E5204" s="2">
        <f>IFERROR(__xludf.DUMMYFUNCTION("""COMPUTED_VALUE"""),1470.65)</f>
        <v>1470.65</v>
      </c>
      <c r="F5204" s="2">
        <f>IFERROR(__xludf.DUMMYFUNCTION("""COMPUTED_VALUE"""),8467325.0)</f>
        <v>8467325</v>
      </c>
    </row>
    <row r="5205">
      <c r="A5205" s="3">
        <f>IFERROR(__xludf.DUMMYFUNCTION("""COMPUTED_VALUE"""),44210.64583333333)</f>
        <v>44210.64583</v>
      </c>
      <c r="B5205" s="2">
        <f>IFERROR(__xludf.DUMMYFUNCTION("""COMPUTED_VALUE"""),1471.15)</f>
        <v>1471.15</v>
      </c>
      <c r="C5205" s="2">
        <f>IFERROR(__xludf.DUMMYFUNCTION("""COMPUTED_VALUE"""),1488.0)</f>
        <v>1488</v>
      </c>
      <c r="D5205" s="2">
        <f>IFERROR(__xludf.DUMMYFUNCTION("""COMPUTED_VALUE"""),1456.0)</f>
        <v>1456</v>
      </c>
      <c r="E5205" s="2">
        <f>IFERROR(__xludf.DUMMYFUNCTION("""COMPUTED_VALUE"""),1468.75)</f>
        <v>1468.75</v>
      </c>
      <c r="F5205" s="2">
        <f>IFERROR(__xludf.DUMMYFUNCTION("""COMPUTED_VALUE"""),6148583.0)</f>
        <v>6148583</v>
      </c>
    </row>
    <row r="5206">
      <c r="A5206" s="3">
        <f>IFERROR(__xludf.DUMMYFUNCTION("""COMPUTED_VALUE"""),44211.64583333333)</f>
        <v>44211.64583</v>
      </c>
      <c r="B5206" s="2">
        <f>IFERROR(__xludf.DUMMYFUNCTION("""COMPUTED_VALUE"""),1469.1)</f>
        <v>1469.1</v>
      </c>
      <c r="C5206" s="2">
        <f>IFERROR(__xludf.DUMMYFUNCTION("""COMPUTED_VALUE"""),1471.65)</f>
        <v>1471.65</v>
      </c>
      <c r="D5206" s="2">
        <f>IFERROR(__xludf.DUMMYFUNCTION("""COMPUTED_VALUE"""),1445.0)</f>
        <v>1445</v>
      </c>
      <c r="E5206" s="2">
        <f>IFERROR(__xludf.DUMMYFUNCTION("""COMPUTED_VALUE"""),1466.65)</f>
        <v>1466.65</v>
      </c>
      <c r="F5206" s="2">
        <f>IFERROR(__xludf.DUMMYFUNCTION("""COMPUTED_VALUE"""),7082618.0)</f>
        <v>7082618</v>
      </c>
    </row>
    <row r="5207">
      <c r="A5207" s="3">
        <f>IFERROR(__xludf.DUMMYFUNCTION("""COMPUTED_VALUE"""),44214.64583333333)</f>
        <v>44214.64583</v>
      </c>
      <c r="B5207" s="2">
        <f>IFERROR(__xludf.DUMMYFUNCTION("""COMPUTED_VALUE"""),1469.9)</f>
        <v>1469.9</v>
      </c>
      <c r="C5207" s="2">
        <f>IFERROR(__xludf.DUMMYFUNCTION("""COMPUTED_VALUE"""),1502.85)</f>
        <v>1502.85</v>
      </c>
      <c r="D5207" s="2">
        <f>IFERROR(__xludf.DUMMYFUNCTION("""COMPUTED_VALUE"""),1467.0)</f>
        <v>1467</v>
      </c>
      <c r="E5207" s="2">
        <f>IFERROR(__xludf.DUMMYFUNCTION("""COMPUTED_VALUE"""),1483.1)</f>
        <v>1483.1</v>
      </c>
      <c r="F5207" s="2">
        <f>IFERROR(__xludf.DUMMYFUNCTION("""COMPUTED_VALUE"""),2.1412816E7)</f>
        <v>21412816</v>
      </c>
    </row>
    <row r="5208">
      <c r="A5208" s="3">
        <f>IFERROR(__xludf.DUMMYFUNCTION("""COMPUTED_VALUE"""),44215.64583333333)</f>
        <v>44215.64583</v>
      </c>
      <c r="B5208" s="2">
        <f>IFERROR(__xludf.DUMMYFUNCTION("""COMPUTED_VALUE"""),1491.8)</f>
        <v>1491.8</v>
      </c>
      <c r="C5208" s="2">
        <f>IFERROR(__xludf.DUMMYFUNCTION("""COMPUTED_VALUE"""),1511.65)</f>
        <v>1511.65</v>
      </c>
      <c r="D5208" s="2">
        <f>IFERROR(__xludf.DUMMYFUNCTION("""COMPUTED_VALUE"""),1467.0)</f>
        <v>1467</v>
      </c>
      <c r="E5208" s="2">
        <f>IFERROR(__xludf.DUMMYFUNCTION("""COMPUTED_VALUE"""),1503.85)</f>
        <v>1503.85</v>
      </c>
      <c r="F5208" s="2">
        <f>IFERROR(__xludf.DUMMYFUNCTION("""COMPUTED_VALUE"""),8680127.0)</f>
        <v>8680127</v>
      </c>
    </row>
    <row r="5209">
      <c r="A5209" s="3">
        <f>IFERROR(__xludf.DUMMYFUNCTION("""COMPUTED_VALUE"""),44216.64583333333)</f>
        <v>44216.64583</v>
      </c>
      <c r="B5209" s="2">
        <f>IFERROR(__xludf.DUMMYFUNCTION("""COMPUTED_VALUE"""),1501.0)</f>
        <v>1501</v>
      </c>
      <c r="C5209" s="2">
        <f>IFERROR(__xludf.DUMMYFUNCTION("""COMPUTED_VALUE"""),1501.0)</f>
        <v>1501</v>
      </c>
      <c r="D5209" s="2">
        <f>IFERROR(__xludf.DUMMYFUNCTION("""COMPUTED_VALUE"""),1486.0)</f>
        <v>1486</v>
      </c>
      <c r="E5209" s="2">
        <f>IFERROR(__xludf.DUMMYFUNCTION("""COMPUTED_VALUE"""),1492.0)</f>
        <v>1492</v>
      </c>
      <c r="F5209" s="2">
        <f>IFERROR(__xludf.DUMMYFUNCTION("""COMPUTED_VALUE"""),6673026.0)</f>
        <v>6673026</v>
      </c>
    </row>
    <row r="5210">
      <c r="A5210" s="3">
        <f>IFERROR(__xludf.DUMMYFUNCTION("""COMPUTED_VALUE"""),44217.64583333333)</f>
        <v>44217.64583</v>
      </c>
      <c r="B5210" s="2">
        <f>IFERROR(__xludf.DUMMYFUNCTION("""COMPUTED_VALUE"""),1492.0)</f>
        <v>1492</v>
      </c>
      <c r="C5210" s="2">
        <f>IFERROR(__xludf.DUMMYFUNCTION("""COMPUTED_VALUE"""),1494.35)</f>
        <v>1494.35</v>
      </c>
      <c r="D5210" s="2">
        <f>IFERROR(__xludf.DUMMYFUNCTION("""COMPUTED_VALUE"""),1468.15)</f>
        <v>1468.15</v>
      </c>
      <c r="E5210" s="2">
        <f>IFERROR(__xludf.DUMMYFUNCTION("""COMPUTED_VALUE"""),1474.8)</f>
        <v>1474.8</v>
      </c>
      <c r="F5210" s="2">
        <f>IFERROR(__xludf.DUMMYFUNCTION("""COMPUTED_VALUE"""),1.3166527E7)</f>
        <v>13166527</v>
      </c>
    </row>
    <row r="5211">
      <c r="A5211" s="3">
        <f>IFERROR(__xludf.DUMMYFUNCTION("""COMPUTED_VALUE"""),44218.64583333333)</f>
        <v>44218.64583</v>
      </c>
      <c r="B5211" s="2">
        <f>IFERROR(__xludf.DUMMYFUNCTION("""COMPUTED_VALUE"""),1467.9)</f>
        <v>1467.9</v>
      </c>
      <c r="C5211" s="2">
        <f>IFERROR(__xludf.DUMMYFUNCTION("""COMPUTED_VALUE"""),1467.9)</f>
        <v>1467.9</v>
      </c>
      <c r="D5211" s="2">
        <f>IFERROR(__xludf.DUMMYFUNCTION("""COMPUTED_VALUE"""),1440.15)</f>
        <v>1440.15</v>
      </c>
      <c r="E5211" s="2">
        <f>IFERROR(__xludf.DUMMYFUNCTION("""COMPUTED_VALUE"""),1443.55)</f>
        <v>1443.55</v>
      </c>
      <c r="F5211" s="2">
        <f>IFERROR(__xludf.DUMMYFUNCTION("""COMPUTED_VALUE"""),7696182.0)</f>
        <v>7696182</v>
      </c>
    </row>
    <row r="5212">
      <c r="A5212" s="3">
        <f>IFERROR(__xludf.DUMMYFUNCTION("""COMPUTED_VALUE"""),44221.64583333333)</f>
        <v>44221.64583</v>
      </c>
      <c r="B5212" s="2">
        <f>IFERROR(__xludf.DUMMYFUNCTION("""COMPUTED_VALUE"""),1465.1)</f>
        <v>1465.1</v>
      </c>
      <c r="C5212" s="2">
        <f>IFERROR(__xludf.DUMMYFUNCTION("""COMPUTED_VALUE"""),1481.0)</f>
        <v>1481</v>
      </c>
      <c r="D5212" s="2">
        <f>IFERROR(__xludf.DUMMYFUNCTION("""COMPUTED_VALUE"""),1455.15)</f>
        <v>1455.15</v>
      </c>
      <c r="E5212" s="2">
        <f>IFERROR(__xludf.DUMMYFUNCTION("""COMPUTED_VALUE"""),1462.85)</f>
        <v>1462.85</v>
      </c>
      <c r="F5212" s="2">
        <f>IFERROR(__xludf.DUMMYFUNCTION("""COMPUTED_VALUE"""),1.0172359E7)</f>
        <v>10172359</v>
      </c>
    </row>
  </sheetData>
  <drawing r:id="rId1"/>
</worksheet>
</file>