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IFERROR(__xludf.DUMMYFUNCTION("GOOGLEFINANCE(""NSE:HINDUNILVR"", ""all"", DATE(2000,1,1),TODAY(),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IFERROR(__xludf.DUMMYFUNCTION("""COMPUTED_VALUE"""),36528.645833333336)</f>
        <v>36528.64583</v>
      </c>
      <c r="B2" s="1">
        <f>IFERROR(__xludf.DUMMYFUNCTION("""COMPUTED_VALUE"""),230.0)</f>
        <v>230</v>
      </c>
      <c r="C2" s="1">
        <f>IFERROR(__xludf.DUMMYFUNCTION("""COMPUTED_VALUE"""),230.76)</f>
        <v>230.76</v>
      </c>
      <c r="D2" s="1">
        <f>IFERROR(__xludf.DUMMYFUNCTION("""COMPUTED_VALUE"""),230.0)</f>
        <v>230</v>
      </c>
      <c r="E2" s="1">
        <f>IFERROR(__xludf.DUMMYFUNCTION("""COMPUTED_VALUE"""),230.76)</f>
        <v>230.76</v>
      </c>
      <c r="F2" s="1">
        <f>IFERROR(__xludf.DUMMYFUNCTION("""COMPUTED_VALUE"""),24903.0)</f>
        <v>24903</v>
      </c>
    </row>
    <row r="3">
      <c r="A3" s="2">
        <f>IFERROR(__xludf.DUMMYFUNCTION("""COMPUTED_VALUE"""),36529.645833333336)</f>
        <v>36529.64583</v>
      </c>
      <c r="B3" s="1">
        <f>IFERROR(__xludf.DUMMYFUNCTION("""COMPUTED_VALUE"""),238.1)</f>
        <v>238.1</v>
      </c>
      <c r="C3" s="1">
        <f>IFERROR(__xludf.DUMMYFUNCTION("""COMPUTED_VALUE"""),238.1)</f>
        <v>238.1</v>
      </c>
      <c r="D3" s="1">
        <f>IFERROR(__xludf.DUMMYFUNCTION("""COMPUTED_VALUE"""),225.0)</f>
        <v>225</v>
      </c>
      <c r="E3" s="1">
        <f>IFERROR(__xludf.DUMMYFUNCTION("""COMPUTED_VALUE"""),228.11)</f>
        <v>228.11</v>
      </c>
      <c r="F3" s="1">
        <f>IFERROR(__xludf.DUMMYFUNCTION("""COMPUTED_VALUE"""),58514.0)</f>
        <v>58514</v>
      </c>
    </row>
    <row r="4">
      <c r="A4" s="2">
        <f>IFERROR(__xludf.DUMMYFUNCTION("""COMPUTED_VALUE"""),36530.645833333336)</f>
        <v>36530.64583</v>
      </c>
      <c r="B4" s="1">
        <f>IFERROR(__xludf.DUMMYFUNCTION("""COMPUTED_VALUE"""),220.0)</f>
        <v>220</v>
      </c>
      <c r="C4" s="1">
        <f>IFERROR(__xludf.DUMMYFUNCTION("""COMPUTED_VALUE"""),225.0)</f>
        <v>225</v>
      </c>
      <c r="D4" s="1">
        <f>IFERROR(__xludf.DUMMYFUNCTION("""COMPUTED_VALUE"""),210.5)</f>
        <v>210.5</v>
      </c>
      <c r="E4" s="1">
        <f>IFERROR(__xludf.DUMMYFUNCTION("""COMPUTED_VALUE"""),219.99)</f>
        <v>219.99</v>
      </c>
      <c r="F4" s="1">
        <f>IFERROR(__xludf.DUMMYFUNCTION("""COMPUTED_VALUE"""),80296.0)</f>
        <v>80296</v>
      </c>
    </row>
    <row r="5">
      <c r="A5" s="2">
        <f>IFERROR(__xludf.DUMMYFUNCTION("""COMPUTED_VALUE"""),36531.645833333336)</f>
        <v>36531.64583</v>
      </c>
      <c r="B5" s="1">
        <f>IFERROR(__xludf.DUMMYFUNCTION("""COMPUTED_VALUE"""),222.49)</f>
        <v>222.49</v>
      </c>
      <c r="C5" s="1">
        <f>IFERROR(__xludf.DUMMYFUNCTION("""COMPUTED_VALUE"""),236.0)</f>
        <v>236</v>
      </c>
      <c r="D5" s="1">
        <f>IFERROR(__xludf.DUMMYFUNCTION("""COMPUTED_VALUE"""),221.0)</f>
        <v>221</v>
      </c>
      <c r="E5" s="1">
        <f>IFERROR(__xludf.DUMMYFUNCTION("""COMPUTED_VALUE"""),228.82)</f>
        <v>228.82</v>
      </c>
      <c r="F5" s="1">
        <f>IFERROR(__xludf.DUMMYFUNCTION("""COMPUTED_VALUE"""),190032.0)</f>
        <v>190032</v>
      </c>
    </row>
    <row r="6">
      <c r="A6" s="2">
        <f>IFERROR(__xludf.DUMMYFUNCTION("""COMPUTED_VALUE"""),36532.645833333336)</f>
        <v>36532.64583</v>
      </c>
      <c r="B6" s="1">
        <f>IFERROR(__xludf.DUMMYFUNCTION("""COMPUTED_VALUE"""),230.0)</f>
        <v>230</v>
      </c>
      <c r="C6" s="1">
        <f>IFERROR(__xludf.DUMMYFUNCTION("""COMPUTED_VALUE"""),245.2)</f>
        <v>245.2</v>
      </c>
      <c r="D6" s="1">
        <f>IFERROR(__xludf.DUMMYFUNCTION("""COMPUTED_VALUE"""),228.23)</f>
        <v>228.23</v>
      </c>
      <c r="E6" s="1">
        <f>IFERROR(__xludf.DUMMYFUNCTION("""COMPUTED_VALUE"""),241.3)</f>
        <v>241.3</v>
      </c>
      <c r="F6" s="1">
        <f>IFERROR(__xludf.DUMMYFUNCTION("""COMPUTED_VALUE"""),192582.0)</f>
        <v>192582</v>
      </c>
    </row>
    <row r="7">
      <c r="A7" s="2">
        <f>IFERROR(__xludf.DUMMYFUNCTION("""COMPUTED_VALUE"""),36535.645833333336)</f>
        <v>36535.64583</v>
      </c>
      <c r="B7" s="1">
        <f>IFERROR(__xludf.DUMMYFUNCTION("""COMPUTED_VALUE"""),244.5)</f>
        <v>244.5</v>
      </c>
      <c r="C7" s="1">
        <f>IFERROR(__xludf.DUMMYFUNCTION("""COMPUTED_VALUE"""),249.9)</f>
        <v>249.9</v>
      </c>
      <c r="D7" s="1">
        <f>IFERROR(__xludf.DUMMYFUNCTION("""COMPUTED_VALUE"""),241.0)</f>
        <v>241</v>
      </c>
      <c r="E7" s="1">
        <f>IFERROR(__xludf.DUMMYFUNCTION("""COMPUTED_VALUE"""),243.13)</f>
        <v>243.13</v>
      </c>
      <c r="F7" s="1">
        <f>IFERROR(__xludf.DUMMYFUNCTION("""COMPUTED_VALUE"""),86591.0)</f>
        <v>86591</v>
      </c>
    </row>
    <row r="8">
      <c r="A8" s="2">
        <f>IFERROR(__xludf.DUMMYFUNCTION("""COMPUTED_VALUE"""),36536.645833333336)</f>
        <v>36536.64583</v>
      </c>
      <c r="B8" s="1">
        <f>IFERROR(__xludf.DUMMYFUNCTION("""COMPUTED_VALUE"""),245.0)</f>
        <v>245</v>
      </c>
      <c r="C8" s="1">
        <f>IFERROR(__xludf.DUMMYFUNCTION("""COMPUTED_VALUE"""),252.9)</f>
        <v>252.9</v>
      </c>
      <c r="D8" s="1">
        <f>IFERROR(__xludf.DUMMYFUNCTION("""COMPUTED_VALUE"""),239.0)</f>
        <v>239</v>
      </c>
      <c r="E8" s="1">
        <f>IFERROR(__xludf.DUMMYFUNCTION("""COMPUTED_VALUE"""),248.58)</f>
        <v>248.58</v>
      </c>
      <c r="F8" s="1">
        <f>IFERROR(__xludf.DUMMYFUNCTION("""COMPUTED_VALUE"""),134411.0)</f>
        <v>134411</v>
      </c>
    </row>
    <row r="9">
      <c r="A9" s="2">
        <f>IFERROR(__xludf.DUMMYFUNCTION("""COMPUTED_VALUE"""),36537.645833333336)</f>
        <v>36537.64583</v>
      </c>
      <c r="B9" s="1">
        <f>IFERROR(__xludf.DUMMYFUNCTION("""COMPUTED_VALUE"""),250.0)</f>
        <v>250</v>
      </c>
      <c r="C9" s="1">
        <f>IFERROR(__xludf.DUMMYFUNCTION("""COMPUTED_VALUE"""),268.47)</f>
        <v>268.47</v>
      </c>
      <c r="D9" s="1">
        <f>IFERROR(__xludf.DUMMYFUNCTION("""COMPUTED_VALUE"""),249.0)</f>
        <v>249</v>
      </c>
      <c r="E9" s="1">
        <f>IFERROR(__xludf.DUMMYFUNCTION("""COMPUTED_VALUE"""),264.78)</f>
        <v>264.78</v>
      </c>
      <c r="F9" s="1">
        <f>IFERROR(__xludf.DUMMYFUNCTION("""COMPUTED_VALUE"""),177057.0)</f>
        <v>177057</v>
      </c>
    </row>
    <row r="10">
      <c r="A10" s="2">
        <f>IFERROR(__xludf.DUMMYFUNCTION("""COMPUTED_VALUE"""),36538.645833333336)</f>
        <v>36538.64583</v>
      </c>
      <c r="B10" s="1">
        <f>IFERROR(__xludf.DUMMYFUNCTION("""COMPUTED_VALUE"""),269.9)</f>
        <v>269.9</v>
      </c>
      <c r="C10" s="1">
        <f>IFERROR(__xludf.DUMMYFUNCTION("""COMPUTED_VALUE"""),285.96)</f>
        <v>285.96</v>
      </c>
      <c r="D10" s="1">
        <f>IFERROR(__xludf.DUMMYFUNCTION("""COMPUTED_VALUE"""),265.0)</f>
        <v>265</v>
      </c>
      <c r="E10" s="1">
        <f>IFERROR(__xludf.DUMMYFUNCTION("""COMPUTED_VALUE"""),278.67)</f>
        <v>278.67</v>
      </c>
      <c r="F10" s="1">
        <f>IFERROR(__xludf.DUMMYFUNCTION("""COMPUTED_VALUE"""),254508.0)</f>
        <v>254508</v>
      </c>
    </row>
    <row r="11">
      <c r="A11" s="2">
        <f>IFERROR(__xludf.DUMMYFUNCTION("""COMPUTED_VALUE"""),36539.645833333336)</f>
        <v>36539.64583</v>
      </c>
      <c r="B11" s="1">
        <f>IFERROR(__xludf.DUMMYFUNCTION("""COMPUTED_VALUE"""),275.0)</f>
        <v>275</v>
      </c>
      <c r="C11" s="1">
        <f>IFERROR(__xludf.DUMMYFUNCTION("""COMPUTED_VALUE"""),277.7)</f>
        <v>277.7</v>
      </c>
      <c r="D11" s="1">
        <f>IFERROR(__xludf.DUMMYFUNCTION("""COMPUTED_VALUE"""),265.0)</f>
        <v>265</v>
      </c>
      <c r="E11" s="1">
        <f>IFERROR(__xludf.DUMMYFUNCTION("""COMPUTED_VALUE"""),270.21)</f>
        <v>270.21</v>
      </c>
      <c r="F11" s="1">
        <f>IFERROR(__xludf.DUMMYFUNCTION("""COMPUTED_VALUE"""),120240.0)</f>
        <v>120240</v>
      </c>
    </row>
    <row r="12">
      <c r="A12" s="2">
        <f>IFERROR(__xludf.DUMMYFUNCTION("""COMPUTED_VALUE"""),36542.645833333336)</f>
        <v>36542.64583</v>
      </c>
      <c r="B12" s="1">
        <f>IFERROR(__xludf.DUMMYFUNCTION("""COMPUTED_VALUE"""),274.89)</f>
        <v>274.89</v>
      </c>
      <c r="C12" s="1">
        <f>IFERROR(__xludf.DUMMYFUNCTION("""COMPUTED_VALUE"""),275.0)</f>
        <v>275</v>
      </c>
      <c r="D12" s="1">
        <f>IFERROR(__xludf.DUMMYFUNCTION("""COMPUTED_VALUE"""),254.51)</f>
        <v>254.51</v>
      </c>
      <c r="E12" s="1">
        <f>IFERROR(__xludf.DUMMYFUNCTION("""COMPUTED_VALUE"""),259.83)</f>
        <v>259.83</v>
      </c>
      <c r="F12" s="1">
        <f>IFERROR(__xludf.DUMMYFUNCTION("""COMPUTED_VALUE"""),96539.0)</f>
        <v>96539</v>
      </c>
    </row>
    <row r="13">
      <c r="A13" s="2">
        <f>IFERROR(__xludf.DUMMYFUNCTION("""COMPUTED_VALUE"""),36543.645833333336)</f>
        <v>36543.64583</v>
      </c>
      <c r="B13" s="1">
        <f>IFERROR(__xludf.DUMMYFUNCTION("""COMPUTED_VALUE"""),259.7)</f>
        <v>259.7</v>
      </c>
      <c r="C13" s="1">
        <f>IFERROR(__xludf.DUMMYFUNCTION("""COMPUTED_VALUE"""),260.8)</f>
        <v>260.8</v>
      </c>
      <c r="D13" s="1">
        <f>IFERROR(__xludf.DUMMYFUNCTION("""COMPUTED_VALUE"""),254.6)</f>
        <v>254.6</v>
      </c>
      <c r="E13" s="1">
        <f>IFERROR(__xludf.DUMMYFUNCTION("""COMPUTED_VALUE"""),256.15)</f>
        <v>256.15</v>
      </c>
      <c r="F13" s="1">
        <f>IFERROR(__xludf.DUMMYFUNCTION("""COMPUTED_VALUE"""),89439.0)</f>
        <v>89439</v>
      </c>
    </row>
    <row r="14">
      <c r="A14" s="2">
        <f>IFERROR(__xludf.DUMMYFUNCTION("""COMPUTED_VALUE"""),36544.645833333336)</f>
        <v>36544.64583</v>
      </c>
      <c r="B14" s="1">
        <f>IFERROR(__xludf.DUMMYFUNCTION("""COMPUTED_VALUE"""),257.5)</f>
        <v>257.5</v>
      </c>
      <c r="C14" s="1">
        <f>IFERROR(__xludf.DUMMYFUNCTION("""COMPUTED_VALUE"""),260.0)</f>
        <v>260</v>
      </c>
      <c r="D14" s="1">
        <f>IFERROR(__xludf.DUMMYFUNCTION("""COMPUTED_VALUE"""),250.1)</f>
        <v>250.1</v>
      </c>
      <c r="E14" s="1">
        <f>IFERROR(__xludf.DUMMYFUNCTION("""COMPUTED_VALUE"""),252.9)</f>
        <v>252.9</v>
      </c>
      <c r="F14" s="1">
        <f>IFERROR(__xludf.DUMMYFUNCTION("""COMPUTED_VALUE"""),118666.0)</f>
        <v>118666</v>
      </c>
    </row>
    <row r="15">
      <c r="A15" s="2">
        <f>IFERROR(__xludf.DUMMYFUNCTION("""COMPUTED_VALUE"""),36545.645833333336)</f>
        <v>36545.64583</v>
      </c>
      <c r="B15" s="1">
        <f>IFERROR(__xludf.DUMMYFUNCTION("""COMPUTED_VALUE"""),252.5)</f>
        <v>252.5</v>
      </c>
      <c r="C15" s="1">
        <f>IFERROR(__xludf.DUMMYFUNCTION("""COMPUTED_VALUE"""),253.5)</f>
        <v>253.5</v>
      </c>
      <c r="D15" s="1">
        <f>IFERROR(__xludf.DUMMYFUNCTION("""COMPUTED_VALUE"""),251.5)</f>
        <v>251.5</v>
      </c>
      <c r="E15" s="1">
        <f>IFERROR(__xludf.DUMMYFUNCTION("""COMPUTED_VALUE"""),252.44)</f>
        <v>252.44</v>
      </c>
      <c r="F15" s="1">
        <f>IFERROR(__xludf.DUMMYFUNCTION("""COMPUTED_VALUE"""),121559.0)</f>
        <v>121559</v>
      </c>
    </row>
    <row r="16">
      <c r="A16" s="2">
        <f>IFERROR(__xludf.DUMMYFUNCTION("""COMPUTED_VALUE"""),36546.645833333336)</f>
        <v>36546.64583</v>
      </c>
      <c r="B16" s="1">
        <f>IFERROR(__xludf.DUMMYFUNCTION("""COMPUTED_VALUE"""),254.0)</f>
        <v>254</v>
      </c>
      <c r="C16" s="1">
        <f>IFERROR(__xludf.DUMMYFUNCTION("""COMPUTED_VALUE"""),259.5)</f>
        <v>259.5</v>
      </c>
      <c r="D16" s="1">
        <f>IFERROR(__xludf.DUMMYFUNCTION("""COMPUTED_VALUE"""),253.66)</f>
        <v>253.66</v>
      </c>
      <c r="E16" s="1">
        <f>IFERROR(__xludf.DUMMYFUNCTION("""COMPUTED_VALUE"""),254.81)</f>
        <v>254.81</v>
      </c>
      <c r="F16" s="1">
        <f>IFERROR(__xludf.DUMMYFUNCTION("""COMPUTED_VALUE"""),75012.0)</f>
        <v>75012</v>
      </c>
    </row>
    <row r="17">
      <c r="A17" s="2">
        <f>IFERROR(__xludf.DUMMYFUNCTION("""COMPUTED_VALUE"""),36549.645833333336)</f>
        <v>36549.64583</v>
      </c>
      <c r="B17" s="1">
        <f>IFERROR(__xludf.DUMMYFUNCTION("""COMPUTED_VALUE"""),255.0)</f>
        <v>255</v>
      </c>
      <c r="C17" s="1">
        <f>IFERROR(__xludf.DUMMYFUNCTION("""COMPUTED_VALUE"""),264.9)</f>
        <v>264.9</v>
      </c>
      <c r="D17" s="1">
        <f>IFERROR(__xludf.DUMMYFUNCTION("""COMPUTED_VALUE"""),254.1)</f>
        <v>254.1</v>
      </c>
      <c r="E17" s="1">
        <f>IFERROR(__xludf.DUMMYFUNCTION("""COMPUTED_VALUE"""),257.85)</f>
        <v>257.85</v>
      </c>
      <c r="F17" s="1">
        <f>IFERROR(__xludf.DUMMYFUNCTION("""COMPUTED_VALUE"""),71199.0)</f>
        <v>71199</v>
      </c>
    </row>
    <row r="18">
      <c r="A18" s="2">
        <f>IFERROR(__xludf.DUMMYFUNCTION("""COMPUTED_VALUE"""),36550.645833333336)</f>
        <v>36550.64583</v>
      </c>
      <c r="B18" s="1">
        <f>IFERROR(__xludf.DUMMYFUNCTION("""COMPUTED_VALUE"""),259.77)</f>
        <v>259.77</v>
      </c>
      <c r="C18" s="1">
        <f>IFERROR(__xludf.DUMMYFUNCTION("""COMPUTED_VALUE"""),259.77)</f>
        <v>259.77</v>
      </c>
      <c r="D18" s="1">
        <f>IFERROR(__xludf.DUMMYFUNCTION("""COMPUTED_VALUE"""),254.6)</f>
        <v>254.6</v>
      </c>
      <c r="E18" s="1">
        <f>IFERROR(__xludf.DUMMYFUNCTION("""COMPUTED_VALUE"""),255.21)</f>
        <v>255.21</v>
      </c>
      <c r="F18" s="1">
        <f>IFERROR(__xludf.DUMMYFUNCTION("""COMPUTED_VALUE"""),54093.0)</f>
        <v>54093</v>
      </c>
    </row>
    <row r="19">
      <c r="A19" s="2">
        <f>IFERROR(__xludf.DUMMYFUNCTION("""COMPUTED_VALUE"""),36552.645833333336)</f>
        <v>36552.64583</v>
      </c>
      <c r="B19" s="1">
        <f>IFERROR(__xludf.DUMMYFUNCTION("""COMPUTED_VALUE"""),262.0)</f>
        <v>262</v>
      </c>
      <c r="C19" s="1">
        <f>IFERROR(__xludf.DUMMYFUNCTION("""COMPUTED_VALUE"""),268.0)</f>
        <v>268</v>
      </c>
      <c r="D19" s="1">
        <f>IFERROR(__xludf.DUMMYFUNCTION("""COMPUTED_VALUE"""),253.9)</f>
        <v>253.9</v>
      </c>
      <c r="E19" s="1">
        <f>IFERROR(__xludf.DUMMYFUNCTION("""COMPUTED_VALUE"""),255.97)</f>
        <v>255.97</v>
      </c>
      <c r="F19" s="1">
        <f>IFERROR(__xludf.DUMMYFUNCTION("""COMPUTED_VALUE"""),92647.0)</f>
        <v>92647</v>
      </c>
    </row>
    <row r="20">
      <c r="A20" s="2">
        <f>IFERROR(__xludf.DUMMYFUNCTION("""COMPUTED_VALUE"""),36553.645833333336)</f>
        <v>36553.64583</v>
      </c>
      <c r="B20" s="1">
        <f>IFERROR(__xludf.DUMMYFUNCTION("""COMPUTED_VALUE"""),252.5)</f>
        <v>252.5</v>
      </c>
      <c r="C20" s="1">
        <f>IFERROR(__xludf.DUMMYFUNCTION("""COMPUTED_VALUE"""),256.48)</f>
        <v>256.48</v>
      </c>
      <c r="D20" s="1">
        <f>IFERROR(__xludf.DUMMYFUNCTION("""COMPUTED_VALUE"""),249.0)</f>
        <v>249</v>
      </c>
      <c r="E20" s="1">
        <f>IFERROR(__xludf.DUMMYFUNCTION("""COMPUTED_VALUE"""),252.38)</f>
        <v>252.38</v>
      </c>
      <c r="F20" s="1">
        <f>IFERROR(__xludf.DUMMYFUNCTION("""COMPUTED_VALUE"""),46421.0)</f>
        <v>46421</v>
      </c>
    </row>
    <row r="21">
      <c r="A21" s="2">
        <f>IFERROR(__xludf.DUMMYFUNCTION("""COMPUTED_VALUE"""),36556.645833333336)</f>
        <v>36556.64583</v>
      </c>
      <c r="B21" s="1">
        <f>IFERROR(__xludf.DUMMYFUNCTION("""COMPUTED_VALUE"""),244.5)</f>
        <v>244.5</v>
      </c>
      <c r="C21" s="1">
        <f>IFERROR(__xludf.DUMMYFUNCTION("""COMPUTED_VALUE"""),249.4)</f>
        <v>249.4</v>
      </c>
      <c r="D21" s="1">
        <f>IFERROR(__xludf.DUMMYFUNCTION("""COMPUTED_VALUE"""),240.1)</f>
        <v>240.1</v>
      </c>
      <c r="E21" s="1">
        <f>IFERROR(__xludf.DUMMYFUNCTION("""COMPUTED_VALUE"""),244.0)</f>
        <v>244</v>
      </c>
      <c r="F21" s="1">
        <f>IFERROR(__xludf.DUMMYFUNCTION("""COMPUTED_VALUE"""),69079.0)</f>
        <v>69079</v>
      </c>
    </row>
    <row r="22">
      <c r="A22" s="2">
        <f>IFERROR(__xludf.DUMMYFUNCTION("""COMPUTED_VALUE"""),36557.645833333336)</f>
        <v>36557.64583</v>
      </c>
      <c r="B22" s="1">
        <f>IFERROR(__xludf.DUMMYFUNCTION("""COMPUTED_VALUE"""),241.5)</f>
        <v>241.5</v>
      </c>
      <c r="C22" s="1">
        <f>IFERROR(__xludf.DUMMYFUNCTION("""COMPUTED_VALUE"""),241.5)</f>
        <v>241.5</v>
      </c>
      <c r="D22" s="1">
        <f>IFERROR(__xludf.DUMMYFUNCTION("""COMPUTED_VALUE"""),228.5)</f>
        <v>228.5</v>
      </c>
      <c r="E22" s="1">
        <f>IFERROR(__xludf.DUMMYFUNCTION("""COMPUTED_VALUE"""),232.67)</f>
        <v>232.67</v>
      </c>
      <c r="F22" s="1">
        <f>IFERROR(__xludf.DUMMYFUNCTION("""COMPUTED_VALUE"""),117442.0)</f>
        <v>117442</v>
      </c>
    </row>
    <row r="23">
      <c r="A23" s="2">
        <f>IFERROR(__xludf.DUMMYFUNCTION("""COMPUTED_VALUE"""),36558.645833333336)</f>
        <v>36558.64583</v>
      </c>
      <c r="B23" s="1">
        <f>IFERROR(__xludf.DUMMYFUNCTION("""COMPUTED_VALUE"""),240.0)</f>
        <v>240</v>
      </c>
      <c r="C23" s="1">
        <f>IFERROR(__xludf.DUMMYFUNCTION("""COMPUTED_VALUE"""),249.9)</f>
        <v>249.9</v>
      </c>
      <c r="D23" s="1">
        <f>IFERROR(__xludf.DUMMYFUNCTION("""COMPUTED_VALUE"""),237.5)</f>
        <v>237.5</v>
      </c>
      <c r="E23" s="1">
        <f>IFERROR(__xludf.DUMMYFUNCTION("""COMPUTED_VALUE"""),240.7)</f>
        <v>240.7</v>
      </c>
      <c r="F23" s="1">
        <f>IFERROR(__xludf.DUMMYFUNCTION("""COMPUTED_VALUE"""),98325.0)</f>
        <v>98325</v>
      </c>
    </row>
    <row r="24">
      <c r="A24" s="2">
        <f>IFERROR(__xludf.DUMMYFUNCTION("""COMPUTED_VALUE"""),36559.645833333336)</f>
        <v>36559.64583</v>
      </c>
      <c r="B24" s="1">
        <f>IFERROR(__xludf.DUMMYFUNCTION("""COMPUTED_VALUE"""),242.8)</f>
        <v>242.8</v>
      </c>
      <c r="C24" s="1">
        <f>IFERROR(__xludf.DUMMYFUNCTION("""COMPUTED_VALUE"""),245.1)</f>
        <v>245.1</v>
      </c>
      <c r="D24" s="1">
        <f>IFERROR(__xludf.DUMMYFUNCTION("""COMPUTED_VALUE"""),235.9)</f>
        <v>235.9</v>
      </c>
      <c r="E24" s="1">
        <f>IFERROR(__xludf.DUMMYFUNCTION("""COMPUTED_VALUE"""),243.79)</f>
        <v>243.79</v>
      </c>
      <c r="F24" s="1">
        <f>IFERROR(__xludf.DUMMYFUNCTION("""COMPUTED_VALUE"""),58365.0)</f>
        <v>58365</v>
      </c>
    </row>
    <row r="25">
      <c r="A25" s="2">
        <f>IFERROR(__xludf.DUMMYFUNCTION("""COMPUTED_VALUE"""),36560.645833333336)</f>
        <v>36560.64583</v>
      </c>
      <c r="B25" s="1">
        <f>IFERROR(__xludf.DUMMYFUNCTION("""COMPUTED_VALUE"""),243.98)</f>
        <v>243.98</v>
      </c>
      <c r="C25" s="1">
        <f>IFERROR(__xludf.DUMMYFUNCTION("""COMPUTED_VALUE"""),243.98)</f>
        <v>243.98</v>
      </c>
      <c r="D25" s="1">
        <f>IFERROR(__xludf.DUMMYFUNCTION("""COMPUTED_VALUE"""),232.5)</f>
        <v>232.5</v>
      </c>
      <c r="E25" s="1">
        <f>IFERROR(__xludf.DUMMYFUNCTION("""COMPUTED_VALUE"""),234.68)</f>
        <v>234.68</v>
      </c>
      <c r="F25" s="1">
        <f>IFERROR(__xludf.DUMMYFUNCTION("""COMPUTED_VALUE"""),33380.0)</f>
        <v>33380</v>
      </c>
    </row>
    <row r="26">
      <c r="A26" s="2">
        <f>IFERROR(__xludf.DUMMYFUNCTION("""COMPUTED_VALUE"""),36563.645833333336)</f>
        <v>36563.64583</v>
      </c>
      <c r="B26" s="1">
        <f>IFERROR(__xludf.DUMMYFUNCTION("""COMPUTED_VALUE"""),234.5)</f>
        <v>234.5</v>
      </c>
      <c r="C26" s="1">
        <f>IFERROR(__xludf.DUMMYFUNCTION("""COMPUTED_VALUE"""),235.5)</f>
        <v>235.5</v>
      </c>
      <c r="D26" s="1">
        <f>IFERROR(__xludf.DUMMYFUNCTION("""COMPUTED_VALUE"""),227.5)</f>
        <v>227.5</v>
      </c>
      <c r="E26" s="1">
        <f>IFERROR(__xludf.DUMMYFUNCTION("""COMPUTED_VALUE"""),230.9)</f>
        <v>230.9</v>
      </c>
      <c r="F26" s="1">
        <f>IFERROR(__xludf.DUMMYFUNCTION("""COMPUTED_VALUE"""),36764.0)</f>
        <v>36764</v>
      </c>
    </row>
    <row r="27">
      <c r="A27" s="2">
        <f>IFERROR(__xludf.DUMMYFUNCTION("""COMPUTED_VALUE"""),36564.645833333336)</f>
        <v>36564.64583</v>
      </c>
      <c r="B27" s="1">
        <f>IFERROR(__xludf.DUMMYFUNCTION("""COMPUTED_VALUE"""),230.0)</f>
        <v>230</v>
      </c>
      <c r="C27" s="1">
        <f>IFERROR(__xludf.DUMMYFUNCTION("""COMPUTED_VALUE"""),233.45)</f>
        <v>233.45</v>
      </c>
      <c r="D27" s="1">
        <f>IFERROR(__xludf.DUMMYFUNCTION("""COMPUTED_VALUE"""),230.0)</f>
        <v>230</v>
      </c>
      <c r="E27" s="1">
        <f>IFERROR(__xludf.DUMMYFUNCTION("""COMPUTED_VALUE"""),230.7)</f>
        <v>230.7</v>
      </c>
      <c r="F27" s="1">
        <f>IFERROR(__xludf.DUMMYFUNCTION("""COMPUTED_VALUE"""),41790.0)</f>
        <v>41790</v>
      </c>
    </row>
    <row r="28">
      <c r="A28" s="2">
        <f>IFERROR(__xludf.DUMMYFUNCTION("""COMPUTED_VALUE"""),36565.645833333336)</f>
        <v>36565.64583</v>
      </c>
      <c r="B28" s="1">
        <f>IFERROR(__xludf.DUMMYFUNCTION("""COMPUTED_VALUE"""),244.0)</f>
        <v>244</v>
      </c>
      <c r="C28" s="1">
        <f>IFERROR(__xludf.DUMMYFUNCTION("""COMPUTED_VALUE"""),248.0)</f>
        <v>248</v>
      </c>
      <c r="D28" s="1">
        <f>IFERROR(__xludf.DUMMYFUNCTION("""COMPUTED_VALUE"""),236.5)</f>
        <v>236.5</v>
      </c>
      <c r="E28" s="1">
        <f>IFERROR(__xludf.DUMMYFUNCTION("""COMPUTED_VALUE"""),241.81)</f>
        <v>241.81</v>
      </c>
      <c r="F28" s="1">
        <f>IFERROR(__xludf.DUMMYFUNCTION("""COMPUTED_VALUE"""),67504.0)</f>
        <v>67504</v>
      </c>
    </row>
    <row r="29">
      <c r="A29" s="2">
        <f>IFERROR(__xludf.DUMMYFUNCTION("""COMPUTED_VALUE"""),36566.645833333336)</f>
        <v>36566.64583</v>
      </c>
      <c r="B29" s="1">
        <f>IFERROR(__xludf.DUMMYFUNCTION("""COMPUTED_VALUE"""),238.13)</f>
        <v>238.13</v>
      </c>
      <c r="C29" s="1">
        <f>IFERROR(__xludf.DUMMYFUNCTION("""COMPUTED_VALUE"""),244.5)</f>
        <v>244.5</v>
      </c>
      <c r="D29" s="1">
        <f>IFERROR(__xludf.DUMMYFUNCTION("""COMPUTED_VALUE"""),232.0)</f>
        <v>232</v>
      </c>
      <c r="E29" s="1">
        <f>IFERROR(__xludf.DUMMYFUNCTION("""COMPUTED_VALUE"""),233.11)</f>
        <v>233.11</v>
      </c>
      <c r="F29" s="1">
        <f>IFERROR(__xludf.DUMMYFUNCTION("""COMPUTED_VALUE"""),87892.0)</f>
        <v>87892</v>
      </c>
    </row>
    <row r="30">
      <c r="A30" s="2">
        <f>IFERROR(__xludf.DUMMYFUNCTION("""COMPUTED_VALUE"""),36567.645833333336)</f>
        <v>36567.64583</v>
      </c>
      <c r="B30" s="1">
        <f>IFERROR(__xludf.DUMMYFUNCTION("""COMPUTED_VALUE"""),239.5)</f>
        <v>239.5</v>
      </c>
      <c r="C30" s="1">
        <f>IFERROR(__xludf.DUMMYFUNCTION("""COMPUTED_VALUE"""),244.99)</f>
        <v>244.99</v>
      </c>
      <c r="D30" s="1">
        <f>IFERROR(__xludf.DUMMYFUNCTION("""COMPUTED_VALUE"""),230.7)</f>
        <v>230.7</v>
      </c>
      <c r="E30" s="1">
        <f>IFERROR(__xludf.DUMMYFUNCTION("""COMPUTED_VALUE"""),237.65)</f>
        <v>237.65</v>
      </c>
      <c r="F30" s="1">
        <f>IFERROR(__xludf.DUMMYFUNCTION("""COMPUTED_VALUE"""),156867.0)</f>
        <v>156867</v>
      </c>
    </row>
    <row r="31">
      <c r="A31" s="2">
        <f>IFERROR(__xludf.DUMMYFUNCTION("""COMPUTED_VALUE"""),36570.645833333336)</f>
        <v>36570.64583</v>
      </c>
      <c r="B31" s="1">
        <f>IFERROR(__xludf.DUMMYFUNCTION("""COMPUTED_VALUE"""),237.0)</f>
        <v>237</v>
      </c>
      <c r="C31" s="1">
        <f>IFERROR(__xludf.DUMMYFUNCTION("""COMPUTED_VALUE"""),241.5)</f>
        <v>241.5</v>
      </c>
      <c r="D31" s="1">
        <f>IFERROR(__xludf.DUMMYFUNCTION("""COMPUTED_VALUE"""),229.7)</f>
        <v>229.7</v>
      </c>
      <c r="E31" s="1">
        <f>IFERROR(__xludf.DUMMYFUNCTION("""COMPUTED_VALUE"""),230.03)</f>
        <v>230.03</v>
      </c>
      <c r="F31" s="1">
        <f>IFERROR(__xludf.DUMMYFUNCTION("""COMPUTED_VALUE"""),57803.0)</f>
        <v>57803</v>
      </c>
    </row>
    <row r="32">
      <c r="A32" s="2">
        <f>IFERROR(__xludf.DUMMYFUNCTION("""COMPUTED_VALUE"""),36571.645833333336)</f>
        <v>36571.64583</v>
      </c>
      <c r="B32" s="1">
        <f>IFERROR(__xludf.DUMMYFUNCTION("""COMPUTED_VALUE"""),231.0)</f>
        <v>231</v>
      </c>
      <c r="C32" s="1">
        <f>IFERROR(__xludf.DUMMYFUNCTION("""COMPUTED_VALUE"""),235.99)</f>
        <v>235.99</v>
      </c>
      <c r="D32" s="1">
        <f>IFERROR(__xludf.DUMMYFUNCTION("""COMPUTED_VALUE"""),228.0)</f>
        <v>228</v>
      </c>
      <c r="E32" s="1">
        <f>IFERROR(__xludf.DUMMYFUNCTION("""COMPUTED_VALUE"""),230.2)</f>
        <v>230.2</v>
      </c>
      <c r="F32" s="1">
        <f>IFERROR(__xludf.DUMMYFUNCTION("""COMPUTED_VALUE"""),71513.0)</f>
        <v>71513</v>
      </c>
    </row>
    <row r="33">
      <c r="A33" s="2">
        <f>IFERROR(__xludf.DUMMYFUNCTION("""COMPUTED_VALUE"""),36572.645833333336)</f>
        <v>36572.64583</v>
      </c>
      <c r="B33" s="1">
        <f>IFERROR(__xludf.DUMMYFUNCTION("""COMPUTED_VALUE"""),240.0)</f>
        <v>240</v>
      </c>
      <c r="C33" s="1">
        <f>IFERROR(__xludf.DUMMYFUNCTION("""COMPUTED_VALUE"""),241.0)</f>
        <v>241</v>
      </c>
      <c r="D33" s="1">
        <f>IFERROR(__xludf.DUMMYFUNCTION("""COMPUTED_VALUE"""),230.0)</f>
        <v>230</v>
      </c>
      <c r="E33" s="1">
        <f>IFERROR(__xludf.DUMMYFUNCTION("""COMPUTED_VALUE"""),231.11)</f>
        <v>231.11</v>
      </c>
      <c r="F33" s="1">
        <f>IFERROR(__xludf.DUMMYFUNCTION("""COMPUTED_VALUE"""),90729.0)</f>
        <v>90729</v>
      </c>
    </row>
    <row r="34">
      <c r="A34" s="2">
        <f>IFERROR(__xludf.DUMMYFUNCTION("""COMPUTED_VALUE"""),36573.645833333336)</f>
        <v>36573.64583</v>
      </c>
      <c r="B34" s="1">
        <f>IFERROR(__xludf.DUMMYFUNCTION("""COMPUTED_VALUE"""),234.7)</f>
        <v>234.7</v>
      </c>
      <c r="C34" s="1">
        <f>IFERROR(__xludf.DUMMYFUNCTION("""COMPUTED_VALUE"""),234.7)</f>
        <v>234.7</v>
      </c>
      <c r="D34" s="1">
        <f>IFERROR(__xludf.DUMMYFUNCTION("""COMPUTED_VALUE"""),231.0)</f>
        <v>231</v>
      </c>
      <c r="E34" s="1">
        <f>IFERROR(__xludf.DUMMYFUNCTION("""COMPUTED_VALUE"""),232.71)</f>
        <v>232.71</v>
      </c>
      <c r="F34" s="1">
        <f>IFERROR(__xludf.DUMMYFUNCTION("""COMPUTED_VALUE"""),62080.0)</f>
        <v>62080</v>
      </c>
    </row>
    <row r="35">
      <c r="A35" s="2">
        <f>IFERROR(__xludf.DUMMYFUNCTION("""COMPUTED_VALUE"""),36574.645833333336)</f>
        <v>36574.64583</v>
      </c>
      <c r="B35" s="1">
        <f>IFERROR(__xludf.DUMMYFUNCTION("""COMPUTED_VALUE"""),232.79)</f>
        <v>232.79</v>
      </c>
      <c r="C35" s="1">
        <f>IFERROR(__xludf.DUMMYFUNCTION("""COMPUTED_VALUE"""),251.33)</f>
        <v>251.33</v>
      </c>
      <c r="D35" s="1">
        <f>IFERROR(__xludf.DUMMYFUNCTION("""COMPUTED_VALUE"""),231.5)</f>
        <v>231.5</v>
      </c>
      <c r="E35" s="1">
        <f>IFERROR(__xludf.DUMMYFUNCTION("""COMPUTED_VALUE"""),251.3)</f>
        <v>251.3</v>
      </c>
      <c r="F35" s="1">
        <f>IFERROR(__xludf.DUMMYFUNCTION("""COMPUTED_VALUE"""),238060.0)</f>
        <v>238060</v>
      </c>
    </row>
    <row r="36">
      <c r="A36" s="2">
        <f>IFERROR(__xludf.DUMMYFUNCTION("""COMPUTED_VALUE"""),36577.645833333336)</f>
        <v>36577.64583</v>
      </c>
      <c r="B36" s="1">
        <f>IFERROR(__xludf.DUMMYFUNCTION("""COMPUTED_VALUE"""),266.4)</f>
        <v>266.4</v>
      </c>
      <c r="C36" s="1">
        <f>IFERROR(__xludf.DUMMYFUNCTION("""COMPUTED_VALUE"""),271.4)</f>
        <v>271.4</v>
      </c>
      <c r="D36" s="1">
        <f>IFERROR(__xludf.DUMMYFUNCTION("""COMPUTED_VALUE"""),260.1)</f>
        <v>260.1</v>
      </c>
      <c r="E36" s="1">
        <f>IFERROR(__xludf.DUMMYFUNCTION("""COMPUTED_VALUE"""),271.4)</f>
        <v>271.4</v>
      </c>
      <c r="F36" s="1">
        <f>IFERROR(__xludf.DUMMYFUNCTION("""COMPUTED_VALUE"""),343736.0)</f>
        <v>343736</v>
      </c>
    </row>
    <row r="37">
      <c r="A37" s="2">
        <f>IFERROR(__xludf.DUMMYFUNCTION("""COMPUTED_VALUE"""),36578.645833333336)</f>
        <v>36578.64583</v>
      </c>
      <c r="B37" s="1">
        <f>IFERROR(__xludf.DUMMYFUNCTION("""COMPUTED_VALUE"""),292.0)</f>
        <v>292</v>
      </c>
      <c r="C37" s="1">
        <f>IFERROR(__xludf.DUMMYFUNCTION("""COMPUTED_VALUE"""),293.12)</f>
        <v>293.12</v>
      </c>
      <c r="D37" s="1">
        <f>IFERROR(__xludf.DUMMYFUNCTION("""COMPUTED_VALUE"""),292.0)</f>
        <v>292</v>
      </c>
      <c r="E37" s="1">
        <f>IFERROR(__xludf.DUMMYFUNCTION("""COMPUTED_VALUE"""),293.12)</f>
        <v>293.12</v>
      </c>
      <c r="F37" s="1">
        <f>IFERROR(__xludf.DUMMYFUNCTION("""COMPUTED_VALUE"""),115349.0)</f>
        <v>115349</v>
      </c>
    </row>
    <row r="38">
      <c r="A38" s="2">
        <f>IFERROR(__xludf.DUMMYFUNCTION("""COMPUTED_VALUE"""),36579.645833333336)</f>
        <v>36579.64583</v>
      </c>
      <c r="B38" s="1">
        <f>IFERROR(__xludf.DUMMYFUNCTION("""COMPUTED_VALUE"""),316.57)</f>
        <v>316.57</v>
      </c>
      <c r="C38" s="1">
        <f>IFERROR(__xludf.DUMMYFUNCTION("""COMPUTED_VALUE"""),316.57)</f>
        <v>316.57</v>
      </c>
      <c r="D38" s="1">
        <f>IFERROR(__xludf.DUMMYFUNCTION("""COMPUTED_VALUE"""),276.5)</f>
        <v>276.5</v>
      </c>
      <c r="E38" s="1">
        <f>IFERROR(__xludf.DUMMYFUNCTION("""COMPUTED_VALUE"""),287.59)</f>
        <v>287.59</v>
      </c>
      <c r="F38" s="1">
        <f>IFERROR(__xludf.DUMMYFUNCTION("""COMPUTED_VALUE"""),554204.0)</f>
        <v>554204</v>
      </c>
    </row>
    <row r="39">
      <c r="A39" s="2">
        <f>IFERROR(__xludf.DUMMYFUNCTION("""COMPUTED_VALUE"""),36580.645833333336)</f>
        <v>36580.64583</v>
      </c>
      <c r="B39" s="1">
        <f>IFERROR(__xludf.DUMMYFUNCTION("""COMPUTED_VALUE"""),299.8)</f>
        <v>299.8</v>
      </c>
      <c r="C39" s="1">
        <f>IFERROR(__xludf.DUMMYFUNCTION("""COMPUTED_VALUE"""),310.6)</f>
        <v>310.6</v>
      </c>
      <c r="D39" s="1">
        <f>IFERROR(__xludf.DUMMYFUNCTION("""COMPUTED_VALUE"""),292.5)</f>
        <v>292.5</v>
      </c>
      <c r="E39" s="1">
        <f>IFERROR(__xludf.DUMMYFUNCTION("""COMPUTED_VALUE"""),308.68)</f>
        <v>308.68</v>
      </c>
      <c r="F39" s="1">
        <f>IFERROR(__xludf.DUMMYFUNCTION("""COMPUTED_VALUE"""),285232.0)</f>
        <v>285232</v>
      </c>
    </row>
    <row r="40">
      <c r="A40" s="2">
        <f>IFERROR(__xludf.DUMMYFUNCTION("""COMPUTED_VALUE"""),36581.645833333336)</f>
        <v>36581.64583</v>
      </c>
      <c r="B40" s="1">
        <f>IFERROR(__xludf.DUMMYFUNCTION("""COMPUTED_VALUE"""),311.01)</f>
        <v>311.01</v>
      </c>
      <c r="C40" s="1">
        <f>IFERROR(__xludf.DUMMYFUNCTION("""COMPUTED_VALUE"""),323.4)</f>
        <v>323.4</v>
      </c>
      <c r="D40" s="1">
        <f>IFERROR(__xludf.DUMMYFUNCTION("""COMPUTED_VALUE"""),305.0)</f>
        <v>305</v>
      </c>
      <c r="E40" s="1">
        <f>IFERROR(__xludf.DUMMYFUNCTION("""COMPUTED_VALUE"""),314.13)</f>
        <v>314.13</v>
      </c>
      <c r="F40" s="1">
        <f>IFERROR(__xludf.DUMMYFUNCTION("""COMPUTED_VALUE"""),224740.0)</f>
        <v>224740</v>
      </c>
    </row>
    <row r="41">
      <c r="A41" s="2">
        <f>IFERROR(__xludf.DUMMYFUNCTION("""COMPUTED_VALUE"""),36584.645833333336)</f>
        <v>36584.64583</v>
      </c>
      <c r="B41" s="1">
        <f>IFERROR(__xludf.DUMMYFUNCTION("""COMPUTED_VALUE"""),313.0)</f>
        <v>313</v>
      </c>
      <c r="C41" s="1">
        <f>IFERROR(__xludf.DUMMYFUNCTION("""COMPUTED_VALUE"""),314.5)</f>
        <v>314.5</v>
      </c>
      <c r="D41" s="1">
        <f>IFERROR(__xludf.DUMMYFUNCTION("""COMPUTED_VALUE"""),300.0)</f>
        <v>300</v>
      </c>
      <c r="E41" s="1">
        <f>IFERROR(__xludf.DUMMYFUNCTION("""COMPUTED_VALUE"""),305.56)</f>
        <v>305.56</v>
      </c>
      <c r="F41" s="1">
        <f>IFERROR(__xludf.DUMMYFUNCTION("""COMPUTED_VALUE"""),152502.0)</f>
        <v>152502</v>
      </c>
    </row>
    <row r="42">
      <c r="A42" s="2">
        <f>IFERROR(__xludf.DUMMYFUNCTION("""COMPUTED_VALUE"""),36585.645833333336)</f>
        <v>36585.64583</v>
      </c>
      <c r="B42" s="1">
        <f>IFERROR(__xludf.DUMMYFUNCTION("""COMPUTED_VALUE"""),310.0)</f>
        <v>310</v>
      </c>
      <c r="C42" s="1">
        <f>IFERROR(__xludf.DUMMYFUNCTION("""COMPUTED_VALUE"""),310.0)</f>
        <v>310</v>
      </c>
      <c r="D42" s="1">
        <f>IFERROR(__xludf.DUMMYFUNCTION("""COMPUTED_VALUE"""),281.4)</f>
        <v>281.4</v>
      </c>
      <c r="E42" s="1">
        <f>IFERROR(__xludf.DUMMYFUNCTION("""COMPUTED_VALUE"""),286.42)</f>
        <v>286.42</v>
      </c>
      <c r="F42" s="1">
        <f>IFERROR(__xludf.DUMMYFUNCTION("""COMPUTED_VALUE"""),293524.0)</f>
        <v>293524</v>
      </c>
    </row>
    <row r="43">
      <c r="A43" s="2">
        <f>IFERROR(__xludf.DUMMYFUNCTION("""COMPUTED_VALUE"""),36586.645833333336)</f>
        <v>36586.64583</v>
      </c>
      <c r="B43" s="1">
        <f>IFERROR(__xludf.DUMMYFUNCTION("""COMPUTED_VALUE"""),284.9)</f>
        <v>284.9</v>
      </c>
      <c r="C43" s="1">
        <f>IFERROR(__xludf.DUMMYFUNCTION("""COMPUTED_VALUE"""),306.4)</f>
        <v>306.4</v>
      </c>
      <c r="D43" s="1">
        <f>IFERROR(__xludf.DUMMYFUNCTION("""COMPUTED_VALUE"""),267.51)</f>
        <v>267.51</v>
      </c>
      <c r="E43" s="1">
        <f>IFERROR(__xludf.DUMMYFUNCTION("""COMPUTED_VALUE"""),299.07)</f>
        <v>299.07</v>
      </c>
      <c r="F43" s="1">
        <f>IFERROR(__xludf.DUMMYFUNCTION("""COMPUTED_VALUE"""),261952.0)</f>
        <v>261952</v>
      </c>
    </row>
    <row r="44">
      <c r="A44" s="2">
        <f>IFERROR(__xludf.DUMMYFUNCTION("""COMPUTED_VALUE"""),36587.645833333336)</f>
        <v>36587.64583</v>
      </c>
      <c r="B44" s="1">
        <f>IFERROR(__xludf.DUMMYFUNCTION("""COMPUTED_VALUE"""),304.0)</f>
        <v>304</v>
      </c>
      <c r="C44" s="1">
        <f>IFERROR(__xludf.DUMMYFUNCTION("""COMPUTED_VALUE"""),305.3)</f>
        <v>305.3</v>
      </c>
      <c r="D44" s="1">
        <f>IFERROR(__xludf.DUMMYFUNCTION("""COMPUTED_VALUE"""),278.0)</f>
        <v>278</v>
      </c>
      <c r="E44" s="1">
        <f>IFERROR(__xludf.DUMMYFUNCTION("""COMPUTED_VALUE"""),281.78)</f>
        <v>281.78</v>
      </c>
      <c r="F44" s="1">
        <f>IFERROR(__xludf.DUMMYFUNCTION("""COMPUTED_VALUE"""),163144.0)</f>
        <v>163144</v>
      </c>
    </row>
    <row r="45">
      <c r="A45" s="2">
        <f>IFERROR(__xludf.DUMMYFUNCTION("""COMPUTED_VALUE"""),36588.645833333336)</f>
        <v>36588.64583</v>
      </c>
      <c r="B45" s="1">
        <f>IFERROR(__xludf.DUMMYFUNCTION("""COMPUTED_VALUE"""),273.54)</f>
        <v>273.54</v>
      </c>
      <c r="C45" s="1">
        <f>IFERROR(__xludf.DUMMYFUNCTION("""COMPUTED_VALUE"""),273.54)</f>
        <v>273.54</v>
      </c>
      <c r="D45" s="1">
        <f>IFERROR(__xludf.DUMMYFUNCTION("""COMPUTED_VALUE"""),259.24)</f>
        <v>259.24</v>
      </c>
      <c r="E45" s="1">
        <f>IFERROR(__xludf.DUMMYFUNCTION("""COMPUTED_VALUE"""),259.36)</f>
        <v>259.36</v>
      </c>
      <c r="F45" s="1">
        <f>IFERROR(__xludf.DUMMYFUNCTION("""COMPUTED_VALUE"""),192746.0)</f>
        <v>192746</v>
      </c>
    </row>
    <row r="46">
      <c r="A46" s="2">
        <f>IFERROR(__xludf.DUMMYFUNCTION("""COMPUTED_VALUE"""),36591.645833333336)</f>
        <v>36591.64583</v>
      </c>
      <c r="B46" s="1">
        <f>IFERROR(__xludf.DUMMYFUNCTION("""COMPUTED_VALUE"""),250.4)</f>
        <v>250.4</v>
      </c>
      <c r="C46" s="1">
        <f>IFERROR(__xludf.DUMMYFUNCTION("""COMPUTED_VALUE"""),267.0)</f>
        <v>267</v>
      </c>
      <c r="D46" s="1">
        <f>IFERROR(__xludf.DUMMYFUNCTION("""COMPUTED_VALUE"""),241.2)</f>
        <v>241.2</v>
      </c>
      <c r="E46" s="1">
        <f>IFERROR(__xludf.DUMMYFUNCTION("""COMPUTED_VALUE"""),247.32)</f>
        <v>247.32</v>
      </c>
      <c r="F46" s="1">
        <f>IFERROR(__xludf.DUMMYFUNCTION("""COMPUTED_VALUE"""),151123.0)</f>
        <v>151123</v>
      </c>
    </row>
    <row r="47">
      <c r="A47" s="2">
        <f>IFERROR(__xludf.DUMMYFUNCTION("""COMPUTED_VALUE"""),36592.645833333336)</f>
        <v>36592.64583</v>
      </c>
      <c r="B47" s="1">
        <f>IFERROR(__xludf.DUMMYFUNCTION("""COMPUTED_VALUE"""),247.0)</f>
        <v>247</v>
      </c>
      <c r="C47" s="1">
        <f>IFERROR(__xludf.DUMMYFUNCTION("""COMPUTED_VALUE"""),259.99)</f>
        <v>259.99</v>
      </c>
      <c r="D47" s="1">
        <f>IFERROR(__xludf.DUMMYFUNCTION("""COMPUTED_VALUE"""),238.0)</f>
        <v>238</v>
      </c>
      <c r="E47" s="1">
        <f>IFERROR(__xludf.DUMMYFUNCTION("""COMPUTED_VALUE"""),248.25)</f>
        <v>248.25</v>
      </c>
      <c r="F47" s="1">
        <f>IFERROR(__xludf.DUMMYFUNCTION("""COMPUTED_VALUE"""),196850.0)</f>
        <v>196850</v>
      </c>
    </row>
    <row r="48">
      <c r="A48" s="2">
        <f>IFERROR(__xludf.DUMMYFUNCTION("""COMPUTED_VALUE"""),36593.645833333336)</f>
        <v>36593.64583</v>
      </c>
      <c r="B48" s="1">
        <f>IFERROR(__xludf.DUMMYFUNCTION("""COMPUTED_VALUE"""),262.6)</f>
        <v>262.6</v>
      </c>
      <c r="C48" s="1">
        <f>IFERROR(__xludf.DUMMYFUNCTION("""COMPUTED_VALUE"""),265.0)</f>
        <v>265</v>
      </c>
      <c r="D48" s="1">
        <f>IFERROR(__xludf.DUMMYFUNCTION("""COMPUTED_VALUE"""),244.2)</f>
        <v>244.2</v>
      </c>
      <c r="E48" s="1">
        <f>IFERROR(__xludf.DUMMYFUNCTION("""COMPUTED_VALUE"""),249.23)</f>
        <v>249.23</v>
      </c>
      <c r="F48" s="1">
        <f>IFERROR(__xludf.DUMMYFUNCTION("""COMPUTED_VALUE"""),173402.0)</f>
        <v>173402</v>
      </c>
    </row>
    <row r="49">
      <c r="A49" s="2">
        <f>IFERROR(__xludf.DUMMYFUNCTION("""COMPUTED_VALUE"""),36594.645833333336)</f>
        <v>36594.64583</v>
      </c>
      <c r="B49" s="1">
        <f>IFERROR(__xludf.DUMMYFUNCTION("""COMPUTED_VALUE"""),250.5)</f>
        <v>250.5</v>
      </c>
      <c r="C49" s="1">
        <f>IFERROR(__xludf.DUMMYFUNCTION("""COMPUTED_VALUE"""),254.0)</f>
        <v>254</v>
      </c>
      <c r="D49" s="1">
        <f>IFERROR(__xludf.DUMMYFUNCTION("""COMPUTED_VALUE"""),230.1)</f>
        <v>230.1</v>
      </c>
      <c r="E49" s="1">
        <f>IFERROR(__xludf.DUMMYFUNCTION("""COMPUTED_VALUE"""),240.21)</f>
        <v>240.21</v>
      </c>
      <c r="F49" s="1">
        <f>IFERROR(__xludf.DUMMYFUNCTION("""COMPUTED_VALUE"""),139584.0)</f>
        <v>139584</v>
      </c>
    </row>
    <row r="50">
      <c r="A50" s="2">
        <f>IFERROR(__xludf.DUMMYFUNCTION("""COMPUTED_VALUE"""),36595.645833333336)</f>
        <v>36595.64583</v>
      </c>
      <c r="B50" s="1">
        <f>IFERROR(__xludf.DUMMYFUNCTION("""COMPUTED_VALUE"""),240.0)</f>
        <v>240</v>
      </c>
      <c r="C50" s="1">
        <f>IFERROR(__xludf.DUMMYFUNCTION("""COMPUTED_VALUE"""),250.0)</f>
        <v>250</v>
      </c>
      <c r="D50" s="1">
        <f>IFERROR(__xludf.DUMMYFUNCTION("""COMPUTED_VALUE"""),232.6)</f>
        <v>232.6</v>
      </c>
      <c r="E50" s="1">
        <f>IFERROR(__xludf.DUMMYFUNCTION("""COMPUTED_VALUE"""),236.27)</f>
        <v>236.27</v>
      </c>
      <c r="F50" s="1">
        <f>IFERROR(__xludf.DUMMYFUNCTION("""COMPUTED_VALUE"""),136320.0)</f>
        <v>136320</v>
      </c>
    </row>
    <row r="51">
      <c r="A51" s="2">
        <f>IFERROR(__xludf.DUMMYFUNCTION("""COMPUTED_VALUE"""),36598.645833333336)</f>
        <v>36598.64583</v>
      </c>
      <c r="B51" s="1">
        <f>IFERROR(__xludf.DUMMYFUNCTION("""COMPUTED_VALUE"""),241.01)</f>
        <v>241.01</v>
      </c>
      <c r="C51" s="1">
        <f>IFERROR(__xludf.DUMMYFUNCTION("""COMPUTED_VALUE"""),254.93)</f>
        <v>254.93</v>
      </c>
      <c r="D51" s="1">
        <f>IFERROR(__xludf.DUMMYFUNCTION("""COMPUTED_VALUE"""),240.1)</f>
        <v>240.1</v>
      </c>
      <c r="E51" s="1">
        <f>IFERROR(__xludf.DUMMYFUNCTION("""COMPUTED_VALUE"""),251.92)</f>
        <v>251.92</v>
      </c>
      <c r="F51" s="1">
        <f>IFERROR(__xludf.DUMMYFUNCTION("""COMPUTED_VALUE"""),140890.0)</f>
        <v>140890</v>
      </c>
    </row>
    <row r="52">
      <c r="A52" s="2">
        <f>IFERROR(__xludf.DUMMYFUNCTION("""COMPUTED_VALUE"""),36599.645833333336)</f>
        <v>36599.64583</v>
      </c>
      <c r="B52" s="1">
        <f>IFERROR(__xludf.DUMMYFUNCTION("""COMPUTED_VALUE"""),254.0)</f>
        <v>254</v>
      </c>
      <c r="C52" s="1">
        <f>IFERROR(__xludf.DUMMYFUNCTION("""COMPUTED_VALUE"""),272.0)</f>
        <v>272</v>
      </c>
      <c r="D52" s="1">
        <f>IFERROR(__xludf.DUMMYFUNCTION("""COMPUTED_VALUE"""),251.0)</f>
        <v>251</v>
      </c>
      <c r="E52" s="1">
        <f>IFERROR(__xludf.DUMMYFUNCTION("""COMPUTED_VALUE"""),266.82)</f>
        <v>266.82</v>
      </c>
      <c r="F52" s="1">
        <f>IFERROR(__xludf.DUMMYFUNCTION("""COMPUTED_VALUE"""),247893.0)</f>
        <v>247893</v>
      </c>
    </row>
    <row r="53">
      <c r="A53" s="2">
        <f>IFERROR(__xludf.DUMMYFUNCTION("""COMPUTED_VALUE"""),36600.645833333336)</f>
        <v>36600.64583</v>
      </c>
      <c r="B53" s="1">
        <f>IFERROR(__xludf.DUMMYFUNCTION("""COMPUTED_VALUE"""),270.0)</f>
        <v>270</v>
      </c>
      <c r="C53" s="1">
        <f>IFERROR(__xludf.DUMMYFUNCTION("""COMPUTED_VALUE"""),288.16)</f>
        <v>288.16</v>
      </c>
      <c r="D53" s="1">
        <f>IFERROR(__xludf.DUMMYFUNCTION("""COMPUTED_VALUE"""),265.0)</f>
        <v>265</v>
      </c>
      <c r="E53" s="1">
        <f>IFERROR(__xludf.DUMMYFUNCTION("""COMPUTED_VALUE"""),288.16)</f>
        <v>288.16</v>
      </c>
      <c r="F53" s="1">
        <f>IFERROR(__xludf.DUMMYFUNCTION("""COMPUTED_VALUE"""),112981.0)</f>
        <v>112981</v>
      </c>
    </row>
    <row r="54">
      <c r="A54" s="2">
        <f>IFERROR(__xludf.DUMMYFUNCTION("""COMPUTED_VALUE"""),36601.645833333336)</f>
        <v>36601.64583</v>
      </c>
      <c r="B54" s="1">
        <f>IFERROR(__xludf.DUMMYFUNCTION("""COMPUTED_VALUE"""),290.01)</f>
        <v>290.01</v>
      </c>
      <c r="C54" s="1">
        <f>IFERROR(__xludf.DUMMYFUNCTION("""COMPUTED_VALUE"""),304.0)</f>
        <v>304</v>
      </c>
      <c r="D54" s="1">
        <f>IFERROR(__xludf.DUMMYFUNCTION("""COMPUTED_VALUE"""),285.0)</f>
        <v>285</v>
      </c>
      <c r="E54" s="1">
        <f>IFERROR(__xludf.DUMMYFUNCTION("""COMPUTED_VALUE"""),291.63)</f>
        <v>291.63</v>
      </c>
      <c r="F54" s="1">
        <f>IFERROR(__xludf.DUMMYFUNCTION("""COMPUTED_VALUE"""),216647.0)</f>
        <v>216647</v>
      </c>
    </row>
    <row r="55">
      <c r="A55" s="2">
        <f>IFERROR(__xludf.DUMMYFUNCTION("""COMPUTED_VALUE"""),36606.645833333336)</f>
        <v>36606.64583</v>
      </c>
      <c r="B55" s="1">
        <f>IFERROR(__xludf.DUMMYFUNCTION("""COMPUTED_VALUE"""),295.0)</f>
        <v>295</v>
      </c>
      <c r="C55" s="1">
        <f>IFERROR(__xludf.DUMMYFUNCTION("""COMPUTED_VALUE"""),298.0)</f>
        <v>298</v>
      </c>
      <c r="D55" s="1">
        <f>IFERROR(__xludf.DUMMYFUNCTION("""COMPUTED_VALUE"""),279.0)</f>
        <v>279</v>
      </c>
      <c r="E55" s="1">
        <f>IFERROR(__xludf.DUMMYFUNCTION("""COMPUTED_VALUE"""),282.86)</f>
        <v>282.86</v>
      </c>
      <c r="F55" s="1">
        <f>IFERROR(__xludf.DUMMYFUNCTION("""COMPUTED_VALUE"""),157588.0)</f>
        <v>157588</v>
      </c>
    </row>
    <row r="56">
      <c r="A56" s="2">
        <f>IFERROR(__xludf.DUMMYFUNCTION("""COMPUTED_VALUE"""),36607.645833333336)</f>
        <v>36607.64583</v>
      </c>
      <c r="B56" s="1">
        <f>IFERROR(__xludf.DUMMYFUNCTION("""COMPUTED_VALUE"""),281.7)</f>
        <v>281.7</v>
      </c>
      <c r="C56" s="1">
        <f>IFERROR(__xludf.DUMMYFUNCTION("""COMPUTED_VALUE"""),284.4)</f>
        <v>284.4</v>
      </c>
      <c r="D56" s="1">
        <f>IFERROR(__xludf.DUMMYFUNCTION("""COMPUTED_VALUE"""),260.24)</f>
        <v>260.24</v>
      </c>
      <c r="E56" s="1">
        <f>IFERROR(__xludf.DUMMYFUNCTION("""COMPUTED_VALUE"""),271.4)</f>
        <v>271.4</v>
      </c>
      <c r="F56" s="1">
        <f>IFERROR(__xludf.DUMMYFUNCTION("""COMPUTED_VALUE"""),155771.0)</f>
        <v>155771</v>
      </c>
    </row>
    <row r="57">
      <c r="A57" s="2">
        <f>IFERROR(__xludf.DUMMYFUNCTION("""COMPUTED_VALUE"""),36608.645833333336)</f>
        <v>36608.64583</v>
      </c>
      <c r="B57" s="1">
        <f>IFERROR(__xludf.DUMMYFUNCTION("""COMPUTED_VALUE"""),270.0)</f>
        <v>270</v>
      </c>
      <c r="C57" s="1">
        <f>IFERROR(__xludf.DUMMYFUNCTION("""COMPUTED_VALUE"""),270.0)</f>
        <v>270</v>
      </c>
      <c r="D57" s="1">
        <f>IFERROR(__xludf.DUMMYFUNCTION("""COMPUTED_VALUE"""),260.2)</f>
        <v>260.2</v>
      </c>
      <c r="E57" s="1">
        <f>IFERROR(__xludf.DUMMYFUNCTION("""COMPUTED_VALUE"""),264.08)</f>
        <v>264.08</v>
      </c>
      <c r="F57" s="1">
        <f>IFERROR(__xludf.DUMMYFUNCTION("""COMPUTED_VALUE"""),74447.0)</f>
        <v>74447</v>
      </c>
    </row>
    <row r="58">
      <c r="A58" s="2">
        <f>IFERROR(__xludf.DUMMYFUNCTION("""COMPUTED_VALUE"""),36609.645833333336)</f>
        <v>36609.64583</v>
      </c>
      <c r="B58" s="1">
        <f>IFERROR(__xludf.DUMMYFUNCTION("""COMPUTED_VALUE"""),265.0)</f>
        <v>265</v>
      </c>
      <c r="C58" s="1">
        <f>IFERROR(__xludf.DUMMYFUNCTION("""COMPUTED_VALUE"""),268.0)</f>
        <v>268</v>
      </c>
      <c r="D58" s="1">
        <f>IFERROR(__xludf.DUMMYFUNCTION("""COMPUTED_VALUE"""),258.1)</f>
        <v>258.1</v>
      </c>
      <c r="E58" s="1">
        <f>IFERROR(__xludf.DUMMYFUNCTION("""COMPUTED_VALUE"""),261.33)</f>
        <v>261.33</v>
      </c>
      <c r="F58" s="1">
        <f>IFERROR(__xludf.DUMMYFUNCTION("""COMPUTED_VALUE"""),84951.0)</f>
        <v>84951</v>
      </c>
    </row>
    <row r="59">
      <c r="A59" s="2">
        <f>IFERROR(__xludf.DUMMYFUNCTION("""COMPUTED_VALUE"""),36612.645833333336)</f>
        <v>36612.64583</v>
      </c>
      <c r="B59" s="1">
        <f>IFERROR(__xludf.DUMMYFUNCTION("""COMPUTED_VALUE"""),264.9)</f>
        <v>264.9</v>
      </c>
      <c r="C59" s="1">
        <f>IFERROR(__xludf.DUMMYFUNCTION("""COMPUTED_VALUE"""),270.9)</f>
        <v>270.9</v>
      </c>
      <c r="D59" s="1">
        <f>IFERROR(__xludf.DUMMYFUNCTION("""COMPUTED_VALUE"""),248.0)</f>
        <v>248</v>
      </c>
      <c r="E59" s="1">
        <f>IFERROR(__xludf.DUMMYFUNCTION("""COMPUTED_VALUE"""),250.52)</f>
        <v>250.52</v>
      </c>
      <c r="F59" s="1">
        <f>IFERROR(__xludf.DUMMYFUNCTION("""COMPUTED_VALUE"""),169319.0)</f>
        <v>169319</v>
      </c>
    </row>
    <row r="60">
      <c r="A60" s="2">
        <f>IFERROR(__xludf.DUMMYFUNCTION("""COMPUTED_VALUE"""),36613.645833333336)</f>
        <v>36613.64583</v>
      </c>
      <c r="B60" s="1">
        <f>IFERROR(__xludf.DUMMYFUNCTION("""COMPUTED_VALUE"""),249.85)</f>
        <v>249.85</v>
      </c>
      <c r="C60" s="1">
        <f>IFERROR(__xludf.DUMMYFUNCTION("""COMPUTED_VALUE"""),255.0)</f>
        <v>255</v>
      </c>
      <c r="D60" s="1">
        <f>IFERROR(__xludf.DUMMYFUNCTION("""COMPUTED_VALUE"""),246.1)</f>
        <v>246.1</v>
      </c>
      <c r="E60" s="1">
        <f>IFERROR(__xludf.DUMMYFUNCTION("""COMPUTED_VALUE"""),250.83)</f>
        <v>250.83</v>
      </c>
      <c r="F60" s="1">
        <f>IFERROR(__xludf.DUMMYFUNCTION("""COMPUTED_VALUE"""),101103.0)</f>
        <v>101103</v>
      </c>
    </row>
    <row r="61">
      <c r="A61" s="2">
        <f>IFERROR(__xludf.DUMMYFUNCTION("""COMPUTED_VALUE"""),36614.645833333336)</f>
        <v>36614.64583</v>
      </c>
      <c r="B61" s="1">
        <f>IFERROR(__xludf.DUMMYFUNCTION("""COMPUTED_VALUE"""),258.79)</f>
        <v>258.79</v>
      </c>
      <c r="C61" s="1">
        <f>IFERROR(__xludf.DUMMYFUNCTION("""COMPUTED_VALUE"""),258.79)</f>
        <v>258.79</v>
      </c>
      <c r="D61" s="1">
        <f>IFERROR(__xludf.DUMMYFUNCTION("""COMPUTED_VALUE"""),246.5)</f>
        <v>246.5</v>
      </c>
      <c r="E61" s="1">
        <f>IFERROR(__xludf.DUMMYFUNCTION("""COMPUTED_VALUE"""),248.02)</f>
        <v>248.02</v>
      </c>
      <c r="F61" s="1">
        <f>IFERROR(__xludf.DUMMYFUNCTION("""COMPUTED_VALUE"""),63303.0)</f>
        <v>63303</v>
      </c>
    </row>
    <row r="62">
      <c r="A62" s="2">
        <f>IFERROR(__xludf.DUMMYFUNCTION("""COMPUTED_VALUE"""),36615.645833333336)</f>
        <v>36615.64583</v>
      </c>
      <c r="B62" s="1">
        <f>IFERROR(__xludf.DUMMYFUNCTION("""COMPUTED_VALUE"""),248.0)</f>
        <v>248</v>
      </c>
      <c r="C62" s="1">
        <f>IFERROR(__xludf.DUMMYFUNCTION("""COMPUTED_VALUE"""),254.8)</f>
        <v>254.8</v>
      </c>
      <c r="D62" s="1">
        <f>IFERROR(__xludf.DUMMYFUNCTION("""COMPUTED_VALUE"""),245.0)</f>
        <v>245</v>
      </c>
      <c r="E62" s="1">
        <f>IFERROR(__xludf.DUMMYFUNCTION("""COMPUTED_VALUE"""),251.74)</f>
        <v>251.74</v>
      </c>
      <c r="F62" s="1">
        <f>IFERROR(__xludf.DUMMYFUNCTION("""COMPUTED_VALUE"""),88897.0)</f>
        <v>88897</v>
      </c>
    </row>
    <row r="63">
      <c r="A63" s="2">
        <f>IFERROR(__xludf.DUMMYFUNCTION("""COMPUTED_VALUE"""),36616.645833333336)</f>
        <v>36616.64583</v>
      </c>
      <c r="B63" s="1">
        <f>IFERROR(__xludf.DUMMYFUNCTION("""COMPUTED_VALUE"""),250.0)</f>
        <v>250</v>
      </c>
      <c r="C63" s="1">
        <f>IFERROR(__xludf.DUMMYFUNCTION("""COMPUTED_VALUE"""),254.9)</f>
        <v>254.9</v>
      </c>
      <c r="D63" s="1">
        <f>IFERROR(__xludf.DUMMYFUNCTION("""COMPUTED_VALUE"""),240.0)</f>
        <v>240</v>
      </c>
      <c r="E63" s="1">
        <f>IFERROR(__xludf.DUMMYFUNCTION("""COMPUTED_VALUE"""),241.24)</f>
        <v>241.24</v>
      </c>
      <c r="F63" s="1">
        <f>IFERROR(__xludf.DUMMYFUNCTION("""COMPUTED_VALUE"""),123249.0)</f>
        <v>123249</v>
      </c>
    </row>
    <row r="64">
      <c r="A64" s="2">
        <f>IFERROR(__xludf.DUMMYFUNCTION("""COMPUTED_VALUE"""),36619.645833333336)</f>
        <v>36619.64583</v>
      </c>
      <c r="B64" s="1">
        <f>IFERROR(__xludf.DUMMYFUNCTION("""COMPUTED_VALUE"""),245.0)</f>
        <v>245</v>
      </c>
      <c r="C64" s="1">
        <f>IFERROR(__xludf.DUMMYFUNCTION("""COMPUTED_VALUE"""),260.54)</f>
        <v>260.54</v>
      </c>
      <c r="D64" s="1">
        <f>IFERROR(__xludf.DUMMYFUNCTION("""COMPUTED_VALUE"""),243.0)</f>
        <v>243</v>
      </c>
      <c r="E64" s="1">
        <f>IFERROR(__xludf.DUMMYFUNCTION("""COMPUTED_VALUE"""),260.54)</f>
        <v>260.54</v>
      </c>
      <c r="F64" s="1">
        <f>IFERROR(__xludf.DUMMYFUNCTION("""COMPUTED_VALUE"""),186997.0)</f>
        <v>186997</v>
      </c>
    </row>
    <row r="65">
      <c r="A65" s="2">
        <f>IFERROR(__xludf.DUMMYFUNCTION("""COMPUTED_VALUE"""),36620.645833333336)</f>
        <v>36620.64583</v>
      </c>
      <c r="B65" s="1">
        <f>IFERROR(__xludf.DUMMYFUNCTION("""COMPUTED_VALUE"""),260.9)</f>
        <v>260.9</v>
      </c>
      <c r="C65" s="1">
        <f>IFERROR(__xludf.DUMMYFUNCTION("""COMPUTED_VALUE"""),262.0)</f>
        <v>262</v>
      </c>
      <c r="D65" s="1">
        <f>IFERROR(__xludf.DUMMYFUNCTION("""COMPUTED_VALUE"""),239.7)</f>
        <v>239.7</v>
      </c>
      <c r="E65" s="1">
        <f>IFERROR(__xludf.DUMMYFUNCTION("""COMPUTED_VALUE"""),239.78)</f>
        <v>239.78</v>
      </c>
      <c r="F65" s="1">
        <f>IFERROR(__xludf.DUMMYFUNCTION("""COMPUTED_VALUE"""),323019.0)</f>
        <v>323019</v>
      </c>
    </row>
    <row r="66">
      <c r="A66" s="2">
        <f>IFERROR(__xludf.DUMMYFUNCTION("""COMPUTED_VALUE"""),36621.645833333336)</f>
        <v>36621.64583</v>
      </c>
      <c r="B66" s="1">
        <f>IFERROR(__xludf.DUMMYFUNCTION("""COMPUTED_VALUE"""),235.0)</f>
        <v>235</v>
      </c>
      <c r="C66" s="1">
        <f>IFERROR(__xludf.DUMMYFUNCTION("""COMPUTED_VALUE"""),256.0)</f>
        <v>256</v>
      </c>
      <c r="D66" s="1">
        <f>IFERROR(__xludf.DUMMYFUNCTION("""COMPUTED_VALUE"""),235.0)</f>
        <v>235</v>
      </c>
      <c r="E66" s="1">
        <f>IFERROR(__xludf.DUMMYFUNCTION("""COMPUTED_VALUE"""),254.05)</f>
        <v>254.05</v>
      </c>
      <c r="F66" s="1">
        <f>IFERROR(__xludf.DUMMYFUNCTION("""COMPUTED_VALUE"""),157981.0)</f>
        <v>157981</v>
      </c>
    </row>
    <row r="67">
      <c r="A67" s="2">
        <f>IFERROR(__xludf.DUMMYFUNCTION("""COMPUTED_VALUE"""),36622.645833333336)</f>
        <v>36622.64583</v>
      </c>
      <c r="B67" s="1">
        <f>IFERROR(__xludf.DUMMYFUNCTION("""COMPUTED_VALUE"""),256.0)</f>
        <v>256</v>
      </c>
      <c r="C67" s="1">
        <f>IFERROR(__xludf.DUMMYFUNCTION("""COMPUTED_VALUE"""),258.0)</f>
        <v>258</v>
      </c>
      <c r="D67" s="1">
        <f>IFERROR(__xludf.DUMMYFUNCTION("""COMPUTED_VALUE"""),248.5)</f>
        <v>248.5</v>
      </c>
      <c r="E67" s="1">
        <f>IFERROR(__xludf.DUMMYFUNCTION("""COMPUTED_VALUE"""),254.85)</f>
        <v>254.85</v>
      </c>
      <c r="F67" s="1">
        <f>IFERROR(__xludf.DUMMYFUNCTION("""COMPUTED_VALUE"""),147927.0)</f>
        <v>147927</v>
      </c>
    </row>
    <row r="68">
      <c r="A68" s="2">
        <f>IFERROR(__xludf.DUMMYFUNCTION("""COMPUTED_VALUE"""),36623.645833333336)</f>
        <v>36623.64583</v>
      </c>
      <c r="B68" s="1">
        <f>IFERROR(__xludf.DUMMYFUNCTION("""COMPUTED_VALUE"""),255.0)</f>
        <v>255</v>
      </c>
      <c r="C68" s="1">
        <f>IFERROR(__xludf.DUMMYFUNCTION("""COMPUTED_VALUE"""),275.24)</f>
        <v>275.24</v>
      </c>
      <c r="D68" s="1">
        <f>IFERROR(__xludf.DUMMYFUNCTION("""COMPUTED_VALUE"""),255.0)</f>
        <v>255</v>
      </c>
      <c r="E68" s="1">
        <f>IFERROR(__xludf.DUMMYFUNCTION("""COMPUTED_VALUE"""),273.64)</f>
        <v>273.64</v>
      </c>
      <c r="F68" s="1">
        <f>IFERROR(__xludf.DUMMYFUNCTION("""COMPUTED_VALUE"""),258812.0)</f>
        <v>258812</v>
      </c>
    </row>
    <row r="69">
      <c r="A69" s="2">
        <f>IFERROR(__xludf.DUMMYFUNCTION("""COMPUTED_VALUE"""),36626.645833333336)</f>
        <v>36626.64583</v>
      </c>
      <c r="B69" s="1">
        <f>IFERROR(__xludf.DUMMYFUNCTION("""COMPUTED_VALUE"""),275.0)</f>
        <v>275</v>
      </c>
      <c r="C69" s="1">
        <f>IFERROR(__xludf.DUMMYFUNCTION("""COMPUTED_VALUE"""),287.48)</f>
        <v>287.48</v>
      </c>
      <c r="D69" s="1">
        <f>IFERROR(__xludf.DUMMYFUNCTION("""COMPUTED_VALUE"""),271.1)</f>
        <v>271.1</v>
      </c>
      <c r="E69" s="1">
        <f>IFERROR(__xludf.DUMMYFUNCTION("""COMPUTED_VALUE"""),274.46)</f>
        <v>274.46</v>
      </c>
      <c r="F69" s="1">
        <f>IFERROR(__xludf.DUMMYFUNCTION("""COMPUTED_VALUE"""),225922.0)</f>
        <v>225922</v>
      </c>
    </row>
    <row r="70">
      <c r="A70" s="2">
        <f>IFERROR(__xludf.DUMMYFUNCTION("""COMPUTED_VALUE"""),36627.645833333336)</f>
        <v>36627.64583</v>
      </c>
      <c r="B70" s="1">
        <f>IFERROR(__xludf.DUMMYFUNCTION("""COMPUTED_VALUE"""),270.1)</f>
        <v>270.1</v>
      </c>
      <c r="C70" s="1">
        <f>IFERROR(__xludf.DUMMYFUNCTION("""COMPUTED_VALUE"""),274.0)</f>
        <v>274</v>
      </c>
      <c r="D70" s="1">
        <f>IFERROR(__xludf.DUMMYFUNCTION("""COMPUTED_VALUE"""),262.1)</f>
        <v>262.1</v>
      </c>
      <c r="E70" s="1">
        <f>IFERROR(__xludf.DUMMYFUNCTION("""COMPUTED_VALUE"""),270.35)</f>
        <v>270.35</v>
      </c>
      <c r="F70" s="1">
        <f>IFERROR(__xludf.DUMMYFUNCTION("""COMPUTED_VALUE"""),120573.0)</f>
        <v>120573</v>
      </c>
    </row>
    <row r="71">
      <c r="A71" s="2">
        <f>IFERROR(__xludf.DUMMYFUNCTION("""COMPUTED_VALUE"""),36628.645833333336)</f>
        <v>36628.64583</v>
      </c>
      <c r="B71" s="1">
        <f>IFERROR(__xludf.DUMMYFUNCTION("""COMPUTED_VALUE"""),264.0)</f>
        <v>264</v>
      </c>
      <c r="C71" s="1">
        <f>IFERROR(__xludf.DUMMYFUNCTION("""COMPUTED_VALUE"""),270.0)</f>
        <v>270</v>
      </c>
      <c r="D71" s="1">
        <f>IFERROR(__xludf.DUMMYFUNCTION("""COMPUTED_VALUE"""),262.0)</f>
        <v>262</v>
      </c>
      <c r="E71" s="1">
        <f>IFERROR(__xludf.DUMMYFUNCTION("""COMPUTED_VALUE"""),263.15)</f>
        <v>263.15</v>
      </c>
      <c r="F71" s="1">
        <f>IFERROR(__xludf.DUMMYFUNCTION("""COMPUTED_VALUE"""),44684.0)</f>
        <v>44684</v>
      </c>
    </row>
    <row r="72">
      <c r="A72" s="2">
        <f>IFERROR(__xludf.DUMMYFUNCTION("""COMPUTED_VALUE"""),36629.645833333336)</f>
        <v>36629.64583</v>
      </c>
      <c r="B72" s="1">
        <f>IFERROR(__xludf.DUMMYFUNCTION("""COMPUTED_VALUE"""),256.0)</f>
        <v>256</v>
      </c>
      <c r="C72" s="1">
        <f>IFERROR(__xludf.DUMMYFUNCTION("""COMPUTED_VALUE"""),262.9)</f>
        <v>262.9</v>
      </c>
      <c r="D72" s="1">
        <f>IFERROR(__xludf.DUMMYFUNCTION("""COMPUTED_VALUE"""),251.0)</f>
        <v>251</v>
      </c>
      <c r="E72" s="1">
        <f>IFERROR(__xludf.DUMMYFUNCTION("""COMPUTED_VALUE"""),257.78)</f>
        <v>257.78</v>
      </c>
      <c r="F72" s="1">
        <f>IFERROR(__xludf.DUMMYFUNCTION("""COMPUTED_VALUE"""),80558.0)</f>
        <v>80558</v>
      </c>
    </row>
    <row r="73">
      <c r="A73" s="2">
        <f>IFERROR(__xludf.DUMMYFUNCTION("""COMPUTED_VALUE"""),36633.645833333336)</f>
        <v>36633.64583</v>
      </c>
      <c r="B73" s="1">
        <f>IFERROR(__xludf.DUMMYFUNCTION("""COMPUTED_VALUE"""),251.0)</f>
        <v>251</v>
      </c>
      <c r="C73" s="1">
        <f>IFERROR(__xludf.DUMMYFUNCTION("""COMPUTED_VALUE"""),252.0)</f>
        <v>252</v>
      </c>
      <c r="D73" s="1">
        <f>IFERROR(__xludf.DUMMYFUNCTION("""COMPUTED_VALUE"""),237.5)</f>
        <v>237.5</v>
      </c>
      <c r="E73" s="1">
        <f>IFERROR(__xludf.DUMMYFUNCTION("""COMPUTED_VALUE"""),248.09)</f>
        <v>248.09</v>
      </c>
      <c r="F73" s="1">
        <f>IFERROR(__xludf.DUMMYFUNCTION("""COMPUTED_VALUE"""),197236.0)</f>
        <v>197236</v>
      </c>
    </row>
    <row r="74">
      <c r="A74" s="2">
        <f>IFERROR(__xludf.DUMMYFUNCTION("""COMPUTED_VALUE"""),36634.645833333336)</f>
        <v>36634.64583</v>
      </c>
      <c r="B74" s="1">
        <f>IFERROR(__xludf.DUMMYFUNCTION("""COMPUTED_VALUE"""),250.98)</f>
        <v>250.98</v>
      </c>
      <c r="C74" s="1">
        <f>IFERROR(__xludf.DUMMYFUNCTION("""COMPUTED_VALUE"""),258.0)</f>
        <v>258</v>
      </c>
      <c r="D74" s="1">
        <f>IFERROR(__xludf.DUMMYFUNCTION("""COMPUTED_VALUE"""),245.0)</f>
        <v>245</v>
      </c>
      <c r="E74" s="1">
        <f>IFERROR(__xludf.DUMMYFUNCTION("""COMPUTED_VALUE"""),246.62)</f>
        <v>246.62</v>
      </c>
      <c r="F74" s="1">
        <f>IFERROR(__xludf.DUMMYFUNCTION("""COMPUTED_VALUE"""),112777.0)</f>
        <v>112777</v>
      </c>
    </row>
    <row r="75">
      <c r="A75" s="2">
        <f>IFERROR(__xludf.DUMMYFUNCTION("""COMPUTED_VALUE"""),36635.645833333336)</f>
        <v>36635.64583</v>
      </c>
      <c r="B75" s="1">
        <f>IFERROR(__xludf.DUMMYFUNCTION("""COMPUTED_VALUE"""),251.5)</f>
        <v>251.5</v>
      </c>
      <c r="C75" s="1">
        <f>IFERROR(__xludf.DUMMYFUNCTION("""COMPUTED_VALUE"""),258.0)</f>
        <v>258</v>
      </c>
      <c r="D75" s="1">
        <f>IFERROR(__xludf.DUMMYFUNCTION("""COMPUTED_VALUE"""),243.8)</f>
        <v>243.8</v>
      </c>
      <c r="E75" s="1">
        <f>IFERROR(__xludf.DUMMYFUNCTION("""COMPUTED_VALUE"""),250.37)</f>
        <v>250.37</v>
      </c>
      <c r="F75" s="1">
        <f>IFERROR(__xludf.DUMMYFUNCTION("""COMPUTED_VALUE"""),89773.0)</f>
        <v>89773</v>
      </c>
    </row>
    <row r="76">
      <c r="A76" s="2">
        <f>IFERROR(__xludf.DUMMYFUNCTION("""COMPUTED_VALUE"""),36636.645833333336)</f>
        <v>36636.64583</v>
      </c>
      <c r="B76" s="1">
        <f>IFERROR(__xludf.DUMMYFUNCTION("""COMPUTED_VALUE"""),252.4)</f>
        <v>252.4</v>
      </c>
      <c r="C76" s="1">
        <f>IFERROR(__xludf.DUMMYFUNCTION("""COMPUTED_VALUE"""),255.0)</f>
        <v>255</v>
      </c>
      <c r="D76" s="1">
        <f>IFERROR(__xludf.DUMMYFUNCTION("""COMPUTED_VALUE"""),245.8)</f>
        <v>245.8</v>
      </c>
      <c r="E76" s="1">
        <f>IFERROR(__xludf.DUMMYFUNCTION("""COMPUTED_VALUE"""),252.91)</f>
        <v>252.91</v>
      </c>
      <c r="F76" s="1">
        <f>IFERROR(__xludf.DUMMYFUNCTION("""COMPUTED_VALUE"""),95716.0)</f>
        <v>95716</v>
      </c>
    </row>
    <row r="77">
      <c r="A77" s="2">
        <f>IFERROR(__xludf.DUMMYFUNCTION("""COMPUTED_VALUE"""),36640.645833333336)</f>
        <v>36640.64583</v>
      </c>
      <c r="B77" s="1">
        <f>IFERROR(__xludf.DUMMYFUNCTION("""COMPUTED_VALUE"""),255.0)</f>
        <v>255</v>
      </c>
      <c r="C77" s="1">
        <f>IFERROR(__xludf.DUMMYFUNCTION("""COMPUTED_VALUE"""),262.9)</f>
        <v>262.9</v>
      </c>
      <c r="D77" s="1">
        <f>IFERROR(__xludf.DUMMYFUNCTION("""COMPUTED_VALUE"""),250.1)</f>
        <v>250.1</v>
      </c>
      <c r="E77" s="1">
        <f>IFERROR(__xludf.DUMMYFUNCTION("""COMPUTED_VALUE"""),254.5)</f>
        <v>254.5</v>
      </c>
      <c r="F77" s="1">
        <f>IFERROR(__xludf.DUMMYFUNCTION("""COMPUTED_VALUE"""),77702.0)</f>
        <v>77702</v>
      </c>
    </row>
    <row r="78">
      <c r="A78" s="2">
        <f>IFERROR(__xludf.DUMMYFUNCTION("""COMPUTED_VALUE"""),36641.645833333336)</f>
        <v>36641.64583</v>
      </c>
      <c r="B78" s="1">
        <f>IFERROR(__xludf.DUMMYFUNCTION("""COMPUTED_VALUE"""),250.9)</f>
        <v>250.9</v>
      </c>
      <c r="C78" s="1">
        <f>IFERROR(__xludf.DUMMYFUNCTION("""COMPUTED_VALUE"""),253.4)</f>
        <v>253.4</v>
      </c>
      <c r="D78" s="1">
        <f>IFERROR(__xludf.DUMMYFUNCTION("""COMPUTED_VALUE"""),241.0)</f>
        <v>241</v>
      </c>
      <c r="E78" s="1">
        <f>IFERROR(__xludf.DUMMYFUNCTION("""COMPUTED_VALUE"""),242.87)</f>
        <v>242.87</v>
      </c>
      <c r="F78" s="1">
        <f>IFERROR(__xludf.DUMMYFUNCTION("""COMPUTED_VALUE"""),146420.0)</f>
        <v>146420</v>
      </c>
    </row>
    <row r="79">
      <c r="A79" s="2">
        <f>IFERROR(__xludf.DUMMYFUNCTION("""COMPUTED_VALUE"""),36642.645833333336)</f>
        <v>36642.64583</v>
      </c>
      <c r="B79" s="1">
        <f>IFERROR(__xludf.DUMMYFUNCTION("""COMPUTED_VALUE"""),255.0)</f>
        <v>255</v>
      </c>
      <c r="C79" s="1">
        <f>IFERROR(__xludf.DUMMYFUNCTION("""COMPUTED_VALUE"""),255.0)</f>
        <v>255</v>
      </c>
      <c r="D79" s="1">
        <f>IFERROR(__xludf.DUMMYFUNCTION("""COMPUTED_VALUE"""),246.6)</f>
        <v>246.6</v>
      </c>
      <c r="E79" s="1">
        <f>IFERROR(__xludf.DUMMYFUNCTION("""COMPUTED_VALUE"""),249.82)</f>
        <v>249.82</v>
      </c>
      <c r="F79" s="1">
        <f>IFERROR(__xludf.DUMMYFUNCTION("""COMPUTED_VALUE"""),145449.0)</f>
        <v>145449</v>
      </c>
    </row>
    <row r="80">
      <c r="A80" s="2">
        <f>IFERROR(__xludf.DUMMYFUNCTION("""COMPUTED_VALUE"""),36643.645833333336)</f>
        <v>36643.64583</v>
      </c>
      <c r="B80" s="1">
        <f>IFERROR(__xludf.DUMMYFUNCTION("""COMPUTED_VALUE"""),251.5)</f>
        <v>251.5</v>
      </c>
      <c r="C80" s="1">
        <f>IFERROR(__xludf.DUMMYFUNCTION("""COMPUTED_VALUE"""),253.94)</f>
        <v>253.94</v>
      </c>
      <c r="D80" s="1">
        <f>IFERROR(__xludf.DUMMYFUNCTION("""COMPUTED_VALUE"""),245.0)</f>
        <v>245</v>
      </c>
      <c r="E80" s="1">
        <f>IFERROR(__xludf.DUMMYFUNCTION("""COMPUTED_VALUE"""),247.52)</f>
        <v>247.52</v>
      </c>
      <c r="F80" s="1">
        <f>IFERROR(__xludf.DUMMYFUNCTION("""COMPUTED_VALUE"""),97942.0)</f>
        <v>97942</v>
      </c>
    </row>
    <row r="81">
      <c r="A81" s="2">
        <f>IFERROR(__xludf.DUMMYFUNCTION("""COMPUTED_VALUE"""),36644.645833333336)</f>
        <v>36644.64583</v>
      </c>
      <c r="B81" s="1">
        <f>IFERROR(__xludf.DUMMYFUNCTION("""COMPUTED_VALUE"""),248.99)</f>
        <v>248.99</v>
      </c>
      <c r="C81" s="1">
        <f>IFERROR(__xludf.DUMMYFUNCTION("""COMPUTED_VALUE"""),249.8)</f>
        <v>249.8</v>
      </c>
      <c r="D81" s="1">
        <f>IFERROR(__xludf.DUMMYFUNCTION("""COMPUTED_VALUE"""),238.0)</f>
        <v>238</v>
      </c>
      <c r="E81" s="1">
        <f>IFERROR(__xludf.DUMMYFUNCTION("""COMPUTED_VALUE"""),239.8)</f>
        <v>239.8</v>
      </c>
      <c r="F81" s="1">
        <f>IFERROR(__xludf.DUMMYFUNCTION("""COMPUTED_VALUE"""),79075.0)</f>
        <v>79075</v>
      </c>
    </row>
    <row r="82">
      <c r="A82" s="2">
        <f>IFERROR(__xludf.DUMMYFUNCTION("""COMPUTED_VALUE"""),36648.645833333336)</f>
        <v>36648.64583</v>
      </c>
      <c r="B82" s="1">
        <f>IFERROR(__xludf.DUMMYFUNCTION("""COMPUTED_VALUE"""),238.1)</f>
        <v>238.1</v>
      </c>
      <c r="C82" s="1">
        <f>IFERROR(__xludf.DUMMYFUNCTION("""COMPUTED_VALUE"""),240.01)</f>
        <v>240.01</v>
      </c>
      <c r="D82" s="1">
        <f>IFERROR(__xludf.DUMMYFUNCTION("""COMPUTED_VALUE"""),212.0)</f>
        <v>212</v>
      </c>
      <c r="E82" s="1">
        <f>IFERROR(__xludf.DUMMYFUNCTION("""COMPUTED_VALUE"""),218.68)</f>
        <v>218.68</v>
      </c>
      <c r="F82" s="1">
        <f>IFERROR(__xludf.DUMMYFUNCTION("""COMPUTED_VALUE"""),159659.0)</f>
        <v>159659</v>
      </c>
    </row>
    <row r="83">
      <c r="A83" s="2">
        <f>IFERROR(__xludf.DUMMYFUNCTION("""COMPUTED_VALUE"""),36649.645833333336)</f>
        <v>36649.64583</v>
      </c>
      <c r="B83" s="1">
        <f>IFERROR(__xludf.DUMMYFUNCTION("""COMPUTED_VALUE"""),215.0)</f>
        <v>215</v>
      </c>
      <c r="C83" s="1">
        <f>IFERROR(__xludf.DUMMYFUNCTION("""COMPUTED_VALUE"""),232.9)</f>
        <v>232.9</v>
      </c>
      <c r="D83" s="1">
        <f>IFERROR(__xludf.DUMMYFUNCTION("""COMPUTED_VALUE"""),203.1)</f>
        <v>203.1</v>
      </c>
      <c r="E83" s="1">
        <f>IFERROR(__xludf.DUMMYFUNCTION("""COMPUTED_VALUE"""),218.6)</f>
        <v>218.6</v>
      </c>
      <c r="F83" s="1">
        <f>IFERROR(__xludf.DUMMYFUNCTION("""COMPUTED_VALUE"""),217796.0)</f>
        <v>217796</v>
      </c>
    </row>
    <row r="84">
      <c r="A84" s="2">
        <f>IFERROR(__xludf.DUMMYFUNCTION("""COMPUTED_VALUE"""),36650.645833333336)</f>
        <v>36650.64583</v>
      </c>
      <c r="B84" s="1">
        <f>IFERROR(__xludf.DUMMYFUNCTION("""COMPUTED_VALUE"""),221.8)</f>
        <v>221.8</v>
      </c>
      <c r="C84" s="1">
        <f>IFERROR(__xludf.DUMMYFUNCTION("""COMPUTED_VALUE"""),243.7)</f>
        <v>243.7</v>
      </c>
      <c r="D84" s="1">
        <f>IFERROR(__xludf.DUMMYFUNCTION("""COMPUTED_VALUE"""),219.2)</f>
        <v>219.2</v>
      </c>
      <c r="E84" s="1">
        <f>IFERROR(__xludf.DUMMYFUNCTION("""COMPUTED_VALUE"""),241.0)</f>
        <v>241</v>
      </c>
      <c r="F84" s="1">
        <f>IFERROR(__xludf.DUMMYFUNCTION("""COMPUTED_VALUE"""),183204.0)</f>
        <v>183204</v>
      </c>
    </row>
    <row r="85">
      <c r="A85" s="2">
        <f>IFERROR(__xludf.DUMMYFUNCTION("""COMPUTED_VALUE"""),36651.645833333336)</f>
        <v>36651.64583</v>
      </c>
      <c r="B85" s="1">
        <f>IFERROR(__xludf.DUMMYFUNCTION("""COMPUTED_VALUE"""),243.0)</f>
        <v>243</v>
      </c>
      <c r="C85" s="1">
        <f>IFERROR(__xludf.DUMMYFUNCTION("""COMPUTED_VALUE"""),255.0)</f>
        <v>255</v>
      </c>
      <c r="D85" s="1">
        <f>IFERROR(__xludf.DUMMYFUNCTION("""COMPUTED_VALUE"""),242.0)</f>
        <v>242</v>
      </c>
      <c r="E85" s="1">
        <f>IFERROR(__xludf.DUMMYFUNCTION("""COMPUTED_VALUE"""),253.65)</f>
        <v>253.65</v>
      </c>
      <c r="F85" s="1">
        <f>IFERROR(__xludf.DUMMYFUNCTION("""COMPUTED_VALUE"""),208601.0)</f>
        <v>208601</v>
      </c>
    </row>
    <row r="86">
      <c r="A86" s="2">
        <f>IFERROR(__xludf.DUMMYFUNCTION("""COMPUTED_VALUE"""),36654.645833333336)</f>
        <v>36654.64583</v>
      </c>
      <c r="B86" s="1">
        <f>IFERROR(__xludf.DUMMYFUNCTION("""COMPUTED_VALUE"""),251.1)</f>
        <v>251.1</v>
      </c>
      <c r="C86" s="1">
        <f>IFERROR(__xludf.DUMMYFUNCTION("""COMPUTED_VALUE"""),259.0)</f>
        <v>259</v>
      </c>
      <c r="D86" s="1">
        <f>IFERROR(__xludf.DUMMYFUNCTION("""COMPUTED_VALUE"""),237.31)</f>
        <v>237.31</v>
      </c>
      <c r="E86" s="1">
        <f>IFERROR(__xludf.DUMMYFUNCTION("""COMPUTED_VALUE"""),239.3)</f>
        <v>239.3</v>
      </c>
      <c r="F86" s="1">
        <f>IFERROR(__xludf.DUMMYFUNCTION("""COMPUTED_VALUE"""),121137.0)</f>
        <v>121137</v>
      </c>
    </row>
    <row r="87">
      <c r="A87" s="2">
        <f>IFERROR(__xludf.DUMMYFUNCTION("""COMPUTED_VALUE"""),36655.645833333336)</f>
        <v>36655.64583</v>
      </c>
      <c r="B87" s="1">
        <f>IFERROR(__xludf.DUMMYFUNCTION("""COMPUTED_VALUE"""),237.22)</f>
        <v>237.22</v>
      </c>
      <c r="C87" s="1">
        <f>IFERROR(__xludf.DUMMYFUNCTION("""COMPUTED_VALUE"""),248.0)</f>
        <v>248</v>
      </c>
      <c r="D87" s="1">
        <f>IFERROR(__xludf.DUMMYFUNCTION("""COMPUTED_VALUE"""),234.3)</f>
        <v>234.3</v>
      </c>
      <c r="E87" s="1">
        <f>IFERROR(__xludf.DUMMYFUNCTION("""COMPUTED_VALUE"""),245.61)</f>
        <v>245.61</v>
      </c>
      <c r="F87" s="1">
        <f>IFERROR(__xludf.DUMMYFUNCTION("""COMPUTED_VALUE"""),98629.0)</f>
        <v>98629</v>
      </c>
    </row>
    <row r="88">
      <c r="A88" s="2">
        <f>IFERROR(__xludf.DUMMYFUNCTION("""COMPUTED_VALUE"""),36656.645833333336)</f>
        <v>36656.64583</v>
      </c>
      <c r="B88" s="1">
        <f>IFERROR(__xludf.DUMMYFUNCTION("""COMPUTED_VALUE"""),249.4)</f>
        <v>249.4</v>
      </c>
      <c r="C88" s="1">
        <f>IFERROR(__xludf.DUMMYFUNCTION("""COMPUTED_VALUE"""),249.4)</f>
        <v>249.4</v>
      </c>
      <c r="D88" s="1">
        <f>IFERROR(__xludf.DUMMYFUNCTION("""COMPUTED_VALUE"""),240.1)</f>
        <v>240.1</v>
      </c>
      <c r="E88" s="1">
        <f>IFERROR(__xludf.DUMMYFUNCTION("""COMPUTED_VALUE"""),241.59)</f>
        <v>241.59</v>
      </c>
      <c r="F88" s="1">
        <f>IFERROR(__xludf.DUMMYFUNCTION("""COMPUTED_VALUE"""),43695.0)</f>
        <v>43695</v>
      </c>
    </row>
    <row r="89">
      <c r="A89" s="2">
        <f>IFERROR(__xludf.DUMMYFUNCTION("""COMPUTED_VALUE"""),36657.645833333336)</f>
        <v>36657.64583</v>
      </c>
      <c r="B89" s="1">
        <f>IFERROR(__xludf.DUMMYFUNCTION("""COMPUTED_VALUE"""),240.1)</f>
        <v>240.1</v>
      </c>
      <c r="C89" s="1">
        <f>IFERROR(__xludf.DUMMYFUNCTION("""COMPUTED_VALUE"""),240.1)</f>
        <v>240.1</v>
      </c>
      <c r="D89" s="1">
        <f>IFERROR(__xludf.DUMMYFUNCTION("""COMPUTED_VALUE"""),224.51)</f>
        <v>224.51</v>
      </c>
      <c r="E89" s="1">
        <f>IFERROR(__xludf.DUMMYFUNCTION("""COMPUTED_VALUE"""),229.1)</f>
        <v>229.1</v>
      </c>
      <c r="F89" s="1">
        <f>IFERROR(__xludf.DUMMYFUNCTION("""COMPUTED_VALUE"""),106772.0)</f>
        <v>106772</v>
      </c>
    </row>
    <row r="90">
      <c r="A90" s="2">
        <f>IFERROR(__xludf.DUMMYFUNCTION("""COMPUTED_VALUE"""),36658.645833333336)</f>
        <v>36658.64583</v>
      </c>
      <c r="B90" s="1">
        <f>IFERROR(__xludf.DUMMYFUNCTION("""COMPUTED_VALUE"""),230.0)</f>
        <v>230</v>
      </c>
      <c r="C90" s="1">
        <f>IFERROR(__xludf.DUMMYFUNCTION("""COMPUTED_VALUE"""),234.99)</f>
        <v>234.99</v>
      </c>
      <c r="D90" s="1">
        <f>IFERROR(__xludf.DUMMYFUNCTION("""COMPUTED_VALUE"""),225.6)</f>
        <v>225.6</v>
      </c>
      <c r="E90" s="1">
        <f>IFERROR(__xludf.DUMMYFUNCTION("""COMPUTED_VALUE"""),227.82)</f>
        <v>227.82</v>
      </c>
      <c r="F90" s="1">
        <f>IFERROR(__xludf.DUMMYFUNCTION("""COMPUTED_VALUE"""),77481.0)</f>
        <v>77481</v>
      </c>
    </row>
    <row r="91">
      <c r="A91" s="2">
        <f>IFERROR(__xludf.DUMMYFUNCTION("""COMPUTED_VALUE"""),36661.645833333336)</f>
        <v>36661.64583</v>
      </c>
      <c r="B91" s="1">
        <f>IFERROR(__xludf.DUMMYFUNCTION("""COMPUTED_VALUE"""),225.02)</f>
        <v>225.02</v>
      </c>
      <c r="C91" s="1">
        <f>IFERROR(__xludf.DUMMYFUNCTION("""COMPUTED_VALUE"""),235.0)</f>
        <v>235</v>
      </c>
      <c r="D91" s="1">
        <f>IFERROR(__xludf.DUMMYFUNCTION("""COMPUTED_VALUE"""),215.1)</f>
        <v>215.1</v>
      </c>
      <c r="E91" s="1">
        <f>IFERROR(__xludf.DUMMYFUNCTION("""COMPUTED_VALUE"""),232.34)</f>
        <v>232.34</v>
      </c>
      <c r="F91" s="1">
        <f>IFERROR(__xludf.DUMMYFUNCTION("""COMPUTED_VALUE"""),138863.0)</f>
        <v>138863</v>
      </c>
    </row>
    <row r="92">
      <c r="A92" s="2">
        <f>IFERROR(__xludf.DUMMYFUNCTION("""COMPUTED_VALUE"""),36662.645833333336)</f>
        <v>36662.64583</v>
      </c>
      <c r="B92" s="1">
        <f>IFERROR(__xludf.DUMMYFUNCTION("""COMPUTED_VALUE"""),234.2)</f>
        <v>234.2</v>
      </c>
      <c r="C92" s="1">
        <f>IFERROR(__xludf.DUMMYFUNCTION("""COMPUTED_VALUE"""),234.9)</f>
        <v>234.9</v>
      </c>
      <c r="D92" s="1">
        <f>IFERROR(__xludf.DUMMYFUNCTION("""COMPUTED_VALUE"""),228.1)</f>
        <v>228.1</v>
      </c>
      <c r="E92" s="1">
        <f>IFERROR(__xludf.DUMMYFUNCTION("""COMPUTED_VALUE"""),232.86)</f>
        <v>232.86</v>
      </c>
      <c r="F92" s="1">
        <f>IFERROR(__xludf.DUMMYFUNCTION("""COMPUTED_VALUE"""),62999.0)</f>
        <v>62999</v>
      </c>
    </row>
    <row r="93">
      <c r="A93" s="2">
        <f>IFERROR(__xludf.DUMMYFUNCTION("""COMPUTED_VALUE"""),36663.645833333336)</f>
        <v>36663.64583</v>
      </c>
      <c r="B93" s="1">
        <f>IFERROR(__xludf.DUMMYFUNCTION("""COMPUTED_VALUE"""),235.0)</f>
        <v>235</v>
      </c>
      <c r="C93" s="1">
        <f>IFERROR(__xludf.DUMMYFUNCTION("""COMPUTED_VALUE"""),238.4)</f>
        <v>238.4</v>
      </c>
      <c r="D93" s="1">
        <f>IFERROR(__xludf.DUMMYFUNCTION("""COMPUTED_VALUE"""),230.7)</f>
        <v>230.7</v>
      </c>
      <c r="E93" s="1">
        <f>IFERROR(__xludf.DUMMYFUNCTION("""COMPUTED_VALUE"""),231.72)</f>
        <v>231.72</v>
      </c>
      <c r="F93" s="1">
        <f>IFERROR(__xludf.DUMMYFUNCTION("""COMPUTED_VALUE"""),57977.0)</f>
        <v>57977</v>
      </c>
    </row>
    <row r="94">
      <c r="A94" s="2">
        <f>IFERROR(__xludf.DUMMYFUNCTION("""COMPUTED_VALUE"""),36664.645833333336)</f>
        <v>36664.64583</v>
      </c>
      <c r="B94" s="1">
        <f>IFERROR(__xludf.DUMMYFUNCTION("""COMPUTED_VALUE"""),235.0)</f>
        <v>235</v>
      </c>
      <c r="C94" s="1">
        <f>IFERROR(__xludf.DUMMYFUNCTION("""COMPUTED_VALUE"""),237.2)</f>
        <v>237.2</v>
      </c>
      <c r="D94" s="1">
        <f>IFERROR(__xludf.DUMMYFUNCTION("""COMPUTED_VALUE"""),225.56)</f>
        <v>225.56</v>
      </c>
      <c r="E94" s="1">
        <f>IFERROR(__xludf.DUMMYFUNCTION("""COMPUTED_VALUE"""),235.48)</f>
        <v>235.48</v>
      </c>
      <c r="F94" s="1">
        <f>IFERROR(__xludf.DUMMYFUNCTION("""COMPUTED_VALUE"""),47926.0)</f>
        <v>47926</v>
      </c>
    </row>
    <row r="95">
      <c r="A95" s="2">
        <f>IFERROR(__xludf.DUMMYFUNCTION("""COMPUTED_VALUE"""),36665.645833333336)</f>
        <v>36665.64583</v>
      </c>
      <c r="B95" s="1">
        <f>IFERROR(__xludf.DUMMYFUNCTION("""COMPUTED_VALUE"""),237.0)</f>
        <v>237</v>
      </c>
      <c r="C95" s="1">
        <f>IFERROR(__xludf.DUMMYFUNCTION("""COMPUTED_VALUE"""),237.0)</f>
        <v>237</v>
      </c>
      <c r="D95" s="1">
        <f>IFERROR(__xludf.DUMMYFUNCTION("""COMPUTED_VALUE"""),222.5)</f>
        <v>222.5</v>
      </c>
      <c r="E95" s="1">
        <f>IFERROR(__xludf.DUMMYFUNCTION("""COMPUTED_VALUE"""),224.66)</f>
        <v>224.66</v>
      </c>
      <c r="F95" s="1">
        <f>IFERROR(__xludf.DUMMYFUNCTION("""COMPUTED_VALUE"""),209181.0)</f>
        <v>209181</v>
      </c>
    </row>
    <row r="96">
      <c r="A96" s="2">
        <f>IFERROR(__xludf.DUMMYFUNCTION("""COMPUTED_VALUE"""),36668.645833333336)</f>
        <v>36668.64583</v>
      </c>
      <c r="B96" s="1">
        <f>IFERROR(__xludf.DUMMYFUNCTION("""COMPUTED_VALUE"""),220.01)</f>
        <v>220.01</v>
      </c>
      <c r="C96" s="1">
        <f>IFERROR(__xludf.DUMMYFUNCTION("""COMPUTED_VALUE"""),227.0)</f>
        <v>227</v>
      </c>
      <c r="D96" s="1">
        <f>IFERROR(__xludf.DUMMYFUNCTION("""COMPUTED_VALUE"""),215.1)</f>
        <v>215.1</v>
      </c>
      <c r="E96" s="1">
        <f>IFERROR(__xludf.DUMMYFUNCTION("""COMPUTED_VALUE"""),222.09)</f>
        <v>222.09</v>
      </c>
      <c r="F96" s="1">
        <f>IFERROR(__xludf.DUMMYFUNCTION("""COMPUTED_VALUE"""),85611.0)</f>
        <v>85611</v>
      </c>
    </row>
    <row r="97">
      <c r="A97" s="2">
        <f>IFERROR(__xludf.DUMMYFUNCTION("""COMPUTED_VALUE"""),36669.645833333336)</f>
        <v>36669.64583</v>
      </c>
      <c r="B97" s="1">
        <f>IFERROR(__xludf.DUMMYFUNCTION("""COMPUTED_VALUE"""),220.0)</f>
        <v>220</v>
      </c>
      <c r="C97" s="1">
        <f>IFERROR(__xludf.DUMMYFUNCTION("""COMPUTED_VALUE"""),223.8)</f>
        <v>223.8</v>
      </c>
      <c r="D97" s="1">
        <f>IFERROR(__xludf.DUMMYFUNCTION("""COMPUTED_VALUE"""),219.05)</f>
        <v>219.05</v>
      </c>
      <c r="E97" s="1">
        <f>IFERROR(__xludf.DUMMYFUNCTION("""COMPUTED_VALUE"""),220.36)</f>
        <v>220.36</v>
      </c>
      <c r="F97" s="1">
        <f>IFERROR(__xludf.DUMMYFUNCTION("""COMPUTED_VALUE"""),61072.0)</f>
        <v>61072</v>
      </c>
    </row>
    <row r="98">
      <c r="A98" s="2">
        <f>IFERROR(__xludf.DUMMYFUNCTION("""COMPUTED_VALUE"""),36670.645833333336)</f>
        <v>36670.64583</v>
      </c>
      <c r="B98" s="1">
        <f>IFERROR(__xludf.DUMMYFUNCTION("""COMPUTED_VALUE"""),207.5)</f>
        <v>207.5</v>
      </c>
      <c r="C98" s="1">
        <f>IFERROR(__xludf.DUMMYFUNCTION("""COMPUTED_VALUE"""),224.0)</f>
        <v>224</v>
      </c>
      <c r="D98" s="1">
        <f>IFERROR(__xludf.DUMMYFUNCTION("""COMPUTED_VALUE"""),207.5)</f>
        <v>207.5</v>
      </c>
      <c r="E98" s="1">
        <f>IFERROR(__xludf.DUMMYFUNCTION("""COMPUTED_VALUE"""),222.12)</f>
        <v>222.12</v>
      </c>
      <c r="F98" s="1">
        <f>IFERROR(__xludf.DUMMYFUNCTION("""COMPUTED_VALUE"""),38465.0)</f>
        <v>38465</v>
      </c>
    </row>
    <row r="99">
      <c r="A99" s="2">
        <f>IFERROR(__xludf.DUMMYFUNCTION("""COMPUTED_VALUE"""),36671.645833333336)</f>
        <v>36671.64583</v>
      </c>
      <c r="B99" s="1">
        <f>IFERROR(__xludf.DUMMYFUNCTION("""COMPUTED_VALUE"""),224.0)</f>
        <v>224</v>
      </c>
      <c r="C99" s="1">
        <f>IFERROR(__xludf.DUMMYFUNCTION("""COMPUTED_VALUE"""),229.9)</f>
        <v>229.9</v>
      </c>
      <c r="D99" s="1">
        <f>IFERROR(__xludf.DUMMYFUNCTION("""COMPUTED_VALUE"""),221.0)</f>
        <v>221</v>
      </c>
      <c r="E99" s="1">
        <f>IFERROR(__xludf.DUMMYFUNCTION("""COMPUTED_VALUE"""),223.63)</f>
        <v>223.63</v>
      </c>
      <c r="F99" s="1">
        <f>IFERROR(__xludf.DUMMYFUNCTION("""COMPUTED_VALUE"""),81949.0)</f>
        <v>81949</v>
      </c>
    </row>
    <row r="100">
      <c r="A100" s="2">
        <f>IFERROR(__xludf.DUMMYFUNCTION("""COMPUTED_VALUE"""),36672.645833333336)</f>
        <v>36672.64583</v>
      </c>
      <c r="B100" s="1">
        <f>IFERROR(__xludf.DUMMYFUNCTION("""COMPUTED_VALUE"""),225.0)</f>
        <v>225</v>
      </c>
      <c r="C100" s="1">
        <f>IFERROR(__xludf.DUMMYFUNCTION("""COMPUTED_VALUE"""),250.46)</f>
        <v>250.46</v>
      </c>
      <c r="D100" s="1">
        <f>IFERROR(__xludf.DUMMYFUNCTION("""COMPUTED_VALUE"""),223.2)</f>
        <v>223.2</v>
      </c>
      <c r="E100" s="1">
        <f>IFERROR(__xludf.DUMMYFUNCTION("""COMPUTED_VALUE"""),250.3)</f>
        <v>250.3</v>
      </c>
      <c r="F100" s="1">
        <f>IFERROR(__xludf.DUMMYFUNCTION("""COMPUTED_VALUE"""),301366.0)</f>
        <v>301366</v>
      </c>
    </row>
    <row r="101">
      <c r="A101" s="2">
        <f>IFERROR(__xludf.DUMMYFUNCTION("""COMPUTED_VALUE"""),36675.645833333336)</f>
        <v>36675.64583</v>
      </c>
      <c r="B101" s="1">
        <f>IFERROR(__xludf.DUMMYFUNCTION("""COMPUTED_VALUE"""),252.5)</f>
        <v>252.5</v>
      </c>
      <c r="C101" s="1">
        <f>IFERROR(__xludf.DUMMYFUNCTION("""COMPUTED_VALUE"""),269.0)</f>
        <v>269</v>
      </c>
      <c r="D101" s="1">
        <f>IFERROR(__xludf.DUMMYFUNCTION("""COMPUTED_VALUE"""),251.0)</f>
        <v>251</v>
      </c>
      <c r="E101" s="1">
        <f>IFERROR(__xludf.DUMMYFUNCTION("""COMPUTED_VALUE"""),257.23)</f>
        <v>257.23</v>
      </c>
      <c r="F101" s="1">
        <f>IFERROR(__xludf.DUMMYFUNCTION("""COMPUTED_VALUE"""),214479.0)</f>
        <v>214479</v>
      </c>
    </row>
    <row r="102">
      <c r="A102" s="2">
        <f>IFERROR(__xludf.DUMMYFUNCTION("""COMPUTED_VALUE"""),36676.645833333336)</f>
        <v>36676.64583</v>
      </c>
      <c r="B102" s="1">
        <f>IFERROR(__xludf.DUMMYFUNCTION("""COMPUTED_VALUE"""),254.2)</f>
        <v>254.2</v>
      </c>
      <c r="C102" s="1">
        <f>IFERROR(__xludf.DUMMYFUNCTION("""COMPUTED_VALUE"""),257.5)</f>
        <v>257.5</v>
      </c>
      <c r="D102" s="1">
        <f>IFERROR(__xludf.DUMMYFUNCTION("""COMPUTED_VALUE"""),248.21)</f>
        <v>248.21</v>
      </c>
      <c r="E102" s="1">
        <f>IFERROR(__xludf.DUMMYFUNCTION("""COMPUTED_VALUE"""),254.87)</f>
        <v>254.87</v>
      </c>
      <c r="F102" s="1">
        <f>IFERROR(__xludf.DUMMYFUNCTION("""COMPUTED_VALUE"""),125720.0)</f>
        <v>125720</v>
      </c>
    </row>
    <row r="103">
      <c r="A103" s="2">
        <f>IFERROR(__xludf.DUMMYFUNCTION("""COMPUTED_VALUE"""),36677.645833333336)</f>
        <v>36677.64583</v>
      </c>
      <c r="B103" s="1">
        <f>IFERROR(__xludf.DUMMYFUNCTION("""COMPUTED_VALUE"""),257.0)</f>
        <v>257</v>
      </c>
      <c r="C103" s="1">
        <f>IFERROR(__xludf.DUMMYFUNCTION("""COMPUTED_VALUE"""),265.5)</f>
        <v>265.5</v>
      </c>
      <c r="D103" s="1">
        <f>IFERROR(__xludf.DUMMYFUNCTION("""COMPUTED_VALUE"""),255.1)</f>
        <v>255.1</v>
      </c>
      <c r="E103" s="1">
        <f>IFERROR(__xludf.DUMMYFUNCTION("""COMPUTED_VALUE"""),257.88)</f>
        <v>257.88</v>
      </c>
      <c r="F103" s="1">
        <f>IFERROR(__xludf.DUMMYFUNCTION("""COMPUTED_VALUE"""),263344.0)</f>
        <v>263344</v>
      </c>
    </row>
    <row r="104">
      <c r="A104" s="2">
        <f>IFERROR(__xludf.DUMMYFUNCTION("""COMPUTED_VALUE"""),36678.645833333336)</f>
        <v>36678.64583</v>
      </c>
      <c r="B104" s="1">
        <f>IFERROR(__xludf.DUMMYFUNCTION("""COMPUTED_VALUE"""),255.12)</f>
        <v>255.12</v>
      </c>
      <c r="C104" s="1">
        <f>IFERROR(__xludf.DUMMYFUNCTION("""COMPUTED_VALUE"""),258.4)</f>
        <v>258.4</v>
      </c>
      <c r="D104" s="1">
        <f>IFERROR(__xludf.DUMMYFUNCTION("""COMPUTED_VALUE"""),247.5)</f>
        <v>247.5</v>
      </c>
      <c r="E104" s="1">
        <f>IFERROR(__xludf.DUMMYFUNCTION("""COMPUTED_VALUE"""),249.04)</f>
        <v>249.04</v>
      </c>
      <c r="F104" s="1">
        <f>IFERROR(__xludf.DUMMYFUNCTION("""COMPUTED_VALUE"""),134993.0)</f>
        <v>134993</v>
      </c>
    </row>
    <row r="105">
      <c r="A105" s="2">
        <f>IFERROR(__xludf.DUMMYFUNCTION("""COMPUTED_VALUE"""),36679.645833333336)</f>
        <v>36679.64583</v>
      </c>
      <c r="B105" s="1">
        <f>IFERROR(__xludf.DUMMYFUNCTION("""COMPUTED_VALUE"""),250.0)</f>
        <v>250</v>
      </c>
      <c r="C105" s="1">
        <f>IFERROR(__xludf.DUMMYFUNCTION("""COMPUTED_VALUE"""),257.4)</f>
        <v>257.4</v>
      </c>
      <c r="D105" s="1">
        <f>IFERROR(__xludf.DUMMYFUNCTION("""COMPUTED_VALUE"""),245.1)</f>
        <v>245.1</v>
      </c>
      <c r="E105" s="1">
        <f>IFERROR(__xludf.DUMMYFUNCTION("""COMPUTED_VALUE"""),255.49)</f>
        <v>255.49</v>
      </c>
      <c r="F105" s="1">
        <f>IFERROR(__xludf.DUMMYFUNCTION("""COMPUTED_VALUE"""),143218.0)</f>
        <v>143218</v>
      </c>
    </row>
    <row r="106">
      <c r="A106" s="2">
        <f>IFERROR(__xludf.DUMMYFUNCTION("""COMPUTED_VALUE"""),36682.645833333336)</f>
        <v>36682.64583</v>
      </c>
      <c r="B106" s="1">
        <f>IFERROR(__xludf.DUMMYFUNCTION("""COMPUTED_VALUE"""),257.3)</f>
        <v>257.3</v>
      </c>
      <c r="C106" s="1">
        <f>IFERROR(__xludf.DUMMYFUNCTION("""COMPUTED_VALUE"""),264.5)</f>
        <v>264.5</v>
      </c>
      <c r="D106" s="1">
        <f>IFERROR(__xludf.DUMMYFUNCTION("""COMPUTED_VALUE"""),255.0)</f>
        <v>255</v>
      </c>
      <c r="E106" s="1">
        <f>IFERROR(__xludf.DUMMYFUNCTION("""COMPUTED_VALUE"""),256.49)</f>
        <v>256.49</v>
      </c>
      <c r="F106" s="1">
        <f>IFERROR(__xludf.DUMMYFUNCTION("""COMPUTED_VALUE"""),150013.0)</f>
        <v>150013</v>
      </c>
    </row>
    <row r="107">
      <c r="A107" s="2">
        <f>IFERROR(__xludf.DUMMYFUNCTION("""COMPUTED_VALUE"""),36683.645833333336)</f>
        <v>36683.64583</v>
      </c>
      <c r="B107" s="1">
        <f>IFERROR(__xludf.DUMMYFUNCTION("""COMPUTED_VALUE"""),255.2)</f>
        <v>255.2</v>
      </c>
      <c r="C107" s="1">
        <f>IFERROR(__xludf.DUMMYFUNCTION("""COMPUTED_VALUE"""),262.0)</f>
        <v>262</v>
      </c>
      <c r="D107" s="1">
        <f>IFERROR(__xludf.DUMMYFUNCTION("""COMPUTED_VALUE"""),254.03)</f>
        <v>254.03</v>
      </c>
      <c r="E107" s="1">
        <f>IFERROR(__xludf.DUMMYFUNCTION("""COMPUTED_VALUE"""),259.22)</f>
        <v>259.22</v>
      </c>
      <c r="F107" s="1">
        <f>IFERROR(__xludf.DUMMYFUNCTION("""COMPUTED_VALUE"""),93016.0)</f>
        <v>93016</v>
      </c>
    </row>
    <row r="108">
      <c r="A108" s="2">
        <f>IFERROR(__xludf.DUMMYFUNCTION("""COMPUTED_VALUE"""),36684.645833333336)</f>
        <v>36684.64583</v>
      </c>
      <c r="B108" s="1">
        <f>IFERROR(__xludf.DUMMYFUNCTION("""COMPUTED_VALUE"""),264.8)</f>
        <v>264.8</v>
      </c>
      <c r="C108" s="1">
        <f>IFERROR(__xludf.DUMMYFUNCTION("""COMPUTED_VALUE"""),265.0)</f>
        <v>265</v>
      </c>
      <c r="D108" s="1">
        <f>IFERROR(__xludf.DUMMYFUNCTION("""COMPUTED_VALUE"""),256.0)</f>
        <v>256</v>
      </c>
      <c r="E108" s="1">
        <f>IFERROR(__xludf.DUMMYFUNCTION("""COMPUTED_VALUE"""),257.51)</f>
        <v>257.51</v>
      </c>
      <c r="F108" s="1">
        <f>IFERROR(__xludf.DUMMYFUNCTION("""COMPUTED_VALUE"""),64819.0)</f>
        <v>64819</v>
      </c>
    </row>
    <row r="109">
      <c r="A109" s="2">
        <f>IFERROR(__xludf.DUMMYFUNCTION("""COMPUTED_VALUE"""),36685.645833333336)</f>
        <v>36685.64583</v>
      </c>
      <c r="B109" s="1">
        <f>IFERROR(__xludf.DUMMYFUNCTION("""COMPUTED_VALUE"""),259.1)</f>
        <v>259.1</v>
      </c>
      <c r="C109" s="1">
        <f>IFERROR(__xludf.DUMMYFUNCTION("""COMPUTED_VALUE"""),269.0)</f>
        <v>269</v>
      </c>
      <c r="D109" s="1">
        <f>IFERROR(__xludf.DUMMYFUNCTION("""COMPUTED_VALUE"""),259.1)</f>
        <v>259.1</v>
      </c>
      <c r="E109" s="1">
        <f>IFERROR(__xludf.DUMMYFUNCTION("""COMPUTED_VALUE"""),261.13)</f>
        <v>261.13</v>
      </c>
      <c r="F109" s="1">
        <f>IFERROR(__xludf.DUMMYFUNCTION("""COMPUTED_VALUE"""),122792.0)</f>
        <v>122792</v>
      </c>
    </row>
    <row r="110">
      <c r="A110" s="2">
        <f>IFERROR(__xludf.DUMMYFUNCTION("""COMPUTED_VALUE"""),36686.645833333336)</f>
        <v>36686.64583</v>
      </c>
      <c r="B110" s="1">
        <f>IFERROR(__xludf.DUMMYFUNCTION("""COMPUTED_VALUE"""),263.5)</f>
        <v>263.5</v>
      </c>
      <c r="C110" s="1">
        <f>IFERROR(__xludf.DUMMYFUNCTION("""COMPUTED_VALUE"""),263.5)</f>
        <v>263.5</v>
      </c>
      <c r="D110" s="1">
        <f>IFERROR(__xludf.DUMMYFUNCTION("""COMPUTED_VALUE"""),259.0)</f>
        <v>259</v>
      </c>
      <c r="E110" s="1">
        <f>IFERROR(__xludf.DUMMYFUNCTION("""COMPUTED_VALUE"""),260.51)</f>
        <v>260.51</v>
      </c>
      <c r="F110" s="1">
        <f>IFERROR(__xludf.DUMMYFUNCTION("""COMPUTED_VALUE"""),60367.0)</f>
        <v>60367</v>
      </c>
    </row>
    <row r="111">
      <c r="A111" s="2">
        <f>IFERROR(__xludf.DUMMYFUNCTION("""COMPUTED_VALUE"""),36689.645833333336)</f>
        <v>36689.64583</v>
      </c>
      <c r="B111" s="1">
        <f>IFERROR(__xludf.DUMMYFUNCTION("""COMPUTED_VALUE"""),261.0)</f>
        <v>261</v>
      </c>
      <c r="C111" s="1">
        <f>IFERROR(__xludf.DUMMYFUNCTION("""COMPUTED_VALUE"""),262.0)</f>
        <v>262</v>
      </c>
      <c r="D111" s="1">
        <f>IFERROR(__xludf.DUMMYFUNCTION("""COMPUTED_VALUE"""),252.5)</f>
        <v>252.5</v>
      </c>
      <c r="E111" s="1">
        <f>IFERROR(__xludf.DUMMYFUNCTION("""COMPUTED_VALUE"""),253.66)</f>
        <v>253.66</v>
      </c>
      <c r="F111" s="1">
        <f>IFERROR(__xludf.DUMMYFUNCTION("""COMPUTED_VALUE"""),42738.0)</f>
        <v>42738</v>
      </c>
    </row>
    <row r="112">
      <c r="A112" s="2">
        <f>IFERROR(__xludf.DUMMYFUNCTION("""COMPUTED_VALUE"""),36690.645833333336)</f>
        <v>36690.64583</v>
      </c>
      <c r="B112" s="1">
        <f>IFERROR(__xludf.DUMMYFUNCTION("""COMPUTED_VALUE"""),252.9)</f>
        <v>252.9</v>
      </c>
      <c r="C112" s="1">
        <f>IFERROR(__xludf.DUMMYFUNCTION("""COMPUTED_VALUE"""),255.99)</f>
        <v>255.99</v>
      </c>
      <c r="D112" s="1">
        <f>IFERROR(__xludf.DUMMYFUNCTION("""COMPUTED_VALUE"""),248.1)</f>
        <v>248.1</v>
      </c>
      <c r="E112" s="1">
        <f>IFERROR(__xludf.DUMMYFUNCTION("""COMPUTED_VALUE"""),249.93)</f>
        <v>249.93</v>
      </c>
      <c r="F112" s="1">
        <f>IFERROR(__xludf.DUMMYFUNCTION("""COMPUTED_VALUE"""),87263.0)</f>
        <v>87263</v>
      </c>
    </row>
    <row r="113">
      <c r="A113" s="2">
        <f>IFERROR(__xludf.DUMMYFUNCTION("""COMPUTED_VALUE"""),36691.645833333336)</f>
        <v>36691.64583</v>
      </c>
      <c r="B113" s="1">
        <f>IFERROR(__xludf.DUMMYFUNCTION("""COMPUTED_VALUE"""),229.94)</f>
        <v>229.94</v>
      </c>
      <c r="C113" s="1">
        <f>IFERROR(__xludf.DUMMYFUNCTION("""COMPUTED_VALUE"""),260.0)</f>
        <v>260</v>
      </c>
      <c r="D113" s="1">
        <f>IFERROR(__xludf.DUMMYFUNCTION("""COMPUTED_VALUE"""),229.94)</f>
        <v>229.94</v>
      </c>
      <c r="E113" s="1">
        <f>IFERROR(__xludf.DUMMYFUNCTION("""COMPUTED_VALUE"""),253.34)</f>
        <v>253.34</v>
      </c>
      <c r="F113" s="1">
        <f>IFERROR(__xludf.DUMMYFUNCTION("""COMPUTED_VALUE"""),84227.0)</f>
        <v>84227</v>
      </c>
    </row>
    <row r="114">
      <c r="A114" s="2">
        <f>IFERROR(__xludf.DUMMYFUNCTION("""COMPUTED_VALUE"""),36692.645833333336)</f>
        <v>36692.64583</v>
      </c>
      <c r="B114" s="1">
        <f>IFERROR(__xludf.DUMMYFUNCTION("""COMPUTED_VALUE"""),250.2)</f>
        <v>250.2</v>
      </c>
      <c r="C114" s="1">
        <f>IFERROR(__xludf.DUMMYFUNCTION("""COMPUTED_VALUE"""),255.4)</f>
        <v>255.4</v>
      </c>
      <c r="D114" s="1">
        <f>IFERROR(__xludf.DUMMYFUNCTION("""COMPUTED_VALUE"""),247.6)</f>
        <v>247.6</v>
      </c>
      <c r="E114" s="1">
        <f>IFERROR(__xludf.DUMMYFUNCTION("""COMPUTED_VALUE"""),248.46)</f>
        <v>248.46</v>
      </c>
      <c r="F114" s="1">
        <f>IFERROR(__xludf.DUMMYFUNCTION("""COMPUTED_VALUE"""),71800.0)</f>
        <v>71800</v>
      </c>
    </row>
    <row r="115">
      <c r="A115" s="2">
        <f>IFERROR(__xludf.DUMMYFUNCTION("""COMPUTED_VALUE"""),36693.645833333336)</f>
        <v>36693.64583</v>
      </c>
      <c r="B115" s="1">
        <f>IFERROR(__xludf.DUMMYFUNCTION("""COMPUTED_VALUE"""),249.8)</f>
        <v>249.8</v>
      </c>
      <c r="C115" s="1">
        <f>IFERROR(__xludf.DUMMYFUNCTION("""COMPUTED_VALUE"""),252.48)</f>
        <v>252.48</v>
      </c>
      <c r="D115" s="1">
        <f>IFERROR(__xludf.DUMMYFUNCTION("""COMPUTED_VALUE"""),248.1)</f>
        <v>248.1</v>
      </c>
      <c r="E115" s="1">
        <f>IFERROR(__xludf.DUMMYFUNCTION("""COMPUTED_VALUE"""),249.22)</f>
        <v>249.22</v>
      </c>
      <c r="F115" s="1">
        <f>IFERROR(__xludf.DUMMYFUNCTION("""COMPUTED_VALUE"""),55799.0)</f>
        <v>55799</v>
      </c>
    </row>
    <row r="116">
      <c r="A116" s="2">
        <f>IFERROR(__xludf.DUMMYFUNCTION("""COMPUTED_VALUE"""),36696.645833333336)</f>
        <v>36696.64583</v>
      </c>
      <c r="B116" s="1">
        <f>IFERROR(__xludf.DUMMYFUNCTION("""COMPUTED_VALUE"""),251.7)</f>
        <v>251.7</v>
      </c>
      <c r="C116" s="1">
        <f>IFERROR(__xludf.DUMMYFUNCTION("""COMPUTED_VALUE"""),257.0)</f>
        <v>257</v>
      </c>
      <c r="D116" s="1">
        <f>IFERROR(__xludf.DUMMYFUNCTION("""COMPUTED_VALUE"""),249.9)</f>
        <v>249.9</v>
      </c>
      <c r="E116" s="1">
        <f>IFERROR(__xludf.DUMMYFUNCTION("""COMPUTED_VALUE"""),253.37)</f>
        <v>253.37</v>
      </c>
      <c r="F116" s="1">
        <f>IFERROR(__xludf.DUMMYFUNCTION("""COMPUTED_VALUE"""),70125.0)</f>
        <v>70125</v>
      </c>
    </row>
    <row r="117">
      <c r="A117" s="2">
        <f>IFERROR(__xludf.DUMMYFUNCTION("""COMPUTED_VALUE"""),36697.645833333336)</f>
        <v>36697.64583</v>
      </c>
      <c r="B117" s="1">
        <f>IFERROR(__xludf.DUMMYFUNCTION("""COMPUTED_VALUE"""),252.1)</f>
        <v>252.1</v>
      </c>
      <c r="C117" s="1">
        <f>IFERROR(__xludf.DUMMYFUNCTION("""COMPUTED_VALUE"""),255.4)</f>
        <v>255.4</v>
      </c>
      <c r="D117" s="1">
        <f>IFERROR(__xludf.DUMMYFUNCTION("""COMPUTED_VALUE"""),250.2)</f>
        <v>250.2</v>
      </c>
      <c r="E117" s="1">
        <f>IFERROR(__xludf.DUMMYFUNCTION("""COMPUTED_VALUE"""),251.14)</f>
        <v>251.14</v>
      </c>
      <c r="F117" s="1">
        <f>IFERROR(__xludf.DUMMYFUNCTION("""COMPUTED_VALUE"""),91571.0)</f>
        <v>91571</v>
      </c>
    </row>
    <row r="118">
      <c r="A118" s="2">
        <f>IFERROR(__xludf.DUMMYFUNCTION("""COMPUTED_VALUE"""),36698.645833333336)</f>
        <v>36698.64583</v>
      </c>
      <c r="B118" s="1">
        <f>IFERROR(__xludf.DUMMYFUNCTION("""COMPUTED_VALUE"""),271.24)</f>
        <v>271.24</v>
      </c>
      <c r="C118" s="1">
        <f>IFERROR(__xludf.DUMMYFUNCTION("""COMPUTED_VALUE"""),271.24)</f>
        <v>271.24</v>
      </c>
      <c r="D118" s="1">
        <f>IFERROR(__xludf.DUMMYFUNCTION("""COMPUTED_VALUE"""),253.0)</f>
        <v>253</v>
      </c>
      <c r="E118" s="1">
        <f>IFERROR(__xludf.DUMMYFUNCTION("""COMPUTED_VALUE"""),257.32)</f>
        <v>257.32</v>
      </c>
      <c r="F118" s="1">
        <f>IFERROR(__xludf.DUMMYFUNCTION("""COMPUTED_VALUE"""),359298.0)</f>
        <v>359298</v>
      </c>
    </row>
    <row r="119">
      <c r="A119" s="2">
        <f>IFERROR(__xludf.DUMMYFUNCTION("""COMPUTED_VALUE"""),36699.645833333336)</f>
        <v>36699.64583</v>
      </c>
      <c r="B119" s="1">
        <f>IFERROR(__xludf.DUMMYFUNCTION("""COMPUTED_VALUE"""),257.0)</f>
        <v>257</v>
      </c>
      <c r="C119" s="1">
        <f>IFERROR(__xludf.DUMMYFUNCTION("""COMPUTED_VALUE"""),267.4)</f>
        <v>267.4</v>
      </c>
      <c r="D119" s="1">
        <f>IFERROR(__xludf.DUMMYFUNCTION("""COMPUTED_VALUE"""),256.9)</f>
        <v>256.9</v>
      </c>
      <c r="E119" s="1">
        <f>IFERROR(__xludf.DUMMYFUNCTION("""COMPUTED_VALUE"""),265.57)</f>
        <v>265.57</v>
      </c>
      <c r="F119" s="1">
        <f>IFERROR(__xludf.DUMMYFUNCTION("""COMPUTED_VALUE"""),214869.0)</f>
        <v>214869</v>
      </c>
    </row>
    <row r="120">
      <c r="A120" s="2">
        <f>IFERROR(__xludf.DUMMYFUNCTION("""COMPUTED_VALUE"""),36700.645833333336)</f>
        <v>36700.64583</v>
      </c>
      <c r="B120" s="1">
        <f>IFERROR(__xludf.DUMMYFUNCTION("""COMPUTED_VALUE"""),264.5)</f>
        <v>264.5</v>
      </c>
      <c r="C120" s="1">
        <f>IFERROR(__xludf.DUMMYFUNCTION("""COMPUTED_VALUE"""),284.5)</f>
        <v>284.5</v>
      </c>
      <c r="D120" s="1">
        <f>IFERROR(__xludf.DUMMYFUNCTION("""COMPUTED_VALUE"""),263.0)</f>
        <v>263</v>
      </c>
      <c r="E120" s="1">
        <f>IFERROR(__xludf.DUMMYFUNCTION("""COMPUTED_VALUE"""),280.7)</f>
        <v>280.7</v>
      </c>
      <c r="F120" s="1">
        <f>IFERROR(__xludf.DUMMYFUNCTION("""COMPUTED_VALUE"""),588888.0)</f>
        <v>588888</v>
      </c>
    </row>
    <row r="121">
      <c r="A121" s="2">
        <f>IFERROR(__xludf.DUMMYFUNCTION("""COMPUTED_VALUE"""),36703.645833333336)</f>
        <v>36703.64583</v>
      </c>
      <c r="B121" s="1">
        <f>IFERROR(__xludf.DUMMYFUNCTION("""COMPUTED_VALUE"""),280.9)</f>
        <v>280.9</v>
      </c>
      <c r="C121" s="1">
        <f>IFERROR(__xludf.DUMMYFUNCTION("""COMPUTED_VALUE"""),283.0)</f>
        <v>283</v>
      </c>
      <c r="D121" s="1">
        <f>IFERROR(__xludf.DUMMYFUNCTION("""COMPUTED_VALUE"""),273.1)</f>
        <v>273.1</v>
      </c>
      <c r="E121" s="1">
        <f>IFERROR(__xludf.DUMMYFUNCTION("""COMPUTED_VALUE"""),275.99)</f>
        <v>275.99</v>
      </c>
      <c r="F121" s="1">
        <f>IFERROR(__xludf.DUMMYFUNCTION("""COMPUTED_VALUE"""),258518.0)</f>
        <v>258518</v>
      </c>
    </row>
    <row r="122">
      <c r="A122" s="2">
        <f>IFERROR(__xludf.DUMMYFUNCTION("""COMPUTED_VALUE"""),36704.645833333336)</f>
        <v>36704.64583</v>
      </c>
      <c r="B122" s="1">
        <f>IFERROR(__xludf.DUMMYFUNCTION("""COMPUTED_VALUE"""),274.2)</f>
        <v>274.2</v>
      </c>
      <c r="C122" s="1">
        <f>IFERROR(__xludf.DUMMYFUNCTION("""COMPUTED_VALUE"""),284.4)</f>
        <v>284.4</v>
      </c>
      <c r="D122" s="1">
        <f>IFERROR(__xludf.DUMMYFUNCTION("""COMPUTED_VALUE"""),272.0)</f>
        <v>272</v>
      </c>
      <c r="E122" s="1">
        <f>IFERROR(__xludf.DUMMYFUNCTION("""COMPUTED_VALUE"""),282.37)</f>
        <v>282.37</v>
      </c>
      <c r="F122" s="1">
        <f>IFERROR(__xludf.DUMMYFUNCTION("""COMPUTED_VALUE"""),297453.0)</f>
        <v>297453</v>
      </c>
    </row>
    <row r="123">
      <c r="A123" s="2">
        <f>IFERROR(__xludf.DUMMYFUNCTION("""COMPUTED_VALUE"""),36705.645833333336)</f>
        <v>36705.64583</v>
      </c>
      <c r="B123" s="1">
        <f>IFERROR(__xludf.DUMMYFUNCTION("""COMPUTED_VALUE"""),284.9)</f>
        <v>284.9</v>
      </c>
      <c r="C123" s="1">
        <f>IFERROR(__xludf.DUMMYFUNCTION("""COMPUTED_VALUE"""),289.99)</f>
        <v>289.99</v>
      </c>
      <c r="D123" s="1">
        <f>IFERROR(__xludf.DUMMYFUNCTION("""COMPUTED_VALUE"""),279.11)</f>
        <v>279.11</v>
      </c>
      <c r="E123" s="1">
        <f>IFERROR(__xludf.DUMMYFUNCTION("""COMPUTED_VALUE"""),288.18)</f>
        <v>288.18</v>
      </c>
      <c r="F123" s="1">
        <f>IFERROR(__xludf.DUMMYFUNCTION("""COMPUTED_VALUE"""),316559.0)</f>
        <v>316559</v>
      </c>
    </row>
    <row r="124">
      <c r="A124" s="2">
        <f>IFERROR(__xludf.DUMMYFUNCTION("""COMPUTED_VALUE"""),36706.645833333336)</f>
        <v>36706.64583</v>
      </c>
      <c r="B124" s="1">
        <f>IFERROR(__xludf.DUMMYFUNCTION("""COMPUTED_VALUE"""),290.0)</f>
        <v>290</v>
      </c>
      <c r="C124" s="1">
        <f>IFERROR(__xludf.DUMMYFUNCTION("""COMPUTED_VALUE"""),294.8)</f>
        <v>294.8</v>
      </c>
      <c r="D124" s="1">
        <f>IFERROR(__xludf.DUMMYFUNCTION("""COMPUTED_VALUE"""),287.01)</f>
        <v>287.01</v>
      </c>
      <c r="E124" s="1">
        <f>IFERROR(__xludf.DUMMYFUNCTION("""COMPUTED_VALUE"""),288.95)</f>
        <v>288.95</v>
      </c>
      <c r="F124" s="1">
        <f>IFERROR(__xludf.DUMMYFUNCTION("""COMPUTED_VALUE"""),213399.0)</f>
        <v>213399</v>
      </c>
    </row>
    <row r="125">
      <c r="A125" s="2">
        <f>IFERROR(__xludf.DUMMYFUNCTION("""COMPUTED_VALUE"""),36707.645833333336)</f>
        <v>36707.64583</v>
      </c>
      <c r="B125" s="1">
        <f>IFERROR(__xludf.DUMMYFUNCTION("""COMPUTED_VALUE"""),289.1)</f>
        <v>289.1</v>
      </c>
      <c r="C125" s="1">
        <f>IFERROR(__xludf.DUMMYFUNCTION("""COMPUTED_VALUE"""),294.9)</f>
        <v>294.9</v>
      </c>
      <c r="D125" s="1">
        <f>IFERROR(__xludf.DUMMYFUNCTION("""COMPUTED_VALUE"""),282.5)</f>
        <v>282.5</v>
      </c>
      <c r="E125" s="1">
        <f>IFERROR(__xludf.DUMMYFUNCTION("""COMPUTED_VALUE"""),283.77)</f>
        <v>283.77</v>
      </c>
      <c r="F125" s="1">
        <f>IFERROR(__xludf.DUMMYFUNCTION("""COMPUTED_VALUE"""),246933.0)</f>
        <v>246933</v>
      </c>
    </row>
    <row r="126">
      <c r="A126" s="2">
        <f>IFERROR(__xludf.DUMMYFUNCTION("""COMPUTED_VALUE"""),36710.645833333336)</f>
        <v>36710.64583</v>
      </c>
      <c r="B126" s="1">
        <f>IFERROR(__xludf.DUMMYFUNCTION("""COMPUTED_VALUE"""),286.0)</f>
        <v>286</v>
      </c>
      <c r="C126" s="1">
        <f>IFERROR(__xludf.DUMMYFUNCTION("""COMPUTED_VALUE"""),288.0)</f>
        <v>288</v>
      </c>
      <c r="D126" s="1">
        <f>IFERROR(__xludf.DUMMYFUNCTION("""COMPUTED_VALUE"""),269.1)</f>
        <v>269.1</v>
      </c>
      <c r="E126" s="1">
        <f>IFERROR(__xludf.DUMMYFUNCTION("""COMPUTED_VALUE"""),270.45)</f>
        <v>270.45</v>
      </c>
      <c r="F126" s="1">
        <f>IFERROR(__xludf.DUMMYFUNCTION("""COMPUTED_VALUE"""),260428.0)</f>
        <v>260428</v>
      </c>
    </row>
    <row r="127">
      <c r="A127" s="2">
        <f>IFERROR(__xludf.DUMMYFUNCTION("""COMPUTED_VALUE"""),36711.645833333336)</f>
        <v>36711.64583</v>
      </c>
      <c r="B127" s="1">
        <f>IFERROR(__xludf.DUMMYFUNCTION("""COMPUTED_VALUE"""),268.0)</f>
        <v>268</v>
      </c>
      <c r="C127" s="1">
        <f>IFERROR(__xludf.DUMMYFUNCTION("""COMPUTED_VALUE"""),279.9)</f>
        <v>279.9</v>
      </c>
      <c r="D127" s="1">
        <f>IFERROR(__xludf.DUMMYFUNCTION("""COMPUTED_VALUE"""),268.0)</f>
        <v>268</v>
      </c>
      <c r="E127" s="1">
        <f>IFERROR(__xludf.DUMMYFUNCTION("""COMPUTED_VALUE"""),277.17)</f>
        <v>277.17</v>
      </c>
      <c r="F127" s="1">
        <f>IFERROR(__xludf.DUMMYFUNCTION("""COMPUTED_VALUE"""),214807.0)</f>
        <v>214807</v>
      </c>
    </row>
    <row r="128">
      <c r="A128" s="2">
        <f>IFERROR(__xludf.DUMMYFUNCTION("""COMPUTED_VALUE"""),36712.645833333336)</f>
        <v>36712.64583</v>
      </c>
      <c r="B128" s="1">
        <f>IFERROR(__xludf.DUMMYFUNCTION("""COMPUTED_VALUE"""),288.0)</f>
        <v>288</v>
      </c>
      <c r="C128" s="1">
        <f>IFERROR(__xludf.DUMMYFUNCTION("""COMPUTED_VALUE"""),289.0)</f>
        <v>289</v>
      </c>
      <c r="D128" s="1">
        <f>IFERROR(__xludf.DUMMYFUNCTION("""COMPUTED_VALUE"""),278.0)</f>
        <v>278</v>
      </c>
      <c r="E128" s="1">
        <f>IFERROR(__xludf.DUMMYFUNCTION("""COMPUTED_VALUE"""),286.7)</f>
        <v>286.7</v>
      </c>
      <c r="F128" s="1">
        <f>IFERROR(__xludf.DUMMYFUNCTION("""COMPUTED_VALUE"""),1581622.0)</f>
        <v>1581622</v>
      </c>
    </row>
    <row r="129">
      <c r="A129" s="2">
        <f>IFERROR(__xludf.DUMMYFUNCTION("""COMPUTED_VALUE"""),36713.645833333336)</f>
        <v>36713.64583</v>
      </c>
      <c r="B129" s="1">
        <f>IFERROR(__xludf.DUMMYFUNCTION("""COMPUTED_VALUE"""),284.0)</f>
        <v>284</v>
      </c>
      <c r="C129" s="1">
        <f>IFERROR(__xludf.DUMMYFUNCTION("""COMPUTED_VALUE"""),286.95)</f>
        <v>286.95</v>
      </c>
      <c r="D129" s="1">
        <f>IFERROR(__xludf.DUMMYFUNCTION("""COMPUTED_VALUE"""),277.0)</f>
        <v>277</v>
      </c>
      <c r="E129" s="1">
        <f>IFERROR(__xludf.DUMMYFUNCTION("""COMPUTED_VALUE"""),279.8)</f>
        <v>279.8</v>
      </c>
      <c r="F129" s="1">
        <f>IFERROR(__xludf.DUMMYFUNCTION("""COMPUTED_VALUE"""),966152.0)</f>
        <v>966152</v>
      </c>
    </row>
    <row r="130">
      <c r="A130" s="2">
        <f>IFERROR(__xludf.DUMMYFUNCTION("""COMPUTED_VALUE"""),36714.645833333336)</f>
        <v>36714.64583</v>
      </c>
      <c r="B130" s="1">
        <f>IFERROR(__xludf.DUMMYFUNCTION("""COMPUTED_VALUE"""),279.85)</f>
        <v>279.85</v>
      </c>
      <c r="C130" s="1">
        <f>IFERROR(__xludf.DUMMYFUNCTION("""COMPUTED_VALUE"""),282.9)</f>
        <v>282.9</v>
      </c>
      <c r="D130" s="1">
        <f>IFERROR(__xludf.DUMMYFUNCTION("""COMPUTED_VALUE"""),275.5)</f>
        <v>275.5</v>
      </c>
      <c r="E130" s="1">
        <f>IFERROR(__xludf.DUMMYFUNCTION("""COMPUTED_VALUE"""),276.9)</f>
        <v>276.9</v>
      </c>
      <c r="F130" s="1">
        <f>IFERROR(__xludf.DUMMYFUNCTION("""COMPUTED_VALUE"""),816699.0)</f>
        <v>816699</v>
      </c>
    </row>
    <row r="131">
      <c r="A131" s="2">
        <f>IFERROR(__xludf.DUMMYFUNCTION("""COMPUTED_VALUE"""),36717.645833333336)</f>
        <v>36717.64583</v>
      </c>
      <c r="B131" s="1">
        <f>IFERROR(__xludf.DUMMYFUNCTION("""COMPUTED_VALUE"""),278.0)</f>
        <v>278</v>
      </c>
      <c r="C131" s="1">
        <f>IFERROR(__xludf.DUMMYFUNCTION("""COMPUTED_VALUE"""),281.25)</f>
        <v>281.25</v>
      </c>
      <c r="D131" s="1">
        <f>IFERROR(__xludf.DUMMYFUNCTION("""COMPUTED_VALUE"""),275.0)</f>
        <v>275</v>
      </c>
      <c r="E131" s="1">
        <f>IFERROR(__xludf.DUMMYFUNCTION("""COMPUTED_VALUE"""),279.0)</f>
        <v>279</v>
      </c>
      <c r="F131" s="1">
        <f>IFERROR(__xludf.DUMMYFUNCTION("""COMPUTED_VALUE"""),737147.0)</f>
        <v>737147</v>
      </c>
    </row>
    <row r="132">
      <c r="A132" s="2">
        <f>IFERROR(__xludf.DUMMYFUNCTION("""COMPUTED_VALUE"""),36718.645833333336)</f>
        <v>36718.64583</v>
      </c>
      <c r="B132" s="1">
        <f>IFERROR(__xludf.DUMMYFUNCTION("""COMPUTED_VALUE"""),277.0)</f>
        <v>277</v>
      </c>
      <c r="C132" s="1">
        <f>IFERROR(__xludf.DUMMYFUNCTION("""COMPUTED_VALUE"""),279.5)</f>
        <v>279.5</v>
      </c>
      <c r="D132" s="1">
        <f>IFERROR(__xludf.DUMMYFUNCTION("""COMPUTED_VALUE"""),276.0)</f>
        <v>276</v>
      </c>
      <c r="E132" s="1">
        <f>IFERROR(__xludf.DUMMYFUNCTION("""COMPUTED_VALUE"""),278.1)</f>
        <v>278.1</v>
      </c>
      <c r="F132" s="1">
        <f>IFERROR(__xludf.DUMMYFUNCTION("""COMPUTED_VALUE"""),427376.0)</f>
        <v>427376</v>
      </c>
    </row>
    <row r="133">
      <c r="A133" s="2">
        <f>IFERROR(__xludf.DUMMYFUNCTION("""COMPUTED_VALUE"""),36719.645833333336)</f>
        <v>36719.64583</v>
      </c>
      <c r="B133" s="1">
        <f>IFERROR(__xludf.DUMMYFUNCTION("""COMPUTED_VALUE"""),280.0)</f>
        <v>280</v>
      </c>
      <c r="C133" s="1">
        <f>IFERROR(__xludf.DUMMYFUNCTION("""COMPUTED_VALUE"""),284.4)</f>
        <v>284.4</v>
      </c>
      <c r="D133" s="1">
        <f>IFERROR(__xludf.DUMMYFUNCTION("""COMPUTED_VALUE"""),276.75)</f>
        <v>276.75</v>
      </c>
      <c r="E133" s="1">
        <f>IFERROR(__xludf.DUMMYFUNCTION("""COMPUTED_VALUE"""),282.55)</f>
        <v>282.55</v>
      </c>
      <c r="F133" s="1">
        <f>IFERROR(__xludf.DUMMYFUNCTION("""COMPUTED_VALUE"""),833942.0)</f>
        <v>833942</v>
      </c>
    </row>
    <row r="134">
      <c r="A134" s="2">
        <f>IFERROR(__xludf.DUMMYFUNCTION("""COMPUTED_VALUE"""),36720.645833333336)</f>
        <v>36720.64583</v>
      </c>
      <c r="B134" s="1">
        <f>IFERROR(__xludf.DUMMYFUNCTION("""COMPUTED_VALUE"""),284.5)</f>
        <v>284.5</v>
      </c>
      <c r="C134" s="1">
        <f>IFERROR(__xludf.DUMMYFUNCTION("""COMPUTED_VALUE"""),305.15)</f>
        <v>305.15</v>
      </c>
      <c r="D134" s="1">
        <f>IFERROR(__xludf.DUMMYFUNCTION("""COMPUTED_VALUE"""),282.0)</f>
        <v>282</v>
      </c>
      <c r="E134" s="1">
        <f>IFERROR(__xludf.DUMMYFUNCTION("""COMPUTED_VALUE"""),292.9)</f>
        <v>292.9</v>
      </c>
      <c r="F134" s="1">
        <f>IFERROR(__xludf.DUMMYFUNCTION("""COMPUTED_VALUE"""),4560483.0)</f>
        <v>4560483</v>
      </c>
    </row>
    <row r="135">
      <c r="A135" s="2">
        <f>IFERROR(__xludf.DUMMYFUNCTION("""COMPUTED_VALUE"""),36721.645833333336)</f>
        <v>36721.64583</v>
      </c>
      <c r="B135" s="1">
        <f>IFERROR(__xludf.DUMMYFUNCTION("""COMPUTED_VALUE"""),294.8)</f>
        <v>294.8</v>
      </c>
      <c r="C135" s="1">
        <f>IFERROR(__xludf.DUMMYFUNCTION("""COMPUTED_VALUE"""),300.8)</f>
        <v>300.8</v>
      </c>
      <c r="D135" s="1">
        <f>IFERROR(__xludf.DUMMYFUNCTION("""COMPUTED_VALUE"""),291.1)</f>
        <v>291.1</v>
      </c>
      <c r="E135" s="1">
        <f>IFERROR(__xludf.DUMMYFUNCTION("""COMPUTED_VALUE"""),295.2)</f>
        <v>295.2</v>
      </c>
      <c r="F135" s="1">
        <f>IFERROR(__xludf.DUMMYFUNCTION("""COMPUTED_VALUE"""),2162216.0)</f>
        <v>2162216</v>
      </c>
    </row>
    <row r="136">
      <c r="A136" s="2">
        <f>IFERROR(__xludf.DUMMYFUNCTION("""COMPUTED_VALUE"""),36724.645833333336)</f>
        <v>36724.64583</v>
      </c>
      <c r="B136" s="1">
        <f>IFERROR(__xludf.DUMMYFUNCTION("""COMPUTED_VALUE"""),294.55)</f>
        <v>294.55</v>
      </c>
      <c r="C136" s="1">
        <f>IFERROR(__xludf.DUMMYFUNCTION("""COMPUTED_VALUE"""),298.0)</f>
        <v>298</v>
      </c>
      <c r="D136" s="1">
        <f>IFERROR(__xludf.DUMMYFUNCTION("""COMPUTED_VALUE"""),276.15)</f>
        <v>276.15</v>
      </c>
      <c r="E136" s="1">
        <f>IFERROR(__xludf.DUMMYFUNCTION("""COMPUTED_VALUE"""),278.4)</f>
        <v>278.4</v>
      </c>
      <c r="F136" s="1">
        <f>IFERROR(__xludf.DUMMYFUNCTION("""COMPUTED_VALUE"""),1786734.0)</f>
        <v>1786734</v>
      </c>
    </row>
    <row r="137">
      <c r="A137" s="2">
        <f>IFERROR(__xludf.DUMMYFUNCTION("""COMPUTED_VALUE"""),36725.645833333336)</f>
        <v>36725.64583</v>
      </c>
      <c r="B137" s="1">
        <f>IFERROR(__xludf.DUMMYFUNCTION("""COMPUTED_VALUE"""),279.8)</f>
        <v>279.8</v>
      </c>
      <c r="C137" s="1">
        <f>IFERROR(__xludf.DUMMYFUNCTION("""COMPUTED_VALUE"""),281.8)</f>
        <v>281.8</v>
      </c>
      <c r="D137" s="1">
        <f>IFERROR(__xludf.DUMMYFUNCTION("""COMPUTED_VALUE"""),275.0)</f>
        <v>275</v>
      </c>
      <c r="E137" s="1">
        <f>IFERROR(__xludf.DUMMYFUNCTION("""COMPUTED_VALUE"""),275.95)</f>
        <v>275.95</v>
      </c>
      <c r="F137" s="1">
        <f>IFERROR(__xludf.DUMMYFUNCTION("""COMPUTED_VALUE"""),1113365.0)</f>
        <v>1113365</v>
      </c>
    </row>
    <row r="138">
      <c r="A138" s="2">
        <f>IFERROR(__xludf.DUMMYFUNCTION("""COMPUTED_VALUE"""),36726.645833333336)</f>
        <v>36726.64583</v>
      </c>
      <c r="B138" s="1">
        <f>IFERROR(__xludf.DUMMYFUNCTION("""COMPUTED_VALUE"""),280.0)</f>
        <v>280</v>
      </c>
      <c r="C138" s="1">
        <f>IFERROR(__xludf.DUMMYFUNCTION("""COMPUTED_VALUE"""),281.45)</f>
        <v>281.45</v>
      </c>
      <c r="D138" s="1">
        <f>IFERROR(__xludf.DUMMYFUNCTION("""COMPUTED_VALUE"""),266.3)</f>
        <v>266.3</v>
      </c>
      <c r="E138" s="1">
        <f>IFERROR(__xludf.DUMMYFUNCTION("""COMPUTED_VALUE"""),267.55)</f>
        <v>267.55</v>
      </c>
      <c r="F138" s="1">
        <f>IFERROR(__xludf.DUMMYFUNCTION("""COMPUTED_VALUE"""),1169111.0)</f>
        <v>1169111</v>
      </c>
    </row>
    <row r="139">
      <c r="A139" s="2">
        <f>IFERROR(__xludf.DUMMYFUNCTION("""COMPUTED_VALUE"""),36727.645833333336)</f>
        <v>36727.64583</v>
      </c>
      <c r="B139" s="1">
        <f>IFERROR(__xludf.DUMMYFUNCTION("""COMPUTED_VALUE"""),272.85)</f>
        <v>272.85</v>
      </c>
      <c r="C139" s="1">
        <f>IFERROR(__xludf.DUMMYFUNCTION("""COMPUTED_VALUE"""),272.85)</f>
        <v>272.85</v>
      </c>
      <c r="D139" s="1">
        <f>IFERROR(__xludf.DUMMYFUNCTION("""COMPUTED_VALUE"""),260.0)</f>
        <v>260</v>
      </c>
      <c r="E139" s="1">
        <f>IFERROR(__xludf.DUMMYFUNCTION("""COMPUTED_VALUE"""),261.8)</f>
        <v>261.8</v>
      </c>
      <c r="F139" s="1">
        <f>IFERROR(__xludf.DUMMYFUNCTION("""COMPUTED_VALUE"""),1531108.0)</f>
        <v>1531108</v>
      </c>
    </row>
    <row r="140">
      <c r="A140" s="2">
        <f>IFERROR(__xludf.DUMMYFUNCTION("""COMPUTED_VALUE"""),36728.645833333336)</f>
        <v>36728.64583</v>
      </c>
      <c r="B140" s="1">
        <f>IFERROR(__xludf.DUMMYFUNCTION("""COMPUTED_VALUE"""),264.9)</f>
        <v>264.9</v>
      </c>
      <c r="C140" s="1">
        <f>IFERROR(__xludf.DUMMYFUNCTION("""COMPUTED_VALUE"""),264.9)</f>
        <v>264.9</v>
      </c>
      <c r="D140" s="1">
        <f>IFERROR(__xludf.DUMMYFUNCTION("""COMPUTED_VALUE"""),255.25)</f>
        <v>255.25</v>
      </c>
      <c r="E140" s="1">
        <f>IFERROR(__xludf.DUMMYFUNCTION("""COMPUTED_VALUE"""),256.5)</f>
        <v>256.5</v>
      </c>
      <c r="F140" s="1">
        <f>IFERROR(__xludf.DUMMYFUNCTION("""COMPUTED_VALUE"""),1073477.0)</f>
        <v>1073477</v>
      </c>
    </row>
    <row r="141">
      <c r="A141" s="2">
        <f>IFERROR(__xludf.DUMMYFUNCTION("""COMPUTED_VALUE"""),36731.645833333336)</f>
        <v>36731.64583</v>
      </c>
      <c r="B141" s="1">
        <f>IFERROR(__xludf.DUMMYFUNCTION("""COMPUTED_VALUE"""),255.0)</f>
        <v>255</v>
      </c>
      <c r="C141" s="1">
        <f>IFERROR(__xludf.DUMMYFUNCTION("""COMPUTED_VALUE"""),255.1)</f>
        <v>255.1</v>
      </c>
      <c r="D141" s="1">
        <f>IFERROR(__xludf.DUMMYFUNCTION("""COMPUTED_VALUE"""),238.1)</f>
        <v>238.1</v>
      </c>
      <c r="E141" s="1">
        <f>IFERROR(__xludf.DUMMYFUNCTION("""COMPUTED_VALUE"""),240.4)</f>
        <v>240.4</v>
      </c>
      <c r="F141" s="1">
        <f>IFERROR(__xludf.DUMMYFUNCTION("""COMPUTED_VALUE"""),2005575.0)</f>
        <v>2005575</v>
      </c>
    </row>
    <row r="142">
      <c r="A142" s="2">
        <f>IFERROR(__xludf.DUMMYFUNCTION("""COMPUTED_VALUE"""),36732.645833333336)</f>
        <v>36732.64583</v>
      </c>
      <c r="B142" s="1">
        <f>IFERROR(__xludf.DUMMYFUNCTION("""COMPUTED_VALUE"""),238.15)</f>
        <v>238.15</v>
      </c>
      <c r="C142" s="1">
        <f>IFERROR(__xludf.DUMMYFUNCTION("""COMPUTED_VALUE"""),247.7)</f>
        <v>247.7</v>
      </c>
      <c r="D142" s="1">
        <f>IFERROR(__xludf.DUMMYFUNCTION("""COMPUTED_VALUE"""),229.0)</f>
        <v>229</v>
      </c>
      <c r="E142" s="1">
        <f>IFERROR(__xludf.DUMMYFUNCTION("""COMPUTED_VALUE"""),239.5)</f>
        <v>239.5</v>
      </c>
      <c r="F142" s="1">
        <f>IFERROR(__xludf.DUMMYFUNCTION("""COMPUTED_VALUE"""),3262017.0)</f>
        <v>3262017</v>
      </c>
    </row>
    <row r="143">
      <c r="A143" s="2">
        <f>IFERROR(__xludf.DUMMYFUNCTION("""COMPUTED_VALUE"""),36733.645833333336)</f>
        <v>36733.64583</v>
      </c>
      <c r="B143" s="1">
        <f>IFERROR(__xludf.DUMMYFUNCTION("""COMPUTED_VALUE"""),244.9)</f>
        <v>244.9</v>
      </c>
      <c r="C143" s="1">
        <f>IFERROR(__xludf.DUMMYFUNCTION("""COMPUTED_VALUE"""),248.8)</f>
        <v>248.8</v>
      </c>
      <c r="D143" s="1">
        <f>IFERROR(__xludf.DUMMYFUNCTION("""COMPUTED_VALUE"""),239.3)</f>
        <v>239.3</v>
      </c>
      <c r="E143" s="1">
        <f>IFERROR(__xludf.DUMMYFUNCTION("""COMPUTED_VALUE"""),240.75)</f>
        <v>240.75</v>
      </c>
      <c r="F143" s="1">
        <f>IFERROR(__xludf.DUMMYFUNCTION("""COMPUTED_VALUE"""),1520391.0)</f>
        <v>1520391</v>
      </c>
    </row>
    <row r="144">
      <c r="A144" s="2">
        <f>IFERROR(__xludf.DUMMYFUNCTION("""COMPUTED_VALUE"""),36734.645833333336)</f>
        <v>36734.64583</v>
      </c>
      <c r="B144" s="1">
        <f>IFERROR(__xludf.DUMMYFUNCTION("""COMPUTED_VALUE"""),238.15)</f>
        <v>238.15</v>
      </c>
      <c r="C144" s="1">
        <f>IFERROR(__xludf.DUMMYFUNCTION("""COMPUTED_VALUE"""),243.55)</f>
        <v>243.55</v>
      </c>
      <c r="D144" s="1">
        <f>IFERROR(__xludf.DUMMYFUNCTION("""COMPUTED_VALUE"""),231.0)</f>
        <v>231</v>
      </c>
      <c r="E144" s="1">
        <f>IFERROR(__xludf.DUMMYFUNCTION("""COMPUTED_VALUE"""),240.55)</f>
        <v>240.55</v>
      </c>
      <c r="F144" s="1">
        <f>IFERROR(__xludf.DUMMYFUNCTION("""COMPUTED_VALUE"""),970365.0)</f>
        <v>970365</v>
      </c>
    </row>
    <row r="145">
      <c r="A145" s="2">
        <f>IFERROR(__xludf.DUMMYFUNCTION("""COMPUTED_VALUE"""),36735.645833333336)</f>
        <v>36735.64583</v>
      </c>
      <c r="B145" s="1">
        <f>IFERROR(__xludf.DUMMYFUNCTION("""COMPUTED_VALUE"""),241.0)</f>
        <v>241</v>
      </c>
      <c r="C145" s="1">
        <f>IFERROR(__xludf.DUMMYFUNCTION("""COMPUTED_VALUE"""),242.0)</f>
        <v>242</v>
      </c>
      <c r="D145" s="1">
        <f>IFERROR(__xludf.DUMMYFUNCTION("""COMPUTED_VALUE"""),234.0)</f>
        <v>234</v>
      </c>
      <c r="E145" s="1">
        <f>IFERROR(__xludf.DUMMYFUNCTION("""COMPUTED_VALUE"""),236.4)</f>
        <v>236.4</v>
      </c>
      <c r="F145" s="1">
        <f>IFERROR(__xludf.DUMMYFUNCTION("""COMPUTED_VALUE"""),1100307.0)</f>
        <v>1100307</v>
      </c>
    </row>
    <row r="146">
      <c r="A146" s="2">
        <f>IFERROR(__xludf.DUMMYFUNCTION("""COMPUTED_VALUE"""),36738.645833333336)</f>
        <v>36738.64583</v>
      </c>
      <c r="B146" s="1">
        <f>IFERROR(__xludf.DUMMYFUNCTION("""COMPUTED_VALUE"""),232.0)</f>
        <v>232</v>
      </c>
      <c r="C146" s="1">
        <f>IFERROR(__xludf.DUMMYFUNCTION("""COMPUTED_VALUE"""),243.0)</f>
        <v>243</v>
      </c>
      <c r="D146" s="1">
        <f>IFERROR(__xludf.DUMMYFUNCTION("""COMPUTED_VALUE"""),226.0)</f>
        <v>226</v>
      </c>
      <c r="E146" s="1">
        <f>IFERROR(__xludf.DUMMYFUNCTION("""COMPUTED_VALUE"""),240.75)</f>
        <v>240.75</v>
      </c>
      <c r="F146" s="1">
        <f>IFERROR(__xludf.DUMMYFUNCTION("""COMPUTED_VALUE"""),1733308.0)</f>
        <v>1733308</v>
      </c>
    </row>
    <row r="147">
      <c r="A147" s="2">
        <f>IFERROR(__xludf.DUMMYFUNCTION("""COMPUTED_VALUE"""),36739.645833333336)</f>
        <v>36739.64583</v>
      </c>
      <c r="B147" s="1">
        <f>IFERROR(__xludf.DUMMYFUNCTION("""COMPUTED_VALUE"""),242.0)</f>
        <v>242</v>
      </c>
      <c r="C147" s="1">
        <f>IFERROR(__xludf.DUMMYFUNCTION("""COMPUTED_VALUE"""),246.0)</f>
        <v>246</v>
      </c>
      <c r="D147" s="1">
        <f>IFERROR(__xludf.DUMMYFUNCTION("""COMPUTED_VALUE"""),238.05)</f>
        <v>238.05</v>
      </c>
      <c r="E147" s="1">
        <f>IFERROR(__xludf.DUMMYFUNCTION("""COMPUTED_VALUE"""),240.75)</f>
        <v>240.75</v>
      </c>
      <c r="F147" s="1">
        <f>IFERROR(__xludf.DUMMYFUNCTION("""COMPUTED_VALUE"""),1358935.0)</f>
        <v>1358935</v>
      </c>
    </row>
    <row r="148">
      <c r="A148" s="2">
        <f>IFERROR(__xludf.DUMMYFUNCTION("""COMPUTED_VALUE"""),36740.645833333336)</f>
        <v>36740.64583</v>
      </c>
      <c r="B148" s="1">
        <f>IFERROR(__xludf.DUMMYFUNCTION("""COMPUTED_VALUE"""),241.0)</f>
        <v>241</v>
      </c>
      <c r="C148" s="1">
        <f>IFERROR(__xludf.DUMMYFUNCTION("""COMPUTED_VALUE"""),244.75)</f>
        <v>244.75</v>
      </c>
      <c r="D148" s="1">
        <f>IFERROR(__xludf.DUMMYFUNCTION("""COMPUTED_VALUE"""),237.25)</f>
        <v>237.25</v>
      </c>
      <c r="E148" s="1">
        <f>IFERROR(__xludf.DUMMYFUNCTION("""COMPUTED_VALUE"""),240.7)</f>
        <v>240.7</v>
      </c>
      <c r="F148" s="1">
        <f>IFERROR(__xludf.DUMMYFUNCTION("""COMPUTED_VALUE"""),687268.0)</f>
        <v>687268</v>
      </c>
    </row>
    <row r="149">
      <c r="A149" s="2">
        <f>IFERROR(__xludf.DUMMYFUNCTION("""COMPUTED_VALUE"""),36741.645833333336)</f>
        <v>36741.64583</v>
      </c>
      <c r="B149" s="1">
        <f>IFERROR(__xludf.DUMMYFUNCTION("""COMPUTED_VALUE"""),239.0)</f>
        <v>239</v>
      </c>
      <c r="C149" s="1">
        <f>IFERROR(__xludf.DUMMYFUNCTION("""COMPUTED_VALUE"""),242.9)</f>
        <v>242.9</v>
      </c>
      <c r="D149" s="1">
        <f>IFERROR(__xludf.DUMMYFUNCTION("""COMPUTED_VALUE"""),236.0)</f>
        <v>236</v>
      </c>
      <c r="E149" s="1">
        <f>IFERROR(__xludf.DUMMYFUNCTION("""COMPUTED_VALUE"""),238.2)</f>
        <v>238.2</v>
      </c>
      <c r="F149" s="1">
        <f>IFERROR(__xludf.DUMMYFUNCTION("""COMPUTED_VALUE"""),935278.0)</f>
        <v>935278</v>
      </c>
    </row>
    <row r="150">
      <c r="A150" s="2">
        <f>IFERROR(__xludf.DUMMYFUNCTION("""COMPUTED_VALUE"""),36742.645833333336)</f>
        <v>36742.64583</v>
      </c>
      <c r="B150" s="1">
        <f>IFERROR(__xludf.DUMMYFUNCTION("""COMPUTED_VALUE"""),240.0)</f>
        <v>240</v>
      </c>
      <c r="C150" s="1">
        <f>IFERROR(__xludf.DUMMYFUNCTION("""COMPUTED_VALUE"""),261.4)</f>
        <v>261.4</v>
      </c>
      <c r="D150" s="1">
        <f>IFERROR(__xludf.DUMMYFUNCTION("""COMPUTED_VALUE"""),239.0)</f>
        <v>239</v>
      </c>
      <c r="E150" s="1">
        <f>IFERROR(__xludf.DUMMYFUNCTION("""COMPUTED_VALUE"""),255.8)</f>
        <v>255.8</v>
      </c>
      <c r="F150" s="1">
        <f>IFERROR(__xludf.DUMMYFUNCTION("""COMPUTED_VALUE"""),3018524.0)</f>
        <v>3018524</v>
      </c>
    </row>
    <row r="151">
      <c r="A151" s="2">
        <f>IFERROR(__xludf.DUMMYFUNCTION("""COMPUTED_VALUE"""),36745.645833333336)</f>
        <v>36745.64583</v>
      </c>
      <c r="B151" s="1">
        <f>IFERROR(__xludf.DUMMYFUNCTION("""COMPUTED_VALUE"""),254.0)</f>
        <v>254</v>
      </c>
      <c r="C151" s="1">
        <f>IFERROR(__xludf.DUMMYFUNCTION("""COMPUTED_VALUE"""),259.8)</f>
        <v>259.8</v>
      </c>
      <c r="D151" s="1">
        <f>IFERROR(__xludf.DUMMYFUNCTION("""COMPUTED_VALUE"""),246.7)</f>
        <v>246.7</v>
      </c>
      <c r="E151" s="1">
        <f>IFERROR(__xludf.DUMMYFUNCTION("""COMPUTED_VALUE"""),256.0)</f>
        <v>256</v>
      </c>
      <c r="F151" s="1">
        <f>IFERROR(__xludf.DUMMYFUNCTION("""COMPUTED_VALUE"""),2154942.0)</f>
        <v>2154942</v>
      </c>
    </row>
    <row r="152">
      <c r="A152" s="2">
        <f>IFERROR(__xludf.DUMMYFUNCTION("""COMPUTED_VALUE"""),36746.645833333336)</f>
        <v>36746.64583</v>
      </c>
      <c r="B152" s="1">
        <f>IFERROR(__xludf.DUMMYFUNCTION("""COMPUTED_VALUE"""),255.0)</f>
        <v>255</v>
      </c>
      <c r="C152" s="1">
        <f>IFERROR(__xludf.DUMMYFUNCTION("""COMPUTED_VALUE"""),255.85)</f>
        <v>255.85</v>
      </c>
      <c r="D152" s="1">
        <f>IFERROR(__xludf.DUMMYFUNCTION("""COMPUTED_VALUE"""),246.25)</f>
        <v>246.25</v>
      </c>
      <c r="E152" s="1">
        <f>IFERROR(__xludf.DUMMYFUNCTION("""COMPUTED_VALUE"""),250.15)</f>
        <v>250.15</v>
      </c>
      <c r="F152" s="1">
        <f>IFERROR(__xludf.DUMMYFUNCTION("""COMPUTED_VALUE"""),1027216.0)</f>
        <v>1027216</v>
      </c>
    </row>
    <row r="153">
      <c r="A153" s="2">
        <f>IFERROR(__xludf.DUMMYFUNCTION("""COMPUTED_VALUE"""),36747.645833333336)</f>
        <v>36747.64583</v>
      </c>
      <c r="B153" s="1">
        <f>IFERROR(__xludf.DUMMYFUNCTION("""COMPUTED_VALUE"""),252.75)</f>
        <v>252.75</v>
      </c>
      <c r="C153" s="1">
        <f>IFERROR(__xludf.DUMMYFUNCTION("""COMPUTED_VALUE"""),252.8)</f>
        <v>252.8</v>
      </c>
      <c r="D153" s="1">
        <f>IFERROR(__xludf.DUMMYFUNCTION("""COMPUTED_VALUE"""),238.5)</f>
        <v>238.5</v>
      </c>
      <c r="E153" s="1">
        <f>IFERROR(__xludf.DUMMYFUNCTION("""COMPUTED_VALUE"""),239.85)</f>
        <v>239.85</v>
      </c>
      <c r="F153" s="1">
        <f>IFERROR(__xludf.DUMMYFUNCTION("""COMPUTED_VALUE"""),1754816.0)</f>
        <v>1754816</v>
      </c>
    </row>
    <row r="154">
      <c r="A154" s="2">
        <f>IFERROR(__xludf.DUMMYFUNCTION("""COMPUTED_VALUE"""),36748.645833333336)</f>
        <v>36748.64583</v>
      </c>
      <c r="B154" s="1">
        <f>IFERROR(__xludf.DUMMYFUNCTION("""COMPUTED_VALUE"""),241.7)</f>
        <v>241.7</v>
      </c>
      <c r="C154" s="1">
        <f>IFERROR(__xludf.DUMMYFUNCTION("""COMPUTED_VALUE"""),245.0)</f>
        <v>245</v>
      </c>
      <c r="D154" s="1">
        <f>IFERROR(__xludf.DUMMYFUNCTION("""COMPUTED_VALUE"""),239.05)</f>
        <v>239.05</v>
      </c>
      <c r="E154" s="1">
        <f>IFERROR(__xludf.DUMMYFUNCTION("""COMPUTED_VALUE"""),240.7)</f>
        <v>240.7</v>
      </c>
      <c r="F154" s="1">
        <f>IFERROR(__xludf.DUMMYFUNCTION("""COMPUTED_VALUE"""),950789.0)</f>
        <v>950789</v>
      </c>
    </row>
    <row r="155">
      <c r="A155" s="2">
        <f>IFERROR(__xludf.DUMMYFUNCTION("""COMPUTED_VALUE"""),36749.645833333336)</f>
        <v>36749.64583</v>
      </c>
      <c r="B155" s="1">
        <f>IFERROR(__xludf.DUMMYFUNCTION("""COMPUTED_VALUE"""),241.5)</f>
        <v>241.5</v>
      </c>
      <c r="C155" s="1">
        <f>IFERROR(__xludf.DUMMYFUNCTION("""COMPUTED_VALUE"""),241.5)</f>
        <v>241.5</v>
      </c>
      <c r="D155" s="1">
        <f>IFERROR(__xludf.DUMMYFUNCTION("""COMPUTED_VALUE"""),231.2)</f>
        <v>231.2</v>
      </c>
      <c r="E155" s="1">
        <f>IFERROR(__xludf.DUMMYFUNCTION("""COMPUTED_VALUE"""),232.8)</f>
        <v>232.8</v>
      </c>
      <c r="F155" s="1">
        <f>IFERROR(__xludf.DUMMYFUNCTION("""COMPUTED_VALUE"""),1435720.0)</f>
        <v>1435720</v>
      </c>
    </row>
    <row r="156">
      <c r="A156" s="2">
        <f>IFERROR(__xludf.DUMMYFUNCTION("""COMPUTED_VALUE"""),36752.645833333336)</f>
        <v>36752.64583</v>
      </c>
      <c r="B156" s="1">
        <f>IFERROR(__xludf.DUMMYFUNCTION("""COMPUTED_VALUE"""),234.45)</f>
        <v>234.45</v>
      </c>
      <c r="C156" s="1">
        <f>IFERROR(__xludf.DUMMYFUNCTION("""COMPUTED_VALUE"""),237.0)</f>
        <v>237</v>
      </c>
      <c r="D156" s="1">
        <f>IFERROR(__xludf.DUMMYFUNCTION("""COMPUTED_VALUE"""),229.0)</f>
        <v>229</v>
      </c>
      <c r="E156" s="1">
        <f>IFERROR(__xludf.DUMMYFUNCTION("""COMPUTED_VALUE"""),235.8)</f>
        <v>235.8</v>
      </c>
      <c r="F156" s="1">
        <f>IFERROR(__xludf.DUMMYFUNCTION("""COMPUTED_VALUE"""),1734070.0)</f>
        <v>1734070</v>
      </c>
    </row>
    <row r="157">
      <c r="A157" s="2">
        <f>IFERROR(__xludf.DUMMYFUNCTION("""COMPUTED_VALUE"""),36754.645833333336)</f>
        <v>36754.64583</v>
      </c>
      <c r="B157" s="1">
        <f>IFERROR(__xludf.DUMMYFUNCTION("""COMPUTED_VALUE"""),239.5)</f>
        <v>239.5</v>
      </c>
      <c r="C157" s="1">
        <f>IFERROR(__xludf.DUMMYFUNCTION("""COMPUTED_VALUE"""),247.0)</f>
        <v>247</v>
      </c>
      <c r="D157" s="1">
        <f>IFERROR(__xludf.DUMMYFUNCTION("""COMPUTED_VALUE"""),236.0)</f>
        <v>236</v>
      </c>
      <c r="E157" s="1">
        <f>IFERROR(__xludf.DUMMYFUNCTION("""COMPUTED_VALUE"""),243.7)</f>
        <v>243.7</v>
      </c>
      <c r="F157" s="1">
        <f>IFERROR(__xludf.DUMMYFUNCTION("""COMPUTED_VALUE"""),1266683.0)</f>
        <v>1266683</v>
      </c>
    </row>
    <row r="158">
      <c r="A158" s="2">
        <f>IFERROR(__xludf.DUMMYFUNCTION("""COMPUTED_VALUE"""),36755.645833333336)</f>
        <v>36755.64583</v>
      </c>
      <c r="B158" s="1">
        <f>IFERROR(__xludf.DUMMYFUNCTION("""COMPUTED_VALUE"""),244.95)</f>
        <v>244.95</v>
      </c>
      <c r="C158" s="1">
        <f>IFERROR(__xludf.DUMMYFUNCTION("""COMPUTED_VALUE"""),249.8)</f>
        <v>249.8</v>
      </c>
      <c r="D158" s="1">
        <f>IFERROR(__xludf.DUMMYFUNCTION("""COMPUTED_VALUE"""),241.7)</f>
        <v>241.7</v>
      </c>
      <c r="E158" s="1">
        <f>IFERROR(__xludf.DUMMYFUNCTION("""COMPUTED_VALUE"""),243.25)</f>
        <v>243.25</v>
      </c>
      <c r="F158" s="1">
        <f>IFERROR(__xludf.DUMMYFUNCTION("""COMPUTED_VALUE"""),1158375.0)</f>
        <v>1158375</v>
      </c>
    </row>
    <row r="159">
      <c r="A159" s="2">
        <f>IFERROR(__xludf.DUMMYFUNCTION("""COMPUTED_VALUE"""),36756.645833333336)</f>
        <v>36756.64583</v>
      </c>
      <c r="B159" s="1">
        <f>IFERROR(__xludf.DUMMYFUNCTION("""COMPUTED_VALUE"""),244.4)</f>
        <v>244.4</v>
      </c>
      <c r="C159" s="1">
        <f>IFERROR(__xludf.DUMMYFUNCTION("""COMPUTED_VALUE"""),246.0)</f>
        <v>246</v>
      </c>
      <c r="D159" s="1">
        <f>IFERROR(__xludf.DUMMYFUNCTION("""COMPUTED_VALUE"""),242.65)</f>
        <v>242.65</v>
      </c>
      <c r="E159" s="1">
        <f>IFERROR(__xludf.DUMMYFUNCTION("""COMPUTED_VALUE"""),244.7)</f>
        <v>244.7</v>
      </c>
      <c r="F159" s="1">
        <f>IFERROR(__xludf.DUMMYFUNCTION("""COMPUTED_VALUE"""),421727.0)</f>
        <v>421727</v>
      </c>
    </row>
    <row r="160">
      <c r="A160" s="2">
        <f>IFERROR(__xludf.DUMMYFUNCTION("""COMPUTED_VALUE"""),36759.645833333336)</f>
        <v>36759.64583</v>
      </c>
      <c r="B160" s="1">
        <f>IFERROR(__xludf.DUMMYFUNCTION("""COMPUTED_VALUE"""),244.5)</f>
        <v>244.5</v>
      </c>
      <c r="C160" s="1">
        <f>IFERROR(__xludf.DUMMYFUNCTION("""COMPUTED_VALUE"""),246.5)</f>
        <v>246.5</v>
      </c>
      <c r="D160" s="1">
        <f>IFERROR(__xludf.DUMMYFUNCTION("""COMPUTED_VALUE"""),243.1)</f>
        <v>243.1</v>
      </c>
      <c r="E160" s="1">
        <f>IFERROR(__xludf.DUMMYFUNCTION("""COMPUTED_VALUE"""),245.25)</f>
        <v>245.25</v>
      </c>
      <c r="F160" s="1">
        <f>IFERROR(__xludf.DUMMYFUNCTION("""COMPUTED_VALUE"""),377240.0)</f>
        <v>377240</v>
      </c>
    </row>
    <row r="161">
      <c r="A161" s="2">
        <f>IFERROR(__xludf.DUMMYFUNCTION("""COMPUTED_VALUE"""),36760.645833333336)</f>
        <v>36760.64583</v>
      </c>
      <c r="B161" s="1">
        <f>IFERROR(__xludf.DUMMYFUNCTION("""COMPUTED_VALUE"""),246.0)</f>
        <v>246</v>
      </c>
      <c r="C161" s="1">
        <f>IFERROR(__xludf.DUMMYFUNCTION("""COMPUTED_VALUE"""),252.3)</f>
        <v>252.3</v>
      </c>
      <c r="D161" s="1">
        <f>IFERROR(__xludf.DUMMYFUNCTION("""COMPUTED_VALUE"""),241.1)</f>
        <v>241.1</v>
      </c>
      <c r="E161" s="1">
        <f>IFERROR(__xludf.DUMMYFUNCTION("""COMPUTED_VALUE"""),242.55)</f>
        <v>242.55</v>
      </c>
      <c r="F161" s="1">
        <f>IFERROR(__xludf.DUMMYFUNCTION("""COMPUTED_VALUE"""),1779644.0)</f>
        <v>1779644</v>
      </c>
    </row>
    <row r="162">
      <c r="A162" s="2">
        <f>IFERROR(__xludf.DUMMYFUNCTION("""COMPUTED_VALUE"""),36761.645833333336)</f>
        <v>36761.64583</v>
      </c>
      <c r="B162" s="1">
        <f>IFERROR(__xludf.DUMMYFUNCTION("""COMPUTED_VALUE"""),244.9)</f>
        <v>244.9</v>
      </c>
      <c r="C162" s="1">
        <f>IFERROR(__xludf.DUMMYFUNCTION("""COMPUTED_VALUE"""),249.9)</f>
        <v>249.9</v>
      </c>
      <c r="D162" s="1">
        <f>IFERROR(__xludf.DUMMYFUNCTION("""COMPUTED_VALUE"""),243.1)</f>
        <v>243.1</v>
      </c>
      <c r="E162" s="1">
        <f>IFERROR(__xludf.DUMMYFUNCTION("""COMPUTED_VALUE"""),248.6)</f>
        <v>248.6</v>
      </c>
      <c r="F162" s="1">
        <f>IFERROR(__xludf.DUMMYFUNCTION("""COMPUTED_VALUE"""),991096.0)</f>
        <v>991096</v>
      </c>
    </row>
    <row r="163">
      <c r="A163" s="2">
        <f>IFERROR(__xludf.DUMMYFUNCTION("""COMPUTED_VALUE"""),36762.645833333336)</f>
        <v>36762.64583</v>
      </c>
      <c r="B163" s="1">
        <f>IFERROR(__xludf.DUMMYFUNCTION("""COMPUTED_VALUE"""),247.75)</f>
        <v>247.75</v>
      </c>
      <c r="C163" s="1">
        <f>IFERROR(__xludf.DUMMYFUNCTION("""COMPUTED_VALUE"""),248.7)</f>
        <v>248.7</v>
      </c>
      <c r="D163" s="1">
        <f>IFERROR(__xludf.DUMMYFUNCTION("""COMPUTED_VALUE"""),243.05)</f>
        <v>243.05</v>
      </c>
      <c r="E163" s="1">
        <f>IFERROR(__xludf.DUMMYFUNCTION("""COMPUTED_VALUE"""),244.1)</f>
        <v>244.1</v>
      </c>
      <c r="F163" s="1">
        <f>IFERROR(__xludf.DUMMYFUNCTION("""COMPUTED_VALUE"""),628328.0)</f>
        <v>628328</v>
      </c>
    </row>
    <row r="164">
      <c r="A164" s="2">
        <f>IFERROR(__xludf.DUMMYFUNCTION("""COMPUTED_VALUE"""),36763.645833333336)</f>
        <v>36763.64583</v>
      </c>
      <c r="B164" s="1">
        <f>IFERROR(__xludf.DUMMYFUNCTION("""COMPUTED_VALUE"""),245.0)</f>
        <v>245</v>
      </c>
      <c r="C164" s="1">
        <f>IFERROR(__xludf.DUMMYFUNCTION("""COMPUTED_VALUE"""),245.0)</f>
        <v>245</v>
      </c>
      <c r="D164" s="1">
        <f>IFERROR(__xludf.DUMMYFUNCTION("""COMPUTED_VALUE"""),240.3)</f>
        <v>240.3</v>
      </c>
      <c r="E164" s="1">
        <f>IFERROR(__xludf.DUMMYFUNCTION("""COMPUTED_VALUE"""),241.35)</f>
        <v>241.35</v>
      </c>
      <c r="F164" s="1">
        <f>IFERROR(__xludf.DUMMYFUNCTION("""COMPUTED_VALUE"""),780364.0)</f>
        <v>780364</v>
      </c>
    </row>
    <row r="165">
      <c r="A165" s="2">
        <f>IFERROR(__xludf.DUMMYFUNCTION("""COMPUTED_VALUE"""),36766.645833333336)</f>
        <v>36766.64583</v>
      </c>
      <c r="B165" s="1">
        <f>IFERROR(__xludf.DUMMYFUNCTION("""COMPUTED_VALUE"""),242.0)</f>
        <v>242</v>
      </c>
      <c r="C165" s="1">
        <f>IFERROR(__xludf.DUMMYFUNCTION("""COMPUTED_VALUE"""),243.2)</f>
        <v>243.2</v>
      </c>
      <c r="D165" s="1">
        <f>IFERROR(__xludf.DUMMYFUNCTION("""COMPUTED_VALUE"""),241.0)</f>
        <v>241</v>
      </c>
      <c r="E165" s="1">
        <f>IFERROR(__xludf.DUMMYFUNCTION("""COMPUTED_VALUE"""),241.25)</f>
        <v>241.25</v>
      </c>
      <c r="F165" s="1">
        <f>IFERROR(__xludf.DUMMYFUNCTION("""COMPUTED_VALUE"""),303899.0)</f>
        <v>303899</v>
      </c>
    </row>
    <row r="166">
      <c r="A166" s="2">
        <f>IFERROR(__xludf.DUMMYFUNCTION("""COMPUTED_VALUE"""),36767.645833333336)</f>
        <v>36767.64583</v>
      </c>
      <c r="B166" s="1">
        <f>IFERROR(__xludf.DUMMYFUNCTION("""COMPUTED_VALUE"""),241.95)</f>
        <v>241.95</v>
      </c>
      <c r="C166" s="1">
        <f>IFERROR(__xludf.DUMMYFUNCTION("""COMPUTED_VALUE"""),243.0)</f>
        <v>243</v>
      </c>
      <c r="D166" s="1">
        <f>IFERROR(__xludf.DUMMYFUNCTION("""COMPUTED_VALUE"""),238.1)</f>
        <v>238.1</v>
      </c>
      <c r="E166" s="1">
        <f>IFERROR(__xludf.DUMMYFUNCTION("""COMPUTED_VALUE"""),238.8)</f>
        <v>238.8</v>
      </c>
      <c r="F166" s="1">
        <f>IFERROR(__xludf.DUMMYFUNCTION("""COMPUTED_VALUE"""),739953.0)</f>
        <v>739953</v>
      </c>
    </row>
    <row r="167">
      <c r="A167" s="2">
        <f>IFERROR(__xludf.DUMMYFUNCTION("""COMPUTED_VALUE"""),36768.645833333336)</f>
        <v>36768.64583</v>
      </c>
      <c r="B167" s="1">
        <f>IFERROR(__xludf.DUMMYFUNCTION("""COMPUTED_VALUE"""),241.0)</f>
        <v>241</v>
      </c>
      <c r="C167" s="1">
        <f>IFERROR(__xludf.DUMMYFUNCTION("""COMPUTED_VALUE"""),241.0)</f>
        <v>241</v>
      </c>
      <c r="D167" s="1">
        <f>IFERROR(__xludf.DUMMYFUNCTION("""COMPUTED_VALUE"""),236.0)</f>
        <v>236</v>
      </c>
      <c r="E167" s="1">
        <f>IFERROR(__xludf.DUMMYFUNCTION("""COMPUTED_VALUE"""),238.95)</f>
        <v>238.95</v>
      </c>
      <c r="F167" s="1">
        <f>IFERROR(__xludf.DUMMYFUNCTION("""COMPUTED_VALUE"""),1038266.0)</f>
        <v>1038266</v>
      </c>
    </row>
    <row r="168">
      <c r="A168" s="2">
        <f>IFERROR(__xludf.DUMMYFUNCTION("""COMPUTED_VALUE"""),36769.645833333336)</f>
        <v>36769.64583</v>
      </c>
      <c r="B168" s="1">
        <f>IFERROR(__xludf.DUMMYFUNCTION("""COMPUTED_VALUE"""),240.0)</f>
        <v>240</v>
      </c>
      <c r="C168" s="1">
        <f>IFERROR(__xludf.DUMMYFUNCTION("""COMPUTED_VALUE"""),240.0)</f>
        <v>240</v>
      </c>
      <c r="D168" s="1">
        <f>IFERROR(__xludf.DUMMYFUNCTION("""COMPUTED_VALUE"""),236.1)</f>
        <v>236.1</v>
      </c>
      <c r="E168" s="1">
        <f>IFERROR(__xludf.DUMMYFUNCTION("""COMPUTED_VALUE"""),238.95)</f>
        <v>238.95</v>
      </c>
      <c r="F168" s="1">
        <f>IFERROR(__xludf.DUMMYFUNCTION("""COMPUTED_VALUE"""),545633.0)</f>
        <v>545633</v>
      </c>
    </row>
    <row r="169">
      <c r="A169" s="2">
        <f>IFERROR(__xludf.DUMMYFUNCTION("""COMPUTED_VALUE"""),36773.645833333336)</f>
        <v>36773.64583</v>
      </c>
      <c r="B169" s="1">
        <f>IFERROR(__xludf.DUMMYFUNCTION("""COMPUTED_VALUE"""),239.9)</f>
        <v>239.9</v>
      </c>
      <c r="C169" s="1">
        <f>IFERROR(__xludf.DUMMYFUNCTION("""COMPUTED_VALUE"""),248.85)</f>
        <v>248.85</v>
      </c>
      <c r="D169" s="1">
        <f>IFERROR(__xludf.DUMMYFUNCTION("""COMPUTED_VALUE"""),235.25)</f>
        <v>235.25</v>
      </c>
      <c r="E169" s="1">
        <f>IFERROR(__xludf.DUMMYFUNCTION("""COMPUTED_VALUE"""),246.2)</f>
        <v>246.2</v>
      </c>
      <c r="F169" s="1">
        <f>IFERROR(__xludf.DUMMYFUNCTION("""COMPUTED_VALUE"""),1461859.0)</f>
        <v>1461859</v>
      </c>
    </row>
    <row r="170">
      <c r="A170" s="2">
        <f>IFERROR(__xludf.DUMMYFUNCTION("""COMPUTED_VALUE"""),36774.645833333336)</f>
        <v>36774.64583</v>
      </c>
      <c r="B170" s="1">
        <f>IFERROR(__xludf.DUMMYFUNCTION("""COMPUTED_VALUE"""),247.9)</f>
        <v>247.9</v>
      </c>
      <c r="C170" s="1">
        <f>IFERROR(__xludf.DUMMYFUNCTION("""COMPUTED_VALUE"""),248.9)</f>
        <v>248.9</v>
      </c>
      <c r="D170" s="1">
        <f>IFERROR(__xludf.DUMMYFUNCTION("""COMPUTED_VALUE"""),243.1)</f>
        <v>243.1</v>
      </c>
      <c r="E170" s="1">
        <f>IFERROR(__xludf.DUMMYFUNCTION("""COMPUTED_VALUE"""),244.35)</f>
        <v>244.35</v>
      </c>
      <c r="F170" s="1">
        <f>IFERROR(__xludf.DUMMYFUNCTION("""COMPUTED_VALUE"""),581442.0)</f>
        <v>581442</v>
      </c>
    </row>
    <row r="171">
      <c r="A171" s="2">
        <f>IFERROR(__xludf.DUMMYFUNCTION("""COMPUTED_VALUE"""),36775.645833333336)</f>
        <v>36775.64583</v>
      </c>
      <c r="B171" s="1">
        <f>IFERROR(__xludf.DUMMYFUNCTION("""COMPUTED_VALUE"""),246.5)</f>
        <v>246.5</v>
      </c>
      <c r="C171" s="1">
        <f>IFERROR(__xludf.DUMMYFUNCTION("""COMPUTED_VALUE"""),255.9)</f>
        <v>255.9</v>
      </c>
      <c r="D171" s="1">
        <f>IFERROR(__xludf.DUMMYFUNCTION("""COMPUTED_VALUE"""),245.45)</f>
        <v>245.45</v>
      </c>
      <c r="E171" s="1">
        <f>IFERROR(__xludf.DUMMYFUNCTION("""COMPUTED_VALUE"""),251.85)</f>
        <v>251.85</v>
      </c>
      <c r="F171" s="1">
        <f>IFERROR(__xludf.DUMMYFUNCTION("""COMPUTED_VALUE"""),1843781.0)</f>
        <v>1843781</v>
      </c>
    </row>
    <row r="172">
      <c r="A172" s="2">
        <f>IFERROR(__xludf.DUMMYFUNCTION("""COMPUTED_VALUE"""),36776.645833333336)</f>
        <v>36776.64583</v>
      </c>
      <c r="B172" s="1">
        <f>IFERROR(__xludf.DUMMYFUNCTION("""COMPUTED_VALUE"""),253.0)</f>
        <v>253</v>
      </c>
      <c r="C172" s="1">
        <f>IFERROR(__xludf.DUMMYFUNCTION("""COMPUTED_VALUE"""),254.5)</f>
        <v>254.5</v>
      </c>
      <c r="D172" s="1">
        <f>IFERROR(__xludf.DUMMYFUNCTION("""COMPUTED_VALUE"""),250.0)</f>
        <v>250</v>
      </c>
      <c r="E172" s="1">
        <f>IFERROR(__xludf.DUMMYFUNCTION("""COMPUTED_VALUE"""),252.1)</f>
        <v>252.1</v>
      </c>
      <c r="F172" s="1">
        <f>IFERROR(__xludf.DUMMYFUNCTION("""COMPUTED_VALUE"""),877137.0)</f>
        <v>877137</v>
      </c>
    </row>
    <row r="173">
      <c r="A173" s="2">
        <f>IFERROR(__xludf.DUMMYFUNCTION("""COMPUTED_VALUE"""),36777.645833333336)</f>
        <v>36777.64583</v>
      </c>
      <c r="B173" s="1">
        <f>IFERROR(__xludf.DUMMYFUNCTION("""COMPUTED_VALUE"""),252.0)</f>
        <v>252</v>
      </c>
      <c r="C173" s="1">
        <f>IFERROR(__xludf.DUMMYFUNCTION("""COMPUTED_VALUE"""),253.9)</f>
        <v>253.9</v>
      </c>
      <c r="D173" s="1">
        <f>IFERROR(__xludf.DUMMYFUNCTION("""COMPUTED_VALUE"""),247.1)</f>
        <v>247.1</v>
      </c>
      <c r="E173" s="1">
        <f>IFERROR(__xludf.DUMMYFUNCTION("""COMPUTED_VALUE"""),249.35)</f>
        <v>249.35</v>
      </c>
      <c r="F173" s="1">
        <f>IFERROR(__xludf.DUMMYFUNCTION("""COMPUTED_VALUE"""),843968.0)</f>
        <v>843968</v>
      </c>
    </row>
    <row r="174">
      <c r="A174" s="2">
        <f>IFERROR(__xludf.DUMMYFUNCTION("""COMPUTED_VALUE"""),36780.645833333336)</f>
        <v>36780.64583</v>
      </c>
      <c r="B174" s="1">
        <f>IFERROR(__xludf.DUMMYFUNCTION("""COMPUTED_VALUE"""),249.6)</f>
        <v>249.6</v>
      </c>
      <c r="C174" s="1">
        <f>IFERROR(__xludf.DUMMYFUNCTION("""COMPUTED_VALUE"""),253.0)</f>
        <v>253</v>
      </c>
      <c r="D174" s="1">
        <f>IFERROR(__xludf.DUMMYFUNCTION("""COMPUTED_VALUE"""),248.15)</f>
        <v>248.15</v>
      </c>
      <c r="E174" s="1">
        <f>IFERROR(__xludf.DUMMYFUNCTION("""COMPUTED_VALUE"""),251.25)</f>
        <v>251.25</v>
      </c>
      <c r="F174" s="1">
        <f>IFERROR(__xludf.DUMMYFUNCTION("""COMPUTED_VALUE"""),747461.0)</f>
        <v>747461</v>
      </c>
    </row>
    <row r="175">
      <c r="A175" s="2">
        <f>IFERROR(__xludf.DUMMYFUNCTION("""COMPUTED_VALUE"""),36781.645833333336)</f>
        <v>36781.64583</v>
      </c>
      <c r="B175" s="1">
        <f>IFERROR(__xludf.DUMMYFUNCTION("""COMPUTED_VALUE"""),250.95)</f>
        <v>250.95</v>
      </c>
      <c r="C175" s="1">
        <f>IFERROR(__xludf.DUMMYFUNCTION("""COMPUTED_VALUE"""),254.9)</f>
        <v>254.9</v>
      </c>
      <c r="D175" s="1">
        <f>IFERROR(__xludf.DUMMYFUNCTION("""COMPUTED_VALUE"""),249.5)</f>
        <v>249.5</v>
      </c>
      <c r="E175" s="1">
        <f>IFERROR(__xludf.DUMMYFUNCTION("""COMPUTED_VALUE"""),252.75)</f>
        <v>252.75</v>
      </c>
      <c r="F175" s="1">
        <f>IFERROR(__xludf.DUMMYFUNCTION("""COMPUTED_VALUE"""),881446.0)</f>
        <v>881446</v>
      </c>
    </row>
    <row r="176">
      <c r="A176" s="2">
        <f>IFERROR(__xludf.DUMMYFUNCTION("""COMPUTED_VALUE"""),36782.645833333336)</f>
        <v>36782.64583</v>
      </c>
      <c r="B176" s="1">
        <f>IFERROR(__xludf.DUMMYFUNCTION("""COMPUTED_VALUE"""),255.0)</f>
        <v>255</v>
      </c>
      <c r="C176" s="1">
        <f>IFERROR(__xludf.DUMMYFUNCTION("""COMPUTED_VALUE"""),255.5)</f>
        <v>255.5</v>
      </c>
      <c r="D176" s="1">
        <f>IFERROR(__xludf.DUMMYFUNCTION("""COMPUTED_VALUE"""),248.6)</f>
        <v>248.6</v>
      </c>
      <c r="E176" s="1">
        <f>IFERROR(__xludf.DUMMYFUNCTION("""COMPUTED_VALUE"""),249.35)</f>
        <v>249.35</v>
      </c>
      <c r="F176" s="1">
        <f>IFERROR(__xludf.DUMMYFUNCTION("""COMPUTED_VALUE"""),469234.0)</f>
        <v>469234</v>
      </c>
    </row>
    <row r="177">
      <c r="A177" s="2">
        <f>IFERROR(__xludf.DUMMYFUNCTION("""COMPUTED_VALUE"""),36783.645833333336)</f>
        <v>36783.64583</v>
      </c>
      <c r="B177" s="1">
        <f>IFERROR(__xludf.DUMMYFUNCTION("""COMPUTED_VALUE"""),250.0)</f>
        <v>250</v>
      </c>
      <c r="C177" s="1">
        <f>IFERROR(__xludf.DUMMYFUNCTION("""COMPUTED_VALUE"""),250.0)</f>
        <v>250</v>
      </c>
      <c r="D177" s="1">
        <f>IFERROR(__xludf.DUMMYFUNCTION("""COMPUTED_VALUE"""),240.05)</f>
        <v>240.05</v>
      </c>
      <c r="E177" s="1">
        <f>IFERROR(__xludf.DUMMYFUNCTION("""COMPUTED_VALUE"""),240.9)</f>
        <v>240.9</v>
      </c>
      <c r="F177" s="1">
        <f>IFERROR(__xludf.DUMMYFUNCTION("""COMPUTED_VALUE"""),839593.0)</f>
        <v>839593</v>
      </c>
    </row>
    <row r="178">
      <c r="A178" s="2">
        <f>IFERROR(__xludf.DUMMYFUNCTION("""COMPUTED_VALUE"""),36784.645833333336)</f>
        <v>36784.64583</v>
      </c>
      <c r="B178" s="1">
        <f>IFERROR(__xludf.DUMMYFUNCTION("""COMPUTED_VALUE"""),242.5)</f>
        <v>242.5</v>
      </c>
      <c r="C178" s="1">
        <f>IFERROR(__xludf.DUMMYFUNCTION("""COMPUTED_VALUE"""),245.4)</f>
        <v>245.4</v>
      </c>
      <c r="D178" s="1">
        <f>IFERROR(__xludf.DUMMYFUNCTION("""COMPUTED_VALUE"""),240.1)</f>
        <v>240.1</v>
      </c>
      <c r="E178" s="1">
        <f>IFERROR(__xludf.DUMMYFUNCTION("""COMPUTED_VALUE"""),240.75)</f>
        <v>240.75</v>
      </c>
      <c r="F178" s="1">
        <f>IFERROR(__xludf.DUMMYFUNCTION("""COMPUTED_VALUE"""),621827.0)</f>
        <v>621827</v>
      </c>
    </row>
    <row r="179">
      <c r="A179" s="2">
        <f>IFERROR(__xludf.DUMMYFUNCTION("""COMPUTED_VALUE"""),36787.645833333336)</f>
        <v>36787.64583</v>
      </c>
      <c r="B179" s="1">
        <f>IFERROR(__xludf.DUMMYFUNCTION("""COMPUTED_VALUE"""),240.5)</f>
        <v>240.5</v>
      </c>
      <c r="C179" s="1">
        <f>IFERROR(__xludf.DUMMYFUNCTION("""COMPUTED_VALUE"""),240.5)</f>
        <v>240.5</v>
      </c>
      <c r="D179" s="1">
        <f>IFERROR(__xludf.DUMMYFUNCTION("""COMPUTED_VALUE"""),236.0)</f>
        <v>236</v>
      </c>
      <c r="E179" s="1">
        <f>IFERROR(__xludf.DUMMYFUNCTION("""COMPUTED_VALUE"""),237.6)</f>
        <v>237.6</v>
      </c>
      <c r="F179" s="1">
        <f>IFERROR(__xludf.DUMMYFUNCTION("""COMPUTED_VALUE"""),782444.0)</f>
        <v>782444</v>
      </c>
    </row>
    <row r="180">
      <c r="A180" s="2">
        <f>IFERROR(__xludf.DUMMYFUNCTION("""COMPUTED_VALUE"""),36788.645833333336)</f>
        <v>36788.64583</v>
      </c>
      <c r="B180" s="1">
        <f>IFERROR(__xludf.DUMMYFUNCTION("""COMPUTED_VALUE"""),236.05)</f>
        <v>236.05</v>
      </c>
      <c r="C180" s="1">
        <f>IFERROR(__xludf.DUMMYFUNCTION("""COMPUTED_VALUE"""),237.0)</f>
        <v>237</v>
      </c>
      <c r="D180" s="1">
        <f>IFERROR(__xludf.DUMMYFUNCTION("""COMPUTED_VALUE"""),230.15)</f>
        <v>230.15</v>
      </c>
      <c r="E180" s="1">
        <f>IFERROR(__xludf.DUMMYFUNCTION("""COMPUTED_VALUE"""),231.65)</f>
        <v>231.65</v>
      </c>
      <c r="F180" s="1">
        <f>IFERROR(__xludf.DUMMYFUNCTION("""COMPUTED_VALUE"""),1352592.0)</f>
        <v>1352592</v>
      </c>
    </row>
    <row r="181">
      <c r="A181" s="2">
        <f>IFERROR(__xludf.DUMMYFUNCTION("""COMPUTED_VALUE"""),36789.645833333336)</f>
        <v>36789.64583</v>
      </c>
      <c r="B181" s="1">
        <f>IFERROR(__xludf.DUMMYFUNCTION("""COMPUTED_VALUE"""),238.05)</f>
        <v>238.05</v>
      </c>
      <c r="C181" s="1">
        <f>IFERROR(__xludf.DUMMYFUNCTION("""COMPUTED_VALUE"""),239.5)</f>
        <v>239.5</v>
      </c>
      <c r="D181" s="1">
        <f>IFERROR(__xludf.DUMMYFUNCTION("""COMPUTED_VALUE"""),229.0)</f>
        <v>229</v>
      </c>
      <c r="E181" s="1">
        <f>IFERROR(__xludf.DUMMYFUNCTION("""COMPUTED_VALUE"""),229.75)</f>
        <v>229.75</v>
      </c>
      <c r="F181" s="1">
        <f>IFERROR(__xludf.DUMMYFUNCTION("""COMPUTED_VALUE"""),1152052.0)</f>
        <v>1152052</v>
      </c>
    </row>
    <row r="182">
      <c r="A182" s="2">
        <f>IFERROR(__xludf.DUMMYFUNCTION("""COMPUTED_VALUE"""),36790.645833333336)</f>
        <v>36790.64583</v>
      </c>
      <c r="B182" s="1">
        <f>IFERROR(__xludf.DUMMYFUNCTION("""COMPUTED_VALUE"""),231.1)</f>
        <v>231.1</v>
      </c>
      <c r="C182" s="1">
        <f>IFERROR(__xludf.DUMMYFUNCTION("""COMPUTED_VALUE"""),234.8)</f>
        <v>234.8</v>
      </c>
      <c r="D182" s="1">
        <f>IFERROR(__xludf.DUMMYFUNCTION("""COMPUTED_VALUE"""),227.0)</f>
        <v>227</v>
      </c>
      <c r="E182" s="1">
        <f>IFERROR(__xludf.DUMMYFUNCTION("""COMPUTED_VALUE"""),232.25)</f>
        <v>232.25</v>
      </c>
      <c r="F182" s="1">
        <f>IFERROR(__xludf.DUMMYFUNCTION("""COMPUTED_VALUE"""),491357.0)</f>
        <v>491357</v>
      </c>
    </row>
    <row r="183">
      <c r="A183" s="2">
        <f>IFERROR(__xludf.DUMMYFUNCTION("""COMPUTED_VALUE"""),36791.645833333336)</f>
        <v>36791.64583</v>
      </c>
      <c r="B183" s="1">
        <f>IFERROR(__xludf.DUMMYFUNCTION("""COMPUTED_VALUE"""),231.0)</f>
        <v>231</v>
      </c>
      <c r="C183" s="1">
        <f>IFERROR(__xludf.DUMMYFUNCTION("""COMPUTED_VALUE"""),232.0)</f>
        <v>232</v>
      </c>
      <c r="D183" s="1">
        <f>IFERROR(__xludf.DUMMYFUNCTION("""COMPUTED_VALUE"""),219.0)</f>
        <v>219</v>
      </c>
      <c r="E183" s="1">
        <f>IFERROR(__xludf.DUMMYFUNCTION("""COMPUTED_VALUE"""),222.65)</f>
        <v>222.65</v>
      </c>
      <c r="F183" s="1">
        <f>IFERROR(__xludf.DUMMYFUNCTION("""COMPUTED_VALUE"""),1074687.0)</f>
        <v>1074687</v>
      </c>
    </row>
    <row r="184">
      <c r="A184" s="2">
        <f>IFERROR(__xludf.DUMMYFUNCTION("""COMPUTED_VALUE"""),36794.645833333336)</f>
        <v>36794.64583</v>
      </c>
      <c r="B184" s="1">
        <f>IFERROR(__xludf.DUMMYFUNCTION("""COMPUTED_VALUE"""),225.0)</f>
        <v>225</v>
      </c>
      <c r="C184" s="1">
        <f>IFERROR(__xludf.DUMMYFUNCTION("""COMPUTED_VALUE"""),229.0)</f>
        <v>229</v>
      </c>
      <c r="D184" s="1">
        <f>IFERROR(__xludf.DUMMYFUNCTION("""COMPUTED_VALUE"""),206.25)</f>
        <v>206.25</v>
      </c>
      <c r="E184" s="1">
        <f>IFERROR(__xludf.DUMMYFUNCTION("""COMPUTED_VALUE"""),212.0)</f>
        <v>212</v>
      </c>
      <c r="F184" s="1">
        <f>IFERROR(__xludf.DUMMYFUNCTION("""COMPUTED_VALUE"""),2926676.0)</f>
        <v>2926676</v>
      </c>
    </row>
    <row r="185">
      <c r="A185" s="2">
        <f>IFERROR(__xludf.DUMMYFUNCTION("""COMPUTED_VALUE"""),36795.645833333336)</f>
        <v>36795.64583</v>
      </c>
      <c r="B185" s="1">
        <f>IFERROR(__xludf.DUMMYFUNCTION("""COMPUTED_VALUE"""),214.0)</f>
        <v>214</v>
      </c>
      <c r="C185" s="1">
        <f>IFERROR(__xludf.DUMMYFUNCTION("""COMPUTED_VALUE"""),217.9)</f>
        <v>217.9</v>
      </c>
      <c r="D185" s="1">
        <f>IFERROR(__xludf.DUMMYFUNCTION("""COMPUTED_VALUE"""),210.0)</f>
        <v>210</v>
      </c>
      <c r="E185" s="1">
        <f>IFERROR(__xludf.DUMMYFUNCTION("""COMPUTED_VALUE"""),210.95)</f>
        <v>210.95</v>
      </c>
      <c r="F185" s="1">
        <f>IFERROR(__xludf.DUMMYFUNCTION("""COMPUTED_VALUE"""),1636544.0)</f>
        <v>1636544</v>
      </c>
    </row>
    <row r="186">
      <c r="A186" s="2">
        <f>IFERROR(__xludf.DUMMYFUNCTION("""COMPUTED_VALUE"""),36796.645833333336)</f>
        <v>36796.64583</v>
      </c>
      <c r="B186" s="1">
        <f>IFERROR(__xludf.DUMMYFUNCTION("""COMPUTED_VALUE"""),210.1)</f>
        <v>210.1</v>
      </c>
      <c r="C186" s="1">
        <f>IFERROR(__xludf.DUMMYFUNCTION("""COMPUTED_VALUE"""),216.8)</f>
        <v>216.8</v>
      </c>
      <c r="D186" s="1">
        <f>IFERROR(__xludf.DUMMYFUNCTION("""COMPUTED_VALUE"""),208.5)</f>
        <v>208.5</v>
      </c>
      <c r="E186" s="1">
        <f>IFERROR(__xludf.DUMMYFUNCTION("""COMPUTED_VALUE"""),213.25)</f>
        <v>213.25</v>
      </c>
      <c r="F186" s="1">
        <f>IFERROR(__xludf.DUMMYFUNCTION("""COMPUTED_VALUE"""),2213025.0)</f>
        <v>2213025</v>
      </c>
    </row>
    <row r="187">
      <c r="A187" s="2">
        <f>IFERROR(__xludf.DUMMYFUNCTION("""COMPUTED_VALUE"""),36797.645833333336)</f>
        <v>36797.64583</v>
      </c>
      <c r="B187" s="1">
        <f>IFERROR(__xludf.DUMMYFUNCTION("""COMPUTED_VALUE"""),214.0)</f>
        <v>214</v>
      </c>
      <c r="C187" s="1">
        <f>IFERROR(__xludf.DUMMYFUNCTION("""COMPUTED_VALUE"""),215.9)</f>
        <v>215.9</v>
      </c>
      <c r="D187" s="1">
        <f>IFERROR(__xludf.DUMMYFUNCTION("""COMPUTED_VALUE"""),198.25)</f>
        <v>198.25</v>
      </c>
      <c r="E187" s="1">
        <f>IFERROR(__xludf.DUMMYFUNCTION("""COMPUTED_VALUE"""),200.4)</f>
        <v>200.4</v>
      </c>
      <c r="F187" s="1">
        <f>IFERROR(__xludf.DUMMYFUNCTION("""COMPUTED_VALUE"""),3762290.0)</f>
        <v>3762290</v>
      </c>
    </row>
    <row r="188">
      <c r="A188" s="2">
        <f>IFERROR(__xludf.DUMMYFUNCTION("""COMPUTED_VALUE"""),36798.645833333336)</f>
        <v>36798.64583</v>
      </c>
      <c r="B188" s="1">
        <f>IFERROR(__xludf.DUMMYFUNCTION("""COMPUTED_VALUE"""),201.0)</f>
        <v>201</v>
      </c>
      <c r="C188" s="1">
        <f>IFERROR(__xludf.DUMMYFUNCTION("""COMPUTED_VALUE"""),210.9)</f>
        <v>210.9</v>
      </c>
      <c r="D188" s="1">
        <f>IFERROR(__xludf.DUMMYFUNCTION("""COMPUTED_VALUE"""),200.5)</f>
        <v>200.5</v>
      </c>
      <c r="E188" s="1">
        <f>IFERROR(__xludf.DUMMYFUNCTION("""COMPUTED_VALUE"""),208.55)</f>
        <v>208.55</v>
      </c>
      <c r="F188" s="1">
        <f>IFERROR(__xludf.DUMMYFUNCTION("""COMPUTED_VALUE"""),4158881.0)</f>
        <v>4158881</v>
      </c>
    </row>
    <row r="189">
      <c r="A189" s="2">
        <f>IFERROR(__xludf.DUMMYFUNCTION("""COMPUTED_VALUE"""),36802.645833333336)</f>
        <v>36802.64583</v>
      </c>
      <c r="B189" s="1">
        <f>IFERROR(__xludf.DUMMYFUNCTION("""COMPUTED_VALUE"""),205.65)</f>
        <v>205.65</v>
      </c>
      <c r="C189" s="1">
        <f>IFERROR(__xludf.DUMMYFUNCTION("""COMPUTED_VALUE"""),212.9)</f>
        <v>212.9</v>
      </c>
      <c r="D189" s="1">
        <f>IFERROR(__xludf.DUMMYFUNCTION("""COMPUTED_VALUE"""),203.5)</f>
        <v>203.5</v>
      </c>
      <c r="E189" s="1">
        <f>IFERROR(__xludf.DUMMYFUNCTION("""COMPUTED_VALUE"""),211.75)</f>
        <v>211.75</v>
      </c>
      <c r="F189" s="1">
        <f>IFERROR(__xludf.DUMMYFUNCTION("""COMPUTED_VALUE"""),2269843.0)</f>
        <v>2269843</v>
      </c>
    </row>
    <row r="190">
      <c r="A190" s="2">
        <f>IFERROR(__xludf.DUMMYFUNCTION("""COMPUTED_VALUE"""),36803.645833333336)</f>
        <v>36803.64583</v>
      </c>
      <c r="B190" s="1">
        <f>IFERROR(__xludf.DUMMYFUNCTION("""COMPUTED_VALUE"""),211.0)</f>
        <v>211</v>
      </c>
      <c r="C190" s="1">
        <f>IFERROR(__xludf.DUMMYFUNCTION("""COMPUTED_VALUE"""),215.9)</f>
        <v>215.9</v>
      </c>
      <c r="D190" s="1">
        <f>IFERROR(__xludf.DUMMYFUNCTION("""COMPUTED_VALUE"""),209.5)</f>
        <v>209.5</v>
      </c>
      <c r="E190" s="1">
        <f>IFERROR(__xludf.DUMMYFUNCTION("""COMPUTED_VALUE"""),214.05)</f>
        <v>214.05</v>
      </c>
      <c r="F190" s="1">
        <f>IFERROR(__xludf.DUMMYFUNCTION("""COMPUTED_VALUE"""),897660.0)</f>
        <v>897660</v>
      </c>
    </row>
    <row r="191">
      <c r="A191" s="2">
        <f>IFERROR(__xludf.DUMMYFUNCTION("""COMPUTED_VALUE"""),36804.645833333336)</f>
        <v>36804.64583</v>
      </c>
      <c r="B191" s="1">
        <f>IFERROR(__xludf.DUMMYFUNCTION("""COMPUTED_VALUE"""),214.7)</f>
        <v>214.7</v>
      </c>
      <c r="C191" s="1">
        <f>IFERROR(__xludf.DUMMYFUNCTION("""COMPUTED_VALUE"""),219.4)</f>
        <v>219.4</v>
      </c>
      <c r="D191" s="1">
        <f>IFERROR(__xludf.DUMMYFUNCTION("""COMPUTED_VALUE"""),212.1)</f>
        <v>212.1</v>
      </c>
      <c r="E191" s="1">
        <f>IFERROR(__xludf.DUMMYFUNCTION("""COMPUTED_VALUE"""),214.9)</f>
        <v>214.9</v>
      </c>
      <c r="F191" s="1">
        <f>IFERROR(__xludf.DUMMYFUNCTION("""COMPUTED_VALUE"""),1895547.0)</f>
        <v>1895547</v>
      </c>
    </row>
    <row r="192">
      <c r="A192" s="2">
        <f>IFERROR(__xludf.DUMMYFUNCTION("""COMPUTED_VALUE"""),36805.645833333336)</f>
        <v>36805.64583</v>
      </c>
      <c r="B192" s="1">
        <f>IFERROR(__xludf.DUMMYFUNCTION("""COMPUTED_VALUE"""),214.5)</f>
        <v>214.5</v>
      </c>
      <c r="C192" s="1">
        <f>IFERROR(__xludf.DUMMYFUNCTION("""COMPUTED_VALUE"""),216.75)</f>
        <v>216.75</v>
      </c>
      <c r="D192" s="1">
        <f>IFERROR(__xludf.DUMMYFUNCTION("""COMPUTED_VALUE"""),213.0)</f>
        <v>213</v>
      </c>
      <c r="E192" s="1">
        <f>IFERROR(__xludf.DUMMYFUNCTION("""COMPUTED_VALUE"""),213.85)</f>
        <v>213.85</v>
      </c>
      <c r="F192" s="1">
        <f>IFERROR(__xludf.DUMMYFUNCTION("""COMPUTED_VALUE"""),843929.0)</f>
        <v>843929</v>
      </c>
    </row>
    <row r="193">
      <c r="A193" s="2">
        <f>IFERROR(__xludf.DUMMYFUNCTION("""COMPUTED_VALUE"""),36808.645833333336)</f>
        <v>36808.64583</v>
      </c>
      <c r="B193" s="1">
        <f>IFERROR(__xludf.DUMMYFUNCTION("""COMPUTED_VALUE"""),214.5)</f>
        <v>214.5</v>
      </c>
      <c r="C193" s="1">
        <f>IFERROR(__xludf.DUMMYFUNCTION("""COMPUTED_VALUE"""),215.45)</f>
        <v>215.45</v>
      </c>
      <c r="D193" s="1">
        <f>IFERROR(__xludf.DUMMYFUNCTION("""COMPUTED_VALUE"""),204.55)</f>
        <v>204.55</v>
      </c>
      <c r="E193" s="1">
        <f>IFERROR(__xludf.DUMMYFUNCTION("""COMPUTED_VALUE"""),206.0)</f>
        <v>206</v>
      </c>
      <c r="F193" s="1">
        <f>IFERROR(__xludf.DUMMYFUNCTION("""COMPUTED_VALUE"""),1530071.0)</f>
        <v>1530071</v>
      </c>
    </row>
    <row r="194">
      <c r="A194" s="2">
        <f>IFERROR(__xludf.DUMMYFUNCTION("""COMPUTED_VALUE"""),36809.645833333336)</f>
        <v>36809.64583</v>
      </c>
      <c r="B194" s="1">
        <f>IFERROR(__xludf.DUMMYFUNCTION("""COMPUTED_VALUE"""),204.1)</f>
        <v>204.1</v>
      </c>
      <c r="C194" s="1">
        <f>IFERROR(__xludf.DUMMYFUNCTION("""COMPUTED_VALUE"""),205.9)</f>
        <v>205.9</v>
      </c>
      <c r="D194" s="1">
        <f>IFERROR(__xludf.DUMMYFUNCTION("""COMPUTED_VALUE"""),189.1)</f>
        <v>189.1</v>
      </c>
      <c r="E194" s="1">
        <f>IFERROR(__xludf.DUMMYFUNCTION("""COMPUTED_VALUE"""),191.3)</f>
        <v>191.3</v>
      </c>
      <c r="F194" s="1">
        <f>IFERROR(__xludf.DUMMYFUNCTION("""COMPUTED_VALUE"""),2794925.0)</f>
        <v>2794925</v>
      </c>
    </row>
    <row r="195">
      <c r="A195" s="2">
        <f>IFERROR(__xludf.DUMMYFUNCTION("""COMPUTED_VALUE"""),36810.645833333336)</f>
        <v>36810.64583</v>
      </c>
      <c r="B195" s="1">
        <f>IFERROR(__xludf.DUMMYFUNCTION("""COMPUTED_VALUE"""),188.8)</f>
        <v>188.8</v>
      </c>
      <c r="C195" s="1">
        <f>IFERROR(__xludf.DUMMYFUNCTION("""COMPUTED_VALUE"""),192.5)</f>
        <v>192.5</v>
      </c>
      <c r="D195" s="1">
        <f>IFERROR(__xludf.DUMMYFUNCTION("""COMPUTED_VALUE"""),185.25)</f>
        <v>185.25</v>
      </c>
      <c r="E195" s="1">
        <f>IFERROR(__xludf.DUMMYFUNCTION("""COMPUTED_VALUE"""),189.7)</f>
        <v>189.7</v>
      </c>
      <c r="F195" s="1">
        <f>IFERROR(__xludf.DUMMYFUNCTION("""COMPUTED_VALUE"""),1718456.0)</f>
        <v>1718456</v>
      </c>
    </row>
    <row r="196">
      <c r="A196" s="2">
        <f>IFERROR(__xludf.DUMMYFUNCTION("""COMPUTED_VALUE"""),36811.645833333336)</f>
        <v>36811.64583</v>
      </c>
      <c r="B196" s="1">
        <f>IFERROR(__xludf.DUMMYFUNCTION("""COMPUTED_VALUE"""),188.45)</f>
        <v>188.45</v>
      </c>
      <c r="C196" s="1">
        <f>IFERROR(__xludf.DUMMYFUNCTION("""COMPUTED_VALUE"""),194.1)</f>
        <v>194.1</v>
      </c>
      <c r="D196" s="1">
        <f>IFERROR(__xludf.DUMMYFUNCTION("""COMPUTED_VALUE"""),187.05)</f>
        <v>187.05</v>
      </c>
      <c r="E196" s="1">
        <f>IFERROR(__xludf.DUMMYFUNCTION("""COMPUTED_VALUE"""),192.5)</f>
        <v>192.5</v>
      </c>
      <c r="F196" s="1">
        <f>IFERROR(__xludf.DUMMYFUNCTION("""COMPUTED_VALUE"""),1730751.0)</f>
        <v>1730751</v>
      </c>
    </row>
    <row r="197">
      <c r="A197" s="2">
        <f>IFERROR(__xludf.DUMMYFUNCTION("""COMPUTED_VALUE"""),36812.645833333336)</f>
        <v>36812.64583</v>
      </c>
      <c r="B197" s="1">
        <f>IFERROR(__xludf.DUMMYFUNCTION("""COMPUTED_VALUE"""),190.05)</f>
        <v>190.05</v>
      </c>
      <c r="C197" s="1">
        <f>IFERROR(__xludf.DUMMYFUNCTION("""COMPUTED_VALUE"""),190.8)</f>
        <v>190.8</v>
      </c>
      <c r="D197" s="1">
        <f>IFERROR(__xludf.DUMMYFUNCTION("""COMPUTED_VALUE"""),184.0)</f>
        <v>184</v>
      </c>
      <c r="E197" s="1">
        <f>IFERROR(__xludf.DUMMYFUNCTION("""COMPUTED_VALUE"""),185.0)</f>
        <v>185</v>
      </c>
      <c r="F197" s="1">
        <f>IFERROR(__xludf.DUMMYFUNCTION("""COMPUTED_VALUE"""),3011644.0)</f>
        <v>3011644</v>
      </c>
    </row>
    <row r="198">
      <c r="A198" s="2">
        <f>IFERROR(__xludf.DUMMYFUNCTION("""COMPUTED_VALUE"""),36815.645833333336)</f>
        <v>36815.64583</v>
      </c>
      <c r="B198" s="1">
        <f>IFERROR(__xludf.DUMMYFUNCTION("""COMPUTED_VALUE"""),189.0)</f>
        <v>189</v>
      </c>
      <c r="C198" s="1">
        <f>IFERROR(__xludf.DUMMYFUNCTION("""COMPUTED_VALUE"""),193.0)</f>
        <v>193</v>
      </c>
      <c r="D198" s="1">
        <f>IFERROR(__xludf.DUMMYFUNCTION("""COMPUTED_VALUE"""),171.55)</f>
        <v>171.55</v>
      </c>
      <c r="E198" s="1">
        <f>IFERROR(__xludf.DUMMYFUNCTION("""COMPUTED_VALUE"""),172.9)</f>
        <v>172.9</v>
      </c>
      <c r="F198" s="1">
        <f>IFERROR(__xludf.DUMMYFUNCTION("""COMPUTED_VALUE"""),3933311.0)</f>
        <v>3933311</v>
      </c>
    </row>
    <row r="199">
      <c r="A199" s="2">
        <f>IFERROR(__xludf.DUMMYFUNCTION("""COMPUTED_VALUE"""),36816.645833333336)</f>
        <v>36816.64583</v>
      </c>
      <c r="B199" s="1">
        <f>IFERROR(__xludf.DUMMYFUNCTION("""COMPUTED_VALUE"""),172.1)</f>
        <v>172.1</v>
      </c>
      <c r="C199" s="1">
        <f>IFERROR(__xludf.DUMMYFUNCTION("""COMPUTED_VALUE"""),177.05)</f>
        <v>177.05</v>
      </c>
      <c r="D199" s="1">
        <f>IFERROR(__xludf.DUMMYFUNCTION("""COMPUTED_VALUE"""),169.05)</f>
        <v>169.05</v>
      </c>
      <c r="E199" s="1">
        <f>IFERROR(__xludf.DUMMYFUNCTION("""COMPUTED_VALUE"""),172.35)</f>
        <v>172.35</v>
      </c>
      <c r="F199" s="1">
        <f>IFERROR(__xludf.DUMMYFUNCTION("""COMPUTED_VALUE"""),3113636.0)</f>
        <v>3113636</v>
      </c>
    </row>
    <row r="200">
      <c r="A200" s="2">
        <f>IFERROR(__xludf.DUMMYFUNCTION("""COMPUTED_VALUE"""),36817.645833333336)</f>
        <v>36817.64583</v>
      </c>
      <c r="B200" s="1">
        <f>IFERROR(__xludf.DUMMYFUNCTION("""COMPUTED_VALUE"""),171.0)</f>
        <v>171</v>
      </c>
      <c r="C200" s="1">
        <f>IFERROR(__xludf.DUMMYFUNCTION("""COMPUTED_VALUE"""),174.0)</f>
        <v>174</v>
      </c>
      <c r="D200" s="1">
        <f>IFERROR(__xludf.DUMMYFUNCTION("""COMPUTED_VALUE"""),169.0)</f>
        <v>169</v>
      </c>
      <c r="E200" s="1">
        <f>IFERROR(__xludf.DUMMYFUNCTION("""COMPUTED_VALUE"""),172.1)</f>
        <v>172.1</v>
      </c>
      <c r="F200" s="1">
        <f>IFERROR(__xludf.DUMMYFUNCTION("""COMPUTED_VALUE"""),1609100.0)</f>
        <v>1609100</v>
      </c>
    </row>
    <row r="201">
      <c r="A201" s="2">
        <f>IFERROR(__xludf.DUMMYFUNCTION("""COMPUTED_VALUE"""),36818.645833333336)</f>
        <v>36818.64583</v>
      </c>
      <c r="B201" s="1">
        <f>IFERROR(__xludf.DUMMYFUNCTION("""COMPUTED_VALUE"""),171.35)</f>
        <v>171.35</v>
      </c>
      <c r="C201" s="1">
        <f>IFERROR(__xludf.DUMMYFUNCTION("""COMPUTED_VALUE"""),179.0)</f>
        <v>179</v>
      </c>
      <c r="D201" s="1">
        <f>IFERROR(__xludf.DUMMYFUNCTION("""COMPUTED_VALUE"""),163.0)</f>
        <v>163</v>
      </c>
      <c r="E201" s="1">
        <f>IFERROR(__xludf.DUMMYFUNCTION("""COMPUTED_VALUE"""),177.35)</f>
        <v>177.35</v>
      </c>
      <c r="F201" s="1">
        <f>IFERROR(__xludf.DUMMYFUNCTION("""COMPUTED_VALUE"""),2658691.0)</f>
        <v>2658691</v>
      </c>
    </row>
    <row r="202">
      <c r="A202" s="2">
        <f>IFERROR(__xludf.DUMMYFUNCTION("""COMPUTED_VALUE"""),36819.645833333336)</f>
        <v>36819.64583</v>
      </c>
      <c r="B202" s="1">
        <f>IFERROR(__xludf.DUMMYFUNCTION("""COMPUTED_VALUE"""),179.8)</f>
        <v>179.8</v>
      </c>
      <c r="C202" s="1">
        <f>IFERROR(__xludf.DUMMYFUNCTION("""COMPUTED_VALUE"""),183.95)</f>
        <v>183.95</v>
      </c>
      <c r="D202" s="1">
        <f>IFERROR(__xludf.DUMMYFUNCTION("""COMPUTED_VALUE"""),173.7)</f>
        <v>173.7</v>
      </c>
      <c r="E202" s="1">
        <f>IFERROR(__xludf.DUMMYFUNCTION("""COMPUTED_VALUE"""),174.7)</f>
        <v>174.7</v>
      </c>
      <c r="F202" s="1">
        <f>IFERROR(__xludf.DUMMYFUNCTION("""COMPUTED_VALUE"""),1342766.0)</f>
        <v>1342766</v>
      </c>
    </row>
    <row r="203">
      <c r="A203" s="2">
        <f>IFERROR(__xludf.DUMMYFUNCTION("""COMPUTED_VALUE"""),36822.645833333336)</f>
        <v>36822.64583</v>
      </c>
      <c r="B203" s="1">
        <f>IFERROR(__xludf.DUMMYFUNCTION("""COMPUTED_VALUE"""),175.0)</f>
        <v>175</v>
      </c>
      <c r="C203" s="1">
        <f>IFERROR(__xludf.DUMMYFUNCTION("""COMPUTED_VALUE"""),175.0)</f>
        <v>175</v>
      </c>
      <c r="D203" s="1">
        <f>IFERROR(__xludf.DUMMYFUNCTION("""COMPUTED_VALUE"""),168.5)</f>
        <v>168.5</v>
      </c>
      <c r="E203" s="1">
        <f>IFERROR(__xludf.DUMMYFUNCTION("""COMPUTED_VALUE"""),170.4)</f>
        <v>170.4</v>
      </c>
      <c r="F203" s="1">
        <f>IFERROR(__xludf.DUMMYFUNCTION("""COMPUTED_VALUE"""),843880.0)</f>
        <v>843880</v>
      </c>
    </row>
    <row r="204">
      <c r="A204" s="2">
        <f>IFERROR(__xludf.DUMMYFUNCTION("""COMPUTED_VALUE"""),36823.645833333336)</f>
        <v>36823.64583</v>
      </c>
      <c r="B204" s="1">
        <f>IFERROR(__xludf.DUMMYFUNCTION("""COMPUTED_VALUE"""),171.75)</f>
        <v>171.75</v>
      </c>
      <c r="C204" s="1">
        <f>IFERROR(__xludf.DUMMYFUNCTION("""COMPUTED_VALUE"""),171.75)</f>
        <v>171.75</v>
      </c>
      <c r="D204" s="1">
        <f>IFERROR(__xludf.DUMMYFUNCTION("""COMPUTED_VALUE"""),166.5)</f>
        <v>166.5</v>
      </c>
      <c r="E204" s="1">
        <f>IFERROR(__xludf.DUMMYFUNCTION("""COMPUTED_VALUE"""),168.8)</f>
        <v>168.8</v>
      </c>
      <c r="F204" s="1">
        <f>IFERROR(__xludf.DUMMYFUNCTION("""COMPUTED_VALUE"""),1089320.0)</f>
        <v>1089320</v>
      </c>
    </row>
    <row r="205">
      <c r="A205" s="2">
        <f>IFERROR(__xludf.DUMMYFUNCTION("""COMPUTED_VALUE"""),36824.645833333336)</f>
        <v>36824.64583</v>
      </c>
      <c r="B205" s="1">
        <f>IFERROR(__xludf.DUMMYFUNCTION("""COMPUTED_VALUE"""),170.0)</f>
        <v>170</v>
      </c>
      <c r="C205" s="1">
        <f>IFERROR(__xludf.DUMMYFUNCTION("""COMPUTED_VALUE"""),175.4)</f>
        <v>175.4</v>
      </c>
      <c r="D205" s="1">
        <f>IFERROR(__xludf.DUMMYFUNCTION("""COMPUTED_VALUE"""),168.1)</f>
        <v>168.1</v>
      </c>
      <c r="E205" s="1">
        <f>IFERROR(__xludf.DUMMYFUNCTION("""COMPUTED_VALUE"""),173.65)</f>
        <v>173.65</v>
      </c>
      <c r="F205" s="1">
        <f>IFERROR(__xludf.DUMMYFUNCTION("""COMPUTED_VALUE"""),1620355.0)</f>
        <v>1620355</v>
      </c>
    </row>
    <row r="206">
      <c r="A206" s="2">
        <f>IFERROR(__xludf.DUMMYFUNCTION("""COMPUTED_VALUE"""),36825.645833333336)</f>
        <v>36825.64583</v>
      </c>
      <c r="B206" s="1">
        <f>IFERROR(__xludf.DUMMYFUNCTION("""COMPUTED_VALUE"""),175.0)</f>
        <v>175</v>
      </c>
      <c r="C206" s="1">
        <f>IFERROR(__xludf.DUMMYFUNCTION("""COMPUTED_VALUE"""),175.8)</f>
        <v>175.8</v>
      </c>
      <c r="D206" s="1">
        <f>IFERROR(__xludf.DUMMYFUNCTION("""COMPUTED_VALUE"""),171.65)</f>
        <v>171.65</v>
      </c>
      <c r="E206" s="1">
        <f>IFERROR(__xludf.DUMMYFUNCTION("""COMPUTED_VALUE"""),174.05)</f>
        <v>174.05</v>
      </c>
      <c r="F206" s="1">
        <f>IFERROR(__xludf.DUMMYFUNCTION("""COMPUTED_VALUE"""),247411.0)</f>
        <v>247411</v>
      </c>
    </row>
    <row r="207">
      <c r="A207" s="2">
        <f>IFERROR(__xludf.DUMMYFUNCTION("""COMPUTED_VALUE"""),36826.645833333336)</f>
        <v>36826.64583</v>
      </c>
      <c r="B207" s="1">
        <f>IFERROR(__xludf.DUMMYFUNCTION("""COMPUTED_VALUE"""),174.45)</f>
        <v>174.45</v>
      </c>
      <c r="C207" s="1">
        <f>IFERROR(__xludf.DUMMYFUNCTION("""COMPUTED_VALUE"""),175.2)</f>
        <v>175.2</v>
      </c>
      <c r="D207" s="1">
        <f>IFERROR(__xludf.DUMMYFUNCTION("""COMPUTED_VALUE"""),168.0)</f>
        <v>168</v>
      </c>
      <c r="E207" s="1">
        <f>IFERROR(__xludf.DUMMYFUNCTION("""COMPUTED_VALUE"""),169.0)</f>
        <v>169</v>
      </c>
      <c r="F207" s="1">
        <f>IFERROR(__xludf.DUMMYFUNCTION("""COMPUTED_VALUE"""),1028846.0)</f>
        <v>1028846</v>
      </c>
    </row>
    <row r="208">
      <c r="A208" s="2">
        <f>IFERROR(__xludf.DUMMYFUNCTION("""COMPUTED_VALUE"""),36829.645833333336)</f>
        <v>36829.64583</v>
      </c>
      <c r="B208" s="1">
        <f>IFERROR(__xludf.DUMMYFUNCTION("""COMPUTED_VALUE"""),169.9)</f>
        <v>169.9</v>
      </c>
      <c r="C208" s="1">
        <f>IFERROR(__xludf.DUMMYFUNCTION("""COMPUTED_VALUE"""),174.8)</f>
        <v>174.8</v>
      </c>
      <c r="D208" s="1">
        <f>IFERROR(__xludf.DUMMYFUNCTION("""COMPUTED_VALUE"""),168.5)</f>
        <v>168.5</v>
      </c>
      <c r="E208" s="1">
        <f>IFERROR(__xludf.DUMMYFUNCTION("""COMPUTED_VALUE"""),173.55)</f>
        <v>173.55</v>
      </c>
      <c r="F208" s="1">
        <f>IFERROR(__xludf.DUMMYFUNCTION("""COMPUTED_VALUE"""),1084728.0)</f>
        <v>1084728</v>
      </c>
    </row>
    <row r="209">
      <c r="A209" s="2">
        <f>IFERROR(__xludf.DUMMYFUNCTION("""COMPUTED_VALUE"""),36830.645833333336)</f>
        <v>36830.64583</v>
      </c>
      <c r="B209" s="1">
        <f>IFERROR(__xludf.DUMMYFUNCTION("""COMPUTED_VALUE"""),173.1)</f>
        <v>173.1</v>
      </c>
      <c r="C209" s="1">
        <f>IFERROR(__xludf.DUMMYFUNCTION("""COMPUTED_VALUE"""),180.4)</f>
        <v>180.4</v>
      </c>
      <c r="D209" s="1">
        <f>IFERROR(__xludf.DUMMYFUNCTION("""COMPUTED_VALUE"""),173.1)</f>
        <v>173.1</v>
      </c>
      <c r="E209" s="1">
        <f>IFERROR(__xludf.DUMMYFUNCTION("""COMPUTED_VALUE"""),177.9)</f>
        <v>177.9</v>
      </c>
      <c r="F209" s="1">
        <f>IFERROR(__xludf.DUMMYFUNCTION("""COMPUTED_VALUE"""),2008856.0)</f>
        <v>2008856</v>
      </c>
    </row>
    <row r="210">
      <c r="A210" s="2">
        <f>IFERROR(__xludf.DUMMYFUNCTION("""COMPUTED_VALUE"""),36831.645833333336)</f>
        <v>36831.64583</v>
      </c>
      <c r="B210" s="1">
        <f>IFERROR(__xludf.DUMMYFUNCTION("""COMPUTED_VALUE"""),176.4)</f>
        <v>176.4</v>
      </c>
      <c r="C210" s="1">
        <f>IFERROR(__xludf.DUMMYFUNCTION("""COMPUTED_VALUE"""),183.0)</f>
        <v>183</v>
      </c>
      <c r="D210" s="1">
        <f>IFERROR(__xludf.DUMMYFUNCTION("""COMPUTED_VALUE"""),176.4)</f>
        <v>176.4</v>
      </c>
      <c r="E210" s="1">
        <f>IFERROR(__xludf.DUMMYFUNCTION("""COMPUTED_VALUE"""),181.35)</f>
        <v>181.35</v>
      </c>
      <c r="F210" s="1">
        <f>IFERROR(__xludf.DUMMYFUNCTION("""COMPUTED_VALUE"""),1416616.0)</f>
        <v>1416616</v>
      </c>
    </row>
    <row r="211">
      <c r="A211" s="2">
        <f>IFERROR(__xludf.DUMMYFUNCTION("""COMPUTED_VALUE"""),36832.645833333336)</f>
        <v>36832.64583</v>
      </c>
      <c r="B211" s="1">
        <f>IFERROR(__xludf.DUMMYFUNCTION("""COMPUTED_VALUE"""),182.5)</f>
        <v>182.5</v>
      </c>
      <c r="C211" s="1">
        <f>IFERROR(__xludf.DUMMYFUNCTION("""COMPUTED_VALUE"""),183.9)</f>
        <v>183.9</v>
      </c>
      <c r="D211" s="1">
        <f>IFERROR(__xludf.DUMMYFUNCTION("""COMPUTED_VALUE"""),180.0)</f>
        <v>180</v>
      </c>
      <c r="E211" s="1">
        <f>IFERROR(__xludf.DUMMYFUNCTION("""COMPUTED_VALUE"""),182.05)</f>
        <v>182.05</v>
      </c>
      <c r="F211" s="1">
        <f>IFERROR(__xludf.DUMMYFUNCTION("""COMPUTED_VALUE"""),929129.0)</f>
        <v>929129</v>
      </c>
    </row>
    <row r="212">
      <c r="A212" s="2">
        <f>IFERROR(__xludf.DUMMYFUNCTION("""COMPUTED_VALUE"""),36833.645833333336)</f>
        <v>36833.64583</v>
      </c>
      <c r="B212" s="1">
        <f>IFERROR(__xludf.DUMMYFUNCTION("""COMPUTED_VALUE"""),183.0)</f>
        <v>183</v>
      </c>
      <c r="C212" s="1">
        <f>IFERROR(__xludf.DUMMYFUNCTION("""COMPUTED_VALUE"""),188.15)</f>
        <v>188.15</v>
      </c>
      <c r="D212" s="1">
        <f>IFERROR(__xludf.DUMMYFUNCTION("""COMPUTED_VALUE"""),181.6)</f>
        <v>181.6</v>
      </c>
      <c r="E212" s="1">
        <f>IFERROR(__xludf.DUMMYFUNCTION("""COMPUTED_VALUE"""),184.35)</f>
        <v>184.35</v>
      </c>
      <c r="F212" s="1">
        <f>IFERROR(__xludf.DUMMYFUNCTION("""COMPUTED_VALUE"""),1317022.0)</f>
        <v>1317022</v>
      </c>
    </row>
    <row r="213">
      <c r="A213" s="2">
        <f>IFERROR(__xludf.DUMMYFUNCTION("""COMPUTED_VALUE"""),36836.645833333336)</f>
        <v>36836.64583</v>
      </c>
      <c r="B213" s="1">
        <f>IFERROR(__xludf.DUMMYFUNCTION("""COMPUTED_VALUE"""),184.0)</f>
        <v>184</v>
      </c>
      <c r="C213" s="1">
        <f>IFERROR(__xludf.DUMMYFUNCTION("""COMPUTED_VALUE"""),187.0)</f>
        <v>187</v>
      </c>
      <c r="D213" s="1">
        <f>IFERROR(__xludf.DUMMYFUNCTION("""COMPUTED_VALUE"""),175.0)</f>
        <v>175</v>
      </c>
      <c r="E213" s="1">
        <f>IFERROR(__xludf.DUMMYFUNCTION("""COMPUTED_VALUE"""),176.65)</f>
        <v>176.65</v>
      </c>
      <c r="F213" s="1">
        <f>IFERROR(__xludf.DUMMYFUNCTION("""COMPUTED_VALUE"""),1516291.0)</f>
        <v>1516291</v>
      </c>
    </row>
    <row r="214">
      <c r="A214" s="2">
        <f>IFERROR(__xludf.DUMMYFUNCTION("""COMPUTED_VALUE"""),36837.645833333336)</f>
        <v>36837.64583</v>
      </c>
      <c r="B214" s="1">
        <f>IFERROR(__xludf.DUMMYFUNCTION("""COMPUTED_VALUE"""),178.0)</f>
        <v>178</v>
      </c>
      <c r="C214" s="1">
        <f>IFERROR(__xludf.DUMMYFUNCTION("""COMPUTED_VALUE"""),180.7)</f>
        <v>180.7</v>
      </c>
      <c r="D214" s="1">
        <f>IFERROR(__xludf.DUMMYFUNCTION("""COMPUTED_VALUE"""),176.0)</f>
        <v>176</v>
      </c>
      <c r="E214" s="1">
        <f>IFERROR(__xludf.DUMMYFUNCTION("""COMPUTED_VALUE"""),179.45)</f>
        <v>179.45</v>
      </c>
      <c r="F214" s="1">
        <f>IFERROR(__xludf.DUMMYFUNCTION("""COMPUTED_VALUE"""),882555.0)</f>
        <v>882555</v>
      </c>
    </row>
    <row r="215">
      <c r="A215" s="2">
        <f>IFERROR(__xludf.DUMMYFUNCTION("""COMPUTED_VALUE"""),36838.645833333336)</f>
        <v>36838.64583</v>
      </c>
      <c r="B215" s="1">
        <f>IFERROR(__xludf.DUMMYFUNCTION("""COMPUTED_VALUE"""),180.75)</f>
        <v>180.75</v>
      </c>
      <c r="C215" s="1">
        <f>IFERROR(__xludf.DUMMYFUNCTION("""COMPUTED_VALUE"""),189.0)</f>
        <v>189</v>
      </c>
      <c r="D215" s="1">
        <f>IFERROR(__xludf.DUMMYFUNCTION("""COMPUTED_VALUE"""),180.0)</f>
        <v>180</v>
      </c>
      <c r="E215" s="1">
        <f>IFERROR(__xludf.DUMMYFUNCTION("""COMPUTED_VALUE"""),186.5)</f>
        <v>186.5</v>
      </c>
      <c r="F215" s="1">
        <f>IFERROR(__xludf.DUMMYFUNCTION("""COMPUTED_VALUE"""),1557660.0)</f>
        <v>1557660</v>
      </c>
    </row>
    <row r="216">
      <c r="A216" s="2">
        <f>IFERROR(__xludf.DUMMYFUNCTION("""COMPUTED_VALUE"""),36839.645833333336)</f>
        <v>36839.64583</v>
      </c>
      <c r="B216" s="1">
        <f>IFERROR(__xludf.DUMMYFUNCTION("""COMPUTED_VALUE"""),185.55)</f>
        <v>185.55</v>
      </c>
      <c r="C216" s="1">
        <f>IFERROR(__xludf.DUMMYFUNCTION("""COMPUTED_VALUE"""),193.0)</f>
        <v>193</v>
      </c>
      <c r="D216" s="1">
        <f>IFERROR(__xludf.DUMMYFUNCTION("""COMPUTED_VALUE"""),184.35)</f>
        <v>184.35</v>
      </c>
      <c r="E216" s="1">
        <f>IFERROR(__xludf.DUMMYFUNCTION("""COMPUTED_VALUE"""),191.1)</f>
        <v>191.1</v>
      </c>
      <c r="F216" s="1">
        <f>IFERROR(__xludf.DUMMYFUNCTION("""COMPUTED_VALUE"""),1867478.0)</f>
        <v>1867478</v>
      </c>
    </row>
    <row r="217">
      <c r="A217" s="2">
        <f>IFERROR(__xludf.DUMMYFUNCTION("""COMPUTED_VALUE"""),36840.645833333336)</f>
        <v>36840.64583</v>
      </c>
      <c r="B217" s="1">
        <f>IFERROR(__xludf.DUMMYFUNCTION("""COMPUTED_VALUE"""),192.8)</f>
        <v>192.8</v>
      </c>
      <c r="C217" s="1">
        <f>IFERROR(__xludf.DUMMYFUNCTION("""COMPUTED_VALUE"""),193.3)</f>
        <v>193.3</v>
      </c>
      <c r="D217" s="1">
        <f>IFERROR(__xludf.DUMMYFUNCTION("""COMPUTED_VALUE"""),186.05)</f>
        <v>186.05</v>
      </c>
      <c r="E217" s="1">
        <f>IFERROR(__xludf.DUMMYFUNCTION("""COMPUTED_VALUE"""),186.4)</f>
        <v>186.4</v>
      </c>
      <c r="F217" s="1">
        <f>IFERROR(__xludf.DUMMYFUNCTION("""COMPUTED_VALUE"""),1077707.0)</f>
        <v>1077707</v>
      </c>
    </row>
    <row r="218">
      <c r="A218" s="2">
        <f>IFERROR(__xludf.DUMMYFUNCTION("""COMPUTED_VALUE"""),36843.645833333336)</f>
        <v>36843.64583</v>
      </c>
      <c r="B218" s="1">
        <f>IFERROR(__xludf.DUMMYFUNCTION("""COMPUTED_VALUE"""),185.05)</f>
        <v>185.05</v>
      </c>
      <c r="C218" s="1">
        <f>IFERROR(__xludf.DUMMYFUNCTION("""COMPUTED_VALUE"""),185.9)</f>
        <v>185.9</v>
      </c>
      <c r="D218" s="1">
        <f>IFERROR(__xludf.DUMMYFUNCTION("""COMPUTED_VALUE"""),180.2)</f>
        <v>180.2</v>
      </c>
      <c r="E218" s="1">
        <f>IFERROR(__xludf.DUMMYFUNCTION("""COMPUTED_VALUE"""),184.75)</f>
        <v>184.75</v>
      </c>
      <c r="F218" s="1">
        <f>IFERROR(__xludf.DUMMYFUNCTION("""COMPUTED_VALUE"""),879239.0)</f>
        <v>879239</v>
      </c>
    </row>
    <row r="219">
      <c r="A219" s="2">
        <f>IFERROR(__xludf.DUMMYFUNCTION("""COMPUTED_VALUE"""),36844.645833333336)</f>
        <v>36844.64583</v>
      </c>
      <c r="B219" s="1">
        <f>IFERROR(__xludf.DUMMYFUNCTION("""COMPUTED_VALUE"""),184.15)</f>
        <v>184.15</v>
      </c>
      <c r="C219" s="1">
        <f>IFERROR(__xludf.DUMMYFUNCTION("""COMPUTED_VALUE"""),187.85)</f>
        <v>187.85</v>
      </c>
      <c r="D219" s="1">
        <f>IFERROR(__xludf.DUMMYFUNCTION("""COMPUTED_VALUE"""),184.0)</f>
        <v>184</v>
      </c>
      <c r="E219" s="1">
        <f>IFERROR(__xludf.DUMMYFUNCTION("""COMPUTED_VALUE"""),186.45)</f>
        <v>186.45</v>
      </c>
      <c r="F219" s="1">
        <f>IFERROR(__xludf.DUMMYFUNCTION("""COMPUTED_VALUE"""),772065.0)</f>
        <v>772065</v>
      </c>
    </row>
    <row r="220">
      <c r="A220" s="2">
        <f>IFERROR(__xludf.DUMMYFUNCTION("""COMPUTED_VALUE"""),36845.645833333336)</f>
        <v>36845.64583</v>
      </c>
      <c r="B220" s="1">
        <f>IFERROR(__xludf.DUMMYFUNCTION("""COMPUTED_VALUE"""),187.8)</f>
        <v>187.8</v>
      </c>
      <c r="C220" s="1">
        <f>IFERROR(__xludf.DUMMYFUNCTION("""COMPUTED_VALUE"""),191.75)</f>
        <v>191.75</v>
      </c>
      <c r="D220" s="1">
        <f>IFERROR(__xludf.DUMMYFUNCTION("""COMPUTED_VALUE"""),187.55)</f>
        <v>187.55</v>
      </c>
      <c r="E220" s="1">
        <f>IFERROR(__xludf.DUMMYFUNCTION("""COMPUTED_VALUE"""),188.55)</f>
        <v>188.55</v>
      </c>
      <c r="F220" s="1">
        <f>IFERROR(__xludf.DUMMYFUNCTION("""COMPUTED_VALUE"""),787743.0)</f>
        <v>787743</v>
      </c>
    </row>
    <row r="221">
      <c r="A221" s="2">
        <f>IFERROR(__xludf.DUMMYFUNCTION("""COMPUTED_VALUE"""),36846.645833333336)</f>
        <v>36846.64583</v>
      </c>
      <c r="B221" s="1">
        <f>IFERROR(__xludf.DUMMYFUNCTION("""COMPUTED_VALUE"""),188.0)</f>
        <v>188</v>
      </c>
      <c r="C221" s="1">
        <f>IFERROR(__xludf.DUMMYFUNCTION("""COMPUTED_VALUE"""),188.8)</f>
        <v>188.8</v>
      </c>
      <c r="D221" s="1">
        <f>IFERROR(__xludf.DUMMYFUNCTION("""COMPUTED_VALUE"""),181.2)</f>
        <v>181.2</v>
      </c>
      <c r="E221" s="1">
        <f>IFERROR(__xludf.DUMMYFUNCTION("""COMPUTED_VALUE"""),182.5)</f>
        <v>182.5</v>
      </c>
      <c r="F221" s="1">
        <f>IFERROR(__xludf.DUMMYFUNCTION("""COMPUTED_VALUE"""),2137803.0)</f>
        <v>2137803</v>
      </c>
    </row>
    <row r="222">
      <c r="A222" s="2">
        <f>IFERROR(__xludf.DUMMYFUNCTION("""COMPUTED_VALUE"""),36847.645833333336)</f>
        <v>36847.64583</v>
      </c>
      <c r="B222" s="1">
        <f>IFERROR(__xludf.DUMMYFUNCTION("""COMPUTED_VALUE"""),181.3)</f>
        <v>181.3</v>
      </c>
      <c r="C222" s="1">
        <f>IFERROR(__xludf.DUMMYFUNCTION("""COMPUTED_VALUE"""),185.0)</f>
        <v>185</v>
      </c>
      <c r="D222" s="1">
        <f>IFERROR(__xludf.DUMMYFUNCTION("""COMPUTED_VALUE"""),180.25)</f>
        <v>180.25</v>
      </c>
      <c r="E222" s="1">
        <f>IFERROR(__xludf.DUMMYFUNCTION("""COMPUTED_VALUE"""),183.55)</f>
        <v>183.55</v>
      </c>
      <c r="F222" s="1">
        <f>IFERROR(__xludf.DUMMYFUNCTION("""COMPUTED_VALUE"""),869438.0)</f>
        <v>869438</v>
      </c>
    </row>
    <row r="223">
      <c r="A223" s="2">
        <f>IFERROR(__xludf.DUMMYFUNCTION("""COMPUTED_VALUE"""),36850.645833333336)</f>
        <v>36850.64583</v>
      </c>
      <c r="B223" s="1">
        <f>IFERROR(__xludf.DUMMYFUNCTION("""COMPUTED_VALUE"""),184.0)</f>
        <v>184</v>
      </c>
      <c r="C223" s="1">
        <f>IFERROR(__xludf.DUMMYFUNCTION("""COMPUTED_VALUE"""),186.5)</f>
        <v>186.5</v>
      </c>
      <c r="D223" s="1">
        <f>IFERROR(__xludf.DUMMYFUNCTION("""COMPUTED_VALUE"""),182.5)</f>
        <v>182.5</v>
      </c>
      <c r="E223" s="1">
        <f>IFERROR(__xludf.DUMMYFUNCTION("""COMPUTED_VALUE"""),185.1)</f>
        <v>185.1</v>
      </c>
      <c r="F223" s="1">
        <f>IFERROR(__xludf.DUMMYFUNCTION("""COMPUTED_VALUE"""),838768.0)</f>
        <v>838768</v>
      </c>
    </row>
    <row r="224">
      <c r="A224" s="2">
        <f>IFERROR(__xludf.DUMMYFUNCTION("""COMPUTED_VALUE"""),36851.645833333336)</f>
        <v>36851.64583</v>
      </c>
      <c r="B224" s="1">
        <f>IFERROR(__xludf.DUMMYFUNCTION("""COMPUTED_VALUE"""),183.5)</f>
        <v>183.5</v>
      </c>
      <c r="C224" s="1">
        <f>IFERROR(__xludf.DUMMYFUNCTION("""COMPUTED_VALUE"""),184.7)</f>
        <v>184.7</v>
      </c>
      <c r="D224" s="1">
        <f>IFERROR(__xludf.DUMMYFUNCTION("""COMPUTED_VALUE"""),182.1)</f>
        <v>182.1</v>
      </c>
      <c r="E224" s="1">
        <f>IFERROR(__xludf.DUMMYFUNCTION("""COMPUTED_VALUE"""),183.9)</f>
        <v>183.9</v>
      </c>
      <c r="F224" s="1">
        <f>IFERROR(__xludf.DUMMYFUNCTION("""COMPUTED_VALUE"""),714939.0)</f>
        <v>714939</v>
      </c>
    </row>
    <row r="225">
      <c r="A225" s="2">
        <f>IFERROR(__xludf.DUMMYFUNCTION("""COMPUTED_VALUE"""),36852.645833333336)</f>
        <v>36852.64583</v>
      </c>
      <c r="B225" s="1">
        <f>IFERROR(__xludf.DUMMYFUNCTION("""COMPUTED_VALUE"""),184.9)</f>
        <v>184.9</v>
      </c>
      <c r="C225" s="1">
        <f>IFERROR(__xludf.DUMMYFUNCTION("""COMPUTED_VALUE"""),186.0)</f>
        <v>186</v>
      </c>
      <c r="D225" s="1">
        <f>IFERROR(__xludf.DUMMYFUNCTION("""COMPUTED_VALUE"""),181.1)</f>
        <v>181.1</v>
      </c>
      <c r="E225" s="1">
        <f>IFERROR(__xludf.DUMMYFUNCTION("""COMPUTED_VALUE"""),182.15)</f>
        <v>182.15</v>
      </c>
      <c r="F225" s="1">
        <f>IFERROR(__xludf.DUMMYFUNCTION("""COMPUTED_VALUE"""),925189.0)</f>
        <v>925189</v>
      </c>
    </row>
    <row r="226">
      <c r="A226" s="2">
        <f>IFERROR(__xludf.DUMMYFUNCTION("""COMPUTED_VALUE"""),36853.645833333336)</f>
        <v>36853.64583</v>
      </c>
      <c r="B226" s="1">
        <f>IFERROR(__xludf.DUMMYFUNCTION("""COMPUTED_VALUE"""),181.0)</f>
        <v>181</v>
      </c>
      <c r="C226" s="1">
        <f>IFERROR(__xludf.DUMMYFUNCTION("""COMPUTED_VALUE"""),181.5)</f>
        <v>181.5</v>
      </c>
      <c r="D226" s="1">
        <f>IFERROR(__xludf.DUMMYFUNCTION("""COMPUTED_VALUE"""),173.6)</f>
        <v>173.6</v>
      </c>
      <c r="E226" s="1">
        <f>IFERROR(__xludf.DUMMYFUNCTION("""COMPUTED_VALUE"""),174.25)</f>
        <v>174.25</v>
      </c>
      <c r="F226" s="1">
        <f>IFERROR(__xludf.DUMMYFUNCTION("""COMPUTED_VALUE"""),1667254.0)</f>
        <v>1667254</v>
      </c>
    </row>
    <row r="227">
      <c r="A227" s="2">
        <f>IFERROR(__xludf.DUMMYFUNCTION("""COMPUTED_VALUE"""),36854.645833333336)</f>
        <v>36854.64583</v>
      </c>
      <c r="B227" s="1">
        <f>IFERROR(__xludf.DUMMYFUNCTION("""COMPUTED_VALUE"""),175.5)</f>
        <v>175.5</v>
      </c>
      <c r="C227" s="1">
        <f>IFERROR(__xludf.DUMMYFUNCTION("""COMPUTED_VALUE"""),176.6)</f>
        <v>176.6</v>
      </c>
      <c r="D227" s="1">
        <f>IFERROR(__xludf.DUMMYFUNCTION("""COMPUTED_VALUE"""),171.65)</f>
        <v>171.65</v>
      </c>
      <c r="E227" s="1">
        <f>IFERROR(__xludf.DUMMYFUNCTION("""COMPUTED_VALUE"""),172.55)</f>
        <v>172.55</v>
      </c>
      <c r="F227" s="1">
        <f>IFERROR(__xludf.DUMMYFUNCTION("""COMPUTED_VALUE"""),1781392.0)</f>
        <v>1781392</v>
      </c>
    </row>
    <row r="228">
      <c r="A228" s="2">
        <f>IFERROR(__xludf.DUMMYFUNCTION("""COMPUTED_VALUE"""),36857.645833333336)</f>
        <v>36857.64583</v>
      </c>
      <c r="B228" s="1">
        <f>IFERROR(__xludf.DUMMYFUNCTION("""COMPUTED_VALUE"""),173.5)</f>
        <v>173.5</v>
      </c>
      <c r="C228" s="1">
        <f>IFERROR(__xludf.DUMMYFUNCTION("""COMPUTED_VALUE"""),176.0)</f>
        <v>176</v>
      </c>
      <c r="D228" s="1">
        <f>IFERROR(__xludf.DUMMYFUNCTION("""COMPUTED_VALUE"""),171.3)</f>
        <v>171.3</v>
      </c>
      <c r="E228" s="1">
        <f>IFERROR(__xludf.DUMMYFUNCTION("""COMPUTED_VALUE"""),175.4)</f>
        <v>175.4</v>
      </c>
      <c r="F228" s="1">
        <f>IFERROR(__xludf.DUMMYFUNCTION("""COMPUTED_VALUE"""),1080449.0)</f>
        <v>1080449</v>
      </c>
    </row>
    <row r="229">
      <c r="A229" s="2">
        <f>IFERROR(__xludf.DUMMYFUNCTION("""COMPUTED_VALUE"""),36858.645833333336)</f>
        <v>36858.64583</v>
      </c>
      <c r="B229" s="1">
        <f>IFERROR(__xludf.DUMMYFUNCTION("""COMPUTED_VALUE"""),175.0)</f>
        <v>175</v>
      </c>
      <c r="C229" s="1">
        <f>IFERROR(__xludf.DUMMYFUNCTION("""COMPUTED_VALUE"""),185.8)</f>
        <v>185.8</v>
      </c>
      <c r="D229" s="1">
        <f>IFERROR(__xludf.DUMMYFUNCTION("""COMPUTED_VALUE"""),174.05)</f>
        <v>174.05</v>
      </c>
      <c r="E229" s="1">
        <f>IFERROR(__xludf.DUMMYFUNCTION("""COMPUTED_VALUE"""),184.05)</f>
        <v>184.05</v>
      </c>
      <c r="F229" s="1">
        <f>IFERROR(__xludf.DUMMYFUNCTION("""COMPUTED_VALUE"""),5184249.0)</f>
        <v>5184249</v>
      </c>
    </row>
    <row r="230">
      <c r="A230" s="2">
        <f>IFERROR(__xludf.DUMMYFUNCTION("""COMPUTED_VALUE"""),36859.645833333336)</f>
        <v>36859.64583</v>
      </c>
      <c r="B230" s="1">
        <f>IFERROR(__xludf.DUMMYFUNCTION("""COMPUTED_VALUE"""),186.4)</f>
        <v>186.4</v>
      </c>
      <c r="C230" s="1">
        <f>IFERROR(__xludf.DUMMYFUNCTION("""COMPUTED_VALUE"""),187.8)</f>
        <v>187.8</v>
      </c>
      <c r="D230" s="1">
        <f>IFERROR(__xludf.DUMMYFUNCTION("""COMPUTED_VALUE"""),181.5)</f>
        <v>181.5</v>
      </c>
      <c r="E230" s="1">
        <f>IFERROR(__xludf.DUMMYFUNCTION("""COMPUTED_VALUE"""),185.35)</f>
        <v>185.35</v>
      </c>
      <c r="F230" s="1">
        <f>IFERROR(__xludf.DUMMYFUNCTION("""COMPUTED_VALUE"""),2465427.0)</f>
        <v>2465427</v>
      </c>
    </row>
    <row r="231">
      <c r="A231" s="2">
        <f>IFERROR(__xludf.DUMMYFUNCTION("""COMPUTED_VALUE"""),36860.645833333336)</f>
        <v>36860.64583</v>
      </c>
      <c r="B231" s="1">
        <f>IFERROR(__xludf.DUMMYFUNCTION("""COMPUTED_VALUE"""),186.45)</f>
        <v>186.45</v>
      </c>
      <c r="C231" s="1">
        <f>IFERROR(__xludf.DUMMYFUNCTION("""COMPUTED_VALUE"""),195.0)</f>
        <v>195</v>
      </c>
      <c r="D231" s="1">
        <f>IFERROR(__xludf.DUMMYFUNCTION("""COMPUTED_VALUE"""),184.0)</f>
        <v>184</v>
      </c>
      <c r="E231" s="1">
        <f>IFERROR(__xludf.DUMMYFUNCTION("""COMPUTED_VALUE"""),193.5)</f>
        <v>193.5</v>
      </c>
      <c r="F231" s="1">
        <f>IFERROR(__xludf.DUMMYFUNCTION("""COMPUTED_VALUE"""),4386320.0)</f>
        <v>4386320</v>
      </c>
    </row>
    <row r="232">
      <c r="A232" s="2">
        <f>IFERROR(__xludf.DUMMYFUNCTION("""COMPUTED_VALUE"""),36861.645833333336)</f>
        <v>36861.64583</v>
      </c>
      <c r="B232" s="1">
        <f>IFERROR(__xludf.DUMMYFUNCTION("""COMPUTED_VALUE"""),192.0)</f>
        <v>192</v>
      </c>
      <c r="C232" s="1">
        <f>IFERROR(__xludf.DUMMYFUNCTION("""COMPUTED_VALUE"""),199.4)</f>
        <v>199.4</v>
      </c>
      <c r="D232" s="1">
        <f>IFERROR(__xludf.DUMMYFUNCTION("""COMPUTED_VALUE"""),191.0)</f>
        <v>191</v>
      </c>
      <c r="E232" s="1">
        <f>IFERROR(__xludf.DUMMYFUNCTION("""COMPUTED_VALUE"""),194.35)</f>
        <v>194.35</v>
      </c>
      <c r="F232" s="1">
        <f>IFERROR(__xludf.DUMMYFUNCTION("""COMPUTED_VALUE"""),3675748.0)</f>
        <v>3675748</v>
      </c>
    </row>
    <row r="233">
      <c r="A233" s="2">
        <f>IFERROR(__xludf.DUMMYFUNCTION("""COMPUTED_VALUE"""),36864.645833333336)</f>
        <v>36864.64583</v>
      </c>
      <c r="B233" s="1">
        <f>IFERROR(__xludf.DUMMYFUNCTION("""COMPUTED_VALUE"""),193.9)</f>
        <v>193.9</v>
      </c>
      <c r="C233" s="1">
        <f>IFERROR(__xludf.DUMMYFUNCTION("""COMPUTED_VALUE"""),197.25)</f>
        <v>197.25</v>
      </c>
      <c r="D233" s="1">
        <f>IFERROR(__xludf.DUMMYFUNCTION("""COMPUTED_VALUE"""),186.55)</f>
        <v>186.55</v>
      </c>
      <c r="E233" s="1">
        <f>IFERROR(__xludf.DUMMYFUNCTION("""COMPUTED_VALUE"""),187.8)</f>
        <v>187.8</v>
      </c>
      <c r="F233" s="1">
        <f>IFERROR(__xludf.DUMMYFUNCTION("""COMPUTED_VALUE"""),2438580.0)</f>
        <v>2438580</v>
      </c>
    </row>
    <row r="234">
      <c r="A234" s="2">
        <f>IFERROR(__xludf.DUMMYFUNCTION("""COMPUTED_VALUE"""),36865.645833333336)</f>
        <v>36865.64583</v>
      </c>
      <c r="B234" s="1">
        <f>IFERROR(__xludf.DUMMYFUNCTION("""COMPUTED_VALUE"""),188.0)</f>
        <v>188</v>
      </c>
      <c r="C234" s="1">
        <f>IFERROR(__xludf.DUMMYFUNCTION("""COMPUTED_VALUE"""),191.0)</f>
        <v>191</v>
      </c>
      <c r="D234" s="1">
        <f>IFERROR(__xludf.DUMMYFUNCTION("""COMPUTED_VALUE"""),183.0)</f>
        <v>183</v>
      </c>
      <c r="E234" s="1">
        <f>IFERROR(__xludf.DUMMYFUNCTION("""COMPUTED_VALUE"""),186.1)</f>
        <v>186.1</v>
      </c>
      <c r="F234" s="1">
        <f>IFERROR(__xludf.DUMMYFUNCTION("""COMPUTED_VALUE"""),1815820.0)</f>
        <v>1815820</v>
      </c>
    </row>
    <row r="235">
      <c r="A235" s="2">
        <f>IFERROR(__xludf.DUMMYFUNCTION("""COMPUTED_VALUE"""),36866.645833333336)</f>
        <v>36866.64583</v>
      </c>
      <c r="B235" s="1">
        <f>IFERROR(__xludf.DUMMYFUNCTION("""COMPUTED_VALUE"""),190.6)</f>
        <v>190.6</v>
      </c>
      <c r="C235" s="1">
        <f>IFERROR(__xludf.DUMMYFUNCTION("""COMPUTED_VALUE"""),196.0)</f>
        <v>196</v>
      </c>
      <c r="D235" s="1">
        <f>IFERROR(__xludf.DUMMYFUNCTION("""COMPUTED_VALUE"""),190.1)</f>
        <v>190.1</v>
      </c>
      <c r="E235" s="1">
        <f>IFERROR(__xludf.DUMMYFUNCTION("""COMPUTED_VALUE"""),194.8)</f>
        <v>194.8</v>
      </c>
      <c r="F235" s="1">
        <f>IFERROR(__xludf.DUMMYFUNCTION("""COMPUTED_VALUE"""),2069356.0)</f>
        <v>2069356</v>
      </c>
    </row>
    <row r="236">
      <c r="A236" s="2">
        <f>IFERROR(__xludf.DUMMYFUNCTION("""COMPUTED_VALUE"""),36867.645833333336)</f>
        <v>36867.64583</v>
      </c>
      <c r="B236" s="1">
        <f>IFERROR(__xludf.DUMMYFUNCTION("""COMPUTED_VALUE"""),193.9)</f>
        <v>193.9</v>
      </c>
      <c r="C236" s="1">
        <f>IFERROR(__xludf.DUMMYFUNCTION("""COMPUTED_VALUE"""),195.6)</f>
        <v>195.6</v>
      </c>
      <c r="D236" s="1">
        <f>IFERROR(__xludf.DUMMYFUNCTION("""COMPUTED_VALUE"""),189.1)</f>
        <v>189.1</v>
      </c>
      <c r="E236" s="1">
        <f>IFERROR(__xludf.DUMMYFUNCTION("""COMPUTED_VALUE"""),192.35)</f>
        <v>192.35</v>
      </c>
      <c r="F236" s="1">
        <f>IFERROR(__xludf.DUMMYFUNCTION("""COMPUTED_VALUE"""),1533328.0)</f>
        <v>1533328</v>
      </c>
    </row>
    <row r="237">
      <c r="A237" s="2">
        <f>IFERROR(__xludf.DUMMYFUNCTION("""COMPUTED_VALUE"""),36868.645833333336)</f>
        <v>36868.64583</v>
      </c>
      <c r="B237" s="1">
        <f>IFERROR(__xludf.DUMMYFUNCTION("""COMPUTED_VALUE"""),193.75)</f>
        <v>193.75</v>
      </c>
      <c r="C237" s="1">
        <f>IFERROR(__xludf.DUMMYFUNCTION("""COMPUTED_VALUE"""),193.75)</f>
        <v>193.75</v>
      </c>
      <c r="D237" s="1">
        <f>IFERROR(__xludf.DUMMYFUNCTION("""COMPUTED_VALUE"""),190.6)</f>
        <v>190.6</v>
      </c>
      <c r="E237" s="1">
        <f>IFERROR(__xludf.DUMMYFUNCTION("""COMPUTED_VALUE"""),191.4)</f>
        <v>191.4</v>
      </c>
      <c r="F237" s="1">
        <f>IFERROR(__xludf.DUMMYFUNCTION("""COMPUTED_VALUE"""),905205.0)</f>
        <v>905205</v>
      </c>
    </row>
    <row r="238">
      <c r="A238" s="2">
        <f>IFERROR(__xludf.DUMMYFUNCTION("""COMPUTED_VALUE"""),36871.645833333336)</f>
        <v>36871.64583</v>
      </c>
      <c r="B238" s="1">
        <f>IFERROR(__xludf.DUMMYFUNCTION("""COMPUTED_VALUE"""),192.8)</f>
        <v>192.8</v>
      </c>
      <c r="C238" s="1">
        <f>IFERROR(__xludf.DUMMYFUNCTION("""COMPUTED_VALUE"""),194.25)</f>
        <v>194.25</v>
      </c>
      <c r="D238" s="1">
        <f>IFERROR(__xludf.DUMMYFUNCTION("""COMPUTED_VALUE"""),191.2)</f>
        <v>191.2</v>
      </c>
      <c r="E238" s="1">
        <f>IFERROR(__xludf.DUMMYFUNCTION("""COMPUTED_VALUE"""),192.0)</f>
        <v>192</v>
      </c>
      <c r="F238" s="1">
        <f>IFERROR(__xludf.DUMMYFUNCTION("""COMPUTED_VALUE"""),945164.0)</f>
        <v>945164</v>
      </c>
    </row>
    <row r="239">
      <c r="A239" s="2">
        <f>IFERROR(__xludf.DUMMYFUNCTION("""COMPUTED_VALUE"""),36872.645833333336)</f>
        <v>36872.64583</v>
      </c>
      <c r="B239" s="1">
        <f>IFERROR(__xludf.DUMMYFUNCTION("""COMPUTED_VALUE"""),192.8)</f>
        <v>192.8</v>
      </c>
      <c r="C239" s="1">
        <f>IFERROR(__xludf.DUMMYFUNCTION("""COMPUTED_VALUE"""),193.4)</f>
        <v>193.4</v>
      </c>
      <c r="D239" s="1">
        <f>IFERROR(__xludf.DUMMYFUNCTION("""COMPUTED_VALUE"""),188.15)</f>
        <v>188.15</v>
      </c>
      <c r="E239" s="1">
        <f>IFERROR(__xludf.DUMMYFUNCTION("""COMPUTED_VALUE"""),189.15)</f>
        <v>189.15</v>
      </c>
      <c r="F239" s="1">
        <f>IFERROR(__xludf.DUMMYFUNCTION("""COMPUTED_VALUE"""),1241999.0)</f>
        <v>1241999</v>
      </c>
    </row>
    <row r="240">
      <c r="A240" s="2">
        <f>IFERROR(__xludf.DUMMYFUNCTION("""COMPUTED_VALUE"""),36873.645833333336)</f>
        <v>36873.64583</v>
      </c>
      <c r="B240" s="1">
        <f>IFERROR(__xludf.DUMMYFUNCTION("""COMPUTED_VALUE"""),198.0)</f>
        <v>198</v>
      </c>
      <c r="C240" s="1">
        <f>IFERROR(__xludf.DUMMYFUNCTION("""COMPUTED_VALUE"""),198.0)</f>
        <v>198</v>
      </c>
      <c r="D240" s="1">
        <f>IFERROR(__xludf.DUMMYFUNCTION("""COMPUTED_VALUE"""),191.0)</f>
        <v>191</v>
      </c>
      <c r="E240" s="1">
        <f>IFERROR(__xludf.DUMMYFUNCTION("""COMPUTED_VALUE"""),191.9)</f>
        <v>191.9</v>
      </c>
      <c r="F240" s="1">
        <f>IFERROR(__xludf.DUMMYFUNCTION("""COMPUTED_VALUE"""),2688833.0)</f>
        <v>2688833</v>
      </c>
    </row>
    <row r="241">
      <c r="A241" s="2">
        <f>IFERROR(__xludf.DUMMYFUNCTION("""COMPUTED_VALUE"""),36874.645833333336)</f>
        <v>36874.64583</v>
      </c>
      <c r="B241" s="1">
        <f>IFERROR(__xludf.DUMMYFUNCTION("""COMPUTED_VALUE"""),192.0)</f>
        <v>192</v>
      </c>
      <c r="C241" s="1">
        <f>IFERROR(__xludf.DUMMYFUNCTION("""COMPUTED_VALUE"""),197.5)</f>
        <v>197.5</v>
      </c>
      <c r="D241" s="1">
        <f>IFERROR(__xludf.DUMMYFUNCTION("""COMPUTED_VALUE"""),192.0)</f>
        <v>192</v>
      </c>
      <c r="E241" s="1">
        <f>IFERROR(__xludf.DUMMYFUNCTION("""COMPUTED_VALUE"""),193.15)</f>
        <v>193.15</v>
      </c>
      <c r="F241" s="1">
        <f>IFERROR(__xludf.DUMMYFUNCTION("""COMPUTED_VALUE"""),3518336.0)</f>
        <v>3518336</v>
      </c>
    </row>
    <row r="242">
      <c r="A242" s="2">
        <f>IFERROR(__xludf.DUMMYFUNCTION("""COMPUTED_VALUE"""),36875.645833333336)</f>
        <v>36875.64583</v>
      </c>
      <c r="B242" s="1">
        <f>IFERROR(__xludf.DUMMYFUNCTION("""COMPUTED_VALUE"""),194.9)</f>
        <v>194.9</v>
      </c>
      <c r="C242" s="1">
        <f>IFERROR(__xludf.DUMMYFUNCTION("""COMPUTED_VALUE"""),197.85)</f>
        <v>197.85</v>
      </c>
      <c r="D242" s="1">
        <f>IFERROR(__xludf.DUMMYFUNCTION("""COMPUTED_VALUE"""),192.05)</f>
        <v>192.05</v>
      </c>
      <c r="E242" s="1">
        <f>IFERROR(__xludf.DUMMYFUNCTION("""COMPUTED_VALUE"""),193.35)</f>
        <v>193.35</v>
      </c>
      <c r="F242" s="1">
        <f>IFERROR(__xludf.DUMMYFUNCTION("""COMPUTED_VALUE"""),3926721.0)</f>
        <v>3926721</v>
      </c>
    </row>
    <row r="243">
      <c r="A243" s="2">
        <f>IFERROR(__xludf.DUMMYFUNCTION("""COMPUTED_VALUE"""),36878.645833333336)</f>
        <v>36878.64583</v>
      </c>
      <c r="B243" s="1">
        <f>IFERROR(__xludf.DUMMYFUNCTION("""COMPUTED_VALUE"""),194.35)</f>
        <v>194.35</v>
      </c>
      <c r="C243" s="1">
        <f>IFERROR(__xludf.DUMMYFUNCTION("""COMPUTED_VALUE"""),199.0)</f>
        <v>199</v>
      </c>
      <c r="D243" s="1">
        <f>IFERROR(__xludf.DUMMYFUNCTION("""COMPUTED_VALUE"""),193.25)</f>
        <v>193.25</v>
      </c>
      <c r="E243" s="1">
        <f>IFERROR(__xludf.DUMMYFUNCTION("""COMPUTED_VALUE"""),198.15)</f>
        <v>198.15</v>
      </c>
      <c r="F243" s="1">
        <f>IFERROR(__xludf.DUMMYFUNCTION("""COMPUTED_VALUE"""),3032873.0)</f>
        <v>3032873</v>
      </c>
    </row>
    <row r="244">
      <c r="A244" s="2">
        <f>IFERROR(__xludf.DUMMYFUNCTION("""COMPUTED_VALUE"""),36879.645833333336)</f>
        <v>36879.64583</v>
      </c>
      <c r="B244" s="1">
        <f>IFERROR(__xludf.DUMMYFUNCTION("""COMPUTED_VALUE"""),198.9)</f>
        <v>198.9</v>
      </c>
      <c r="C244" s="1">
        <f>IFERROR(__xludf.DUMMYFUNCTION("""COMPUTED_VALUE"""),204.85)</f>
        <v>204.85</v>
      </c>
      <c r="D244" s="1">
        <f>IFERROR(__xludf.DUMMYFUNCTION("""COMPUTED_VALUE"""),198.9)</f>
        <v>198.9</v>
      </c>
      <c r="E244" s="1">
        <f>IFERROR(__xludf.DUMMYFUNCTION("""COMPUTED_VALUE"""),202.8)</f>
        <v>202.8</v>
      </c>
      <c r="F244" s="1">
        <f>IFERROR(__xludf.DUMMYFUNCTION("""COMPUTED_VALUE"""),3115306.0)</f>
        <v>3115306</v>
      </c>
    </row>
    <row r="245">
      <c r="A245" s="2">
        <f>IFERROR(__xludf.DUMMYFUNCTION("""COMPUTED_VALUE"""),36880.645833333336)</f>
        <v>36880.64583</v>
      </c>
      <c r="B245" s="1">
        <f>IFERROR(__xludf.DUMMYFUNCTION("""COMPUTED_VALUE"""),203.7)</f>
        <v>203.7</v>
      </c>
      <c r="C245" s="1">
        <f>IFERROR(__xludf.DUMMYFUNCTION("""COMPUTED_VALUE"""),204.5)</f>
        <v>204.5</v>
      </c>
      <c r="D245" s="1">
        <f>IFERROR(__xludf.DUMMYFUNCTION("""COMPUTED_VALUE"""),194.05)</f>
        <v>194.05</v>
      </c>
      <c r="E245" s="1">
        <f>IFERROR(__xludf.DUMMYFUNCTION("""COMPUTED_VALUE"""),195.55)</f>
        <v>195.55</v>
      </c>
      <c r="F245" s="1">
        <f>IFERROR(__xludf.DUMMYFUNCTION("""COMPUTED_VALUE"""),2641641.0)</f>
        <v>2641641</v>
      </c>
    </row>
    <row r="246">
      <c r="A246" s="2">
        <f>IFERROR(__xludf.DUMMYFUNCTION("""COMPUTED_VALUE"""),36881.645833333336)</f>
        <v>36881.64583</v>
      </c>
      <c r="B246" s="1">
        <f>IFERROR(__xludf.DUMMYFUNCTION("""COMPUTED_VALUE"""),195.0)</f>
        <v>195</v>
      </c>
      <c r="C246" s="1">
        <f>IFERROR(__xludf.DUMMYFUNCTION("""COMPUTED_VALUE"""),201.8)</f>
        <v>201.8</v>
      </c>
      <c r="D246" s="1">
        <f>IFERROR(__xludf.DUMMYFUNCTION("""COMPUTED_VALUE"""),192.0)</f>
        <v>192</v>
      </c>
      <c r="E246" s="1">
        <f>IFERROR(__xludf.DUMMYFUNCTION("""COMPUTED_VALUE"""),199.15)</f>
        <v>199.15</v>
      </c>
      <c r="F246" s="1">
        <f>IFERROR(__xludf.DUMMYFUNCTION("""COMPUTED_VALUE"""),2701892.0)</f>
        <v>2701892</v>
      </c>
    </row>
    <row r="247">
      <c r="A247" s="2">
        <f>IFERROR(__xludf.DUMMYFUNCTION("""COMPUTED_VALUE"""),36882.645833333336)</f>
        <v>36882.64583</v>
      </c>
      <c r="B247" s="1">
        <f>IFERROR(__xludf.DUMMYFUNCTION("""COMPUTED_VALUE"""),201.0)</f>
        <v>201</v>
      </c>
      <c r="C247" s="1">
        <f>IFERROR(__xludf.DUMMYFUNCTION("""COMPUTED_VALUE"""),204.0)</f>
        <v>204</v>
      </c>
      <c r="D247" s="1">
        <f>IFERROR(__xludf.DUMMYFUNCTION("""COMPUTED_VALUE"""),198.1)</f>
        <v>198.1</v>
      </c>
      <c r="E247" s="1">
        <f>IFERROR(__xludf.DUMMYFUNCTION("""COMPUTED_VALUE"""),200.35)</f>
        <v>200.35</v>
      </c>
      <c r="F247" s="1">
        <f>IFERROR(__xludf.DUMMYFUNCTION("""COMPUTED_VALUE"""),2354434.0)</f>
        <v>2354434</v>
      </c>
    </row>
    <row r="248">
      <c r="A248" s="2">
        <f>IFERROR(__xludf.DUMMYFUNCTION("""COMPUTED_VALUE"""),36886.645833333336)</f>
        <v>36886.64583</v>
      </c>
      <c r="B248" s="1">
        <f>IFERROR(__xludf.DUMMYFUNCTION("""COMPUTED_VALUE"""),203.0)</f>
        <v>203</v>
      </c>
      <c r="C248" s="1">
        <f>IFERROR(__xludf.DUMMYFUNCTION("""COMPUTED_VALUE"""),203.95)</f>
        <v>203.95</v>
      </c>
      <c r="D248" s="1">
        <f>IFERROR(__xludf.DUMMYFUNCTION("""COMPUTED_VALUE"""),199.25)</f>
        <v>199.25</v>
      </c>
      <c r="E248" s="1">
        <f>IFERROR(__xludf.DUMMYFUNCTION("""COMPUTED_VALUE"""),203.0)</f>
        <v>203</v>
      </c>
      <c r="F248" s="1">
        <f>IFERROR(__xludf.DUMMYFUNCTION("""COMPUTED_VALUE"""),1878193.0)</f>
        <v>1878193</v>
      </c>
    </row>
    <row r="249">
      <c r="A249" s="2">
        <f>IFERROR(__xludf.DUMMYFUNCTION("""COMPUTED_VALUE"""),36887.645833333336)</f>
        <v>36887.64583</v>
      </c>
      <c r="B249" s="1">
        <f>IFERROR(__xludf.DUMMYFUNCTION("""COMPUTED_VALUE"""),204.5)</f>
        <v>204.5</v>
      </c>
      <c r="C249" s="1">
        <f>IFERROR(__xludf.DUMMYFUNCTION("""COMPUTED_VALUE"""),212.25)</f>
        <v>212.25</v>
      </c>
      <c r="D249" s="1">
        <f>IFERROR(__xludf.DUMMYFUNCTION("""COMPUTED_VALUE"""),203.55)</f>
        <v>203.55</v>
      </c>
      <c r="E249" s="1">
        <f>IFERROR(__xludf.DUMMYFUNCTION("""COMPUTED_VALUE"""),210.05)</f>
        <v>210.05</v>
      </c>
      <c r="F249" s="1">
        <f>IFERROR(__xludf.DUMMYFUNCTION("""COMPUTED_VALUE"""),2583739.0)</f>
        <v>2583739</v>
      </c>
    </row>
    <row r="250">
      <c r="A250" s="2">
        <f>IFERROR(__xludf.DUMMYFUNCTION("""COMPUTED_VALUE"""),36888.645833333336)</f>
        <v>36888.64583</v>
      </c>
      <c r="B250" s="1">
        <f>IFERROR(__xludf.DUMMYFUNCTION("""COMPUTED_VALUE"""),212.25)</f>
        <v>212.25</v>
      </c>
      <c r="C250" s="1">
        <f>IFERROR(__xludf.DUMMYFUNCTION("""COMPUTED_VALUE"""),213.4)</f>
        <v>213.4</v>
      </c>
      <c r="D250" s="1">
        <f>IFERROR(__xludf.DUMMYFUNCTION("""COMPUTED_VALUE"""),203.0)</f>
        <v>203</v>
      </c>
      <c r="E250" s="1">
        <f>IFERROR(__xludf.DUMMYFUNCTION("""COMPUTED_VALUE"""),206.45)</f>
        <v>206.45</v>
      </c>
      <c r="F250" s="1">
        <f>IFERROR(__xludf.DUMMYFUNCTION("""COMPUTED_VALUE"""),2159026.0)</f>
        <v>2159026</v>
      </c>
    </row>
    <row r="251">
      <c r="A251" s="2">
        <f>IFERROR(__xludf.DUMMYFUNCTION("""COMPUTED_VALUE"""),36889.645833333336)</f>
        <v>36889.64583</v>
      </c>
      <c r="B251" s="1">
        <f>IFERROR(__xludf.DUMMYFUNCTION("""COMPUTED_VALUE"""),206.8)</f>
        <v>206.8</v>
      </c>
      <c r="C251" s="1">
        <f>IFERROR(__xludf.DUMMYFUNCTION("""COMPUTED_VALUE"""),209.0)</f>
        <v>209</v>
      </c>
      <c r="D251" s="1">
        <f>IFERROR(__xludf.DUMMYFUNCTION("""COMPUTED_VALUE"""),205.1)</f>
        <v>205.1</v>
      </c>
      <c r="E251" s="1">
        <f>IFERROR(__xludf.DUMMYFUNCTION("""COMPUTED_VALUE"""),206.55)</f>
        <v>206.55</v>
      </c>
      <c r="F251" s="1">
        <f>IFERROR(__xludf.DUMMYFUNCTION("""COMPUTED_VALUE"""),1176093.0)</f>
        <v>1176093</v>
      </c>
    </row>
    <row r="252">
      <c r="A252" s="2">
        <f>IFERROR(__xludf.DUMMYFUNCTION("""COMPUTED_VALUE"""),36892.645833333336)</f>
        <v>36892.64583</v>
      </c>
      <c r="B252" s="1">
        <f>IFERROR(__xludf.DUMMYFUNCTION("""COMPUTED_VALUE"""),207.9)</f>
        <v>207.9</v>
      </c>
      <c r="C252" s="1">
        <f>IFERROR(__xludf.DUMMYFUNCTION("""COMPUTED_VALUE"""),207.9)</f>
        <v>207.9</v>
      </c>
      <c r="D252" s="1">
        <f>IFERROR(__xludf.DUMMYFUNCTION("""COMPUTED_VALUE"""),198.1)</f>
        <v>198.1</v>
      </c>
      <c r="E252" s="1">
        <f>IFERROR(__xludf.DUMMYFUNCTION("""COMPUTED_VALUE"""),199.6)</f>
        <v>199.6</v>
      </c>
      <c r="F252" s="1">
        <f>IFERROR(__xludf.DUMMYFUNCTION("""COMPUTED_VALUE"""),1474383.0)</f>
        <v>1474383</v>
      </c>
    </row>
    <row r="253">
      <c r="A253" s="2">
        <f>IFERROR(__xludf.DUMMYFUNCTION("""COMPUTED_VALUE"""),36893.645833333336)</f>
        <v>36893.64583</v>
      </c>
      <c r="B253" s="1">
        <f>IFERROR(__xludf.DUMMYFUNCTION("""COMPUTED_VALUE"""),198.5)</f>
        <v>198.5</v>
      </c>
      <c r="C253" s="1">
        <f>IFERROR(__xludf.DUMMYFUNCTION("""COMPUTED_VALUE"""),200.55)</f>
        <v>200.55</v>
      </c>
      <c r="D253" s="1">
        <f>IFERROR(__xludf.DUMMYFUNCTION("""COMPUTED_VALUE"""),195.25)</f>
        <v>195.25</v>
      </c>
      <c r="E253" s="1">
        <f>IFERROR(__xludf.DUMMYFUNCTION("""COMPUTED_VALUE"""),198.6)</f>
        <v>198.6</v>
      </c>
      <c r="F253" s="1">
        <f>IFERROR(__xludf.DUMMYFUNCTION("""COMPUTED_VALUE"""),1763322.0)</f>
        <v>1763322</v>
      </c>
    </row>
    <row r="254">
      <c r="A254" s="2">
        <f>IFERROR(__xludf.DUMMYFUNCTION("""COMPUTED_VALUE"""),36894.645833333336)</f>
        <v>36894.64583</v>
      </c>
      <c r="B254" s="1">
        <f>IFERROR(__xludf.DUMMYFUNCTION("""COMPUTED_VALUE"""),198.0)</f>
        <v>198</v>
      </c>
      <c r="C254" s="1">
        <f>IFERROR(__xludf.DUMMYFUNCTION("""COMPUTED_VALUE"""),205.0)</f>
        <v>205</v>
      </c>
      <c r="D254" s="1">
        <f>IFERROR(__xludf.DUMMYFUNCTION("""COMPUTED_VALUE"""),197.35)</f>
        <v>197.35</v>
      </c>
      <c r="E254" s="1">
        <f>IFERROR(__xludf.DUMMYFUNCTION("""COMPUTED_VALUE"""),201.65)</f>
        <v>201.65</v>
      </c>
      <c r="F254" s="1">
        <f>IFERROR(__xludf.DUMMYFUNCTION("""COMPUTED_VALUE"""),2902583.0)</f>
        <v>2902583</v>
      </c>
    </row>
    <row r="255">
      <c r="A255" s="2">
        <f>IFERROR(__xludf.DUMMYFUNCTION("""COMPUTED_VALUE"""),36895.645833333336)</f>
        <v>36895.64583</v>
      </c>
      <c r="B255" s="1">
        <f>IFERROR(__xludf.DUMMYFUNCTION("""COMPUTED_VALUE"""),202.5)</f>
        <v>202.5</v>
      </c>
      <c r="C255" s="1">
        <f>IFERROR(__xludf.DUMMYFUNCTION("""COMPUTED_VALUE"""),213.7)</f>
        <v>213.7</v>
      </c>
      <c r="D255" s="1">
        <f>IFERROR(__xludf.DUMMYFUNCTION("""COMPUTED_VALUE"""),202.5)</f>
        <v>202.5</v>
      </c>
      <c r="E255" s="1">
        <f>IFERROR(__xludf.DUMMYFUNCTION("""COMPUTED_VALUE"""),210.75)</f>
        <v>210.75</v>
      </c>
      <c r="F255" s="1">
        <f>IFERROR(__xludf.DUMMYFUNCTION("""COMPUTED_VALUE"""),4811808.0)</f>
        <v>4811808</v>
      </c>
    </row>
    <row r="256">
      <c r="A256" s="2">
        <f>IFERROR(__xludf.DUMMYFUNCTION("""COMPUTED_VALUE"""),36896.645833333336)</f>
        <v>36896.64583</v>
      </c>
      <c r="B256" s="1">
        <f>IFERROR(__xludf.DUMMYFUNCTION("""COMPUTED_VALUE"""),210.8)</f>
        <v>210.8</v>
      </c>
      <c r="C256" s="1">
        <f>IFERROR(__xludf.DUMMYFUNCTION("""COMPUTED_VALUE"""),212.75)</f>
        <v>212.75</v>
      </c>
      <c r="D256" s="1">
        <f>IFERROR(__xludf.DUMMYFUNCTION("""COMPUTED_VALUE"""),205.55)</f>
        <v>205.55</v>
      </c>
      <c r="E256" s="1">
        <f>IFERROR(__xludf.DUMMYFUNCTION("""COMPUTED_VALUE"""),207.45)</f>
        <v>207.45</v>
      </c>
      <c r="F256" s="1">
        <f>IFERROR(__xludf.DUMMYFUNCTION("""COMPUTED_VALUE"""),2775531.0)</f>
        <v>2775531</v>
      </c>
    </row>
    <row r="257">
      <c r="A257" s="2">
        <f>IFERROR(__xludf.DUMMYFUNCTION("""COMPUTED_VALUE"""),36899.645833333336)</f>
        <v>36899.64583</v>
      </c>
      <c r="B257" s="1">
        <f>IFERROR(__xludf.DUMMYFUNCTION("""COMPUTED_VALUE"""),208.0)</f>
        <v>208</v>
      </c>
      <c r="C257" s="1">
        <f>IFERROR(__xludf.DUMMYFUNCTION("""COMPUTED_VALUE"""),213.5)</f>
        <v>213.5</v>
      </c>
      <c r="D257" s="1">
        <f>IFERROR(__xludf.DUMMYFUNCTION("""COMPUTED_VALUE"""),208.0)</f>
        <v>208</v>
      </c>
      <c r="E257" s="1">
        <f>IFERROR(__xludf.DUMMYFUNCTION("""COMPUTED_VALUE"""),210.0)</f>
        <v>210</v>
      </c>
      <c r="F257" s="1">
        <f>IFERROR(__xludf.DUMMYFUNCTION("""COMPUTED_VALUE"""),2678148.0)</f>
        <v>2678148</v>
      </c>
    </row>
    <row r="258">
      <c r="A258" s="2">
        <f>IFERROR(__xludf.DUMMYFUNCTION("""COMPUTED_VALUE"""),36900.645833333336)</f>
        <v>36900.64583</v>
      </c>
      <c r="B258" s="1">
        <f>IFERROR(__xludf.DUMMYFUNCTION("""COMPUTED_VALUE"""),209.65)</f>
        <v>209.65</v>
      </c>
      <c r="C258" s="1">
        <f>IFERROR(__xludf.DUMMYFUNCTION("""COMPUTED_VALUE"""),217.7)</f>
        <v>217.7</v>
      </c>
      <c r="D258" s="1">
        <f>IFERROR(__xludf.DUMMYFUNCTION("""COMPUTED_VALUE"""),209.65)</f>
        <v>209.65</v>
      </c>
      <c r="E258" s="1">
        <f>IFERROR(__xludf.DUMMYFUNCTION("""COMPUTED_VALUE"""),216.5)</f>
        <v>216.5</v>
      </c>
      <c r="F258" s="1">
        <f>IFERROR(__xludf.DUMMYFUNCTION("""COMPUTED_VALUE"""),3466904.0)</f>
        <v>3466904</v>
      </c>
    </row>
    <row r="259">
      <c r="A259" s="2">
        <f>IFERROR(__xludf.DUMMYFUNCTION("""COMPUTED_VALUE"""),36901.645833333336)</f>
        <v>36901.64583</v>
      </c>
      <c r="B259" s="1">
        <f>IFERROR(__xludf.DUMMYFUNCTION("""COMPUTED_VALUE"""),217.7)</f>
        <v>217.7</v>
      </c>
      <c r="C259" s="1">
        <f>IFERROR(__xludf.DUMMYFUNCTION("""COMPUTED_VALUE"""),217.7)</f>
        <v>217.7</v>
      </c>
      <c r="D259" s="1">
        <f>IFERROR(__xludf.DUMMYFUNCTION("""COMPUTED_VALUE"""),205.65)</f>
        <v>205.65</v>
      </c>
      <c r="E259" s="1">
        <f>IFERROR(__xludf.DUMMYFUNCTION("""COMPUTED_VALUE"""),206.7)</f>
        <v>206.7</v>
      </c>
      <c r="F259" s="1">
        <f>IFERROR(__xludf.DUMMYFUNCTION("""COMPUTED_VALUE"""),2632399.0)</f>
        <v>2632399</v>
      </c>
    </row>
    <row r="260">
      <c r="A260" s="2">
        <f>IFERROR(__xludf.DUMMYFUNCTION("""COMPUTED_VALUE"""),36902.645833333336)</f>
        <v>36902.64583</v>
      </c>
      <c r="B260" s="1">
        <f>IFERROR(__xludf.DUMMYFUNCTION("""COMPUTED_VALUE"""),206.2)</f>
        <v>206.2</v>
      </c>
      <c r="C260" s="1">
        <f>IFERROR(__xludf.DUMMYFUNCTION("""COMPUTED_VALUE"""),208.5)</f>
        <v>208.5</v>
      </c>
      <c r="D260" s="1">
        <f>IFERROR(__xludf.DUMMYFUNCTION("""COMPUTED_VALUE"""),202.3)</f>
        <v>202.3</v>
      </c>
      <c r="E260" s="1">
        <f>IFERROR(__xludf.DUMMYFUNCTION("""COMPUTED_VALUE"""),204.55)</f>
        <v>204.55</v>
      </c>
      <c r="F260" s="1">
        <f>IFERROR(__xludf.DUMMYFUNCTION("""COMPUTED_VALUE"""),1641569.0)</f>
        <v>1641569</v>
      </c>
    </row>
    <row r="261">
      <c r="A261" s="2">
        <f>IFERROR(__xludf.DUMMYFUNCTION("""COMPUTED_VALUE"""),36903.645833333336)</f>
        <v>36903.64583</v>
      </c>
      <c r="B261" s="1">
        <f>IFERROR(__xludf.DUMMYFUNCTION("""COMPUTED_VALUE"""),206.0)</f>
        <v>206</v>
      </c>
      <c r="C261" s="1">
        <f>IFERROR(__xludf.DUMMYFUNCTION("""COMPUTED_VALUE"""),206.5)</f>
        <v>206.5</v>
      </c>
      <c r="D261" s="1">
        <f>IFERROR(__xludf.DUMMYFUNCTION("""COMPUTED_VALUE"""),200.35)</f>
        <v>200.35</v>
      </c>
      <c r="E261" s="1">
        <f>IFERROR(__xludf.DUMMYFUNCTION("""COMPUTED_VALUE"""),201.15)</f>
        <v>201.15</v>
      </c>
      <c r="F261" s="1">
        <f>IFERROR(__xludf.DUMMYFUNCTION("""COMPUTED_VALUE"""),1495326.0)</f>
        <v>1495326</v>
      </c>
    </row>
    <row r="262">
      <c r="A262" s="2">
        <f>IFERROR(__xludf.DUMMYFUNCTION("""COMPUTED_VALUE"""),36906.645833333336)</f>
        <v>36906.64583</v>
      </c>
      <c r="B262" s="1">
        <f>IFERROR(__xludf.DUMMYFUNCTION("""COMPUTED_VALUE"""),202.0)</f>
        <v>202</v>
      </c>
      <c r="C262" s="1">
        <f>IFERROR(__xludf.DUMMYFUNCTION("""COMPUTED_VALUE"""),203.0)</f>
        <v>203</v>
      </c>
      <c r="D262" s="1">
        <f>IFERROR(__xludf.DUMMYFUNCTION("""COMPUTED_VALUE"""),192.65)</f>
        <v>192.65</v>
      </c>
      <c r="E262" s="1">
        <f>IFERROR(__xludf.DUMMYFUNCTION("""COMPUTED_VALUE"""),194.0)</f>
        <v>194</v>
      </c>
      <c r="F262" s="1">
        <f>IFERROR(__xludf.DUMMYFUNCTION("""COMPUTED_VALUE"""),1605565.0)</f>
        <v>1605565</v>
      </c>
    </row>
    <row r="263">
      <c r="A263" s="2">
        <f>IFERROR(__xludf.DUMMYFUNCTION("""COMPUTED_VALUE"""),36907.645833333336)</f>
        <v>36907.64583</v>
      </c>
      <c r="B263" s="1">
        <f>IFERROR(__xludf.DUMMYFUNCTION("""COMPUTED_VALUE"""),193.0)</f>
        <v>193</v>
      </c>
      <c r="C263" s="1">
        <f>IFERROR(__xludf.DUMMYFUNCTION("""COMPUTED_VALUE"""),201.75)</f>
        <v>201.75</v>
      </c>
      <c r="D263" s="1">
        <f>IFERROR(__xludf.DUMMYFUNCTION("""COMPUTED_VALUE"""),191.1)</f>
        <v>191.1</v>
      </c>
      <c r="E263" s="1">
        <f>IFERROR(__xludf.DUMMYFUNCTION("""COMPUTED_VALUE"""),199.9)</f>
        <v>199.9</v>
      </c>
      <c r="F263" s="1">
        <f>IFERROR(__xludf.DUMMYFUNCTION("""COMPUTED_VALUE"""),2713400.0)</f>
        <v>2713400</v>
      </c>
    </row>
    <row r="264">
      <c r="A264" s="2">
        <f>IFERROR(__xludf.DUMMYFUNCTION("""COMPUTED_VALUE"""),36908.645833333336)</f>
        <v>36908.64583</v>
      </c>
      <c r="B264" s="1">
        <f>IFERROR(__xludf.DUMMYFUNCTION("""COMPUTED_VALUE"""),201.0)</f>
        <v>201</v>
      </c>
      <c r="C264" s="1">
        <f>IFERROR(__xludf.DUMMYFUNCTION("""COMPUTED_VALUE"""),211.0)</f>
        <v>211</v>
      </c>
      <c r="D264" s="1">
        <f>IFERROR(__xludf.DUMMYFUNCTION("""COMPUTED_VALUE"""),198.1)</f>
        <v>198.1</v>
      </c>
      <c r="E264" s="1">
        <f>IFERROR(__xludf.DUMMYFUNCTION("""COMPUTED_VALUE"""),204.15)</f>
        <v>204.15</v>
      </c>
      <c r="F264" s="1">
        <f>IFERROR(__xludf.DUMMYFUNCTION("""COMPUTED_VALUE"""),5394911.0)</f>
        <v>5394911</v>
      </c>
    </row>
    <row r="265">
      <c r="A265" s="2">
        <f>IFERROR(__xludf.DUMMYFUNCTION("""COMPUTED_VALUE"""),36909.645833333336)</f>
        <v>36909.64583</v>
      </c>
      <c r="B265" s="1">
        <f>IFERROR(__xludf.DUMMYFUNCTION("""COMPUTED_VALUE"""),204.05)</f>
        <v>204.05</v>
      </c>
      <c r="C265" s="1">
        <f>IFERROR(__xludf.DUMMYFUNCTION("""COMPUTED_VALUE"""),208.7)</f>
        <v>208.7</v>
      </c>
      <c r="D265" s="1">
        <f>IFERROR(__xludf.DUMMYFUNCTION("""COMPUTED_VALUE"""),198.75)</f>
        <v>198.75</v>
      </c>
      <c r="E265" s="1">
        <f>IFERROR(__xludf.DUMMYFUNCTION("""COMPUTED_VALUE"""),199.8)</f>
        <v>199.8</v>
      </c>
      <c r="F265" s="1">
        <f>IFERROR(__xludf.DUMMYFUNCTION("""COMPUTED_VALUE"""),3234752.0)</f>
        <v>3234752</v>
      </c>
    </row>
    <row r="266">
      <c r="A266" s="2">
        <f>IFERROR(__xludf.DUMMYFUNCTION("""COMPUTED_VALUE"""),36910.645833333336)</f>
        <v>36910.64583</v>
      </c>
      <c r="B266" s="1">
        <f>IFERROR(__xludf.DUMMYFUNCTION("""COMPUTED_VALUE"""),200.1)</f>
        <v>200.1</v>
      </c>
      <c r="C266" s="1">
        <f>IFERROR(__xludf.DUMMYFUNCTION("""COMPUTED_VALUE"""),202.0)</f>
        <v>202</v>
      </c>
      <c r="D266" s="1">
        <f>IFERROR(__xludf.DUMMYFUNCTION("""COMPUTED_VALUE"""),196.1)</f>
        <v>196.1</v>
      </c>
      <c r="E266" s="1">
        <f>IFERROR(__xludf.DUMMYFUNCTION("""COMPUTED_VALUE"""),200.25)</f>
        <v>200.25</v>
      </c>
      <c r="F266" s="1">
        <f>IFERROR(__xludf.DUMMYFUNCTION("""COMPUTED_VALUE"""),2502164.0)</f>
        <v>2502164</v>
      </c>
    </row>
    <row r="267">
      <c r="A267" s="2">
        <f>IFERROR(__xludf.DUMMYFUNCTION("""COMPUTED_VALUE"""),36913.645833333336)</f>
        <v>36913.64583</v>
      </c>
      <c r="B267" s="1">
        <f>IFERROR(__xludf.DUMMYFUNCTION("""COMPUTED_VALUE"""),201.0)</f>
        <v>201</v>
      </c>
      <c r="C267" s="1">
        <f>IFERROR(__xludf.DUMMYFUNCTION("""COMPUTED_VALUE"""),204.7)</f>
        <v>204.7</v>
      </c>
      <c r="D267" s="1">
        <f>IFERROR(__xludf.DUMMYFUNCTION("""COMPUTED_VALUE"""),199.5)</f>
        <v>199.5</v>
      </c>
      <c r="E267" s="1">
        <f>IFERROR(__xludf.DUMMYFUNCTION("""COMPUTED_VALUE"""),201.0)</f>
        <v>201</v>
      </c>
      <c r="F267" s="1">
        <f>IFERROR(__xludf.DUMMYFUNCTION("""COMPUTED_VALUE"""),1647927.0)</f>
        <v>1647927</v>
      </c>
    </row>
    <row r="268">
      <c r="A268" s="2">
        <f>IFERROR(__xludf.DUMMYFUNCTION("""COMPUTED_VALUE"""),36914.645833333336)</f>
        <v>36914.64583</v>
      </c>
      <c r="B268" s="1">
        <f>IFERROR(__xludf.DUMMYFUNCTION("""COMPUTED_VALUE"""),201.4)</f>
        <v>201.4</v>
      </c>
      <c r="C268" s="1">
        <f>IFERROR(__xludf.DUMMYFUNCTION("""COMPUTED_VALUE"""),204.9)</f>
        <v>204.9</v>
      </c>
      <c r="D268" s="1">
        <f>IFERROR(__xludf.DUMMYFUNCTION("""COMPUTED_VALUE"""),200.25)</f>
        <v>200.25</v>
      </c>
      <c r="E268" s="1">
        <f>IFERROR(__xludf.DUMMYFUNCTION("""COMPUTED_VALUE"""),201.2)</f>
        <v>201.2</v>
      </c>
      <c r="F268" s="1">
        <f>IFERROR(__xludf.DUMMYFUNCTION("""COMPUTED_VALUE"""),2307519.0)</f>
        <v>2307519</v>
      </c>
    </row>
    <row r="269">
      <c r="A269" s="2">
        <f>IFERROR(__xludf.DUMMYFUNCTION("""COMPUTED_VALUE"""),36915.645833333336)</f>
        <v>36915.64583</v>
      </c>
      <c r="B269" s="1">
        <f>IFERROR(__xludf.DUMMYFUNCTION("""COMPUTED_VALUE"""),201.5)</f>
        <v>201.5</v>
      </c>
      <c r="C269" s="1">
        <f>IFERROR(__xludf.DUMMYFUNCTION("""COMPUTED_VALUE"""),207.25)</f>
        <v>207.25</v>
      </c>
      <c r="D269" s="1">
        <f>IFERROR(__xludf.DUMMYFUNCTION("""COMPUTED_VALUE"""),201.5)</f>
        <v>201.5</v>
      </c>
      <c r="E269" s="1">
        <f>IFERROR(__xludf.DUMMYFUNCTION("""COMPUTED_VALUE"""),203.1)</f>
        <v>203.1</v>
      </c>
      <c r="F269" s="1">
        <f>IFERROR(__xludf.DUMMYFUNCTION("""COMPUTED_VALUE"""),2184433.0)</f>
        <v>2184433</v>
      </c>
    </row>
    <row r="270">
      <c r="A270" s="2">
        <f>IFERROR(__xludf.DUMMYFUNCTION("""COMPUTED_VALUE"""),36916.645833333336)</f>
        <v>36916.64583</v>
      </c>
      <c r="B270" s="1">
        <f>IFERROR(__xludf.DUMMYFUNCTION("""COMPUTED_VALUE"""),203.9)</f>
        <v>203.9</v>
      </c>
      <c r="C270" s="1">
        <f>IFERROR(__xludf.DUMMYFUNCTION("""COMPUTED_VALUE"""),207.0)</f>
        <v>207</v>
      </c>
      <c r="D270" s="1">
        <f>IFERROR(__xludf.DUMMYFUNCTION("""COMPUTED_VALUE"""),203.1)</f>
        <v>203.1</v>
      </c>
      <c r="E270" s="1">
        <f>IFERROR(__xludf.DUMMYFUNCTION("""COMPUTED_VALUE"""),205.85)</f>
        <v>205.85</v>
      </c>
      <c r="F270" s="1">
        <f>IFERROR(__xludf.DUMMYFUNCTION("""COMPUTED_VALUE"""),2298576.0)</f>
        <v>2298576</v>
      </c>
    </row>
    <row r="271">
      <c r="A271" s="2">
        <f>IFERROR(__xludf.DUMMYFUNCTION("""COMPUTED_VALUE"""),36920.645833333336)</f>
        <v>36920.64583</v>
      </c>
      <c r="B271" s="1">
        <f>IFERROR(__xludf.DUMMYFUNCTION("""COMPUTED_VALUE"""),204.0)</f>
        <v>204</v>
      </c>
      <c r="C271" s="1">
        <f>IFERROR(__xludf.DUMMYFUNCTION("""COMPUTED_VALUE"""),205.3)</f>
        <v>205.3</v>
      </c>
      <c r="D271" s="1">
        <f>IFERROR(__xludf.DUMMYFUNCTION("""COMPUTED_VALUE"""),195.1)</f>
        <v>195.1</v>
      </c>
      <c r="E271" s="1">
        <f>IFERROR(__xludf.DUMMYFUNCTION("""COMPUTED_VALUE"""),203.6)</f>
        <v>203.6</v>
      </c>
      <c r="F271" s="1">
        <f>IFERROR(__xludf.DUMMYFUNCTION("""COMPUTED_VALUE"""),2313586.0)</f>
        <v>2313586</v>
      </c>
    </row>
    <row r="272">
      <c r="A272" s="2">
        <f>IFERROR(__xludf.DUMMYFUNCTION("""COMPUTED_VALUE"""),36921.645833333336)</f>
        <v>36921.64583</v>
      </c>
      <c r="B272" s="1">
        <f>IFERROR(__xludf.DUMMYFUNCTION("""COMPUTED_VALUE"""),204.5)</f>
        <v>204.5</v>
      </c>
      <c r="C272" s="1">
        <f>IFERROR(__xludf.DUMMYFUNCTION("""COMPUTED_VALUE"""),212.05)</f>
        <v>212.05</v>
      </c>
      <c r="D272" s="1">
        <f>IFERROR(__xludf.DUMMYFUNCTION("""COMPUTED_VALUE"""),203.15)</f>
        <v>203.15</v>
      </c>
      <c r="E272" s="1">
        <f>IFERROR(__xludf.DUMMYFUNCTION("""COMPUTED_VALUE"""),211.2)</f>
        <v>211.2</v>
      </c>
      <c r="F272" s="1">
        <f>IFERROR(__xludf.DUMMYFUNCTION("""COMPUTED_VALUE"""),2664657.0)</f>
        <v>2664657</v>
      </c>
    </row>
    <row r="273">
      <c r="A273" s="2">
        <f>IFERROR(__xludf.DUMMYFUNCTION("""COMPUTED_VALUE"""),36922.645833333336)</f>
        <v>36922.64583</v>
      </c>
      <c r="B273" s="1">
        <f>IFERROR(__xludf.DUMMYFUNCTION("""COMPUTED_VALUE"""),213.0)</f>
        <v>213</v>
      </c>
      <c r="C273" s="1">
        <f>IFERROR(__xludf.DUMMYFUNCTION("""COMPUTED_VALUE"""),215.0)</f>
        <v>215</v>
      </c>
      <c r="D273" s="1">
        <f>IFERROR(__xludf.DUMMYFUNCTION("""COMPUTED_VALUE"""),206.3)</f>
        <v>206.3</v>
      </c>
      <c r="E273" s="1">
        <f>IFERROR(__xludf.DUMMYFUNCTION("""COMPUTED_VALUE"""),206.9)</f>
        <v>206.9</v>
      </c>
      <c r="F273" s="1">
        <f>IFERROR(__xludf.DUMMYFUNCTION("""COMPUTED_VALUE"""),2438572.0)</f>
        <v>2438572</v>
      </c>
    </row>
    <row r="274">
      <c r="A274" s="2">
        <f>IFERROR(__xludf.DUMMYFUNCTION("""COMPUTED_VALUE"""),36923.645833333336)</f>
        <v>36923.64583</v>
      </c>
      <c r="B274" s="1">
        <f>IFERROR(__xludf.DUMMYFUNCTION("""COMPUTED_VALUE"""),206.5)</f>
        <v>206.5</v>
      </c>
      <c r="C274" s="1">
        <f>IFERROR(__xludf.DUMMYFUNCTION("""COMPUTED_VALUE"""),207.0)</f>
        <v>207</v>
      </c>
      <c r="D274" s="1">
        <f>IFERROR(__xludf.DUMMYFUNCTION("""COMPUTED_VALUE"""),202.0)</f>
        <v>202</v>
      </c>
      <c r="E274" s="1">
        <f>IFERROR(__xludf.DUMMYFUNCTION("""COMPUTED_VALUE"""),203.75)</f>
        <v>203.75</v>
      </c>
      <c r="F274" s="1">
        <f>IFERROR(__xludf.DUMMYFUNCTION("""COMPUTED_VALUE"""),1969827.0)</f>
        <v>1969827</v>
      </c>
    </row>
    <row r="275">
      <c r="A275" s="2">
        <f>IFERROR(__xludf.DUMMYFUNCTION("""COMPUTED_VALUE"""),36924.645833333336)</f>
        <v>36924.64583</v>
      </c>
      <c r="B275" s="1">
        <f>IFERROR(__xludf.DUMMYFUNCTION("""COMPUTED_VALUE"""),202.25)</f>
        <v>202.25</v>
      </c>
      <c r="C275" s="1">
        <f>IFERROR(__xludf.DUMMYFUNCTION("""COMPUTED_VALUE"""),204.35)</f>
        <v>204.35</v>
      </c>
      <c r="D275" s="1">
        <f>IFERROR(__xludf.DUMMYFUNCTION("""COMPUTED_VALUE"""),198.3)</f>
        <v>198.3</v>
      </c>
      <c r="E275" s="1">
        <f>IFERROR(__xludf.DUMMYFUNCTION("""COMPUTED_VALUE"""),200.0)</f>
        <v>200</v>
      </c>
      <c r="F275" s="1">
        <f>IFERROR(__xludf.DUMMYFUNCTION("""COMPUTED_VALUE"""),2568777.0)</f>
        <v>2568777</v>
      </c>
    </row>
    <row r="276">
      <c r="A276" s="2">
        <f>IFERROR(__xludf.DUMMYFUNCTION("""COMPUTED_VALUE"""),36927.645833333336)</f>
        <v>36927.64583</v>
      </c>
      <c r="B276" s="1">
        <f>IFERROR(__xludf.DUMMYFUNCTION("""COMPUTED_VALUE"""),199.8)</f>
        <v>199.8</v>
      </c>
      <c r="C276" s="1">
        <f>IFERROR(__xludf.DUMMYFUNCTION("""COMPUTED_VALUE"""),203.9)</f>
        <v>203.9</v>
      </c>
      <c r="D276" s="1">
        <f>IFERROR(__xludf.DUMMYFUNCTION("""COMPUTED_VALUE"""),197.8)</f>
        <v>197.8</v>
      </c>
      <c r="E276" s="1">
        <f>IFERROR(__xludf.DUMMYFUNCTION("""COMPUTED_VALUE"""),200.05)</f>
        <v>200.05</v>
      </c>
      <c r="F276" s="1">
        <f>IFERROR(__xludf.DUMMYFUNCTION("""COMPUTED_VALUE"""),3589463.0)</f>
        <v>3589463</v>
      </c>
    </row>
    <row r="277">
      <c r="A277" s="2">
        <f>IFERROR(__xludf.DUMMYFUNCTION("""COMPUTED_VALUE"""),36928.645833333336)</f>
        <v>36928.64583</v>
      </c>
      <c r="B277" s="1">
        <f>IFERROR(__xludf.DUMMYFUNCTION("""COMPUTED_VALUE"""),200.5)</f>
        <v>200.5</v>
      </c>
      <c r="C277" s="1">
        <f>IFERROR(__xludf.DUMMYFUNCTION("""COMPUTED_VALUE"""),204.0)</f>
        <v>204</v>
      </c>
      <c r="D277" s="1">
        <f>IFERROR(__xludf.DUMMYFUNCTION("""COMPUTED_VALUE"""),200.0)</f>
        <v>200</v>
      </c>
      <c r="E277" s="1">
        <f>IFERROR(__xludf.DUMMYFUNCTION("""COMPUTED_VALUE"""),201.5)</f>
        <v>201.5</v>
      </c>
      <c r="F277" s="1">
        <f>IFERROR(__xludf.DUMMYFUNCTION("""COMPUTED_VALUE"""),2648803.0)</f>
        <v>2648803</v>
      </c>
    </row>
    <row r="278">
      <c r="A278" s="2">
        <f>IFERROR(__xludf.DUMMYFUNCTION("""COMPUTED_VALUE"""),36929.645833333336)</f>
        <v>36929.64583</v>
      </c>
      <c r="B278" s="1">
        <f>IFERROR(__xludf.DUMMYFUNCTION("""COMPUTED_VALUE"""),201.5)</f>
        <v>201.5</v>
      </c>
      <c r="C278" s="1">
        <f>IFERROR(__xludf.DUMMYFUNCTION("""COMPUTED_VALUE"""),207.35)</f>
        <v>207.35</v>
      </c>
      <c r="D278" s="1">
        <f>IFERROR(__xludf.DUMMYFUNCTION("""COMPUTED_VALUE"""),201.5)</f>
        <v>201.5</v>
      </c>
      <c r="E278" s="1">
        <f>IFERROR(__xludf.DUMMYFUNCTION("""COMPUTED_VALUE"""),202.85)</f>
        <v>202.85</v>
      </c>
      <c r="F278" s="1">
        <f>IFERROR(__xludf.DUMMYFUNCTION("""COMPUTED_VALUE"""),3062075.0)</f>
        <v>3062075</v>
      </c>
    </row>
    <row r="279">
      <c r="A279" s="2">
        <f>IFERROR(__xludf.DUMMYFUNCTION("""COMPUTED_VALUE"""),36930.645833333336)</f>
        <v>36930.64583</v>
      </c>
      <c r="B279" s="1">
        <f>IFERROR(__xludf.DUMMYFUNCTION("""COMPUTED_VALUE"""),204.0)</f>
        <v>204</v>
      </c>
      <c r="C279" s="1">
        <f>IFERROR(__xludf.DUMMYFUNCTION("""COMPUTED_VALUE"""),210.9)</f>
        <v>210.9</v>
      </c>
      <c r="D279" s="1">
        <f>IFERROR(__xludf.DUMMYFUNCTION("""COMPUTED_VALUE"""),203.0)</f>
        <v>203</v>
      </c>
      <c r="E279" s="1">
        <f>IFERROR(__xludf.DUMMYFUNCTION("""COMPUTED_VALUE"""),209.5)</f>
        <v>209.5</v>
      </c>
      <c r="F279" s="1">
        <f>IFERROR(__xludf.DUMMYFUNCTION("""COMPUTED_VALUE"""),4999631.0)</f>
        <v>4999631</v>
      </c>
    </row>
    <row r="280">
      <c r="A280" s="2">
        <f>IFERROR(__xludf.DUMMYFUNCTION("""COMPUTED_VALUE"""),36931.645833333336)</f>
        <v>36931.64583</v>
      </c>
      <c r="B280" s="1">
        <f>IFERROR(__xludf.DUMMYFUNCTION("""COMPUTED_VALUE"""),210.3)</f>
        <v>210.3</v>
      </c>
      <c r="C280" s="1">
        <f>IFERROR(__xludf.DUMMYFUNCTION("""COMPUTED_VALUE"""),214.9)</f>
        <v>214.9</v>
      </c>
      <c r="D280" s="1">
        <f>IFERROR(__xludf.DUMMYFUNCTION("""COMPUTED_VALUE"""),210.0)</f>
        <v>210</v>
      </c>
      <c r="E280" s="1">
        <f>IFERROR(__xludf.DUMMYFUNCTION("""COMPUTED_VALUE"""),213.25)</f>
        <v>213.25</v>
      </c>
      <c r="F280" s="1">
        <f>IFERROR(__xludf.DUMMYFUNCTION("""COMPUTED_VALUE"""),3595382.0)</f>
        <v>3595382</v>
      </c>
    </row>
    <row r="281">
      <c r="A281" s="2">
        <f>IFERROR(__xludf.DUMMYFUNCTION("""COMPUTED_VALUE"""),36934.645833333336)</f>
        <v>36934.64583</v>
      </c>
      <c r="B281" s="1">
        <f>IFERROR(__xludf.DUMMYFUNCTION("""COMPUTED_VALUE"""),213.9)</f>
        <v>213.9</v>
      </c>
      <c r="C281" s="1">
        <f>IFERROR(__xludf.DUMMYFUNCTION("""COMPUTED_VALUE"""),219.9)</f>
        <v>219.9</v>
      </c>
      <c r="D281" s="1">
        <f>IFERROR(__xludf.DUMMYFUNCTION("""COMPUTED_VALUE"""),213.9)</f>
        <v>213.9</v>
      </c>
      <c r="E281" s="1">
        <f>IFERROR(__xludf.DUMMYFUNCTION("""COMPUTED_VALUE"""),215.75)</f>
        <v>215.75</v>
      </c>
      <c r="F281" s="1">
        <f>IFERROR(__xludf.DUMMYFUNCTION("""COMPUTED_VALUE"""),3075247.0)</f>
        <v>3075247</v>
      </c>
    </row>
    <row r="282">
      <c r="A282" s="2">
        <f>IFERROR(__xludf.DUMMYFUNCTION("""COMPUTED_VALUE"""),36935.645833333336)</f>
        <v>36935.64583</v>
      </c>
      <c r="B282" s="1">
        <f>IFERROR(__xludf.DUMMYFUNCTION("""COMPUTED_VALUE"""),216.8)</f>
        <v>216.8</v>
      </c>
      <c r="C282" s="1">
        <f>IFERROR(__xludf.DUMMYFUNCTION("""COMPUTED_VALUE"""),216.9)</f>
        <v>216.9</v>
      </c>
      <c r="D282" s="1">
        <f>IFERROR(__xludf.DUMMYFUNCTION("""COMPUTED_VALUE"""),207.6)</f>
        <v>207.6</v>
      </c>
      <c r="E282" s="1">
        <f>IFERROR(__xludf.DUMMYFUNCTION("""COMPUTED_VALUE"""),208.5)</f>
        <v>208.5</v>
      </c>
      <c r="F282" s="1">
        <f>IFERROR(__xludf.DUMMYFUNCTION("""COMPUTED_VALUE"""),3243712.0)</f>
        <v>3243712</v>
      </c>
    </row>
    <row r="283">
      <c r="A283" s="2">
        <f>IFERROR(__xludf.DUMMYFUNCTION("""COMPUTED_VALUE"""),36936.645833333336)</f>
        <v>36936.64583</v>
      </c>
      <c r="B283" s="1">
        <f>IFERROR(__xludf.DUMMYFUNCTION("""COMPUTED_VALUE"""),209.0)</f>
        <v>209</v>
      </c>
      <c r="C283" s="1">
        <f>IFERROR(__xludf.DUMMYFUNCTION("""COMPUTED_VALUE"""),209.0)</f>
        <v>209</v>
      </c>
      <c r="D283" s="1">
        <f>IFERROR(__xludf.DUMMYFUNCTION("""COMPUTED_VALUE"""),204.4)</f>
        <v>204.4</v>
      </c>
      <c r="E283" s="1">
        <f>IFERROR(__xludf.DUMMYFUNCTION("""COMPUTED_VALUE"""),207.5)</f>
        <v>207.5</v>
      </c>
      <c r="F283" s="1">
        <f>IFERROR(__xludf.DUMMYFUNCTION("""COMPUTED_VALUE"""),2041585.0)</f>
        <v>2041585</v>
      </c>
    </row>
    <row r="284">
      <c r="A284" s="2">
        <f>IFERROR(__xludf.DUMMYFUNCTION("""COMPUTED_VALUE"""),36937.645833333336)</f>
        <v>36937.64583</v>
      </c>
      <c r="B284" s="1">
        <f>IFERROR(__xludf.DUMMYFUNCTION("""COMPUTED_VALUE"""),207.9)</f>
        <v>207.9</v>
      </c>
      <c r="C284" s="1">
        <f>IFERROR(__xludf.DUMMYFUNCTION("""COMPUTED_VALUE"""),222.9)</f>
        <v>222.9</v>
      </c>
      <c r="D284" s="1">
        <f>IFERROR(__xludf.DUMMYFUNCTION("""COMPUTED_VALUE"""),204.75)</f>
        <v>204.75</v>
      </c>
      <c r="E284" s="1">
        <f>IFERROR(__xludf.DUMMYFUNCTION("""COMPUTED_VALUE"""),220.55)</f>
        <v>220.55</v>
      </c>
      <c r="F284" s="1">
        <f>IFERROR(__xludf.DUMMYFUNCTION("""COMPUTED_VALUE"""),1.2586429E7)</f>
        <v>12586429</v>
      </c>
    </row>
    <row r="285">
      <c r="A285" s="2">
        <f>IFERROR(__xludf.DUMMYFUNCTION("""COMPUTED_VALUE"""),36938.645833333336)</f>
        <v>36938.64583</v>
      </c>
      <c r="B285" s="1">
        <f>IFERROR(__xludf.DUMMYFUNCTION("""COMPUTED_VALUE"""),219.5)</f>
        <v>219.5</v>
      </c>
      <c r="C285" s="1">
        <f>IFERROR(__xludf.DUMMYFUNCTION("""COMPUTED_VALUE"""),221.9)</f>
        <v>221.9</v>
      </c>
      <c r="D285" s="1">
        <f>IFERROR(__xludf.DUMMYFUNCTION("""COMPUTED_VALUE"""),215.2)</f>
        <v>215.2</v>
      </c>
      <c r="E285" s="1">
        <f>IFERROR(__xludf.DUMMYFUNCTION("""COMPUTED_VALUE"""),216.15)</f>
        <v>216.15</v>
      </c>
      <c r="F285" s="1">
        <f>IFERROR(__xludf.DUMMYFUNCTION("""COMPUTED_VALUE"""),4888989.0)</f>
        <v>4888989</v>
      </c>
    </row>
    <row r="286">
      <c r="A286" s="2">
        <f>IFERROR(__xludf.DUMMYFUNCTION("""COMPUTED_VALUE"""),36941.645833333336)</f>
        <v>36941.64583</v>
      </c>
      <c r="B286" s="1">
        <f>IFERROR(__xludf.DUMMYFUNCTION("""COMPUTED_VALUE"""),217.8)</f>
        <v>217.8</v>
      </c>
      <c r="C286" s="1">
        <f>IFERROR(__xludf.DUMMYFUNCTION("""COMPUTED_VALUE"""),220.95)</f>
        <v>220.95</v>
      </c>
      <c r="D286" s="1">
        <f>IFERROR(__xludf.DUMMYFUNCTION("""COMPUTED_VALUE"""),213.6)</f>
        <v>213.6</v>
      </c>
      <c r="E286" s="1">
        <f>IFERROR(__xludf.DUMMYFUNCTION("""COMPUTED_VALUE"""),216.2)</f>
        <v>216.2</v>
      </c>
      <c r="F286" s="1">
        <f>IFERROR(__xludf.DUMMYFUNCTION("""COMPUTED_VALUE"""),2550131.0)</f>
        <v>2550131</v>
      </c>
    </row>
    <row r="287">
      <c r="A287" s="2">
        <f>IFERROR(__xludf.DUMMYFUNCTION("""COMPUTED_VALUE"""),36942.645833333336)</f>
        <v>36942.64583</v>
      </c>
      <c r="B287" s="1">
        <f>IFERROR(__xludf.DUMMYFUNCTION("""COMPUTED_VALUE"""),217.0)</f>
        <v>217</v>
      </c>
      <c r="C287" s="1">
        <f>IFERROR(__xludf.DUMMYFUNCTION("""COMPUTED_VALUE"""),222.75)</f>
        <v>222.75</v>
      </c>
      <c r="D287" s="1">
        <f>IFERROR(__xludf.DUMMYFUNCTION("""COMPUTED_VALUE"""),214.8)</f>
        <v>214.8</v>
      </c>
      <c r="E287" s="1">
        <f>IFERROR(__xludf.DUMMYFUNCTION("""COMPUTED_VALUE"""),218.65)</f>
        <v>218.65</v>
      </c>
      <c r="F287" s="1">
        <f>IFERROR(__xludf.DUMMYFUNCTION("""COMPUTED_VALUE"""),5106702.0)</f>
        <v>5106702</v>
      </c>
    </row>
    <row r="288">
      <c r="A288" s="2">
        <f>IFERROR(__xludf.DUMMYFUNCTION("""COMPUTED_VALUE"""),36943.645833333336)</f>
        <v>36943.64583</v>
      </c>
      <c r="B288" s="1">
        <f>IFERROR(__xludf.DUMMYFUNCTION("""COMPUTED_VALUE"""),219.0)</f>
        <v>219</v>
      </c>
      <c r="C288" s="1">
        <f>IFERROR(__xludf.DUMMYFUNCTION("""COMPUTED_VALUE"""),224.65)</f>
        <v>224.65</v>
      </c>
      <c r="D288" s="1">
        <f>IFERROR(__xludf.DUMMYFUNCTION("""COMPUTED_VALUE"""),218.0)</f>
        <v>218</v>
      </c>
      <c r="E288" s="1">
        <f>IFERROR(__xludf.DUMMYFUNCTION("""COMPUTED_VALUE"""),222.4)</f>
        <v>222.4</v>
      </c>
      <c r="F288" s="1">
        <f>IFERROR(__xludf.DUMMYFUNCTION("""COMPUTED_VALUE"""),5297019.0)</f>
        <v>5297019</v>
      </c>
    </row>
    <row r="289">
      <c r="A289" s="2">
        <f>IFERROR(__xludf.DUMMYFUNCTION("""COMPUTED_VALUE"""),36944.645833333336)</f>
        <v>36944.64583</v>
      </c>
      <c r="B289" s="1">
        <f>IFERROR(__xludf.DUMMYFUNCTION("""COMPUTED_VALUE"""),222.1)</f>
        <v>222.1</v>
      </c>
      <c r="C289" s="1">
        <f>IFERROR(__xludf.DUMMYFUNCTION("""COMPUTED_VALUE"""),224.8)</f>
        <v>224.8</v>
      </c>
      <c r="D289" s="1">
        <f>IFERROR(__xludf.DUMMYFUNCTION("""COMPUTED_VALUE"""),216.15)</f>
        <v>216.15</v>
      </c>
      <c r="E289" s="1">
        <f>IFERROR(__xludf.DUMMYFUNCTION("""COMPUTED_VALUE"""),217.9)</f>
        <v>217.9</v>
      </c>
      <c r="F289" s="1">
        <f>IFERROR(__xludf.DUMMYFUNCTION("""COMPUTED_VALUE"""),3580828.0)</f>
        <v>3580828</v>
      </c>
    </row>
    <row r="290">
      <c r="A290" s="2">
        <f>IFERROR(__xludf.DUMMYFUNCTION("""COMPUTED_VALUE"""),36945.645833333336)</f>
        <v>36945.64583</v>
      </c>
      <c r="B290" s="1">
        <f>IFERROR(__xludf.DUMMYFUNCTION("""COMPUTED_VALUE"""),217.0)</f>
        <v>217</v>
      </c>
      <c r="C290" s="1">
        <f>IFERROR(__xludf.DUMMYFUNCTION("""COMPUTED_VALUE"""),220.0)</f>
        <v>220</v>
      </c>
      <c r="D290" s="1">
        <f>IFERROR(__xludf.DUMMYFUNCTION("""COMPUTED_VALUE"""),214.0)</f>
        <v>214</v>
      </c>
      <c r="E290" s="1">
        <f>IFERROR(__xludf.DUMMYFUNCTION("""COMPUTED_VALUE"""),217.0)</f>
        <v>217</v>
      </c>
      <c r="F290" s="1">
        <f>IFERROR(__xludf.DUMMYFUNCTION("""COMPUTED_VALUE"""),3232618.0)</f>
        <v>3232618</v>
      </c>
    </row>
    <row r="291">
      <c r="A291" s="2">
        <f>IFERROR(__xludf.DUMMYFUNCTION("""COMPUTED_VALUE"""),36948.645833333336)</f>
        <v>36948.64583</v>
      </c>
      <c r="B291" s="1">
        <f>IFERROR(__xludf.DUMMYFUNCTION("""COMPUTED_VALUE"""),215.5)</f>
        <v>215.5</v>
      </c>
      <c r="C291" s="1">
        <f>IFERROR(__xludf.DUMMYFUNCTION("""COMPUTED_VALUE"""),218.5)</f>
        <v>218.5</v>
      </c>
      <c r="D291" s="1">
        <f>IFERROR(__xludf.DUMMYFUNCTION("""COMPUTED_VALUE"""),206.35)</f>
        <v>206.35</v>
      </c>
      <c r="E291" s="1">
        <f>IFERROR(__xludf.DUMMYFUNCTION("""COMPUTED_VALUE"""),208.0)</f>
        <v>208</v>
      </c>
      <c r="F291" s="1">
        <f>IFERROR(__xludf.DUMMYFUNCTION("""COMPUTED_VALUE"""),2929069.0)</f>
        <v>2929069</v>
      </c>
    </row>
    <row r="292">
      <c r="A292" s="2">
        <f>IFERROR(__xludf.DUMMYFUNCTION("""COMPUTED_VALUE"""),36949.645833333336)</f>
        <v>36949.64583</v>
      </c>
      <c r="B292" s="1">
        <f>IFERROR(__xludf.DUMMYFUNCTION("""COMPUTED_VALUE"""),209.5)</f>
        <v>209.5</v>
      </c>
      <c r="C292" s="1">
        <f>IFERROR(__xludf.DUMMYFUNCTION("""COMPUTED_VALUE"""),209.75)</f>
        <v>209.75</v>
      </c>
      <c r="D292" s="1">
        <f>IFERROR(__xludf.DUMMYFUNCTION("""COMPUTED_VALUE"""),200.55)</f>
        <v>200.55</v>
      </c>
      <c r="E292" s="1">
        <f>IFERROR(__xludf.DUMMYFUNCTION("""COMPUTED_VALUE"""),206.15)</f>
        <v>206.15</v>
      </c>
      <c r="F292" s="1">
        <f>IFERROR(__xludf.DUMMYFUNCTION("""COMPUTED_VALUE"""),2766683.0)</f>
        <v>2766683</v>
      </c>
    </row>
    <row r="293">
      <c r="A293" s="2">
        <f>IFERROR(__xludf.DUMMYFUNCTION("""COMPUTED_VALUE"""),36950.645833333336)</f>
        <v>36950.64583</v>
      </c>
      <c r="B293" s="1">
        <f>IFERROR(__xludf.DUMMYFUNCTION("""COMPUTED_VALUE"""),207.55)</f>
        <v>207.55</v>
      </c>
      <c r="C293" s="1">
        <f>IFERROR(__xludf.DUMMYFUNCTION("""COMPUTED_VALUE"""),239.15)</f>
        <v>239.15</v>
      </c>
      <c r="D293" s="1">
        <f>IFERROR(__xludf.DUMMYFUNCTION("""COMPUTED_VALUE"""),204.0)</f>
        <v>204</v>
      </c>
      <c r="E293" s="1">
        <f>IFERROR(__xludf.DUMMYFUNCTION("""COMPUTED_VALUE"""),229.7)</f>
        <v>229.7</v>
      </c>
      <c r="F293" s="1">
        <f>IFERROR(__xludf.DUMMYFUNCTION("""COMPUTED_VALUE"""),7934229.0)</f>
        <v>7934229</v>
      </c>
    </row>
    <row r="294">
      <c r="A294" s="2">
        <f>IFERROR(__xludf.DUMMYFUNCTION("""COMPUTED_VALUE"""),36951.645833333336)</f>
        <v>36951.64583</v>
      </c>
      <c r="B294" s="1">
        <f>IFERROR(__xludf.DUMMYFUNCTION("""COMPUTED_VALUE"""),231.8)</f>
        <v>231.8</v>
      </c>
      <c r="C294" s="1">
        <f>IFERROR(__xludf.DUMMYFUNCTION("""COMPUTED_VALUE"""),238.9)</f>
        <v>238.9</v>
      </c>
      <c r="D294" s="1">
        <f>IFERROR(__xludf.DUMMYFUNCTION("""COMPUTED_VALUE"""),228.0)</f>
        <v>228</v>
      </c>
      <c r="E294" s="1">
        <f>IFERROR(__xludf.DUMMYFUNCTION("""COMPUTED_VALUE"""),231.1)</f>
        <v>231.1</v>
      </c>
      <c r="F294" s="1">
        <f>IFERROR(__xludf.DUMMYFUNCTION("""COMPUTED_VALUE"""),5750629.0)</f>
        <v>5750629</v>
      </c>
    </row>
    <row r="295">
      <c r="A295" s="2">
        <f>IFERROR(__xludf.DUMMYFUNCTION("""COMPUTED_VALUE"""),36952.645833333336)</f>
        <v>36952.64583</v>
      </c>
      <c r="B295" s="1">
        <f>IFERROR(__xludf.DUMMYFUNCTION("""COMPUTED_VALUE"""),233.0)</f>
        <v>233</v>
      </c>
      <c r="C295" s="1">
        <f>IFERROR(__xludf.DUMMYFUNCTION("""COMPUTED_VALUE"""),237.0)</f>
        <v>237</v>
      </c>
      <c r="D295" s="1">
        <f>IFERROR(__xludf.DUMMYFUNCTION("""COMPUTED_VALUE"""),228.0)</f>
        <v>228</v>
      </c>
      <c r="E295" s="1">
        <f>IFERROR(__xludf.DUMMYFUNCTION("""COMPUTED_VALUE"""),230.8)</f>
        <v>230.8</v>
      </c>
      <c r="F295" s="1">
        <f>IFERROR(__xludf.DUMMYFUNCTION("""COMPUTED_VALUE"""),4187270.0)</f>
        <v>4187270</v>
      </c>
    </row>
    <row r="296">
      <c r="A296" s="2">
        <f>IFERROR(__xludf.DUMMYFUNCTION("""COMPUTED_VALUE"""),36955.645833333336)</f>
        <v>36955.64583</v>
      </c>
      <c r="B296" s="1">
        <f>IFERROR(__xludf.DUMMYFUNCTION("""COMPUTED_VALUE"""),231.0)</f>
        <v>231</v>
      </c>
      <c r="C296" s="1">
        <f>IFERROR(__xludf.DUMMYFUNCTION("""COMPUTED_VALUE"""),233.5)</f>
        <v>233.5</v>
      </c>
      <c r="D296" s="1">
        <f>IFERROR(__xludf.DUMMYFUNCTION("""COMPUTED_VALUE"""),224.35)</f>
        <v>224.35</v>
      </c>
      <c r="E296" s="1">
        <f>IFERROR(__xludf.DUMMYFUNCTION("""COMPUTED_VALUE"""),225.2)</f>
        <v>225.2</v>
      </c>
      <c r="F296" s="1">
        <f>IFERROR(__xludf.DUMMYFUNCTION("""COMPUTED_VALUE"""),3994650.0)</f>
        <v>3994650</v>
      </c>
    </row>
    <row r="297">
      <c r="A297" s="2">
        <f>IFERROR(__xludf.DUMMYFUNCTION("""COMPUTED_VALUE"""),36957.645833333336)</f>
        <v>36957.64583</v>
      </c>
      <c r="B297" s="1">
        <f>IFERROR(__xludf.DUMMYFUNCTION("""COMPUTED_VALUE"""),228.95)</f>
        <v>228.95</v>
      </c>
      <c r="C297" s="1">
        <f>IFERROR(__xludf.DUMMYFUNCTION("""COMPUTED_VALUE"""),229.0)</f>
        <v>229</v>
      </c>
      <c r="D297" s="1">
        <f>IFERROR(__xludf.DUMMYFUNCTION("""COMPUTED_VALUE"""),220.35)</f>
        <v>220.35</v>
      </c>
      <c r="E297" s="1">
        <f>IFERROR(__xludf.DUMMYFUNCTION("""COMPUTED_VALUE"""),225.45)</f>
        <v>225.45</v>
      </c>
      <c r="F297" s="1">
        <f>IFERROR(__xludf.DUMMYFUNCTION("""COMPUTED_VALUE"""),2665613.0)</f>
        <v>2665613</v>
      </c>
    </row>
    <row r="298">
      <c r="A298" s="2">
        <f>IFERROR(__xludf.DUMMYFUNCTION("""COMPUTED_VALUE"""),36958.645833333336)</f>
        <v>36958.64583</v>
      </c>
      <c r="B298" s="1">
        <f>IFERROR(__xludf.DUMMYFUNCTION("""COMPUTED_VALUE"""),227.5)</f>
        <v>227.5</v>
      </c>
      <c r="C298" s="1">
        <f>IFERROR(__xludf.DUMMYFUNCTION("""COMPUTED_VALUE"""),234.0)</f>
        <v>234</v>
      </c>
      <c r="D298" s="1">
        <f>IFERROR(__xludf.DUMMYFUNCTION("""COMPUTED_VALUE"""),225.1)</f>
        <v>225.1</v>
      </c>
      <c r="E298" s="1">
        <f>IFERROR(__xludf.DUMMYFUNCTION("""COMPUTED_VALUE"""),227.95)</f>
        <v>227.95</v>
      </c>
      <c r="F298" s="1">
        <f>IFERROR(__xludf.DUMMYFUNCTION("""COMPUTED_VALUE"""),1790820.0)</f>
        <v>1790820</v>
      </c>
    </row>
    <row r="299">
      <c r="A299" s="2">
        <f>IFERROR(__xludf.DUMMYFUNCTION("""COMPUTED_VALUE"""),36959.645833333336)</f>
        <v>36959.64583</v>
      </c>
      <c r="B299" s="1">
        <f>IFERROR(__xludf.DUMMYFUNCTION("""COMPUTED_VALUE"""),225.55)</f>
        <v>225.55</v>
      </c>
      <c r="C299" s="1">
        <f>IFERROR(__xludf.DUMMYFUNCTION("""COMPUTED_VALUE"""),229.9)</f>
        <v>229.9</v>
      </c>
      <c r="D299" s="1">
        <f>IFERROR(__xludf.DUMMYFUNCTION("""COMPUTED_VALUE"""),218.55)</f>
        <v>218.55</v>
      </c>
      <c r="E299" s="1">
        <f>IFERROR(__xludf.DUMMYFUNCTION("""COMPUTED_VALUE"""),224.3)</f>
        <v>224.3</v>
      </c>
      <c r="F299" s="1">
        <f>IFERROR(__xludf.DUMMYFUNCTION("""COMPUTED_VALUE"""),1379511.0)</f>
        <v>1379511</v>
      </c>
    </row>
    <row r="300">
      <c r="A300" s="2">
        <f>IFERROR(__xludf.DUMMYFUNCTION("""COMPUTED_VALUE"""),36962.645833333336)</f>
        <v>36962.64583</v>
      </c>
      <c r="B300" s="1">
        <f>IFERROR(__xludf.DUMMYFUNCTION("""COMPUTED_VALUE"""),221.05)</f>
        <v>221.05</v>
      </c>
      <c r="C300" s="1">
        <f>IFERROR(__xludf.DUMMYFUNCTION("""COMPUTED_VALUE"""),223.75)</f>
        <v>223.75</v>
      </c>
      <c r="D300" s="1">
        <f>IFERROR(__xludf.DUMMYFUNCTION("""COMPUTED_VALUE"""),214.1)</f>
        <v>214.1</v>
      </c>
      <c r="E300" s="1">
        <f>IFERROR(__xludf.DUMMYFUNCTION("""COMPUTED_VALUE"""),215.75)</f>
        <v>215.75</v>
      </c>
      <c r="F300" s="1">
        <f>IFERROR(__xludf.DUMMYFUNCTION("""COMPUTED_VALUE"""),786827.0)</f>
        <v>786827</v>
      </c>
    </row>
    <row r="301">
      <c r="A301" s="2">
        <f>IFERROR(__xludf.DUMMYFUNCTION("""COMPUTED_VALUE"""),36963.645833333336)</f>
        <v>36963.64583</v>
      </c>
      <c r="B301" s="1">
        <f>IFERROR(__xludf.DUMMYFUNCTION("""COMPUTED_VALUE"""),213.95)</f>
        <v>213.95</v>
      </c>
      <c r="C301" s="1">
        <f>IFERROR(__xludf.DUMMYFUNCTION("""COMPUTED_VALUE"""),223.7)</f>
        <v>223.7</v>
      </c>
      <c r="D301" s="1">
        <f>IFERROR(__xludf.DUMMYFUNCTION("""COMPUTED_VALUE"""),205.0)</f>
        <v>205</v>
      </c>
      <c r="E301" s="1">
        <f>IFERROR(__xludf.DUMMYFUNCTION("""COMPUTED_VALUE"""),211.35)</f>
        <v>211.35</v>
      </c>
      <c r="F301" s="1">
        <f>IFERROR(__xludf.DUMMYFUNCTION("""COMPUTED_VALUE"""),1465036.0)</f>
        <v>1465036</v>
      </c>
    </row>
    <row r="302">
      <c r="A302" s="2">
        <f>IFERROR(__xludf.DUMMYFUNCTION("""COMPUTED_VALUE"""),36964.645833333336)</f>
        <v>36964.64583</v>
      </c>
      <c r="B302" s="1">
        <f>IFERROR(__xludf.DUMMYFUNCTION("""COMPUTED_VALUE"""),212.8)</f>
        <v>212.8</v>
      </c>
      <c r="C302" s="1">
        <f>IFERROR(__xludf.DUMMYFUNCTION("""COMPUTED_VALUE"""),219.0)</f>
        <v>219</v>
      </c>
      <c r="D302" s="1">
        <f>IFERROR(__xludf.DUMMYFUNCTION("""COMPUTED_VALUE"""),205.1)</f>
        <v>205.1</v>
      </c>
      <c r="E302" s="1">
        <f>IFERROR(__xludf.DUMMYFUNCTION("""COMPUTED_VALUE"""),216.9)</f>
        <v>216.9</v>
      </c>
      <c r="F302" s="1">
        <f>IFERROR(__xludf.DUMMYFUNCTION("""COMPUTED_VALUE"""),1175770.0)</f>
        <v>1175770</v>
      </c>
    </row>
    <row r="303">
      <c r="A303" s="2">
        <f>IFERROR(__xludf.DUMMYFUNCTION("""COMPUTED_VALUE"""),36965.645833333336)</f>
        <v>36965.64583</v>
      </c>
      <c r="B303" s="1">
        <f>IFERROR(__xludf.DUMMYFUNCTION("""COMPUTED_VALUE"""),215.25)</f>
        <v>215.25</v>
      </c>
      <c r="C303" s="1">
        <f>IFERROR(__xludf.DUMMYFUNCTION("""COMPUTED_VALUE"""),223.5)</f>
        <v>223.5</v>
      </c>
      <c r="D303" s="1">
        <f>IFERROR(__xludf.DUMMYFUNCTION("""COMPUTED_VALUE"""),214.0)</f>
        <v>214</v>
      </c>
      <c r="E303" s="1">
        <f>IFERROR(__xludf.DUMMYFUNCTION("""COMPUTED_VALUE"""),221.3)</f>
        <v>221.3</v>
      </c>
      <c r="F303" s="1">
        <f>IFERROR(__xludf.DUMMYFUNCTION("""COMPUTED_VALUE"""),622369.0)</f>
        <v>622369</v>
      </c>
    </row>
    <row r="304">
      <c r="A304" s="2">
        <f>IFERROR(__xludf.DUMMYFUNCTION("""COMPUTED_VALUE"""),36966.645833333336)</f>
        <v>36966.64583</v>
      </c>
      <c r="B304" s="1">
        <f>IFERROR(__xludf.DUMMYFUNCTION("""COMPUTED_VALUE"""),220.2)</f>
        <v>220.2</v>
      </c>
      <c r="C304" s="1">
        <f>IFERROR(__xludf.DUMMYFUNCTION("""COMPUTED_VALUE"""),222.75)</f>
        <v>222.75</v>
      </c>
      <c r="D304" s="1">
        <f>IFERROR(__xludf.DUMMYFUNCTION("""COMPUTED_VALUE"""),216.6)</f>
        <v>216.6</v>
      </c>
      <c r="E304" s="1">
        <f>IFERROR(__xludf.DUMMYFUNCTION("""COMPUTED_VALUE"""),219.5)</f>
        <v>219.5</v>
      </c>
      <c r="F304" s="1">
        <f>IFERROR(__xludf.DUMMYFUNCTION("""COMPUTED_VALUE"""),663163.0)</f>
        <v>663163</v>
      </c>
    </row>
    <row r="305">
      <c r="A305" s="2">
        <f>IFERROR(__xludf.DUMMYFUNCTION("""COMPUTED_VALUE"""),36969.645833333336)</f>
        <v>36969.64583</v>
      </c>
      <c r="B305" s="1">
        <f>IFERROR(__xludf.DUMMYFUNCTION("""COMPUTED_VALUE"""),220.0)</f>
        <v>220</v>
      </c>
      <c r="C305" s="1">
        <f>IFERROR(__xludf.DUMMYFUNCTION("""COMPUTED_VALUE"""),220.0)</f>
        <v>220</v>
      </c>
      <c r="D305" s="1">
        <f>IFERROR(__xludf.DUMMYFUNCTION("""COMPUTED_VALUE"""),216.5)</f>
        <v>216.5</v>
      </c>
      <c r="E305" s="1">
        <f>IFERROR(__xludf.DUMMYFUNCTION("""COMPUTED_VALUE"""),218.0)</f>
        <v>218</v>
      </c>
      <c r="F305" s="1">
        <f>IFERROR(__xludf.DUMMYFUNCTION("""COMPUTED_VALUE"""),359606.0)</f>
        <v>359606</v>
      </c>
    </row>
    <row r="306">
      <c r="A306" s="2">
        <f>IFERROR(__xludf.DUMMYFUNCTION("""COMPUTED_VALUE"""),36970.645833333336)</f>
        <v>36970.64583</v>
      </c>
      <c r="B306" s="1">
        <f>IFERROR(__xludf.DUMMYFUNCTION("""COMPUTED_VALUE"""),218.95)</f>
        <v>218.95</v>
      </c>
      <c r="C306" s="1">
        <f>IFERROR(__xludf.DUMMYFUNCTION("""COMPUTED_VALUE"""),218.95)</f>
        <v>218.95</v>
      </c>
      <c r="D306" s="1">
        <f>IFERROR(__xludf.DUMMYFUNCTION("""COMPUTED_VALUE"""),213.5)</f>
        <v>213.5</v>
      </c>
      <c r="E306" s="1">
        <f>IFERROR(__xludf.DUMMYFUNCTION("""COMPUTED_VALUE"""),214.8)</f>
        <v>214.8</v>
      </c>
      <c r="F306" s="1">
        <f>IFERROR(__xludf.DUMMYFUNCTION("""COMPUTED_VALUE"""),466468.0)</f>
        <v>466468</v>
      </c>
    </row>
    <row r="307">
      <c r="A307" s="2">
        <f>IFERROR(__xludf.DUMMYFUNCTION("""COMPUTED_VALUE"""),36971.645833333336)</f>
        <v>36971.64583</v>
      </c>
      <c r="B307" s="1">
        <f>IFERROR(__xludf.DUMMYFUNCTION("""COMPUTED_VALUE"""),215.0)</f>
        <v>215</v>
      </c>
      <c r="C307" s="1">
        <f>IFERROR(__xludf.DUMMYFUNCTION("""COMPUTED_VALUE"""),225.0)</f>
        <v>225</v>
      </c>
      <c r="D307" s="1">
        <f>IFERROR(__xludf.DUMMYFUNCTION("""COMPUTED_VALUE"""),213.0)</f>
        <v>213</v>
      </c>
      <c r="E307" s="1">
        <f>IFERROR(__xludf.DUMMYFUNCTION("""COMPUTED_VALUE"""),223.55)</f>
        <v>223.55</v>
      </c>
      <c r="F307" s="1">
        <f>IFERROR(__xludf.DUMMYFUNCTION("""COMPUTED_VALUE"""),1044334.0)</f>
        <v>1044334</v>
      </c>
    </row>
    <row r="308">
      <c r="A308" s="2">
        <f>IFERROR(__xludf.DUMMYFUNCTION("""COMPUTED_VALUE"""),36972.645833333336)</f>
        <v>36972.64583</v>
      </c>
      <c r="B308" s="1">
        <f>IFERROR(__xludf.DUMMYFUNCTION("""COMPUTED_VALUE"""),224.0)</f>
        <v>224</v>
      </c>
      <c r="C308" s="1">
        <f>IFERROR(__xludf.DUMMYFUNCTION("""COMPUTED_VALUE"""),224.8)</f>
        <v>224.8</v>
      </c>
      <c r="D308" s="1">
        <f>IFERROR(__xludf.DUMMYFUNCTION("""COMPUTED_VALUE"""),218.0)</f>
        <v>218</v>
      </c>
      <c r="E308" s="1">
        <f>IFERROR(__xludf.DUMMYFUNCTION("""COMPUTED_VALUE"""),219.2)</f>
        <v>219.2</v>
      </c>
      <c r="F308" s="1">
        <f>IFERROR(__xludf.DUMMYFUNCTION("""COMPUTED_VALUE"""),491346.0)</f>
        <v>491346</v>
      </c>
    </row>
    <row r="309">
      <c r="A309" s="2">
        <f>IFERROR(__xludf.DUMMYFUNCTION("""COMPUTED_VALUE"""),36973.645833333336)</f>
        <v>36973.64583</v>
      </c>
      <c r="B309" s="1">
        <f>IFERROR(__xludf.DUMMYFUNCTION("""COMPUTED_VALUE"""),220.0)</f>
        <v>220</v>
      </c>
      <c r="C309" s="1">
        <f>IFERROR(__xludf.DUMMYFUNCTION("""COMPUTED_VALUE"""),220.5)</f>
        <v>220.5</v>
      </c>
      <c r="D309" s="1">
        <f>IFERROR(__xludf.DUMMYFUNCTION("""COMPUTED_VALUE"""),209.5)</f>
        <v>209.5</v>
      </c>
      <c r="E309" s="1">
        <f>IFERROR(__xludf.DUMMYFUNCTION("""COMPUTED_VALUE"""),215.2)</f>
        <v>215.2</v>
      </c>
      <c r="F309" s="1">
        <f>IFERROR(__xludf.DUMMYFUNCTION("""COMPUTED_VALUE"""),1229821.0)</f>
        <v>1229821</v>
      </c>
    </row>
    <row r="310">
      <c r="A310" s="2">
        <f>IFERROR(__xludf.DUMMYFUNCTION("""COMPUTED_VALUE"""),36976.645833333336)</f>
        <v>36976.64583</v>
      </c>
      <c r="B310" s="1">
        <f>IFERROR(__xludf.DUMMYFUNCTION("""COMPUTED_VALUE"""),216.0)</f>
        <v>216</v>
      </c>
      <c r="C310" s="1">
        <f>IFERROR(__xludf.DUMMYFUNCTION("""COMPUTED_VALUE"""),216.0)</f>
        <v>216</v>
      </c>
      <c r="D310" s="1">
        <f>IFERROR(__xludf.DUMMYFUNCTION("""COMPUTED_VALUE"""),210.1)</f>
        <v>210.1</v>
      </c>
      <c r="E310" s="1">
        <f>IFERROR(__xludf.DUMMYFUNCTION("""COMPUTED_VALUE"""),211.1)</f>
        <v>211.1</v>
      </c>
      <c r="F310" s="1">
        <f>IFERROR(__xludf.DUMMYFUNCTION("""COMPUTED_VALUE"""),469827.0)</f>
        <v>469827</v>
      </c>
    </row>
    <row r="311">
      <c r="A311" s="2">
        <f>IFERROR(__xludf.DUMMYFUNCTION("""COMPUTED_VALUE"""),36977.645833333336)</f>
        <v>36977.64583</v>
      </c>
      <c r="B311" s="1">
        <f>IFERROR(__xludf.DUMMYFUNCTION("""COMPUTED_VALUE"""),212.0)</f>
        <v>212</v>
      </c>
      <c r="C311" s="1">
        <f>IFERROR(__xludf.DUMMYFUNCTION("""COMPUTED_VALUE"""),212.95)</f>
        <v>212.95</v>
      </c>
      <c r="D311" s="1">
        <f>IFERROR(__xludf.DUMMYFUNCTION("""COMPUTED_VALUE"""),209.35)</f>
        <v>209.35</v>
      </c>
      <c r="E311" s="1">
        <f>IFERROR(__xludf.DUMMYFUNCTION("""COMPUTED_VALUE"""),210.05)</f>
        <v>210.05</v>
      </c>
      <c r="F311" s="1">
        <f>IFERROR(__xludf.DUMMYFUNCTION("""COMPUTED_VALUE"""),1297768.0)</f>
        <v>1297768</v>
      </c>
    </row>
    <row r="312">
      <c r="A312" s="2">
        <f>IFERROR(__xludf.DUMMYFUNCTION("""COMPUTED_VALUE"""),36978.645833333336)</f>
        <v>36978.64583</v>
      </c>
      <c r="B312" s="1">
        <f>IFERROR(__xludf.DUMMYFUNCTION("""COMPUTED_VALUE"""),213.0)</f>
        <v>213</v>
      </c>
      <c r="C312" s="1">
        <f>IFERROR(__xludf.DUMMYFUNCTION("""COMPUTED_VALUE"""),222.95)</f>
        <v>222.95</v>
      </c>
      <c r="D312" s="1">
        <f>IFERROR(__xludf.DUMMYFUNCTION("""COMPUTED_VALUE"""),212.0)</f>
        <v>212</v>
      </c>
      <c r="E312" s="1">
        <f>IFERROR(__xludf.DUMMYFUNCTION("""COMPUTED_VALUE"""),220.6)</f>
        <v>220.6</v>
      </c>
      <c r="F312" s="1">
        <f>IFERROR(__xludf.DUMMYFUNCTION("""COMPUTED_VALUE"""),1082490.0)</f>
        <v>1082490</v>
      </c>
    </row>
    <row r="313">
      <c r="A313" s="2">
        <f>IFERROR(__xludf.DUMMYFUNCTION("""COMPUTED_VALUE"""),36979.645833333336)</f>
        <v>36979.64583</v>
      </c>
      <c r="B313" s="1">
        <f>IFERROR(__xludf.DUMMYFUNCTION("""COMPUTED_VALUE"""),219.3)</f>
        <v>219.3</v>
      </c>
      <c r="C313" s="1">
        <f>IFERROR(__xludf.DUMMYFUNCTION("""COMPUTED_VALUE"""),231.4)</f>
        <v>231.4</v>
      </c>
      <c r="D313" s="1">
        <f>IFERROR(__xludf.DUMMYFUNCTION("""COMPUTED_VALUE"""),218.0)</f>
        <v>218</v>
      </c>
      <c r="E313" s="1">
        <f>IFERROR(__xludf.DUMMYFUNCTION("""COMPUTED_VALUE"""),226.45)</f>
        <v>226.45</v>
      </c>
      <c r="F313" s="1">
        <f>IFERROR(__xludf.DUMMYFUNCTION("""COMPUTED_VALUE"""),2600279.0)</f>
        <v>2600279</v>
      </c>
    </row>
    <row r="314">
      <c r="A314" s="2">
        <f>IFERROR(__xludf.DUMMYFUNCTION("""COMPUTED_VALUE"""),36980.645833333336)</f>
        <v>36980.64583</v>
      </c>
      <c r="B314" s="1">
        <f>IFERROR(__xludf.DUMMYFUNCTION("""COMPUTED_VALUE"""),226.0)</f>
        <v>226</v>
      </c>
      <c r="C314" s="1">
        <f>IFERROR(__xludf.DUMMYFUNCTION("""COMPUTED_VALUE"""),226.0)</f>
        <v>226</v>
      </c>
      <c r="D314" s="1">
        <f>IFERROR(__xludf.DUMMYFUNCTION("""COMPUTED_VALUE"""),218.0)</f>
        <v>218</v>
      </c>
      <c r="E314" s="1">
        <f>IFERROR(__xludf.DUMMYFUNCTION("""COMPUTED_VALUE"""),219.25)</f>
        <v>219.25</v>
      </c>
      <c r="F314" s="1">
        <f>IFERROR(__xludf.DUMMYFUNCTION("""COMPUTED_VALUE"""),1106225.0)</f>
        <v>1106225</v>
      </c>
    </row>
    <row r="315">
      <c r="A315" s="2">
        <f>IFERROR(__xludf.DUMMYFUNCTION("""COMPUTED_VALUE"""),36983.645833333336)</f>
        <v>36983.64583</v>
      </c>
      <c r="B315" s="1">
        <f>IFERROR(__xludf.DUMMYFUNCTION("""COMPUTED_VALUE"""),218.0)</f>
        <v>218</v>
      </c>
      <c r="C315" s="1">
        <f>IFERROR(__xludf.DUMMYFUNCTION("""COMPUTED_VALUE"""),223.4)</f>
        <v>223.4</v>
      </c>
      <c r="D315" s="1">
        <f>IFERROR(__xludf.DUMMYFUNCTION("""COMPUTED_VALUE"""),211.1)</f>
        <v>211.1</v>
      </c>
      <c r="E315" s="1">
        <f>IFERROR(__xludf.DUMMYFUNCTION("""COMPUTED_VALUE"""),222.2)</f>
        <v>222.2</v>
      </c>
      <c r="F315" s="1">
        <f>IFERROR(__xludf.DUMMYFUNCTION("""COMPUTED_VALUE"""),1412896.0)</f>
        <v>1412896</v>
      </c>
    </row>
    <row r="316">
      <c r="A316" s="2">
        <f>IFERROR(__xludf.DUMMYFUNCTION("""COMPUTED_VALUE"""),36984.645833333336)</f>
        <v>36984.64583</v>
      </c>
      <c r="B316" s="1">
        <f>IFERROR(__xludf.DUMMYFUNCTION("""COMPUTED_VALUE"""),224.0)</f>
        <v>224</v>
      </c>
      <c r="C316" s="1">
        <f>IFERROR(__xludf.DUMMYFUNCTION("""COMPUTED_VALUE"""),224.85)</f>
        <v>224.85</v>
      </c>
      <c r="D316" s="1">
        <f>IFERROR(__xludf.DUMMYFUNCTION("""COMPUTED_VALUE"""),220.05)</f>
        <v>220.05</v>
      </c>
      <c r="E316" s="1">
        <f>IFERROR(__xludf.DUMMYFUNCTION("""COMPUTED_VALUE"""),222.25)</f>
        <v>222.25</v>
      </c>
      <c r="F316" s="1">
        <f>IFERROR(__xludf.DUMMYFUNCTION("""COMPUTED_VALUE"""),708138.0)</f>
        <v>708138</v>
      </c>
    </row>
    <row r="317">
      <c r="A317" s="2">
        <f>IFERROR(__xludf.DUMMYFUNCTION("""COMPUTED_VALUE"""),36985.645833333336)</f>
        <v>36985.64583</v>
      </c>
      <c r="B317" s="1">
        <f>IFERROR(__xludf.DUMMYFUNCTION("""COMPUTED_VALUE"""),220.1)</f>
        <v>220.1</v>
      </c>
      <c r="C317" s="1">
        <f>IFERROR(__xludf.DUMMYFUNCTION("""COMPUTED_VALUE"""),221.05)</f>
        <v>221.05</v>
      </c>
      <c r="D317" s="1">
        <f>IFERROR(__xludf.DUMMYFUNCTION("""COMPUTED_VALUE"""),215.15)</f>
        <v>215.15</v>
      </c>
      <c r="E317" s="1">
        <f>IFERROR(__xludf.DUMMYFUNCTION("""COMPUTED_VALUE"""),218.35)</f>
        <v>218.35</v>
      </c>
      <c r="F317" s="1">
        <f>IFERROR(__xludf.DUMMYFUNCTION("""COMPUTED_VALUE"""),490293.0)</f>
        <v>490293</v>
      </c>
    </row>
    <row r="318">
      <c r="A318" s="2">
        <f>IFERROR(__xludf.DUMMYFUNCTION("""COMPUTED_VALUE"""),36987.645833333336)</f>
        <v>36987.64583</v>
      </c>
      <c r="B318" s="1">
        <f>IFERROR(__xludf.DUMMYFUNCTION("""COMPUTED_VALUE"""),219.9)</f>
        <v>219.9</v>
      </c>
      <c r="C318" s="1">
        <f>IFERROR(__xludf.DUMMYFUNCTION("""COMPUTED_VALUE"""),223.0)</f>
        <v>223</v>
      </c>
      <c r="D318" s="1">
        <f>IFERROR(__xludf.DUMMYFUNCTION("""COMPUTED_VALUE"""),217.0)</f>
        <v>217</v>
      </c>
      <c r="E318" s="1">
        <f>IFERROR(__xludf.DUMMYFUNCTION("""COMPUTED_VALUE"""),219.05)</f>
        <v>219.05</v>
      </c>
      <c r="F318" s="1">
        <f>IFERROR(__xludf.DUMMYFUNCTION("""COMPUTED_VALUE"""),684320.0)</f>
        <v>684320</v>
      </c>
    </row>
    <row r="319">
      <c r="A319" s="2">
        <f>IFERROR(__xludf.DUMMYFUNCTION("""COMPUTED_VALUE"""),36990.645833333336)</f>
        <v>36990.64583</v>
      </c>
      <c r="B319" s="1">
        <f>IFERROR(__xludf.DUMMYFUNCTION("""COMPUTED_VALUE"""),218.0)</f>
        <v>218</v>
      </c>
      <c r="C319" s="1">
        <f>IFERROR(__xludf.DUMMYFUNCTION("""COMPUTED_VALUE"""),219.0)</f>
        <v>219</v>
      </c>
      <c r="D319" s="1">
        <f>IFERROR(__xludf.DUMMYFUNCTION("""COMPUTED_VALUE"""),213.0)</f>
        <v>213</v>
      </c>
      <c r="E319" s="1">
        <f>IFERROR(__xludf.DUMMYFUNCTION("""COMPUTED_VALUE"""),214.25)</f>
        <v>214.25</v>
      </c>
      <c r="F319" s="1">
        <f>IFERROR(__xludf.DUMMYFUNCTION("""COMPUTED_VALUE"""),479046.0)</f>
        <v>479046</v>
      </c>
    </row>
    <row r="320">
      <c r="A320" s="2">
        <f>IFERROR(__xludf.DUMMYFUNCTION("""COMPUTED_VALUE"""),36991.645833333336)</f>
        <v>36991.64583</v>
      </c>
      <c r="B320" s="1">
        <f>IFERROR(__xludf.DUMMYFUNCTION("""COMPUTED_VALUE"""),214.05)</f>
        <v>214.05</v>
      </c>
      <c r="C320" s="1">
        <f>IFERROR(__xludf.DUMMYFUNCTION("""COMPUTED_VALUE"""),217.7)</f>
        <v>217.7</v>
      </c>
      <c r="D320" s="1">
        <f>IFERROR(__xludf.DUMMYFUNCTION("""COMPUTED_VALUE"""),212.15)</f>
        <v>212.15</v>
      </c>
      <c r="E320" s="1">
        <f>IFERROR(__xludf.DUMMYFUNCTION("""COMPUTED_VALUE"""),215.9)</f>
        <v>215.9</v>
      </c>
      <c r="F320" s="1">
        <f>IFERROR(__xludf.DUMMYFUNCTION("""COMPUTED_VALUE"""),676780.0)</f>
        <v>676780</v>
      </c>
    </row>
    <row r="321">
      <c r="A321" s="2">
        <f>IFERROR(__xludf.DUMMYFUNCTION("""COMPUTED_VALUE"""),36992.645833333336)</f>
        <v>36992.64583</v>
      </c>
      <c r="B321" s="1">
        <f>IFERROR(__xludf.DUMMYFUNCTION("""COMPUTED_VALUE"""),218.75)</f>
        <v>218.75</v>
      </c>
      <c r="C321" s="1">
        <f>IFERROR(__xludf.DUMMYFUNCTION("""COMPUTED_VALUE"""),219.4)</f>
        <v>219.4</v>
      </c>
      <c r="D321" s="1">
        <f>IFERROR(__xludf.DUMMYFUNCTION("""COMPUTED_VALUE"""),212.0)</f>
        <v>212</v>
      </c>
      <c r="E321" s="1">
        <f>IFERROR(__xludf.DUMMYFUNCTION("""COMPUTED_VALUE"""),213.7)</f>
        <v>213.7</v>
      </c>
      <c r="F321" s="1">
        <f>IFERROR(__xludf.DUMMYFUNCTION("""COMPUTED_VALUE"""),617431.0)</f>
        <v>617431</v>
      </c>
    </row>
    <row r="322">
      <c r="A322" s="2">
        <f>IFERROR(__xludf.DUMMYFUNCTION("""COMPUTED_VALUE"""),36993.645833333336)</f>
        <v>36993.64583</v>
      </c>
      <c r="B322" s="1">
        <f>IFERROR(__xludf.DUMMYFUNCTION("""COMPUTED_VALUE"""),212.4)</f>
        <v>212.4</v>
      </c>
      <c r="C322" s="1">
        <f>IFERROR(__xludf.DUMMYFUNCTION("""COMPUTED_VALUE"""),214.0)</f>
        <v>214</v>
      </c>
      <c r="D322" s="1">
        <f>IFERROR(__xludf.DUMMYFUNCTION("""COMPUTED_VALUE"""),204.3)</f>
        <v>204.3</v>
      </c>
      <c r="E322" s="1">
        <f>IFERROR(__xludf.DUMMYFUNCTION("""COMPUTED_VALUE"""),210.15)</f>
        <v>210.15</v>
      </c>
      <c r="F322" s="1">
        <f>IFERROR(__xludf.DUMMYFUNCTION("""COMPUTED_VALUE"""),1129518.0)</f>
        <v>1129518</v>
      </c>
    </row>
    <row r="323">
      <c r="A323" s="2">
        <f>IFERROR(__xludf.DUMMYFUNCTION("""COMPUTED_VALUE"""),36997.645833333336)</f>
        <v>36997.64583</v>
      </c>
      <c r="B323" s="1">
        <f>IFERROR(__xludf.DUMMYFUNCTION("""COMPUTED_VALUE"""),209.5)</f>
        <v>209.5</v>
      </c>
      <c r="C323" s="1">
        <f>IFERROR(__xludf.DUMMYFUNCTION("""COMPUTED_VALUE"""),210.0)</f>
        <v>210</v>
      </c>
      <c r="D323" s="1">
        <f>IFERROR(__xludf.DUMMYFUNCTION("""COMPUTED_VALUE"""),184.25)</f>
        <v>184.25</v>
      </c>
      <c r="E323" s="1">
        <f>IFERROR(__xludf.DUMMYFUNCTION("""COMPUTED_VALUE"""),206.35)</f>
        <v>206.35</v>
      </c>
      <c r="F323" s="1">
        <f>IFERROR(__xludf.DUMMYFUNCTION("""COMPUTED_VALUE"""),2556648.0)</f>
        <v>2556648</v>
      </c>
    </row>
    <row r="324">
      <c r="A324" s="2">
        <f>IFERROR(__xludf.DUMMYFUNCTION("""COMPUTED_VALUE"""),36998.645833333336)</f>
        <v>36998.64583</v>
      </c>
      <c r="B324" s="1">
        <f>IFERROR(__xludf.DUMMYFUNCTION("""COMPUTED_VALUE"""),205.0)</f>
        <v>205</v>
      </c>
      <c r="C324" s="1">
        <f>IFERROR(__xludf.DUMMYFUNCTION("""COMPUTED_VALUE"""),212.6)</f>
        <v>212.6</v>
      </c>
      <c r="D324" s="1">
        <f>IFERROR(__xludf.DUMMYFUNCTION("""COMPUTED_VALUE"""),199.05)</f>
        <v>199.05</v>
      </c>
      <c r="E324" s="1">
        <f>IFERROR(__xludf.DUMMYFUNCTION("""COMPUTED_VALUE"""),211.05)</f>
        <v>211.05</v>
      </c>
      <c r="F324" s="1">
        <f>IFERROR(__xludf.DUMMYFUNCTION("""COMPUTED_VALUE"""),2118926.0)</f>
        <v>2118926</v>
      </c>
    </row>
    <row r="325">
      <c r="A325" s="2">
        <f>IFERROR(__xludf.DUMMYFUNCTION("""COMPUTED_VALUE"""),36999.645833333336)</f>
        <v>36999.64583</v>
      </c>
      <c r="B325" s="1">
        <f>IFERROR(__xludf.DUMMYFUNCTION("""COMPUTED_VALUE"""),212.0)</f>
        <v>212</v>
      </c>
      <c r="C325" s="1">
        <f>IFERROR(__xludf.DUMMYFUNCTION("""COMPUTED_VALUE"""),212.0)</f>
        <v>212</v>
      </c>
      <c r="D325" s="1">
        <f>IFERROR(__xludf.DUMMYFUNCTION("""COMPUTED_VALUE"""),202.8)</f>
        <v>202.8</v>
      </c>
      <c r="E325" s="1">
        <f>IFERROR(__xludf.DUMMYFUNCTION("""COMPUTED_VALUE"""),209.75)</f>
        <v>209.75</v>
      </c>
      <c r="F325" s="1">
        <f>IFERROR(__xludf.DUMMYFUNCTION("""COMPUTED_VALUE"""),2406941.0)</f>
        <v>2406941</v>
      </c>
    </row>
    <row r="326">
      <c r="A326" s="2">
        <f>IFERROR(__xludf.DUMMYFUNCTION("""COMPUTED_VALUE"""),37000.645833333336)</f>
        <v>37000.64583</v>
      </c>
      <c r="B326" s="1">
        <f>IFERROR(__xludf.DUMMYFUNCTION("""COMPUTED_VALUE"""),211.0)</f>
        <v>211</v>
      </c>
      <c r="C326" s="1">
        <f>IFERROR(__xludf.DUMMYFUNCTION("""COMPUTED_VALUE"""),219.9)</f>
        <v>219.9</v>
      </c>
      <c r="D326" s="1">
        <f>IFERROR(__xludf.DUMMYFUNCTION("""COMPUTED_VALUE"""),208.5)</f>
        <v>208.5</v>
      </c>
      <c r="E326" s="1">
        <f>IFERROR(__xludf.DUMMYFUNCTION("""COMPUTED_VALUE"""),213.95)</f>
        <v>213.95</v>
      </c>
      <c r="F326" s="1">
        <f>IFERROR(__xludf.DUMMYFUNCTION("""COMPUTED_VALUE"""),1785553.0)</f>
        <v>1785553</v>
      </c>
    </row>
    <row r="327">
      <c r="A327" s="2">
        <f>IFERROR(__xludf.DUMMYFUNCTION("""COMPUTED_VALUE"""),37001.645833333336)</f>
        <v>37001.64583</v>
      </c>
      <c r="B327" s="1">
        <f>IFERROR(__xludf.DUMMYFUNCTION("""COMPUTED_VALUE"""),215.5)</f>
        <v>215.5</v>
      </c>
      <c r="C327" s="1">
        <f>IFERROR(__xludf.DUMMYFUNCTION("""COMPUTED_VALUE"""),219.75)</f>
        <v>219.75</v>
      </c>
      <c r="D327" s="1">
        <f>IFERROR(__xludf.DUMMYFUNCTION("""COMPUTED_VALUE"""),197.05)</f>
        <v>197.05</v>
      </c>
      <c r="E327" s="1">
        <f>IFERROR(__xludf.DUMMYFUNCTION("""COMPUTED_VALUE"""),219.05)</f>
        <v>219.05</v>
      </c>
      <c r="F327" s="1">
        <f>IFERROR(__xludf.DUMMYFUNCTION("""COMPUTED_VALUE"""),1536132.0)</f>
        <v>1536132</v>
      </c>
    </row>
    <row r="328">
      <c r="A328" s="2">
        <f>IFERROR(__xludf.DUMMYFUNCTION("""COMPUTED_VALUE"""),37004.645833333336)</f>
        <v>37004.64583</v>
      </c>
      <c r="B328" s="1">
        <f>IFERROR(__xludf.DUMMYFUNCTION("""COMPUTED_VALUE"""),217.5)</f>
        <v>217.5</v>
      </c>
      <c r="C328" s="1">
        <f>IFERROR(__xludf.DUMMYFUNCTION("""COMPUTED_VALUE"""),224.0)</f>
        <v>224</v>
      </c>
      <c r="D328" s="1">
        <f>IFERROR(__xludf.DUMMYFUNCTION("""COMPUTED_VALUE"""),217.5)</f>
        <v>217.5</v>
      </c>
      <c r="E328" s="1">
        <f>IFERROR(__xludf.DUMMYFUNCTION("""COMPUTED_VALUE"""),220.3)</f>
        <v>220.3</v>
      </c>
      <c r="F328" s="1">
        <f>IFERROR(__xludf.DUMMYFUNCTION("""COMPUTED_VALUE"""),1197168.0)</f>
        <v>1197168</v>
      </c>
    </row>
    <row r="329">
      <c r="A329" s="2">
        <f>IFERROR(__xludf.DUMMYFUNCTION("""COMPUTED_VALUE"""),37005.645833333336)</f>
        <v>37005.64583</v>
      </c>
      <c r="B329" s="1">
        <f>IFERROR(__xludf.DUMMYFUNCTION("""COMPUTED_VALUE"""),219.0)</f>
        <v>219</v>
      </c>
      <c r="C329" s="1">
        <f>IFERROR(__xludf.DUMMYFUNCTION("""COMPUTED_VALUE"""),221.5)</f>
        <v>221.5</v>
      </c>
      <c r="D329" s="1">
        <f>IFERROR(__xludf.DUMMYFUNCTION("""COMPUTED_VALUE"""),212.25)</f>
        <v>212.25</v>
      </c>
      <c r="E329" s="1">
        <f>IFERROR(__xludf.DUMMYFUNCTION("""COMPUTED_VALUE"""),215.05)</f>
        <v>215.05</v>
      </c>
      <c r="F329" s="1">
        <f>IFERROR(__xludf.DUMMYFUNCTION("""COMPUTED_VALUE"""),1117131.0)</f>
        <v>1117131</v>
      </c>
    </row>
    <row r="330">
      <c r="A330" s="2">
        <f>IFERROR(__xludf.DUMMYFUNCTION("""COMPUTED_VALUE"""),37006.645833333336)</f>
        <v>37006.64583</v>
      </c>
      <c r="B330" s="1">
        <f>IFERROR(__xludf.DUMMYFUNCTION("""COMPUTED_VALUE"""),215.25)</f>
        <v>215.25</v>
      </c>
      <c r="C330" s="1">
        <f>IFERROR(__xludf.DUMMYFUNCTION("""COMPUTED_VALUE"""),215.25)</f>
        <v>215.25</v>
      </c>
      <c r="D330" s="1">
        <f>IFERROR(__xludf.DUMMYFUNCTION("""COMPUTED_VALUE"""),210.0)</f>
        <v>210</v>
      </c>
      <c r="E330" s="1">
        <f>IFERROR(__xludf.DUMMYFUNCTION("""COMPUTED_VALUE"""),213.55)</f>
        <v>213.55</v>
      </c>
      <c r="F330" s="1">
        <f>IFERROR(__xludf.DUMMYFUNCTION("""COMPUTED_VALUE"""),398626.0)</f>
        <v>398626</v>
      </c>
    </row>
    <row r="331">
      <c r="A331" s="2">
        <f>IFERROR(__xludf.DUMMYFUNCTION("""COMPUTED_VALUE"""),37007.645833333336)</f>
        <v>37007.64583</v>
      </c>
      <c r="B331" s="1">
        <f>IFERROR(__xludf.DUMMYFUNCTION("""COMPUTED_VALUE"""),214.0)</f>
        <v>214</v>
      </c>
      <c r="C331" s="1">
        <f>IFERROR(__xludf.DUMMYFUNCTION("""COMPUTED_VALUE"""),214.95)</f>
        <v>214.95</v>
      </c>
      <c r="D331" s="1">
        <f>IFERROR(__xludf.DUMMYFUNCTION("""COMPUTED_VALUE"""),207.55)</f>
        <v>207.55</v>
      </c>
      <c r="E331" s="1">
        <f>IFERROR(__xludf.DUMMYFUNCTION("""COMPUTED_VALUE"""),209.0)</f>
        <v>209</v>
      </c>
      <c r="F331" s="1">
        <f>IFERROR(__xludf.DUMMYFUNCTION("""COMPUTED_VALUE"""),660870.0)</f>
        <v>660870</v>
      </c>
    </row>
    <row r="332">
      <c r="A332" s="2">
        <f>IFERROR(__xludf.DUMMYFUNCTION("""COMPUTED_VALUE"""),37008.645833333336)</f>
        <v>37008.64583</v>
      </c>
      <c r="B332" s="1">
        <f>IFERROR(__xludf.DUMMYFUNCTION("""COMPUTED_VALUE"""),207.15)</f>
        <v>207.15</v>
      </c>
      <c r="C332" s="1">
        <f>IFERROR(__xludf.DUMMYFUNCTION("""COMPUTED_VALUE"""),212.25)</f>
        <v>212.25</v>
      </c>
      <c r="D332" s="1">
        <f>IFERROR(__xludf.DUMMYFUNCTION("""COMPUTED_VALUE"""),200.1)</f>
        <v>200.1</v>
      </c>
      <c r="E332" s="1">
        <f>IFERROR(__xludf.DUMMYFUNCTION("""COMPUTED_VALUE"""),211.25)</f>
        <v>211.25</v>
      </c>
      <c r="F332" s="1">
        <f>IFERROR(__xludf.DUMMYFUNCTION("""COMPUTED_VALUE"""),1411033.0)</f>
        <v>1411033</v>
      </c>
    </row>
    <row r="333">
      <c r="A333" s="2">
        <f>IFERROR(__xludf.DUMMYFUNCTION("""COMPUTED_VALUE"""),37011.645833333336)</f>
        <v>37011.64583</v>
      </c>
      <c r="B333" s="1">
        <f>IFERROR(__xludf.DUMMYFUNCTION("""COMPUTED_VALUE"""),210.0)</f>
        <v>210</v>
      </c>
      <c r="C333" s="1">
        <f>IFERROR(__xludf.DUMMYFUNCTION("""COMPUTED_VALUE"""),213.2)</f>
        <v>213.2</v>
      </c>
      <c r="D333" s="1">
        <f>IFERROR(__xludf.DUMMYFUNCTION("""COMPUTED_VALUE"""),209.5)</f>
        <v>209.5</v>
      </c>
      <c r="E333" s="1">
        <f>IFERROR(__xludf.DUMMYFUNCTION("""COMPUTED_VALUE"""),210.4)</f>
        <v>210.4</v>
      </c>
      <c r="F333" s="1">
        <f>IFERROR(__xludf.DUMMYFUNCTION("""COMPUTED_VALUE"""),543955.0)</f>
        <v>543955</v>
      </c>
    </row>
    <row r="334">
      <c r="A334" s="2">
        <f>IFERROR(__xludf.DUMMYFUNCTION("""COMPUTED_VALUE"""),37013.645833333336)</f>
        <v>37013.64583</v>
      </c>
      <c r="B334" s="1">
        <f>IFERROR(__xludf.DUMMYFUNCTION("""COMPUTED_VALUE"""),213.4)</f>
        <v>213.4</v>
      </c>
      <c r="C334" s="1">
        <f>IFERROR(__xludf.DUMMYFUNCTION("""COMPUTED_VALUE"""),213.4)</f>
        <v>213.4</v>
      </c>
      <c r="D334" s="1">
        <f>IFERROR(__xludf.DUMMYFUNCTION("""COMPUTED_VALUE"""),208.1)</f>
        <v>208.1</v>
      </c>
      <c r="E334" s="1">
        <f>IFERROR(__xludf.DUMMYFUNCTION("""COMPUTED_VALUE"""),210.1)</f>
        <v>210.1</v>
      </c>
      <c r="F334" s="1">
        <f>IFERROR(__xludf.DUMMYFUNCTION("""COMPUTED_VALUE"""),366383.0)</f>
        <v>366383</v>
      </c>
    </row>
    <row r="335">
      <c r="A335" s="2">
        <f>IFERROR(__xludf.DUMMYFUNCTION("""COMPUTED_VALUE"""),37014.645833333336)</f>
        <v>37014.64583</v>
      </c>
      <c r="B335" s="1">
        <f>IFERROR(__xludf.DUMMYFUNCTION("""COMPUTED_VALUE"""),209.0)</f>
        <v>209</v>
      </c>
      <c r="C335" s="1">
        <f>IFERROR(__xludf.DUMMYFUNCTION("""COMPUTED_VALUE"""),212.8)</f>
        <v>212.8</v>
      </c>
      <c r="D335" s="1">
        <f>IFERROR(__xludf.DUMMYFUNCTION("""COMPUTED_VALUE"""),209.0)</f>
        <v>209</v>
      </c>
      <c r="E335" s="1">
        <f>IFERROR(__xludf.DUMMYFUNCTION("""COMPUTED_VALUE"""),211.25)</f>
        <v>211.25</v>
      </c>
      <c r="F335" s="1">
        <f>IFERROR(__xludf.DUMMYFUNCTION("""COMPUTED_VALUE"""),655419.0)</f>
        <v>655419</v>
      </c>
    </row>
    <row r="336">
      <c r="A336" s="2">
        <f>IFERROR(__xludf.DUMMYFUNCTION("""COMPUTED_VALUE"""),37015.645833333336)</f>
        <v>37015.64583</v>
      </c>
      <c r="B336" s="1">
        <f>IFERROR(__xludf.DUMMYFUNCTION("""COMPUTED_VALUE"""),210.5)</f>
        <v>210.5</v>
      </c>
      <c r="C336" s="1">
        <f>IFERROR(__xludf.DUMMYFUNCTION("""COMPUTED_VALUE"""),211.2)</f>
        <v>211.2</v>
      </c>
      <c r="D336" s="1">
        <f>IFERROR(__xludf.DUMMYFUNCTION("""COMPUTED_VALUE"""),209.5)</f>
        <v>209.5</v>
      </c>
      <c r="E336" s="1">
        <f>IFERROR(__xludf.DUMMYFUNCTION("""COMPUTED_VALUE"""),210.3)</f>
        <v>210.3</v>
      </c>
      <c r="F336" s="1">
        <f>IFERROR(__xludf.DUMMYFUNCTION("""COMPUTED_VALUE"""),573227.0)</f>
        <v>573227</v>
      </c>
    </row>
    <row r="337">
      <c r="A337" s="2">
        <f>IFERROR(__xludf.DUMMYFUNCTION("""COMPUTED_VALUE"""),37018.645833333336)</f>
        <v>37018.64583</v>
      </c>
      <c r="B337" s="1">
        <f>IFERROR(__xludf.DUMMYFUNCTION("""COMPUTED_VALUE"""),211.0)</f>
        <v>211</v>
      </c>
      <c r="C337" s="1">
        <f>IFERROR(__xludf.DUMMYFUNCTION("""COMPUTED_VALUE"""),211.95)</f>
        <v>211.95</v>
      </c>
      <c r="D337" s="1">
        <f>IFERROR(__xludf.DUMMYFUNCTION("""COMPUTED_VALUE"""),210.2)</f>
        <v>210.2</v>
      </c>
      <c r="E337" s="1">
        <f>IFERROR(__xludf.DUMMYFUNCTION("""COMPUTED_VALUE"""),210.8)</f>
        <v>210.8</v>
      </c>
      <c r="F337" s="1">
        <f>IFERROR(__xludf.DUMMYFUNCTION("""COMPUTED_VALUE"""),206062.0)</f>
        <v>206062</v>
      </c>
    </row>
    <row r="338">
      <c r="A338" s="2">
        <f>IFERROR(__xludf.DUMMYFUNCTION("""COMPUTED_VALUE"""),37019.645833333336)</f>
        <v>37019.64583</v>
      </c>
      <c r="B338" s="1">
        <f>IFERROR(__xludf.DUMMYFUNCTION("""COMPUTED_VALUE"""),210.15)</f>
        <v>210.15</v>
      </c>
      <c r="C338" s="1">
        <f>IFERROR(__xludf.DUMMYFUNCTION("""COMPUTED_VALUE"""),214.5)</f>
        <v>214.5</v>
      </c>
      <c r="D338" s="1">
        <f>IFERROR(__xludf.DUMMYFUNCTION("""COMPUTED_VALUE"""),210.15)</f>
        <v>210.15</v>
      </c>
      <c r="E338" s="1">
        <f>IFERROR(__xludf.DUMMYFUNCTION("""COMPUTED_VALUE"""),213.15)</f>
        <v>213.15</v>
      </c>
      <c r="F338" s="1">
        <f>IFERROR(__xludf.DUMMYFUNCTION("""COMPUTED_VALUE"""),555974.0)</f>
        <v>555974</v>
      </c>
    </row>
    <row r="339">
      <c r="A339" s="2">
        <f>IFERROR(__xludf.DUMMYFUNCTION("""COMPUTED_VALUE"""),37020.645833333336)</f>
        <v>37020.64583</v>
      </c>
      <c r="B339" s="1">
        <f>IFERROR(__xludf.DUMMYFUNCTION("""COMPUTED_VALUE"""),213.0)</f>
        <v>213</v>
      </c>
      <c r="C339" s="1">
        <f>IFERROR(__xludf.DUMMYFUNCTION("""COMPUTED_VALUE"""),216.8)</f>
        <v>216.8</v>
      </c>
      <c r="D339" s="1">
        <f>IFERROR(__xludf.DUMMYFUNCTION("""COMPUTED_VALUE"""),212.0)</f>
        <v>212</v>
      </c>
      <c r="E339" s="1">
        <f>IFERROR(__xludf.DUMMYFUNCTION("""COMPUTED_VALUE"""),215.45)</f>
        <v>215.45</v>
      </c>
      <c r="F339" s="1">
        <f>IFERROR(__xludf.DUMMYFUNCTION("""COMPUTED_VALUE"""),671244.0)</f>
        <v>671244</v>
      </c>
    </row>
    <row r="340">
      <c r="A340" s="2">
        <f>IFERROR(__xludf.DUMMYFUNCTION("""COMPUTED_VALUE"""),37021.645833333336)</f>
        <v>37021.64583</v>
      </c>
      <c r="B340" s="1">
        <f>IFERROR(__xludf.DUMMYFUNCTION("""COMPUTED_VALUE"""),214.25)</f>
        <v>214.25</v>
      </c>
      <c r="C340" s="1">
        <f>IFERROR(__xludf.DUMMYFUNCTION("""COMPUTED_VALUE"""),214.3)</f>
        <v>214.3</v>
      </c>
      <c r="D340" s="1">
        <f>IFERROR(__xludf.DUMMYFUNCTION("""COMPUTED_VALUE"""),210.0)</f>
        <v>210</v>
      </c>
      <c r="E340" s="1">
        <f>IFERROR(__xludf.DUMMYFUNCTION("""COMPUTED_VALUE"""),210.2)</f>
        <v>210.2</v>
      </c>
      <c r="F340" s="1">
        <f>IFERROR(__xludf.DUMMYFUNCTION("""COMPUTED_VALUE"""),854527.0)</f>
        <v>854527</v>
      </c>
    </row>
    <row r="341">
      <c r="A341" s="2">
        <f>IFERROR(__xludf.DUMMYFUNCTION("""COMPUTED_VALUE"""),37022.645833333336)</f>
        <v>37022.64583</v>
      </c>
      <c r="B341" s="1">
        <f>IFERROR(__xludf.DUMMYFUNCTION("""COMPUTED_VALUE"""),209.2)</f>
        <v>209.2</v>
      </c>
      <c r="C341" s="1">
        <f>IFERROR(__xludf.DUMMYFUNCTION("""COMPUTED_VALUE"""),211.4)</f>
        <v>211.4</v>
      </c>
      <c r="D341" s="1">
        <f>IFERROR(__xludf.DUMMYFUNCTION("""COMPUTED_VALUE"""),209.0)</f>
        <v>209</v>
      </c>
      <c r="E341" s="1">
        <f>IFERROR(__xludf.DUMMYFUNCTION("""COMPUTED_VALUE"""),210.2)</f>
        <v>210.2</v>
      </c>
      <c r="F341" s="1">
        <f>IFERROR(__xludf.DUMMYFUNCTION("""COMPUTED_VALUE"""),418497.0)</f>
        <v>418497</v>
      </c>
    </row>
    <row r="342">
      <c r="A342" s="2">
        <f>IFERROR(__xludf.DUMMYFUNCTION("""COMPUTED_VALUE"""),37025.645833333336)</f>
        <v>37025.64583</v>
      </c>
      <c r="B342" s="1">
        <f>IFERROR(__xludf.DUMMYFUNCTION("""COMPUTED_VALUE"""),210.0)</f>
        <v>210</v>
      </c>
      <c r="C342" s="1">
        <f>IFERROR(__xludf.DUMMYFUNCTION("""COMPUTED_VALUE"""),212.0)</f>
        <v>212</v>
      </c>
      <c r="D342" s="1">
        <f>IFERROR(__xludf.DUMMYFUNCTION("""COMPUTED_VALUE"""),209.75)</f>
        <v>209.75</v>
      </c>
      <c r="E342" s="1">
        <f>IFERROR(__xludf.DUMMYFUNCTION("""COMPUTED_VALUE"""),211.25)</f>
        <v>211.25</v>
      </c>
      <c r="F342" s="1">
        <f>IFERROR(__xludf.DUMMYFUNCTION("""COMPUTED_VALUE"""),330169.0)</f>
        <v>330169</v>
      </c>
    </row>
    <row r="343">
      <c r="A343" s="2">
        <f>IFERROR(__xludf.DUMMYFUNCTION("""COMPUTED_VALUE"""),37026.645833333336)</f>
        <v>37026.64583</v>
      </c>
      <c r="B343" s="1">
        <f>IFERROR(__xludf.DUMMYFUNCTION("""COMPUTED_VALUE"""),210.1)</f>
        <v>210.1</v>
      </c>
      <c r="C343" s="1">
        <f>IFERROR(__xludf.DUMMYFUNCTION("""COMPUTED_VALUE"""),210.85)</f>
        <v>210.85</v>
      </c>
      <c r="D343" s="1">
        <f>IFERROR(__xludf.DUMMYFUNCTION("""COMPUTED_VALUE"""),202.2)</f>
        <v>202.2</v>
      </c>
      <c r="E343" s="1">
        <f>IFERROR(__xludf.DUMMYFUNCTION("""COMPUTED_VALUE"""),210.3)</f>
        <v>210.3</v>
      </c>
      <c r="F343" s="1">
        <f>IFERROR(__xludf.DUMMYFUNCTION("""COMPUTED_VALUE"""),276059.0)</f>
        <v>276059</v>
      </c>
    </row>
    <row r="344">
      <c r="A344" s="2">
        <f>IFERROR(__xludf.DUMMYFUNCTION("""COMPUTED_VALUE"""),37027.645833333336)</f>
        <v>37027.64583</v>
      </c>
      <c r="B344" s="1">
        <f>IFERROR(__xludf.DUMMYFUNCTION("""COMPUTED_VALUE"""),211.25)</f>
        <v>211.25</v>
      </c>
      <c r="C344" s="1">
        <f>IFERROR(__xludf.DUMMYFUNCTION("""COMPUTED_VALUE"""),213.5)</f>
        <v>213.5</v>
      </c>
      <c r="D344" s="1">
        <f>IFERROR(__xludf.DUMMYFUNCTION("""COMPUTED_VALUE"""),210.5)</f>
        <v>210.5</v>
      </c>
      <c r="E344" s="1">
        <f>IFERROR(__xludf.DUMMYFUNCTION("""COMPUTED_VALUE"""),212.35)</f>
        <v>212.35</v>
      </c>
      <c r="F344" s="1">
        <f>IFERROR(__xludf.DUMMYFUNCTION("""COMPUTED_VALUE"""),587661.0)</f>
        <v>587661</v>
      </c>
    </row>
    <row r="345">
      <c r="A345" s="2">
        <f>IFERROR(__xludf.DUMMYFUNCTION("""COMPUTED_VALUE"""),37028.645833333336)</f>
        <v>37028.64583</v>
      </c>
      <c r="B345" s="1">
        <f>IFERROR(__xludf.DUMMYFUNCTION("""COMPUTED_VALUE"""),213.25)</f>
        <v>213.25</v>
      </c>
      <c r="C345" s="1">
        <f>IFERROR(__xludf.DUMMYFUNCTION("""COMPUTED_VALUE"""),214.75)</f>
        <v>214.75</v>
      </c>
      <c r="D345" s="1">
        <f>IFERROR(__xludf.DUMMYFUNCTION("""COMPUTED_VALUE"""),210.1)</f>
        <v>210.1</v>
      </c>
      <c r="E345" s="1">
        <f>IFERROR(__xludf.DUMMYFUNCTION("""COMPUTED_VALUE"""),211.65)</f>
        <v>211.65</v>
      </c>
      <c r="F345" s="1">
        <f>IFERROR(__xludf.DUMMYFUNCTION("""COMPUTED_VALUE"""),463929.0)</f>
        <v>463929</v>
      </c>
    </row>
    <row r="346">
      <c r="A346" s="2">
        <f>IFERROR(__xludf.DUMMYFUNCTION("""COMPUTED_VALUE"""),37029.645833333336)</f>
        <v>37029.64583</v>
      </c>
      <c r="B346" s="1">
        <f>IFERROR(__xludf.DUMMYFUNCTION("""COMPUTED_VALUE"""),212.75)</f>
        <v>212.75</v>
      </c>
      <c r="C346" s="1">
        <f>IFERROR(__xludf.DUMMYFUNCTION("""COMPUTED_VALUE"""),212.75)</f>
        <v>212.75</v>
      </c>
      <c r="D346" s="1">
        <f>IFERROR(__xludf.DUMMYFUNCTION("""COMPUTED_VALUE"""),206.0)</f>
        <v>206</v>
      </c>
      <c r="E346" s="1">
        <f>IFERROR(__xludf.DUMMYFUNCTION("""COMPUTED_VALUE"""),207.25)</f>
        <v>207.25</v>
      </c>
      <c r="F346" s="1">
        <f>IFERROR(__xludf.DUMMYFUNCTION("""COMPUTED_VALUE"""),908940.0)</f>
        <v>908940</v>
      </c>
    </row>
    <row r="347">
      <c r="A347" s="2">
        <f>IFERROR(__xludf.DUMMYFUNCTION("""COMPUTED_VALUE"""),37032.645833333336)</f>
        <v>37032.64583</v>
      </c>
      <c r="B347" s="1">
        <f>IFERROR(__xludf.DUMMYFUNCTION("""COMPUTED_VALUE"""),206.0)</f>
        <v>206</v>
      </c>
      <c r="C347" s="1">
        <f>IFERROR(__xludf.DUMMYFUNCTION("""COMPUTED_VALUE"""),206.0)</f>
        <v>206</v>
      </c>
      <c r="D347" s="1">
        <f>IFERROR(__xludf.DUMMYFUNCTION("""COMPUTED_VALUE"""),197.1)</f>
        <v>197.1</v>
      </c>
      <c r="E347" s="1">
        <f>IFERROR(__xludf.DUMMYFUNCTION("""COMPUTED_VALUE"""),201.45)</f>
        <v>201.45</v>
      </c>
      <c r="F347" s="1">
        <f>IFERROR(__xludf.DUMMYFUNCTION("""COMPUTED_VALUE"""),1086304.0)</f>
        <v>1086304</v>
      </c>
    </row>
    <row r="348">
      <c r="A348" s="2">
        <f>IFERROR(__xludf.DUMMYFUNCTION("""COMPUTED_VALUE"""),37033.645833333336)</f>
        <v>37033.64583</v>
      </c>
      <c r="B348" s="1">
        <f>IFERROR(__xludf.DUMMYFUNCTION("""COMPUTED_VALUE"""),202.95)</f>
        <v>202.95</v>
      </c>
      <c r="C348" s="1">
        <f>IFERROR(__xludf.DUMMYFUNCTION("""COMPUTED_VALUE"""),202.95)</f>
        <v>202.95</v>
      </c>
      <c r="D348" s="1">
        <f>IFERROR(__xludf.DUMMYFUNCTION("""COMPUTED_VALUE"""),200.15)</f>
        <v>200.15</v>
      </c>
      <c r="E348" s="1">
        <f>IFERROR(__xludf.DUMMYFUNCTION("""COMPUTED_VALUE"""),202.05)</f>
        <v>202.05</v>
      </c>
      <c r="F348" s="1">
        <f>IFERROR(__xludf.DUMMYFUNCTION("""COMPUTED_VALUE"""),638702.0)</f>
        <v>638702</v>
      </c>
    </row>
    <row r="349">
      <c r="A349" s="2">
        <f>IFERROR(__xludf.DUMMYFUNCTION("""COMPUTED_VALUE"""),37034.645833333336)</f>
        <v>37034.64583</v>
      </c>
      <c r="B349" s="1">
        <f>IFERROR(__xludf.DUMMYFUNCTION("""COMPUTED_VALUE"""),204.9)</f>
        <v>204.9</v>
      </c>
      <c r="C349" s="1">
        <f>IFERROR(__xludf.DUMMYFUNCTION("""COMPUTED_VALUE"""),204.9)</f>
        <v>204.9</v>
      </c>
      <c r="D349" s="1">
        <f>IFERROR(__xludf.DUMMYFUNCTION("""COMPUTED_VALUE"""),200.75)</f>
        <v>200.75</v>
      </c>
      <c r="E349" s="1">
        <f>IFERROR(__xludf.DUMMYFUNCTION("""COMPUTED_VALUE"""),201.6)</f>
        <v>201.6</v>
      </c>
      <c r="F349" s="1">
        <f>IFERROR(__xludf.DUMMYFUNCTION("""COMPUTED_VALUE"""),1014663.0)</f>
        <v>1014663</v>
      </c>
    </row>
    <row r="350">
      <c r="A350" s="2">
        <f>IFERROR(__xludf.DUMMYFUNCTION("""COMPUTED_VALUE"""),37035.645833333336)</f>
        <v>37035.64583</v>
      </c>
      <c r="B350" s="1">
        <f>IFERROR(__xludf.DUMMYFUNCTION("""COMPUTED_VALUE"""),202.0)</f>
        <v>202</v>
      </c>
      <c r="C350" s="1">
        <f>IFERROR(__xludf.DUMMYFUNCTION("""COMPUTED_VALUE"""),203.0)</f>
        <v>203</v>
      </c>
      <c r="D350" s="1">
        <f>IFERROR(__xludf.DUMMYFUNCTION("""COMPUTED_VALUE"""),200.6)</f>
        <v>200.6</v>
      </c>
      <c r="E350" s="1">
        <f>IFERROR(__xludf.DUMMYFUNCTION("""COMPUTED_VALUE"""),201.85)</f>
        <v>201.85</v>
      </c>
      <c r="F350" s="1">
        <f>IFERROR(__xludf.DUMMYFUNCTION("""COMPUTED_VALUE"""),443224.0)</f>
        <v>443224</v>
      </c>
    </row>
    <row r="351">
      <c r="A351" s="2">
        <f>IFERROR(__xludf.DUMMYFUNCTION("""COMPUTED_VALUE"""),37036.645833333336)</f>
        <v>37036.64583</v>
      </c>
      <c r="B351" s="1">
        <f>IFERROR(__xludf.DUMMYFUNCTION("""COMPUTED_VALUE"""),202.45)</f>
        <v>202.45</v>
      </c>
      <c r="C351" s="1">
        <f>IFERROR(__xludf.DUMMYFUNCTION("""COMPUTED_VALUE"""),203.0)</f>
        <v>203</v>
      </c>
      <c r="D351" s="1">
        <f>IFERROR(__xludf.DUMMYFUNCTION("""COMPUTED_VALUE"""),200.0)</f>
        <v>200</v>
      </c>
      <c r="E351" s="1">
        <f>IFERROR(__xludf.DUMMYFUNCTION("""COMPUTED_VALUE"""),200.25)</f>
        <v>200.25</v>
      </c>
      <c r="F351" s="1">
        <f>IFERROR(__xludf.DUMMYFUNCTION("""COMPUTED_VALUE"""),652840.0)</f>
        <v>652840</v>
      </c>
    </row>
    <row r="352">
      <c r="A352" s="2">
        <f>IFERROR(__xludf.DUMMYFUNCTION("""COMPUTED_VALUE"""),37039.645833333336)</f>
        <v>37039.64583</v>
      </c>
      <c r="B352" s="1">
        <f>IFERROR(__xludf.DUMMYFUNCTION("""COMPUTED_VALUE"""),201.0)</f>
        <v>201</v>
      </c>
      <c r="C352" s="1">
        <f>IFERROR(__xludf.DUMMYFUNCTION("""COMPUTED_VALUE"""),201.75)</f>
        <v>201.75</v>
      </c>
      <c r="D352" s="1">
        <f>IFERROR(__xludf.DUMMYFUNCTION("""COMPUTED_VALUE"""),199.05)</f>
        <v>199.05</v>
      </c>
      <c r="E352" s="1">
        <f>IFERROR(__xludf.DUMMYFUNCTION("""COMPUTED_VALUE"""),200.15)</f>
        <v>200.15</v>
      </c>
      <c r="F352" s="1">
        <f>IFERROR(__xludf.DUMMYFUNCTION("""COMPUTED_VALUE"""),518811.0)</f>
        <v>518811</v>
      </c>
    </row>
    <row r="353">
      <c r="A353" s="2">
        <f>IFERROR(__xludf.DUMMYFUNCTION("""COMPUTED_VALUE"""),37040.645833333336)</f>
        <v>37040.64583</v>
      </c>
      <c r="B353" s="1">
        <f>IFERROR(__xludf.DUMMYFUNCTION("""COMPUTED_VALUE"""),199.1)</f>
        <v>199.1</v>
      </c>
      <c r="C353" s="1">
        <f>IFERROR(__xludf.DUMMYFUNCTION("""COMPUTED_VALUE"""),202.75)</f>
        <v>202.75</v>
      </c>
      <c r="D353" s="1">
        <f>IFERROR(__xludf.DUMMYFUNCTION("""COMPUTED_VALUE"""),199.0)</f>
        <v>199</v>
      </c>
      <c r="E353" s="1">
        <f>IFERROR(__xludf.DUMMYFUNCTION("""COMPUTED_VALUE"""),200.25)</f>
        <v>200.25</v>
      </c>
      <c r="F353" s="1">
        <f>IFERROR(__xludf.DUMMYFUNCTION("""COMPUTED_VALUE"""),1301997.0)</f>
        <v>1301997</v>
      </c>
    </row>
    <row r="354">
      <c r="A354" s="2">
        <f>IFERROR(__xludf.DUMMYFUNCTION("""COMPUTED_VALUE"""),37041.645833333336)</f>
        <v>37041.64583</v>
      </c>
      <c r="B354" s="1">
        <f>IFERROR(__xludf.DUMMYFUNCTION("""COMPUTED_VALUE"""),202.0)</f>
        <v>202</v>
      </c>
      <c r="C354" s="1">
        <f>IFERROR(__xludf.DUMMYFUNCTION("""COMPUTED_VALUE"""),202.45)</f>
        <v>202.45</v>
      </c>
      <c r="D354" s="1">
        <f>IFERROR(__xludf.DUMMYFUNCTION("""COMPUTED_VALUE"""),200.2)</f>
        <v>200.2</v>
      </c>
      <c r="E354" s="1">
        <f>IFERROR(__xludf.DUMMYFUNCTION("""COMPUTED_VALUE"""),200.85)</f>
        <v>200.85</v>
      </c>
      <c r="F354" s="1">
        <f>IFERROR(__xludf.DUMMYFUNCTION("""COMPUTED_VALUE"""),535823.0)</f>
        <v>535823</v>
      </c>
    </row>
    <row r="355">
      <c r="A355" s="2">
        <f>IFERROR(__xludf.DUMMYFUNCTION("""COMPUTED_VALUE"""),37042.645833333336)</f>
        <v>37042.64583</v>
      </c>
      <c r="B355" s="1">
        <f>IFERROR(__xludf.DUMMYFUNCTION("""COMPUTED_VALUE"""),200.4)</f>
        <v>200.4</v>
      </c>
      <c r="C355" s="1">
        <f>IFERROR(__xludf.DUMMYFUNCTION("""COMPUTED_VALUE"""),201.0)</f>
        <v>201</v>
      </c>
      <c r="D355" s="1">
        <f>IFERROR(__xludf.DUMMYFUNCTION("""COMPUTED_VALUE"""),195.5)</f>
        <v>195.5</v>
      </c>
      <c r="E355" s="1">
        <f>IFERROR(__xludf.DUMMYFUNCTION("""COMPUTED_VALUE"""),197.95)</f>
        <v>197.95</v>
      </c>
      <c r="F355" s="1">
        <f>IFERROR(__xludf.DUMMYFUNCTION("""COMPUTED_VALUE"""),644766.0)</f>
        <v>644766</v>
      </c>
    </row>
    <row r="356">
      <c r="A356" s="2">
        <f>IFERROR(__xludf.DUMMYFUNCTION("""COMPUTED_VALUE"""),37043.645833333336)</f>
        <v>37043.64583</v>
      </c>
      <c r="B356" s="1">
        <f>IFERROR(__xludf.DUMMYFUNCTION("""COMPUTED_VALUE"""),198.5)</f>
        <v>198.5</v>
      </c>
      <c r="C356" s="1">
        <f>IFERROR(__xludf.DUMMYFUNCTION("""COMPUTED_VALUE"""),198.5)</f>
        <v>198.5</v>
      </c>
      <c r="D356" s="1">
        <f>IFERROR(__xludf.DUMMYFUNCTION("""COMPUTED_VALUE"""),192.25)</f>
        <v>192.25</v>
      </c>
      <c r="E356" s="1">
        <f>IFERROR(__xludf.DUMMYFUNCTION("""COMPUTED_VALUE"""),193.15)</f>
        <v>193.15</v>
      </c>
      <c r="F356" s="1">
        <f>IFERROR(__xludf.DUMMYFUNCTION("""COMPUTED_VALUE"""),970843.0)</f>
        <v>970843</v>
      </c>
    </row>
    <row r="357">
      <c r="A357" s="2">
        <f>IFERROR(__xludf.DUMMYFUNCTION("""COMPUTED_VALUE"""),37046.645833333336)</f>
        <v>37046.64583</v>
      </c>
      <c r="B357" s="1">
        <f>IFERROR(__xludf.DUMMYFUNCTION("""COMPUTED_VALUE"""),194.5)</f>
        <v>194.5</v>
      </c>
      <c r="C357" s="1">
        <f>IFERROR(__xludf.DUMMYFUNCTION("""COMPUTED_VALUE"""),194.5)</f>
        <v>194.5</v>
      </c>
      <c r="D357" s="1">
        <f>IFERROR(__xludf.DUMMYFUNCTION("""COMPUTED_VALUE"""),186.35)</f>
        <v>186.35</v>
      </c>
      <c r="E357" s="1">
        <f>IFERROR(__xludf.DUMMYFUNCTION("""COMPUTED_VALUE"""),187.45)</f>
        <v>187.45</v>
      </c>
      <c r="F357" s="1">
        <f>IFERROR(__xludf.DUMMYFUNCTION("""COMPUTED_VALUE"""),1007144.0)</f>
        <v>1007144</v>
      </c>
    </row>
    <row r="358">
      <c r="A358" s="2">
        <f>IFERROR(__xludf.DUMMYFUNCTION("""COMPUTED_VALUE"""),37047.645833333336)</f>
        <v>37047.64583</v>
      </c>
      <c r="B358" s="1">
        <f>IFERROR(__xludf.DUMMYFUNCTION("""COMPUTED_VALUE"""),187.0)</f>
        <v>187</v>
      </c>
      <c r="C358" s="1">
        <f>IFERROR(__xludf.DUMMYFUNCTION("""COMPUTED_VALUE"""),187.0)</f>
        <v>187</v>
      </c>
      <c r="D358" s="1">
        <f>IFERROR(__xludf.DUMMYFUNCTION("""COMPUTED_VALUE"""),176.5)</f>
        <v>176.5</v>
      </c>
      <c r="E358" s="1">
        <f>IFERROR(__xludf.DUMMYFUNCTION("""COMPUTED_VALUE"""),183.05)</f>
        <v>183.05</v>
      </c>
      <c r="F358" s="1">
        <f>IFERROR(__xludf.DUMMYFUNCTION("""COMPUTED_VALUE"""),1936765.0)</f>
        <v>1936765</v>
      </c>
    </row>
    <row r="359">
      <c r="A359" s="2">
        <f>IFERROR(__xludf.DUMMYFUNCTION("""COMPUTED_VALUE"""),37048.645833333336)</f>
        <v>37048.64583</v>
      </c>
      <c r="B359" s="1">
        <f>IFERROR(__xludf.DUMMYFUNCTION("""COMPUTED_VALUE"""),185.0)</f>
        <v>185</v>
      </c>
      <c r="C359" s="1">
        <f>IFERROR(__xludf.DUMMYFUNCTION("""COMPUTED_VALUE"""),189.0)</f>
        <v>189</v>
      </c>
      <c r="D359" s="1">
        <f>IFERROR(__xludf.DUMMYFUNCTION("""COMPUTED_VALUE"""),182.7)</f>
        <v>182.7</v>
      </c>
      <c r="E359" s="1">
        <f>IFERROR(__xludf.DUMMYFUNCTION("""COMPUTED_VALUE"""),184.2)</f>
        <v>184.2</v>
      </c>
      <c r="F359" s="1">
        <f>IFERROR(__xludf.DUMMYFUNCTION("""COMPUTED_VALUE"""),1070281.0)</f>
        <v>1070281</v>
      </c>
    </row>
    <row r="360">
      <c r="A360" s="2">
        <f>IFERROR(__xludf.DUMMYFUNCTION("""COMPUTED_VALUE"""),37049.645833333336)</f>
        <v>37049.64583</v>
      </c>
      <c r="B360" s="1">
        <f>IFERROR(__xludf.DUMMYFUNCTION("""COMPUTED_VALUE"""),184.75)</f>
        <v>184.75</v>
      </c>
      <c r="C360" s="1">
        <f>IFERROR(__xludf.DUMMYFUNCTION("""COMPUTED_VALUE"""),186.9)</f>
        <v>186.9</v>
      </c>
      <c r="D360" s="1">
        <f>IFERROR(__xludf.DUMMYFUNCTION("""COMPUTED_VALUE"""),183.0)</f>
        <v>183</v>
      </c>
      <c r="E360" s="1">
        <f>IFERROR(__xludf.DUMMYFUNCTION("""COMPUTED_VALUE"""),186.05)</f>
        <v>186.05</v>
      </c>
      <c r="F360" s="1">
        <f>IFERROR(__xludf.DUMMYFUNCTION("""COMPUTED_VALUE"""),735367.0)</f>
        <v>735367</v>
      </c>
    </row>
    <row r="361">
      <c r="A361" s="2">
        <f>IFERROR(__xludf.DUMMYFUNCTION("""COMPUTED_VALUE"""),37050.645833333336)</f>
        <v>37050.64583</v>
      </c>
      <c r="B361" s="1">
        <f>IFERROR(__xludf.DUMMYFUNCTION("""COMPUTED_VALUE"""),186.0)</f>
        <v>186</v>
      </c>
      <c r="C361" s="1">
        <f>IFERROR(__xludf.DUMMYFUNCTION("""COMPUTED_VALUE"""),187.9)</f>
        <v>187.9</v>
      </c>
      <c r="D361" s="1">
        <f>IFERROR(__xludf.DUMMYFUNCTION("""COMPUTED_VALUE"""),184.6)</f>
        <v>184.6</v>
      </c>
      <c r="E361" s="1">
        <f>IFERROR(__xludf.DUMMYFUNCTION("""COMPUTED_VALUE"""),186.4)</f>
        <v>186.4</v>
      </c>
      <c r="F361" s="1">
        <f>IFERROR(__xludf.DUMMYFUNCTION("""COMPUTED_VALUE"""),715996.0)</f>
        <v>715996</v>
      </c>
    </row>
    <row r="362">
      <c r="A362" s="2">
        <f>IFERROR(__xludf.DUMMYFUNCTION("""COMPUTED_VALUE"""),37053.645833333336)</f>
        <v>37053.64583</v>
      </c>
      <c r="B362" s="1">
        <f>IFERROR(__xludf.DUMMYFUNCTION("""COMPUTED_VALUE"""),186.0)</f>
        <v>186</v>
      </c>
      <c r="C362" s="1">
        <f>IFERROR(__xludf.DUMMYFUNCTION("""COMPUTED_VALUE"""),191.9)</f>
        <v>191.9</v>
      </c>
      <c r="D362" s="1">
        <f>IFERROR(__xludf.DUMMYFUNCTION("""COMPUTED_VALUE"""),185.5)</f>
        <v>185.5</v>
      </c>
      <c r="E362" s="1">
        <f>IFERROR(__xludf.DUMMYFUNCTION("""COMPUTED_VALUE"""),190.8)</f>
        <v>190.8</v>
      </c>
      <c r="F362" s="1">
        <f>IFERROR(__xludf.DUMMYFUNCTION("""COMPUTED_VALUE"""),1212642.0)</f>
        <v>1212642</v>
      </c>
    </row>
    <row r="363">
      <c r="A363" s="2">
        <f>IFERROR(__xludf.DUMMYFUNCTION("""COMPUTED_VALUE"""),37054.645833333336)</f>
        <v>37054.64583</v>
      </c>
      <c r="B363" s="1">
        <f>IFERROR(__xludf.DUMMYFUNCTION("""COMPUTED_VALUE"""),190.0)</f>
        <v>190</v>
      </c>
      <c r="C363" s="1">
        <f>IFERROR(__xludf.DUMMYFUNCTION("""COMPUTED_VALUE"""),193.5)</f>
        <v>193.5</v>
      </c>
      <c r="D363" s="1">
        <f>IFERROR(__xludf.DUMMYFUNCTION("""COMPUTED_VALUE"""),190.0)</f>
        <v>190</v>
      </c>
      <c r="E363" s="1">
        <f>IFERROR(__xludf.DUMMYFUNCTION("""COMPUTED_VALUE"""),192.7)</f>
        <v>192.7</v>
      </c>
      <c r="F363" s="1">
        <f>IFERROR(__xludf.DUMMYFUNCTION("""COMPUTED_VALUE"""),895742.0)</f>
        <v>895742</v>
      </c>
    </row>
    <row r="364">
      <c r="A364" s="2">
        <f>IFERROR(__xludf.DUMMYFUNCTION("""COMPUTED_VALUE"""),37055.645833333336)</f>
        <v>37055.64583</v>
      </c>
      <c r="B364" s="1">
        <f>IFERROR(__xludf.DUMMYFUNCTION("""COMPUTED_VALUE"""),192.0)</f>
        <v>192</v>
      </c>
      <c r="C364" s="1">
        <f>IFERROR(__xludf.DUMMYFUNCTION("""COMPUTED_VALUE"""),194.0)</f>
        <v>194</v>
      </c>
      <c r="D364" s="1">
        <f>IFERROR(__xludf.DUMMYFUNCTION("""COMPUTED_VALUE"""),191.45)</f>
        <v>191.45</v>
      </c>
      <c r="E364" s="1">
        <f>IFERROR(__xludf.DUMMYFUNCTION("""COMPUTED_VALUE"""),193.2)</f>
        <v>193.2</v>
      </c>
      <c r="F364" s="1">
        <f>IFERROR(__xludf.DUMMYFUNCTION("""COMPUTED_VALUE"""),519781.0)</f>
        <v>519781</v>
      </c>
    </row>
    <row r="365">
      <c r="A365" s="2">
        <f>IFERROR(__xludf.DUMMYFUNCTION("""COMPUTED_VALUE"""),37056.645833333336)</f>
        <v>37056.64583</v>
      </c>
      <c r="B365" s="1">
        <f>IFERROR(__xludf.DUMMYFUNCTION("""COMPUTED_VALUE"""),192.05)</f>
        <v>192.05</v>
      </c>
      <c r="C365" s="1">
        <f>IFERROR(__xludf.DUMMYFUNCTION("""COMPUTED_VALUE"""),195.0)</f>
        <v>195</v>
      </c>
      <c r="D365" s="1">
        <f>IFERROR(__xludf.DUMMYFUNCTION("""COMPUTED_VALUE"""),187.0)</f>
        <v>187</v>
      </c>
      <c r="E365" s="1">
        <f>IFERROR(__xludf.DUMMYFUNCTION("""COMPUTED_VALUE"""),193.45)</f>
        <v>193.45</v>
      </c>
      <c r="F365" s="1">
        <f>IFERROR(__xludf.DUMMYFUNCTION("""COMPUTED_VALUE"""),1100030.0)</f>
        <v>1100030</v>
      </c>
    </row>
    <row r="366">
      <c r="A366" s="2">
        <f>IFERROR(__xludf.DUMMYFUNCTION("""COMPUTED_VALUE"""),37057.645833333336)</f>
        <v>37057.64583</v>
      </c>
      <c r="B366" s="1">
        <f>IFERROR(__xludf.DUMMYFUNCTION("""COMPUTED_VALUE"""),193.1)</f>
        <v>193.1</v>
      </c>
      <c r="C366" s="1">
        <f>IFERROR(__xludf.DUMMYFUNCTION("""COMPUTED_VALUE"""),198.9)</f>
        <v>198.9</v>
      </c>
      <c r="D366" s="1">
        <f>IFERROR(__xludf.DUMMYFUNCTION("""COMPUTED_VALUE"""),191.7)</f>
        <v>191.7</v>
      </c>
      <c r="E366" s="1">
        <f>IFERROR(__xludf.DUMMYFUNCTION("""COMPUTED_VALUE"""),198.2)</f>
        <v>198.2</v>
      </c>
      <c r="F366" s="1">
        <f>IFERROR(__xludf.DUMMYFUNCTION("""COMPUTED_VALUE"""),1243482.0)</f>
        <v>1243482</v>
      </c>
    </row>
    <row r="367">
      <c r="A367" s="2">
        <f>IFERROR(__xludf.DUMMYFUNCTION("""COMPUTED_VALUE"""),37060.645833333336)</f>
        <v>37060.64583</v>
      </c>
      <c r="B367" s="1">
        <f>IFERROR(__xludf.DUMMYFUNCTION("""COMPUTED_VALUE"""),197.1)</f>
        <v>197.1</v>
      </c>
      <c r="C367" s="1">
        <f>IFERROR(__xludf.DUMMYFUNCTION("""COMPUTED_VALUE"""),199.75)</f>
        <v>199.75</v>
      </c>
      <c r="D367" s="1">
        <f>IFERROR(__xludf.DUMMYFUNCTION("""COMPUTED_VALUE"""),195.0)</f>
        <v>195</v>
      </c>
      <c r="E367" s="1">
        <f>IFERROR(__xludf.DUMMYFUNCTION("""COMPUTED_VALUE"""),197.7)</f>
        <v>197.7</v>
      </c>
      <c r="F367" s="1">
        <f>IFERROR(__xludf.DUMMYFUNCTION("""COMPUTED_VALUE"""),821891.0)</f>
        <v>821891</v>
      </c>
    </row>
    <row r="368">
      <c r="A368" s="2">
        <f>IFERROR(__xludf.DUMMYFUNCTION("""COMPUTED_VALUE"""),37061.645833333336)</f>
        <v>37061.64583</v>
      </c>
      <c r="B368" s="1">
        <f>IFERROR(__xludf.DUMMYFUNCTION("""COMPUTED_VALUE"""),197.0)</f>
        <v>197</v>
      </c>
      <c r="C368" s="1">
        <f>IFERROR(__xludf.DUMMYFUNCTION("""COMPUTED_VALUE"""),202.25)</f>
        <v>202.25</v>
      </c>
      <c r="D368" s="1">
        <f>IFERROR(__xludf.DUMMYFUNCTION("""COMPUTED_VALUE"""),196.1)</f>
        <v>196.1</v>
      </c>
      <c r="E368" s="1">
        <f>IFERROR(__xludf.DUMMYFUNCTION("""COMPUTED_VALUE"""),200.85)</f>
        <v>200.85</v>
      </c>
      <c r="F368" s="1">
        <f>IFERROR(__xludf.DUMMYFUNCTION("""COMPUTED_VALUE"""),1220998.0)</f>
        <v>1220998</v>
      </c>
    </row>
    <row r="369">
      <c r="A369" s="2">
        <f>IFERROR(__xludf.DUMMYFUNCTION("""COMPUTED_VALUE"""),37062.645833333336)</f>
        <v>37062.64583</v>
      </c>
      <c r="B369" s="1">
        <f>IFERROR(__xludf.DUMMYFUNCTION("""COMPUTED_VALUE"""),203.0)</f>
        <v>203</v>
      </c>
      <c r="C369" s="1">
        <f>IFERROR(__xludf.DUMMYFUNCTION("""COMPUTED_VALUE"""),207.95)</f>
        <v>207.95</v>
      </c>
      <c r="D369" s="1">
        <f>IFERROR(__xludf.DUMMYFUNCTION("""COMPUTED_VALUE"""),198.2)</f>
        <v>198.2</v>
      </c>
      <c r="E369" s="1">
        <f>IFERROR(__xludf.DUMMYFUNCTION("""COMPUTED_VALUE"""),206.65)</f>
        <v>206.65</v>
      </c>
      <c r="F369" s="1">
        <f>IFERROR(__xludf.DUMMYFUNCTION("""COMPUTED_VALUE"""),1456888.0)</f>
        <v>1456888</v>
      </c>
    </row>
    <row r="370">
      <c r="A370" s="2">
        <f>IFERROR(__xludf.DUMMYFUNCTION("""COMPUTED_VALUE"""),37063.645833333336)</f>
        <v>37063.64583</v>
      </c>
      <c r="B370" s="1">
        <f>IFERROR(__xludf.DUMMYFUNCTION("""COMPUTED_VALUE"""),207.0)</f>
        <v>207</v>
      </c>
      <c r="C370" s="1">
        <f>IFERROR(__xludf.DUMMYFUNCTION("""COMPUTED_VALUE"""),207.0)</f>
        <v>207</v>
      </c>
      <c r="D370" s="1">
        <f>IFERROR(__xludf.DUMMYFUNCTION("""COMPUTED_VALUE"""),202.1)</f>
        <v>202.1</v>
      </c>
      <c r="E370" s="1">
        <f>IFERROR(__xludf.DUMMYFUNCTION("""COMPUTED_VALUE"""),205.2)</f>
        <v>205.2</v>
      </c>
      <c r="F370" s="1">
        <f>IFERROR(__xludf.DUMMYFUNCTION("""COMPUTED_VALUE"""),764230.0)</f>
        <v>764230</v>
      </c>
    </row>
    <row r="371">
      <c r="A371" s="2">
        <f>IFERROR(__xludf.DUMMYFUNCTION("""COMPUTED_VALUE"""),37064.645833333336)</f>
        <v>37064.64583</v>
      </c>
      <c r="B371" s="1">
        <f>IFERROR(__xludf.DUMMYFUNCTION("""COMPUTED_VALUE"""),205.7)</f>
        <v>205.7</v>
      </c>
      <c r="C371" s="1">
        <f>IFERROR(__xludf.DUMMYFUNCTION("""COMPUTED_VALUE"""),205.9)</f>
        <v>205.9</v>
      </c>
      <c r="D371" s="1">
        <f>IFERROR(__xludf.DUMMYFUNCTION("""COMPUTED_VALUE"""),202.65)</f>
        <v>202.65</v>
      </c>
      <c r="E371" s="1">
        <f>IFERROR(__xludf.DUMMYFUNCTION("""COMPUTED_VALUE"""),204.15)</f>
        <v>204.15</v>
      </c>
      <c r="F371" s="1">
        <f>IFERROR(__xludf.DUMMYFUNCTION("""COMPUTED_VALUE"""),393803.0)</f>
        <v>393803</v>
      </c>
    </row>
    <row r="372">
      <c r="A372" s="2">
        <f>IFERROR(__xludf.DUMMYFUNCTION("""COMPUTED_VALUE"""),37067.645833333336)</f>
        <v>37067.64583</v>
      </c>
      <c r="B372" s="1">
        <f>IFERROR(__xludf.DUMMYFUNCTION("""COMPUTED_VALUE"""),203.15)</f>
        <v>203.15</v>
      </c>
      <c r="C372" s="1">
        <f>IFERROR(__xludf.DUMMYFUNCTION("""COMPUTED_VALUE"""),203.75)</f>
        <v>203.75</v>
      </c>
      <c r="D372" s="1">
        <f>IFERROR(__xludf.DUMMYFUNCTION("""COMPUTED_VALUE"""),199.7)</f>
        <v>199.7</v>
      </c>
      <c r="E372" s="1">
        <f>IFERROR(__xludf.DUMMYFUNCTION("""COMPUTED_VALUE"""),200.3)</f>
        <v>200.3</v>
      </c>
      <c r="F372" s="1">
        <f>IFERROR(__xludf.DUMMYFUNCTION("""COMPUTED_VALUE"""),912052.0)</f>
        <v>912052</v>
      </c>
    </row>
    <row r="373">
      <c r="A373" s="2">
        <f>IFERROR(__xludf.DUMMYFUNCTION("""COMPUTED_VALUE"""),37068.645833333336)</f>
        <v>37068.64583</v>
      </c>
      <c r="B373" s="1">
        <f>IFERROR(__xludf.DUMMYFUNCTION("""COMPUTED_VALUE"""),199.15)</f>
        <v>199.15</v>
      </c>
      <c r="C373" s="1">
        <f>IFERROR(__xludf.DUMMYFUNCTION("""COMPUTED_VALUE"""),200.95)</f>
        <v>200.95</v>
      </c>
      <c r="D373" s="1">
        <f>IFERROR(__xludf.DUMMYFUNCTION("""COMPUTED_VALUE"""),196.2)</f>
        <v>196.2</v>
      </c>
      <c r="E373" s="1">
        <f>IFERROR(__xludf.DUMMYFUNCTION("""COMPUTED_VALUE"""),197.95)</f>
        <v>197.95</v>
      </c>
      <c r="F373" s="1">
        <f>IFERROR(__xludf.DUMMYFUNCTION("""COMPUTED_VALUE"""),1196738.0)</f>
        <v>1196738</v>
      </c>
    </row>
    <row r="374">
      <c r="A374" s="2">
        <f>IFERROR(__xludf.DUMMYFUNCTION("""COMPUTED_VALUE"""),37069.645833333336)</f>
        <v>37069.64583</v>
      </c>
      <c r="B374" s="1">
        <f>IFERROR(__xludf.DUMMYFUNCTION("""COMPUTED_VALUE"""),197.95)</f>
        <v>197.95</v>
      </c>
      <c r="C374" s="1">
        <f>IFERROR(__xludf.DUMMYFUNCTION("""COMPUTED_VALUE"""),200.85)</f>
        <v>200.85</v>
      </c>
      <c r="D374" s="1">
        <f>IFERROR(__xludf.DUMMYFUNCTION("""COMPUTED_VALUE"""),194.7)</f>
        <v>194.7</v>
      </c>
      <c r="E374" s="1">
        <f>IFERROR(__xludf.DUMMYFUNCTION("""COMPUTED_VALUE"""),197.45)</f>
        <v>197.45</v>
      </c>
      <c r="F374" s="1">
        <f>IFERROR(__xludf.DUMMYFUNCTION("""COMPUTED_VALUE"""),1075539.0)</f>
        <v>1075539</v>
      </c>
    </row>
    <row r="375">
      <c r="A375" s="2">
        <f>IFERROR(__xludf.DUMMYFUNCTION("""COMPUTED_VALUE"""),37070.645833333336)</f>
        <v>37070.64583</v>
      </c>
      <c r="B375" s="1">
        <f>IFERROR(__xludf.DUMMYFUNCTION("""COMPUTED_VALUE"""),197.75)</f>
        <v>197.75</v>
      </c>
      <c r="C375" s="1">
        <f>IFERROR(__xludf.DUMMYFUNCTION("""COMPUTED_VALUE"""),198.6)</f>
        <v>198.6</v>
      </c>
      <c r="D375" s="1">
        <f>IFERROR(__xludf.DUMMYFUNCTION("""COMPUTED_VALUE"""),195.1)</f>
        <v>195.1</v>
      </c>
      <c r="E375" s="1">
        <f>IFERROR(__xludf.DUMMYFUNCTION("""COMPUTED_VALUE"""),196.85)</f>
        <v>196.85</v>
      </c>
      <c r="F375" s="1">
        <f>IFERROR(__xludf.DUMMYFUNCTION("""COMPUTED_VALUE"""),472337.0)</f>
        <v>472337</v>
      </c>
    </row>
    <row r="376">
      <c r="A376" s="2">
        <f>IFERROR(__xludf.DUMMYFUNCTION("""COMPUTED_VALUE"""),37071.645833333336)</f>
        <v>37071.64583</v>
      </c>
      <c r="B376" s="1">
        <f>IFERROR(__xludf.DUMMYFUNCTION("""COMPUTED_VALUE"""),197.0)</f>
        <v>197</v>
      </c>
      <c r="C376" s="1">
        <f>IFERROR(__xludf.DUMMYFUNCTION("""COMPUTED_VALUE"""),206.4)</f>
        <v>206.4</v>
      </c>
      <c r="D376" s="1">
        <f>IFERROR(__xludf.DUMMYFUNCTION("""COMPUTED_VALUE"""),197.0)</f>
        <v>197</v>
      </c>
      <c r="E376" s="1">
        <f>IFERROR(__xludf.DUMMYFUNCTION("""COMPUTED_VALUE"""),205.4)</f>
        <v>205.4</v>
      </c>
      <c r="F376" s="1">
        <f>IFERROR(__xludf.DUMMYFUNCTION("""COMPUTED_VALUE"""),1095258.0)</f>
        <v>1095258</v>
      </c>
    </row>
    <row r="377">
      <c r="A377" s="2">
        <f>IFERROR(__xludf.DUMMYFUNCTION("""COMPUTED_VALUE"""),37074.645833333336)</f>
        <v>37074.64583</v>
      </c>
      <c r="B377" s="1">
        <f>IFERROR(__xludf.DUMMYFUNCTION("""COMPUTED_VALUE"""),205.0)</f>
        <v>205</v>
      </c>
      <c r="C377" s="1">
        <f>IFERROR(__xludf.DUMMYFUNCTION("""COMPUTED_VALUE"""),205.5)</f>
        <v>205.5</v>
      </c>
      <c r="D377" s="1">
        <f>IFERROR(__xludf.DUMMYFUNCTION("""COMPUTED_VALUE"""),197.0)</f>
        <v>197</v>
      </c>
      <c r="E377" s="1">
        <f>IFERROR(__xludf.DUMMYFUNCTION("""COMPUTED_VALUE"""),198.5)</f>
        <v>198.5</v>
      </c>
      <c r="F377" s="1">
        <f>IFERROR(__xludf.DUMMYFUNCTION("""COMPUTED_VALUE"""),202420.0)</f>
        <v>202420</v>
      </c>
    </row>
    <row r="378">
      <c r="A378" s="2">
        <f>IFERROR(__xludf.DUMMYFUNCTION("""COMPUTED_VALUE"""),37075.645833333336)</f>
        <v>37075.64583</v>
      </c>
      <c r="B378" s="1">
        <f>IFERROR(__xludf.DUMMYFUNCTION("""COMPUTED_VALUE"""),196.0)</f>
        <v>196</v>
      </c>
      <c r="C378" s="1">
        <f>IFERROR(__xludf.DUMMYFUNCTION("""COMPUTED_VALUE"""),207.0)</f>
        <v>207</v>
      </c>
      <c r="D378" s="1">
        <f>IFERROR(__xludf.DUMMYFUNCTION("""COMPUTED_VALUE"""),195.65)</f>
        <v>195.65</v>
      </c>
      <c r="E378" s="1">
        <f>IFERROR(__xludf.DUMMYFUNCTION("""COMPUTED_VALUE"""),202.95)</f>
        <v>202.95</v>
      </c>
      <c r="F378" s="1">
        <f>IFERROR(__xludf.DUMMYFUNCTION("""COMPUTED_VALUE"""),608972.0)</f>
        <v>608972</v>
      </c>
    </row>
    <row r="379">
      <c r="A379" s="2">
        <f>IFERROR(__xludf.DUMMYFUNCTION("""COMPUTED_VALUE"""),37076.645833333336)</f>
        <v>37076.64583</v>
      </c>
      <c r="B379" s="1">
        <f>IFERROR(__xludf.DUMMYFUNCTION("""COMPUTED_VALUE"""),197.45)</f>
        <v>197.45</v>
      </c>
      <c r="C379" s="1">
        <f>IFERROR(__xludf.DUMMYFUNCTION("""COMPUTED_VALUE"""),198.95)</f>
        <v>198.95</v>
      </c>
      <c r="D379" s="1">
        <f>IFERROR(__xludf.DUMMYFUNCTION("""COMPUTED_VALUE"""),196.05)</f>
        <v>196.05</v>
      </c>
      <c r="E379" s="1">
        <f>IFERROR(__xludf.DUMMYFUNCTION("""COMPUTED_VALUE"""),197.25)</f>
        <v>197.25</v>
      </c>
      <c r="F379" s="1">
        <f>IFERROR(__xludf.DUMMYFUNCTION("""COMPUTED_VALUE"""),386129.0)</f>
        <v>386129</v>
      </c>
    </row>
    <row r="380">
      <c r="A380" s="2">
        <f>IFERROR(__xludf.DUMMYFUNCTION("""COMPUTED_VALUE"""),37077.645833333336)</f>
        <v>37077.64583</v>
      </c>
      <c r="B380" s="1">
        <f>IFERROR(__xludf.DUMMYFUNCTION("""COMPUTED_VALUE"""),198.0)</f>
        <v>198</v>
      </c>
      <c r="C380" s="1">
        <f>IFERROR(__xludf.DUMMYFUNCTION("""COMPUTED_VALUE"""),199.95)</f>
        <v>199.95</v>
      </c>
      <c r="D380" s="1">
        <f>IFERROR(__xludf.DUMMYFUNCTION("""COMPUTED_VALUE"""),195.0)</f>
        <v>195</v>
      </c>
      <c r="E380" s="1">
        <f>IFERROR(__xludf.DUMMYFUNCTION("""COMPUTED_VALUE"""),197.25)</f>
        <v>197.25</v>
      </c>
      <c r="F380" s="1">
        <f>IFERROR(__xludf.DUMMYFUNCTION("""COMPUTED_VALUE"""),249355.0)</f>
        <v>249355</v>
      </c>
    </row>
    <row r="381">
      <c r="A381" s="2">
        <f>IFERROR(__xludf.DUMMYFUNCTION("""COMPUTED_VALUE"""),37078.645833333336)</f>
        <v>37078.64583</v>
      </c>
      <c r="B381" s="1">
        <f>IFERROR(__xludf.DUMMYFUNCTION("""COMPUTED_VALUE"""),195.1)</f>
        <v>195.1</v>
      </c>
      <c r="C381" s="1">
        <f>IFERROR(__xludf.DUMMYFUNCTION("""COMPUTED_VALUE"""),200.0)</f>
        <v>200</v>
      </c>
      <c r="D381" s="1">
        <f>IFERROR(__xludf.DUMMYFUNCTION("""COMPUTED_VALUE"""),195.1)</f>
        <v>195.1</v>
      </c>
      <c r="E381" s="1">
        <f>IFERROR(__xludf.DUMMYFUNCTION("""COMPUTED_VALUE"""),197.65)</f>
        <v>197.65</v>
      </c>
      <c r="F381" s="1">
        <f>IFERROR(__xludf.DUMMYFUNCTION("""COMPUTED_VALUE"""),137253.0)</f>
        <v>137253</v>
      </c>
    </row>
    <row r="382">
      <c r="A382" s="2">
        <f>IFERROR(__xludf.DUMMYFUNCTION("""COMPUTED_VALUE"""),37081.645833333336)</f>
        <v>37081.64583</v>
      </c>
      <c r="B382" s="1">
        <f>IFERROR(__xludf.DUMMYFUNCTION("""COMPUTED_VALUE"""),196.0)</f>
        <v>196</v>
      </c>
      <c r="C382" s="1">
        <f>IFERROR(__xludf.DUMMYFUNCTION("""COMPUTED_VALUE"""),200.0)</f>
        <v>200</v>
      </c>
      <c r="D382" s="1">
        <f>IFERROR(__xludf.DUMMYFUNCTION("""COMPUTED_VALUE"""),195.3)</f>
        <v>195.3</v>
      </c>
      <c r="E382" s="1">
        <f>IFERROR(__xludf.DUMMYFUNCTION("""COMPUTED_VALUE"""),198.3)</f>
        <v>198.3</v>
      </c>
      <c r="F382" s="1">
        <f>IFERROR(__xludf.DUMMYFUNCTION("""COMPUTED_VALUE"""),95442.0)</f>
        <v>95442</v>
      </c>
    </row>
    <row r="383">
      <c r="A383" s="2">
        <f>IFERROR(__xludf.DUMMYFUNCTION("""COMPUTED_VALUE"""),37082.645833333336)</f>
        <v>37082.64583</v>
      </c>
      <c r="B383" s="1">
        <f>IFERROR(__xludf.DUMMYFUNCTION("""COMPUTED_VALUE"""),198.0)</f>
        <v>198</v>
      </c>
      <c r="C383" s="1">
        <f>IFERROR(__xludf.DUMMYFUNCTION("""COMPUTED_VALUE"""),201.95)</f>
        <v>201.95</v>
      </c>
      <c r="D383" s="1">
        <f>IFERROR(__xludf.DUMMYFUNCTION("""COMPUTED_VALUE"""),197.1)</f>
        <v>197.1</v>
      </c>
      <c r="E383" s="1">
        <f>IFERROR(__xludf.DUMMYFUNCTION("""COMPUTED_VALUE"""),200.65)</f>
        <v>200.65</v>
      </c>
      <c r="F383" s="1">
        <f>IFERROR(__xludf.DUMMYFUNCTION("""COMPUTED_VALUE"""),251405.0)</f>
        <v>251405</v>
      </c>
    </row>
    <row r="384">
      <c r="A384" s="2">
        <f>IFERROR(__xludf.DUMMYFUNCTION("""COMPUTED_VALUE"""),37083.645833333336)</f>
        <v>37083.64583</v>
      </c>
      <c r="B384" s="1">
        <f>IFERROR(__xludf.DUMMYFUNCTION("""COMPUTED_VALUE"""),200.0)</f>
        <v>200</v>
      </c>
      <c r="C384" s="1">
        <f>IFERROR(__xludf.DUMMYFUNCTION("""COMPUTED_VALUE"""),205.45)</f>
        <v>205.45</v>
      </c>
      <c r="D384" s="1">
        <f>IFERROR(__xludf.DUMMYFUNCTION("""COMPUTED_VALUE"""),198.75)</f>
        <v>198.75</v>
      </c>
      <c r="E384" s="1">
        <f>IFERROR(__xludf.DUMMYFUNCTION("""COMPUTED_VALUE"""),204.25)</f>
        <v>204.25</v>
      </c>
      <c r="F384" s="1">
        <f>IFERROR(__xludf.DUMMYFUNCTION("""COMPUTED_VALUE"""),800486.0)</f>
        <v>800486</v>
      </c>
    </row>
    <row r="385">
      <c r="A385" s="2">
        <f>IFERROR(__xludf.DUMMYFUNCTION("""COMPUTED_VALUE"""),37084.645833333336)</f>
        <v>37084.64583</v>
      </c>
      <c r="B385" s="1">
        <f>IFERROR(__xludf.DUMMYFUNCTION("""COMPUTED_VALUE"""),205.0)</f>
        <v>205</v>
      </c>
      <c r="C385" s="1">
        <f>IFERROR(__xludf.DUMMYFUNCTION("""COMPUTED_VALUE"""),215.9)</f>
        <v>215.9</v>
      </c>
      <c r="D385" s="1">
        <f>IFERROR(__xludf.DUMMYFUNCTION("""COMPUTED_VALUE"""),205.0)</f>
        <v>205</v>
      </c>
      <c r="E385" s="1">
        <f>IFERROR(__xludf.DUMMYFUNCTION("""COMPUTED_VALUE"""),213.95)</f>
        <v>213.95</v>
      </c>
      <c r="F385" s="1">
        <f>IFERROR(__xludf.DUMMYFUNCTION("""COMPUTED_VALUE"""),1413565.0)</f>
        <v>1413565</v>
      </c>
    </row>
    <row r="386">
      <c r="A386" s="2">
        <f>IFERROR(__xludf.DUMMYFUNCTION("""COMPUTED_VALUE"""),37085.645833333336)</f>
        <v>37085.64583</v>
      </c>
      <c r="B386" s="1">
        <f>IFERROR(__xludf.DUMMYFUNCTION("""COMPUTED_VALUE"""),217.0)</f>
        <v>217</v>
      </c>
      <c r="C386" s="1">
        <f>IFERROR(__xludf.DUMMYFUNCTION("""COMPUTED_VALUE"""),224.9)</f>
        <v>224.9</v>
      </c>
      <c r="D386" s="1">
        <f>IFERROR(__xludf.DUMMYFUNCTION("""COMPUTED_VALUE"""),214.5)</f>
        <v>214.5</v>
      </c>
      <c r="E386" s="1">
        <f>IFERROR(__xludf.DUMMYFUNCTION("""COMPUTED_VALUE"""),223.6)</f>
        <v>223.6</v>
      </c>
      <c r="F386" s="1">
        <f>IFERROR(__xludf.DUMMYFUNCTION("""COMPUTED_VALUE"""),2242918.0)</f>
        <v>2242918</v>
      </c>
    </row>
    <row r="387">
      <c r="A387" s="2">
        <f>IFERROR(__xludf.DUMMYFUNCTION("""COMPUTED_VALUE"""),37088.645833333336)</f>
        <v>37088.64583</v>
      </c>
      <c r="B387" s="1">
        <f>IFERROR(__xludf.DUMMYFUNCTION("""COMPUTED_VALUE"""),222.8)</f>
        <v>222.8</v>
      </c>
      <c r="C387" s="1">
        <f>IFERROR(__xludf.DUMMYFUNCTION("""COMPUTED_VALUE"""),225.0)</f>
        <v>225</v>
      </c>
      <c r="D387" s="1">
        <f>IFERROR(__xludf.DUMMYFUNCTION("""COMPUTED_VALUE"""),216.5)</f>
        <v>216.5</v>
      </c>
      <c r="E387" s="1">
        <f>IFERROR(__xludf.DUMMYFUNCTION("""COMPUTED_VALUE"""),224.6)</f>
        <v>224.6</v>
      </c>
      <c r="F387" s="1">
        <f>IFERROR(__xludf.DUMMYFUNCTION("""COMPUTED_VALUE"""),1357948.0)</f>
        <v>1357948</v>
      </c>
    </row>
    <row r="388">
      <c r="A388" s="2">
        <f>IFERROR(__xludf.DUMMYFUNCTION("""COMPUTED_VALUE"""),37089.645833333336)</f>
        <v>37089.64583</v>
      </c>
      <c r="B388" s="1">
        <f>IFERROR(__xludf.DUMMYFUNCTION("""COMPUTED_VALUE"""),221.15)</f>
        <v>221.15</v>
      </c>
      <c r="C388" s="1">
        <f>IFERROR(__xludf.DUMMYFUNCTION("""COMPUTED_VALUE"""),225.45)</f>
        <v>225.45</v>
      </c>
      <c r="D388" s="1">
        <f>IFERROR(__xludf.DUMMYFUNCTION("""COMPUTED_VALUE"""),219.2)</f>
        <v>219.2</v>
      </c>
      <c r="E388" s="1">
        <f>IFERROR(__xludf.DUMMYFUNCTION("""COMPUTED_VALUE"""),224.75)</f>
        <v>224.75</v>
      </c>
      <c r="F388" s="1">
        <f>IFERROR(__xludf.DUMMYFUNCTION("""COMPUTED_VALUE"""),1997926.0)</f>
        <v>1997926</v>
      </c>
    </row>
    <row r="389">
      <c r="A389" s="2">
        <f>IFERROR(__xludf.DUMMYFUNCTION("""COMPUTED_VALUE"""),37090.645833333336)</f>
        <v>37090.64583</v>
      </c>
      <c r="B389" s="1">
        <f>IFERROR(__xludf.DUMMYFUNCTION("""COMPUTED_VALUE"""),223.2)</f>
        <v>223.2</v>
      </c>
      <c r="C389" s="1">
        <f>IFERROR(__xludf.DUMMYFUNCTION("""COMPUTED_VALUE"""),225.0)</f>
        <v>225</v>
      </c>
      <c r="D389" s="1">
        <f>IFERROR(__xludf.DUMMYFUNCTION("""COMPUTED_VALUE"""),217.6)</f>
        <v>217.6</v>
      </c>
      <c r="E389" s="1">
        <f>IFERROR(__xludf.DUMMYFUNCTION("""COMPUTED_VALUE"""),218.95)</f>
        <v>218.95</v>
      </c>
      <c r="F389" s="1">
        <f>IFERROR(__xludf.DUMMYFUNCTION("""COMPUTED_VALUE"""),1140854.0)</f>
        <v>1140854</v>
      </c>
    </row>
    <row r="390">
      <c r="A390" s="2">
        <f>IFERROR(__xludf.DUMMYFUNCTION("""COMPUTED_VALUE"""),37091.645833333336)</f>
        <v>37091.64583</v>
      </c>
      <c r="B390" s="1">
        <f>IFERROR(__xludf.DUMMYFUNCTION("""COMPUTED_VALUE"""),215.0)</f>
        <v>215</v>
      </c>
      <c r="C390" s="1">
        <f>IFERROR(__xludf.DUMMYFUNCTION("""COMPUTED_VALUE"""),217.2)</f>
        <v>217.2</v>
      </c>
      <c r="D390" s="1">
        <f>IFERROR(__xludf.DUMMYFUNCTION("""COMPUTED_VALUE"""),211.55)</f>
        <v>211.55</v>
      </c>
      <c r="E390" s="1">
        <f>IFERROR(__xludf.DUMMYFUNCTION("""COMPUTED_VALUE"""),212.95)</f>
        <v>212.95</v>
      </c>
      <c r="F390" s="1">
        <f>IFERROR(__xludf.DUMMYFUNCTION("""COMPUTED_VALUE"""),1673135.0)</f>
        <v>1673135</v>
      </c>
    </row>
    <row r="391">
      <c r="A391" s="2">
        <f>IFERROR(__xludf.DUMMYFUNCTION("""COMPUTED_VALUE"""),37092.645833333336)</f>
        <v>37092.64583</v>
      </c>
      <c r="B391" s="1">
        <f>IFERROR(__xludf.DUMMYFUNCTION("""COMPUTED_VALUE"""),214.0)</f>
        <v>214</v>
      </c>
      <c r="C391" s="1">
        <f>IFERROR(__xludf.DUMMYFUNCTION("""COMPUTED_VALUE"""),218.5)</f>
        <v>218.5</v>
      </c>
      <c r="D391" s="1">
        <f>IFERROR(__xludf.DUMMYFUNCTION("""COMPUTED_VALUE"""),213.0)</f>
        <v>213</v>
      </c>
      <c r="E391" s="1">
        <f>IFERROR(__xludf.DUMMYFUNCTION("""COMPUTED_VALUE"""),216.1)</f>
        <v>216.1</v>
      </c>
      <c r="F391" s="1">
        <f>IFERROR(__xludf.DUMMYFUNCTION("""COMPUTED_VALUE"""),1655262.0)</f>
        <v>1655262</v>
      </c>
    </row>
    <row r="392">
      <c r="A392" s="2">
        <f>IFERROR(__xludf.DUMMYFUNCTION("""COMPUTED_VALUE"""),37095.645833333336)</f>
        <v>37095.64583</v>
      </c>
      <c r="B392" s="1">
        <f>IFERROR(__xludf.DUMMYFUNCTION("""COMPUTED_VALUE"""),214.75)</f>
        <v>214.75</v>
      </c>
      <c r="C392" s="1">
        <f>IFERROR(__xludf.DUMMYFUNCTION("""COMPUTED_VALUE"""),216.6)</f>
        <v>216.6</v>
      </c>
      <c r="D392" s="1">
        <f>IFERROR(__xludf.DUMMYFUNCTION("""COMPUTED_VALUE"""),214.25)</f>
        <v>214.25</v>
      </c>
      <c r="E392" s="1">
        <f>IFERROR(__xludf.DUMMYFUNCTION("""COMPUTED_VALUE"""),215.3)</f>
        <v>215.3</v>
      </c>
      <c r="F392" s="1">
        <f>IFERROR(__xludf.DUMMYFUNCTION("""COMPUTED_VALUE"""),54505.0)</f>
        <v>54505</v>
      </c>
    </row>
    <row r="393">
      <c r="A393" s="2">
        <f>IFERROR(__xludf.DUMMYFUNCTION("""COMPUTED_VALUE"""),37096.645833333336)</f>
        <v>37096.64583</v>
      </c>
      <c r="B393" s="1">
        <f>IFERROR(__xludf.DUMMYFUNCTION("""COMPUTED_VALUE"""),215.1)</f>
        <v>215.1</v>
      </c>
      <c r="C393" s="1">
        <f>IFERROR(__xludf.DUMMYFUNCTION("""COMPUTED_VALUE"""),220.65)</f>
        <v>220.65</v>
      </c>
      <c r="D393" s="1">
        <f>IFERROR(__xludf.DUMMYFUNCTION("""COMPUTED_VALUE"""),214.25)</f>
        <v>214.25</v>
      </c>
      <c r="E393" s="1">
        <f>IFERROR(__xludf.DUMMYFUNCTION("""COMPUTED_VALUE"""),217.45)</f>
        <v>217.45</v>
      </c>
      <c r="F393" s="1">
        <f>IFERROR(__xludf.DUMMYFUNCTION("""COMPUTED_VALUE"""),1597347.0)</f>
        <v>1597347</v>
      </c>
    </row>
    <row r="394">
      <c r="A394" s="2">
        <f>IFERROR(__xludf.DUMMYFUNCTION("""COMPUTED_VALUE"""),37097.645833333336)</f>
        <v>37097.64583</v>
      </c>
      <c r="B394" s="1">
        <f>IFERROR(__xludf.DUMMYFUNCTION("""COMPUTED_VALUE"""),218.1)</f>
        <v>218.1</v>
      </c>
      <c r="C394" s="1">
        <f>IFERROR(__xludf.DUMMYFUNCTION("""COMPUTED_VALUE"""),224.65)</f>
        <v>224.65</v>
      </c>
      <c r="D394" s="1">
        <f>IFERROR(__xludf.DUMMYFUNCTION("""COMPUTED_VALUE"""),217.05)</f>
        <v>217.05</v>
      </c>
      <c r="E394" s="1">
        <f>IFERROR(__xludf.DUMMYFUNCTION("""COMPUTED_VALUE"""),223.45)</f>
        <v>223.45</v>
      </c>
      <c r="F394" s="1">
        <f>IFERROR(__xludf.DUMMYFUNCTION("""COMPUTED_VALUE"""),2486348.0)</f>
        <v>2486348</v>
      </c>
    </row>
    <row r="395">
      <c r="A395" s="2">
        <f>IFERROR(__xludf.DUMMYFUNCTION("""COMPUTED_VALUE"""),37098.645833333336)</f>
        <v>37098.64583</v>
      </c>
      <c r="B395" s="1">
        <f>IFERROR(__xludf.DUMMYFUNCTION("""COMPUTED_VALUE"""),223.8)</f>
        <v>223.8</v>
      </c>
      <c r="C395" s="1">
        <f>IFERROR(__xludf.DUMMYFUNCTION("""COMPUTED_VALUE"""),225.0)</f>
        <v>225</v>
      </c>
      <c r="D395" s="1">
        <f>IFERROR(__xludf.DUMMYFUNCTION("""COMPUTED_VALUE"""),218.0)</f>
        <v>218</v>
      </c>
      <c r="E395" s="1">
        <f>IFERROR(__xludf.DUMMYFUNCTION("""COMPUTED_VALUE"""),218.75)</f>
        <v>218.75</v>
      </c>
      <c r="F395" s="1">
        <f>IFERROR(__xludf.DUMMYFUNCTION("""COMPUTED_VALUE"""),2264045.0)</f>
        <v>2264045</v>
      </c>
    </row>
    <row r="396">
      <c r="A396" s="2">
        <f>IFERROR(__xludf.DUMMYFUNCTION("""COMPUTED_VALUE"""),37099.645833333336)</f>
        <v>37099.64583</v>
      </c>
      <c r="B396" s="1">
        <f>IFERROR(__xludf.DUMMYFUNCTION("""COMPUTED_VALUE"""),216.1)</f>
        <v>216.1</v>
      </c>
      <c r="C396" s="1">
        <f>IFERROR(__xludf.DUMMYFUNCTION("""COMPUTED_VALUE"""),220.0)</f>
        <v>220</v>
      </c>
      <c r="D396" s="1">
        <f>IFERROR(__xludf.DUMMYFUNCTION("""COMPUTED_VALUE"""),216.1)</f>
        <v>216.1</v>
      </c>
      <c r="E396" s="1">
        <f>IFERROR(__xludf.DUMMYFUNCTION("""COMPUTED_VALUE"""),217.55)</f>
        <v>217.55</v>
      </c>
      <c r="F396" s="1">
        <f>IFERROR(__xludf.DUMMYFUNCTION("""COMPUTED_VALUE"""),1358988.0)</f>
        <v>1358988</v>
      </c>
    </row>
    <row r="397">
      <c r="A397" s="2">
        <f>IFERROR(__xludf.DUMMYFUNCTION("""COMPUTED_VALUE"""),37102.645833333336)</f>
        <v>37102.64583</v>
      </c>
      <c r="B397" s="1">
        <f>IFERROR(__xludf.DUMMYFUNCTION("""COMPUTED_VALUE"""),217.4)</f>
        <v>217.4</v>
      </c>
      <c r="C397" s="1">
        <f>IFERROR(__xludf.DUMMYFUNCTION("""COMPUTED_VALUE"""),219.85)</f>
        <v>219.85</v>
      </c>
      <c r="D397" s="1">
        <f>IFERROR(__xludf.DUMMYFUNCTION("""COMPUTED_VALUE"""),214.5)</f>
        <v>214.5</v>
      </c>
      <c r="E397" s="1">
        <f>IFERROR(__xludf.DUMMYFUNCTION("""COMPUTED_VALUE"""),217.65)</f>
        <v>217.65</v>
      </c>
      <c r="F397" s="1">
        <f>IFERROR(__xludf.DUMMYFUNCTION("""COMPUTED_VALUE"""),1491332.0)</f>
        <v>1491332</v>
      </c>
    </row>
    <row r="398">
      <c r="A398" s="2">
        <f>IFERROR(__xludf.DUMMYFUNCTION("""COMPUTED_VALUE"""),37103.645833333336)</f>
        <v>37103.64583</v>
      </c>
      <c r="B398" s="1">
        <f>IFERROR(__xludf.DUMMYFUNCTION("""COMPUTED_VALUE"""),215.9)</f>
        <v>215.9</v>
      </c>
      <c r="C398" s="1">
        <f>IFERROR(__xludf.DUMMYFUNCTION("""COMPUTED_VALUE"""),223.0)</f>
        <v>223</v>
      </c>
      <c r="D398" s="1">
        <f>IFERROR(__xludf.DUMMYFUNCTION("""COMPUTED_VALUE"""),213.7)</f>
        <v>213.7</v>
      </c>
      <c r="E398" s="1">
        <f>IFERROR(__xludf.DUMMYFUNCTION("""COMPUTED_VALUE"""),220.8)</f>
        <v>220.8</v>
      </c>
      <c r="F398" s="1">
        <f>IFERROR(__xludf.DUMMYFUNCTION("""COMPUTED_VALUE"""),875108.0)</f>
        <v>875108</v>
      </c>
    </row>
    <row r="399">
      <c r="A399" s="2">
        <f>IFERROR(__xludf.DUMMYFUNCTION("""COMPUTED_VALUE"""),37104.645833333336)</f>
        <v>37104.64583</v>
      </c>
      <c r="B399" s="1">
        <f>IFERROR(__xludf.DUMMYFUNCTION("""COMPUTED_VALUE"""),220.05)</f>
        <v>220.05</v>
      </c>
      <c r="C399" s="1">
        <f>IFERROR(__xludf.DUMMYFUNCTION("""COMPUTED_VALUE"""),221.9)</f>
        <v>221.9</v>
      </c>
      <c r="D399" s="1">
        <f>IFERROR(__xludf.DUMMYFUNCTION("""COMPUTED_VALUE"""),210.0)</f>
        <v>210</v>
      </c>
      <c r="E399" s="1">
        <f>IFERROR(__xludf.DUMMYFUNCTION("""COMPUTED_VALUE"""),211.65)</f>
        <v>211.65</v>
      </c>
      <c r="F399" s="1">
        <f>IFERROR(__xludf.DUMMYFUNCTION("""COMPUTED_VALUE"""),844208.0)</f>
        <v>844208</v>
      </c>
    </row>
    <row r="400">
      <c r="A400" s="2">
        <f>IFERROR(__xludf.DUMMYFUNCTION("""COMPUTED_VALUE"""),37105.645833333336)</f>
        <v>37105.64583</v>
      </c>
      <c r="B400" s="1">
        <f>IFERROR(__xludf.DUMMYFUNCTION("""COMPUTED_VALUE"""),212.0)</f>
        <v>212</v>
      </c>
      <c r="C400" s="1">
        <f>IFERROR(__xludf.DUMMYFUNCTION("""COMPUTED_VALUE"""),214.0)</f>
        <v>214</v>
      </c>
      <c r="D400" s="1">
        <f>IFERROR(__xludf.DUMMYFUNCTION("""COMPUTED_VALUE"""),210.0)</f>
        <v>210</v>
      </c>
      <c r="E400" s="1">
        <f>IFERROR(__xludf.DUMMYFUNCTION("""COMPUTED_VALUE"""),210.85)</f>
        <v>210.85</v>
      </c>
      <c r="F400" s="1">
        <f>IFERROR(__xludf.DUMMYFUNCTION("""COMPUTED_VALUE"""),563428.0)</f>
        <v>563428</v>
      </c>
    </row>
    <row r="401">
      <c r="A401" s="2">
        <f>IFERROR(__xludf.DUMMYFUNCTION("""COMPUTED_VALUE"""),37106.645833333336)</f>
        <v>37106.64583</v>
      </c>
      <c r="B401" s="1">
        <f>IFERROR(__xludf.DUMMYFUNCTION("""COMPUTED_VALUE"""),211.5)</f>
        <v>211.5</v>
      </c>
      <c r="C401" s="1">
        <f>IFERROR(__xludf.DUMMYFUNCTION("""COMPUTED_VALUE"""),215.0)</f>
        <v>215</v>
      </c>
      <c r="D401" s="1">
        <f>IFERROR(__xludf.DUMMYFUNCTION("""COMPUTED_VALUE"""),210.95)</f>
        <v>210.95</v>
      </c>
      <c r="E401" s="1">
        <f>IFERROR(__xludf.DUMMYFUNCTION("""COMPUTED_VALUE"""),213.5)</f>
        <v>213.5</v>
      </c>
      <c r="F401" s="1">
        <f>IFERROR(__xludf.DUMMYFUNCTION("""COMPUTED_VALUE"""),508671.0)</f>
        <v>508671</v>
      </c>
    </row>
    <row r="402">
      <c r="A402" s="2">
        <f>IFERROR(__xludf.DUMMYFUNCTION("""COMPUTED_VALUE"""),37109.645833333336)</f>
        <v>37109.64583</v>
      </c>
      <c r="B402" s="1">
        <f>IFERROR(__xludf.DUMMYFUNCTION("""COMPUTED_VALUE"""),214.0)</f>
        <v>214</v>
      </c>
      <c r="C402" s="1">
        <f>IFERROR(__xludf.DUMMYFUNCTION("""COMPUTED_VALUE"""),216.5)</f>
        <v>216.5</v>
      </c>
      <c r="D402" s="1">
        <f>IFERROR(__xludf.DUMMYFUNCTION("""COMPUTED_VALUE"""),213.1)</f>
        <v>213.1</v>
      </c>
      <c r="E402" s="1">
        <f>IFERROR(__xludf.DUMMYFUNCTION("""COMPUTED_VALUE"""),214.0)</f>
        <v>214</v>
      </c>
      <c r="F402" s="1">
        <f>IFERROR(__xludf.DUMMYFUNCTION("""COMPUTED_VALUE"""),583610.0)</f>
        <v>583610</v>
      </c>
    </row>
    <row r="403">
      <c r="A403" s="2">
        <f>IFERROR(__xludf.DUMMYFUNCTION("""COMPUTED_VALUE"""),37110.645833333336)</f>
        <v>37110.64583</v>
      </c>
      <c r="B403" s="1">
        <f>IFERROR(__xludf.DUMMYFUNCTION("""COMPUTED_VALUE"""),214.9)</f>
        <v>214.9</v>
      </c>
      <c r="C403" s="1">
        <f>IFERROR(__xludf.DUMMYFUNCTION("""COMPUTED_VALUE"""),215.4)</f>
        <v>215.4</v>
      </c>
      <c r="D403" s="1">
        <f>IFERROR(__xludf.DUMMYFUNCTION("""COMPUTED_VALUE"""),210.3)</f>
        <v>210.3</v>
      </c>
      <c r="E403" s="1">
        <f>IFERROR(__xludf.DUMMYFUNCTION("""COMPUTED_VALUE"""),211.2)</f>
        <v>211.2</v>
      </c>
      <c r="F403" s="1">
        <f>IFERROR(__xludf.DUMMYFUNCTION("""COMPUTED_VALUE"""),367981.0)</f>
        <v>367981</v>
      </c>
    </row>
    <row r="404">
      <c r="A404" s="2">
        <f>IFERROR(__xludf.DUMMYFUNCTION("""COMPUTED_VALUE"""),37111.645833333336)</f>
        <v>37111.64583</v>
      </c>
      <c r="B404" s="1">
        <f>IFERROR(__xludf.DUMMYFUNCTION("""COMPUTED_VALUE"""),211.9)</f>
        <v>211.9</v>
      </c>
      <c r="C404" s="1">
        <f>IFERROR(__xludf.DUMMYFUNCTION("""COMPUTED_VALUE"""),213.45)</f>
        <v>213.45</v>
      </c>
      <c r="D404" s="1">
        <f>IFERROR(__xludf.DUMMYFUNCTION("""COMPUTED_VALUE"""),210.2)</f>
        <v>210.2</v>
      </c>
      <c r="E404" s="1">
        <f>IFERROR(__xludf.DUMMYFUNCTION("""COMPUTED_VALUE"""),212.7)</f>
        <v>212.7</v>
      </c>
      <c r="F404" s="1">
        <f>IFERROR(__xludf.DUMMYFUNCTION("""COMPUTED_VALUE"""),483135.0)</f>
        <v>483135</v>
      </c>
    </row>
    <row r="405">
      <c r="A405" s="2">
        <f>IFERROR(__xludf.DUMMYFUNCTION("""COMPUTED_VALUE"""),37112.645833333336)</f>
        <v>37112.64583</v>
      </c>
      <c r="B405" s="1">
        <f>IFERROR(__xludf.DUMMYFUNCTION("""COMPUTED_VALUE"""),212.5)</f>
        <v>212.5</v>
      </c>
      <c r="C405" s="1">
        <f>IFERROR(__xludf.DUMMYFUNCTION("""COMPUTED_VALUE"""),217.7)</f>
        <v>217.7</v>
      </c>
      <c r="D405" s="1">
        <f>IFERROR(__xludf.DUMMYFUNCTION("""COMPUTED_VALUE"""),212.5)</f>
        <v>212.5</v>
      </c>
      <c r="E405" s="1">
        <f>IFERROR(__xludf.DUMMYFUNCTION("""COMPUTED_VALUE"""),217.25)</f>
        <v>217.25</v>
      </c>
      <c r="F405" s="1">
        <f>IFERROR(__xludf.DUMMYFUNCTION("""COMPUTED_VALUE"""),653332.0)</f>
        <v>653332</v>
      </c>
    </row>
    <row r="406">
      <c r="A406" s="2">
        <f>IFERROR(__xludf.DUMMYFUNCTION("""COMPUTED_VALUE"""),37113.645833333336)</f>
        <v>37113.64583</v>
      </c>
      <c r="B406" s="1">
        <f>IFERROR(__xludf.DUMMYFUNCTION("""COMPUTED_VALUE"""),218.5)</f>
        <v>218.5</v>
      </c>
      <c r="C406" s="1">
        <f>IFERROR(__xludf.DUMMYFUNCTION("""COMPUTED_VALUE"""),220.0)</f>
        <v>220</v>
      </c>
      <c r="D406" s="1">
        <f>IFERROR(__xludf.DUMMYFUNCTION("""COMPUTED_VALUE"""),213.0)</f>
        <v>213</v>
      </c>
      <c r="E406" s="1">
        <f>IFERROR(__xludf.DUMMYFUNCTION("""COMPUTED_VALUE"""),214.9)</f>
        <v>214.9</v>
      </c>
      <c r="F406" s="1">
        <f>IFERROR(__xludf.DUMMYFUNCTION("""COMPUTED_VALUE"""),428043.0)</f>
        <v>428043</v>
      </c>
    </row>
    <row r="407">
      <c r="A407" s="2">
        <f>IFERROR(__xludf.DUMMYFUNCTION("""COMPUTED_VALUE"""),37116.645833333336)</f>
        <v>37116.64583</v>
      </c>
      <c r="B407" s="1">
        <f>IFERROR(__xludf.DUMMYFUNCTION("""COMPUTED_VALUE"""),214.8)</f>
        <v>214.8</v>
      </c>
      <c r="C407" s="1">
        <f>IFERROR(__xludf.DUMMYFUNCTION("""COMPUTED_VALUE"""),214.8)</f>
        <v>214.8</v>
      </c>
      <c r="D407" s="1">
        <f>IFERROR(__xludf.DUMMYFUNCTION("""COMPUTED_VALUE"""),212.0)</f>
        <v>212</v>
      </c>
      <c r="E407" s="1">
        <f>IFERROR(__xludf.DUMMYFUNCTION("""COMPUTED_VALUE"""),212.6)</f>
        <v>212.6</v>
      </c>
      <c r="F407" s="1">
        <f>IFERROR(__xludf.DUMMYFUNCTION("""COMPUTED_VALUE"""),233754.0)</f>
        <v>233754</v>
      </c>
    </row>
    <row r="408">
      <c r="A408" s="2">
        <f>IFERROR(__xludf.DUMMYFUNCTION("""COMPUTED_VALUE"""),37117.645833333336)</f>
        <v>37117.64583</v>
      </c>
      <c r="B408" s="1">
        <f>IFERROR(__xludf.DUMMYFUNCTION("""COMPUTED_VALUE"""),213.05)</f>
        <v>213.05</v>
      </c>
      <c r="C408" s="1">
        <f>IFERROR(__xludf.DUMMYFUNCTION("""COMPUTED_VALUE"""),216.9)</f>
        <v>216.9</v>
      </c>
      <c r="D408" s="1">
        <f>IFERROR(__xludf.DUMMYFUNCTION("""COMPUTED_VALUE"""),212.3)</f>
        <v>212.3</v>
      </c>
      <c r="E408" s="1">
        <f>IFERROR(__xludf.DUMMYFUNCTION("""COMPUTED_VALUE"""),216.1)</f>
        <v>216.1</v>
      </c>
      <c r="F408" s="1">
        <f>IFERROR(__xludf.DUMMYFUNCTION("""COMPUTED_VALUE"""),486773.0)</f>
        <v>486773</v>
      </c>
    </row>
    <row r="409">
      <c r="A409" s="2">
        <f>IFERROR(__xludf.DUMMYFUNCTION("""COMPUTED_VALUE"""),37119.645833333336)</f>
        <v>37119.64583</v>
      </c>
      <c r="B409" s="1">
        <f>IFERROR(__xludf.DUMMYFUNCTION("""COMPUTED_VALUE"""),216.5)</f>
        <v>216.5</v>
      </c>
      <c r="C409" s="1">
        <f>IFERROR(__xludf.DUMMYFUNCTION("""COMPUTED_VALUE"""),222.8)</f>
        <v>222.8</v>
      </c>
      <c r="D409" s="1">
        <f>IFERROR(__xludf.DUMMYFUNCTION("""COMPUTED_VALUE"""),216.5)</f>
        <v>216.5</v>
      </c>
      <c r="E409" s="1">
        <f>IFERROR(__xludf.DUMMYFUNCTION("""COMPUTED_VALUE"""),221.85)</f>
        <v>221.85</v>
      </c>
      <c r="F409" s="1">
        <f>IFERROR(__xludf.DUMMYFUNCTION("""COMPUTED_VALUE"""),900154.0)</f>
        <v>900154</v>
      </c>
    </row>
    <row r="410">
      <c r="A410" s="2">
        <f>IFERROR(__xludf.DUMMYFUNCTION("""COMPUTED_VALUE"""),37120.645833333336)</f>
        <v>37120.64583</v>
      </c>
      <c r="B410" s="1">
        <f>IFERROR(__xludf.DUMMYFUNCTION("""COMPUTED_VALUE"""),210.0)</f>
        <v>210</v>
      </c>
      <c r="C410" s="1">
        <f>IFERROR(__xludf.DUMMYFUNCTION("""COMPUTED_VALUE"""),222.0)</f>
        <v>222</v>
      </c>
      <c r="D410" s="1">
        <f>IFERROR(__xludf.DUMMYFUNCTION("""COMPUTED_VALUE"""),210.0)</f>
        <v>210</v>
      </c>
      <c r="E410" s="1">
        <f>IFERROR(__xludf.DUMMYFUNCTION("""COMPUTED_VALUE"""),218.5)</f>
        <v>218.5</v>
      </c>
      <c r="F410" s="1">
        <f>IFERROR(__xludf.DUMMYFUNCTION("""COMPUTED_VALUE"""),1230718.0)</f>
        <v>1230718</v>
      </c>
    </row>
    <row r="411">
      <c r="A411" s="2">
        <f>IFERROR(__xludf.DUMMYFUNCTION("""COMPUTED_VALUE"""),37123.645833333336)</f>
        <v>37123.64583</v>
      </c>
      <c r="B411" s="1">
        <f>IFERROR(__xludf.DUMMYFUNCTION("""COMPUTED_VALUE"""),218.5)</f>
        <v>218.5</v>
      </c>
      <c r="C411" s="1">
        <f>IFERROR(__xludf.DUMMYFUNCTION("""COMPUTED_VALUE"""),220.0)</f>
        <v>220</v>
      </c>
      <c r="D411" s="1">
        <f>IFERROR(__xludf.DUMMYFUNCTION("""COMPUTED_VALUE"""),217.0)</f>
        <v>217</v>
      </c>
      <c r="E411" s="1">
        <f>IFERROR(__xludf.DUMMYFUNCTION("""COMPUTED_VALUE"""),219.25)</f>
        <v>219.25</v>
      </c>
      <c r="F411" s="1">
        <f>IFERROR(__xludf.DUMMYFUNCTION("""COMPUTED_VALUE"""),505496.0)</f>
        <v>505496</v>
      </c>
    </row>
    <row r="412">
      <c r="A412" s="2">
        <f>IFERROR(__xludf.DUMMYFUNCTION("""COMPUTED_VALUE"""),37124.645833333336)</f>
        <v>37124.64583</v>
      </c>
      <c r="B412" s="1">
        <f>IFERROR(__xludf.DUMMYFUNCTION("""COMPUTED_VALUE"""),219.2)</f>
        <v>219.2</v>
      </c>
      <c r="C412" s="1">
        <f>IFERROR(__xludf.DUMMYFUNCTION("""COMPUTED_VALUE"""),224.7)</f>
        <v>224.7</v>
      </c>
      <c r="D412" s="1">
        <f>IFERROR(__xludf.DUMMYFUNCTION("""COMPUTED_VALUE"""),216.05)</f>
        <v>216.05</v>
      </c>
      <c r="E412" s="1">
        <f>IFERROR(__xludf.DUMMYFUNCTION("""COMPUTED_VALUE"""),223.7)</f>
        <v>223.7</v>
      </c>
      <c r="F412" s="1">
        <f>IFERROR(__xludf.DUMMYFUNCTION("""COMPUTED_VALUE"""),1201657.0)</f>
        <v>1201657</v>
      </c>
    </row>
    <row r="413">
      <c r="A413" s="2">
        <f>IFERROR(__xludf.DUMMYFUNCTION("""COMPUTED_VALUE"""),37126.645833333336)</f>
        <v>37126.64583</v>
      </c>
      <c r="B413" s="1">
        <f>IFERROR(__xludf.DUMMYFUNCTION("""COMPUTED_VALUE"""),223.5)</f>
        <v>223.5</v>
      </c>
      <c r="C413" s="1">
        <f>IFERROR(__xludf.DUMMYFUNCTION("""COMPUTED_VALUE"""),226.0)</f>
        <v>226</v>
      </c>
      <c r="D413" s="1">
        <f>IFERROR(__xludf.DUMMYFUNCTION("""COMPUTED_VALUE"""),218.1)</f>
        <v>218.1</v>
      </c>
      <c r="E413" s="1">
        <f>IFERROR(__xludf.DUMMYFUNCTION("""COMPUTED_VALUE"""),221.95)</f>
        <v>221.95</v>
      </c>
      <c r="F413" s="1">
        <f>IFERROR(__xludf.DUMMYFUNCTION("""COMPUTED_VALUE"""),1351435.0)</f>
        <v>1351435</v>
      </c>
    </row>
    <row r="414">
      <c r="A414" s="2">
        <f>IFERROR(__xludf.DUMMYFUNCTION("""COMPUTED_VALUE"""),37127.645833333336)</f>
        <v>37127.64583</v>
      </c>
      <c r="B414" s="1">
        <f>IFERROR(__xludf.DUMMYFUNCTION("""COMPUTED_VALUE"""),221.5)</f>
        <v>221.5</v>
      </c>
      <c r="C414" s="1">
        <f>IFERROR(__xludf.DUMMYFUNCTION("""COMPUTED_VALUE"""),221.8)</f>
        <v>221.8</v>
      </c>
      <c r="D414" s="1">
        <f>IFERROR(__xludf.DUMMYFUNCTION("""COMPUTED_VALUE"""),217.5)</f>
        <v>217.5</v>
      </c>
      <c r="E414" s="1">
        <f>IFERROR(__xludf.DUMMYFUNCTION("""COMPUTED_VALUE"""),218.75)</f>
        <v>218.75</v>
      </c>
      <c r="F414" s="1">
        <f>IFERROR(__xludf.DUMMYFUNCTION("""COMPUTED_VALUE"""),1046404.0)</f>
        <v>1046404</v>
      </c>
    </row>
    <row r="415">
      <c r="A415" s="2">
        <f>IFERROR(__xludf.DUMMYFUNCTION("""COMPUTED_VALUE"""),37130.645833333336)</f>
        <v>37130.64583</v>
      </c>
      <c r="B415" s="1">
        <f>IFERROR(__xludf.DUMMYFUNCTION("""COMPUTED_VALUE"""),219.7)</f>
        <v>219.7</v>
      </c>
      <c r="C415" s="1">
        <f>IFERROR(__xludf.DUMMYFUNCTION("""COMPUTED_VALUE"""),222.5)</f>
        <v>222.5</v>
      </c>
      <c r="D415" s="1">
        <f>IFERROR(__xludf.DUMMYFUNCTION("""COMPUTED_VALUE"""),218.3)</f>
        <v>218.3</v>
      </c>
      <c r="E415" s="1">
        <f>IFERROR(__xludf.DUMMYFUNCTION("""COMPUTED_VALUE"""),221.1)</f>
        <v>221.1</v>
      </c>
      <c r="F415" s="1">
        <f>IFERROR(__xludf.DUMMYFUNCTION("""COMPUTED_VALUE"""),703972.0)</f>
        <v>703972</v>
      </c>
    </row>
    <row r="416">
      <c r="A416" s="2">
        <f>IFERROR(__xludf.DUMMYFUNCTION("""COMPUTED_VALUE"""),37131.645833333336)</f>
        <v>37131.64583</v>
      </c>
      <c r="B416" s="1">
        <f>IFERROR(__xludf.DUMMYFUNCTION("""COMPUTED_VALUE"""),221.0)</f>
        <v>221</v>
      </c>
      <c r="C416" s="1">
        <f>IFERROR(__xludf.DUMMYFUNCTION("""COMPUTED_VALUE"""),221.5)</f>
        <v>221.5</v>
      </c>
      <c r="D416" s="1">
        <f>IFERROR(__xludf.DUMMYFUNCTION("""COMPUTED_VALUE"""),218.2)</f>
        <v>218.2</v>
      </c>
      <c r="E416" s="1">
        <f>IFERROR(__xludf.DUMMYFUNCTION("""COMPUTED_VALUE"""),219.15)</f>
        <v>219.15</v>
      </c>
      <c r="F416" s="1">
        <f>IFERROR(__xludf.DUMMYFUNCTION("""COMPUTED_VALUE"""),463795.0)</f>
        <v>463795</v>
      </c>
    </row>
    <row r="417">
      <c r="A417" s="2">
        <f>IFERROR(__xludf.DUMMYFUNCTION("""COMPUTED_VALUE"""),37132.645833333336)</f>
        <v>37132.64583</v>
      </c>
      <c r="B417" s="1">
        <f>IFERROR(__xludf.DUMMYFUNCTION("""COMPUTED_VALUE"""),218.9)</f>
        <v>218.9</v>
      </c>
      <c r="C417" s="1">
        <f>IFERROR(__xludf.DUMMYFUNCTION("""COMPUTED_VALUE"""),220.85)</f>
        <v>220.85</v>
      </c>
      <c r="D417" s="1">
        <f>IFERROR(__xludf.DUMMYFUNCTION("""COMPUTED_VALUE"""),218.4)</f>
        <v>218.4</v>
      </c>
      <c r="E417" s="1">
        <f>IFERROR(__xludf.DUMMYFUNCTION("""COMPUTED_VALUE"""),219.45)</f>
        <v>219.45</v>
      </c>
      <c r="F417" s="1">
        <f>IFERROR(__xludf.DUMMYFUNCTION("""COMPUTED_VALUE"""),346517.0)</f>
        <v>346517</v>
      </c>
    </row>
    <row r="418">
      <c r="A418" s="2">
        <f>IFERROR(__xludf.DUMMYFUNCTION("""COMPUTED_VALUE"""),37133.645833333336)</f>
        <v>37133.64583</v>
      </c>
      <c r="B418" s="1">
        <f>IFERROR(__xludf.DUMMYFUNCTION("""COMPUTED_VALUE"""),219.0)</f>
        <v>219</v>
      </c>
      <c r="C418" s="1">
        <f>IFERROR(__xludf.DUMMYFUNCTION("""COMPUTED_VALUE"""),220.95)</f>
        <v>220.95</v>
      </c>
      <c r="D418" s="1">
        <f>IFERROR(__xludf.DUMMYFUNCTION("""COMPUTED_VALUE"""),218.0)</f>
        <v>218</v>
      </c>
      <c r="E418" s="1">
        <f>IFERROR(__xludf.DUMMYFUNCTION("""COMPUTED_VALUE"""),218.45)</f>
        <v>218.45</v>
      </c>
      <c r="F418" s="1">
        <f>IFERROR(__xludf.DUMMYFUNCTION("""COMPUTED_VALUE"""),556877.0)</f>
        <v>556877</v>
      </c>
    </row>
    <row r="419">
      <c r="A419" s="2">
        <f>IFERROR(__xludf.DUMMYFUNCTION("""COMPUTED_VALUE"""),37134.645833333336)</f>
        <v>37134.64583</v>
      </c>
      <c r="B419" s="1">
        <f>IFERROR(__xludf.DUMMYFUNCTION("""COMPUTED_VALUE"""),218.0)</f>
        <v>218</v>
      </c>
      <c r="C419" s="1">
        <f>IFERROR(__xludf.DUMMYFUNCTION("""COMPUTED_VALUE"""),220.25)</f>
        <v>220.25</v>
      </c>
      <c r="D419" s="1">
        <f>IFERROR(__xludf.DUMMYFUNCTION("""COMPUTED_VALUE"""),215.1)</f>
        <v>215.1</v>
      </c>
      <c r="E419" s="1">
        <f>IFERROR(__xludf.DUMMYFUNCTION("""COMPUTED_VALUE"""),218.75)</f>
        <v>218.75</v>
      </c>
      <c r="F419" s="1">
        <f>IFERROR(__xludf.DUMMYFUNCTION("""COMPUTED_VALUE"""),812913.0)</f>
        <v>812913</v>
      </c>
    </row>
    <row r="420">
      <c r="A420" s="2">
        <f>IFERROR(__xludf.DUMMYFUNCTION("""COMPUTED_VALUE"""),37137.645833333336)</f>
        <v>37137.64583</v>
      </c>
      <c r="B420" s="1">
        <f>IFERROR(__xludf.DUMMYFUNCTION("""COMPUTED_VALUE"""),216.55)</f>
        <v>216.55</v>
      </c>
      <c r="C420" s="1">
        <f>IFERROR(__xludf.DUMMYFUNCTION("""COMPUTED_VALUE"""),220.3)</f>
        <v>220.3</v>
      </c>
      <c r="D420" s="1">
        <f>IFERROR(__xludf.DUMMYFUNCTION("""COMPUTED_VALUE"""),216.5)</f>
        <v>216.5</v>
      </c>
      <c r="E420" s="1">
        <f>IFERROR(__xludf.DUMMYFUNCTION("""COMPUTED_VALUE"""),219.7)</f>
        <v>219.7</v>
      </c>
      <c r="F420" s="1">
        <f>IFERROR(__xludf.DUMMYFUNCTION("""COMPUTED_VALUE"""),348676.0)</f>
        <v>348676</v>
      </c>
    </row>
    <row r="421">
      <c r="A421" s="2">
        <f>IFERROR(__xludf.DUMMYFUNCTION("""COMPUTED_VALUE"""),37138.645833333336)</f>
        <v>37138.64583</v>
      </c>
      <c r="B421" s="1">
        <f>IFERROR(__xludf.DUMMYFUNCTION("""COMPUTED_VALUE"""),218.6)</f>
        <v>218.6</v>
      </c>
      <c r="C421" s="1">
        <f>IFERROR(__xludf.DUMMYFUNCTION("""COMPUTED_VALUE"""),220.2)</f>
        <v>220.2</v>
      </c>
      <c r="D421" s="1">
        <f>IFERROR(__xludf.DUMMYFUNCTION("""COMPUTED_VALUE"""),218.25)</f>
        <v>218.25</v>
      </c>
      <c r="E421" s="1">
        <f>IFERROR(__xludf.DUMMYFUNCTION("""COMPUTED_VALUE"""),219.9)</f>
        <v>219.9</v>
      </c>
      <c r="F421" s="1">
        <f>IFERROR(__xludf.DUMMYFUNCTION("""COMPUTED_VALUE"""),436168.0)</f>
        <v>436168</v>
      </c>
    </row>
    <row r="422">
      <c r="A422" s="2">
        <f>IFERROR(__xludf.DUMMYFUNCTION("""COMPUTED_VALUE"""),37139.645833333336)</f>
        <v>37139.64583</v>
      </c>
      <c r="B422" s="1">
        <f>IFERROR(__xludf.DUMMYFUNCTION("""COMPUTED_VALUE"""),219.5)</f>
        <v>219.5</v>
      </c>
      <c r="C422" s="1">
        <f>IFERROR(__xludf.DUMMYFUNCTION("""COMPUTED_VALUE"""),220.4)</f>
        <v>220.4</v>
      </c>
      <c r="D422" s="1">
        <f>IFERROR(__xludf.DUMMYFUNCTION("""COMPUTED_VALUE"""),215.0)</f>
        <v>215</v>
      </c>
      <c r="E422" s="1">
        <f>IFERROR(__xludf.DUMMYFUNCTION("""COMPUTED_VALUE"""),215.15)</f>
        <v>215.15</v>
      </c>
      <c r="F422" s="1">
        <f>IFERROR(__xludf.DUMMYFUNCTION("""COMPUTED_VALUE"""),536290.0)</f>
        <v>536290</v>
      </c>
    </row>
    <row r="423">
      <c r="A423" s="2">
        <f>IFERROR(__xludf.DUMMYFUNCTION("""COMPUTED_VALUE"""),37140.645833333336)</f>
        <v>37140.64583</v>
      </c>
      <c r="B423" s="1">
        <f>IFERROR(__xludf.DUMMYFUNCTION("""COMPUTED_VALUE"""),215.85)</f>
        <v>215.85</v>
      </c>
      <c r="C423" s="1">
        <f>IFERROR(__xludf.DUMMYFUNCTION("""COMPUTED_VALUE"""),220.0)</f>
        <v>220</v>
      </c>
      <c r="D423" s="1">
        <f>IFERROR(__xludf.DUMMYFUNCTION("""COMPUTED_VALUE"""),215.25)</f>
        <v>215.25</v>
      </c>
      <c r="E423" s="1">
        <f>IFERROR(__xludf.DUMMYFUNCTION("""COMPUTED_VALUE"""),219.45)</f>
        <v>219.45</v>
      </c>
      <c r="F423" s="1">
        <f>IFERROR(__xludf.DUMMYFUNCTION("""COMPUTED_VALUE"""),708101.0)</f>
        <v>708101</v>
      </c>
    </row>
    <row r="424">
      <c r="A424" s="2">
        <f>IFERROR(__xludf.DUMMYFUNCTION("""COMPUTED_VALUE"""),37141.645833333336)</f>
        <v>37141.64583</v>
      </c>
      <c r="B424" s="1">
        <f>IFERROR(__xludf.DUMMYFUNCTION("""COMPUTED_VALUE"""),219.5)</f>
        <v>219.5</v>
      </c>
      <c r="C424" s="1">
        <f>IFERROR(__xludf.DUMMYFUNCTION("""COMPUTED_VALUE"""),220.0)</f>
        <v>220</v>
      </c>
      <c r="D424" s="1">
        <f>IFERROR(__xludf.DUMMYFUNCTION("""COMPUTED_VALUE"""),218.0)</f>
        <v>218</v>
      </c>
      <c r="E424" s="1">
        <f>IFERROR(__xludf.DUMMYFUNCTION("""COMPUTED_VALUE"""),219.65)</f>
        <v>219.65</v>
      </c>
      <c r="F424" s="1">
        <f>IFERROR(__xludf.DUMMYFUNCTION("""COMPUTED_VALUE"""),371929.0)</f>
        <v>371929</v>
      </c>
    </row>
    <row r="425">
      <c r="A425" s="2">
        <f>IFERROR(__xludf.DUMMYFUNCTION("""COMPUTED_VALUE"""),37144.645833333336)</f>
        <v>37144.64583</v>
      </c>
      <c r="B425" s="1">
        <f>IFERROR(__xludf.DUMMYFUNCTION("""COMPUTED_VALUE"""),218.95)</f>
        <v>218.95</v>
      </c>
      <c r="C425" s="1">
        <f>IFERROR(__xludf.DUMMYFUNCTION("""COMPUTED_VALUE"""),219.5)</f>
        <v>219.5</v>
      </c>
      <c r="D425" s="1">
        <f>IFERROR(__xludf.DUMMYFUNCTION("""COMPUTED_VALUE"""),218.0)</f>
        <v>218</v>
      </c>
      <c r="E425" s="1">
        <f>IFERROR(__xludf.DUMMYFUNCTION("""COMPUTED_VALUE"""),218.4)</f>
        <v>218.4</v>
      </c>
      <c r="F425" s="1">
        <f>IFERROR(__xludf.DUMMYFUNCTION("""COMPUTED_VALUE"""),183302.0)</f>
        <v>183302</v>
      </c>
    </row>
    <row r="426">
      <c r="A426" s="2">
        <f>IFERROR(__xludf.DUMMYFUNCTION("""COMPUTED_VALUE"""),37145.645833333336)</f>
        <v>37145.64583</v>
      </c>
      <c r="B426" s="1">
        <f>IFERROR(__xludf.DUMMYFUNCTION("""COMPUTED_VALUE"""),218.0)</f>
        <v>218</v>
      </c>
      <c r="C426" s="1">
        <f>IFERROR(__xludf.DUMMYFUNCTION("""COMPUTED_VALUE"""),218.7)</f>
        <v>218.7</v>
      </c>
      <c r="D426" s="1">
        <f>IFERROR(__xludf.DUMMYFUNCTION("""COMPUTED_VALUE"""),209.5)</f>
        <v>209.5</v>
      </c>
      <c r="E426" s="1">
        <f>IFERROR(__xludf.DUMMYFUNCTION("""COMPUTED_VALUE"""),210.45)</f>
        <v>210.45</v>
      </c>
      <c r="F426" s="1">
        <f>IFERROR(__xludf.DUMMYFUNCTION("""COMPUTED_VALUE"""),1421390.0)</f>
        <v>1421390</v>
      </c>
    </row>
    <row r="427">
      <c r="A427" s="2">
        <f>IFERROR(__xludf.DUMMYFUNCTION("""COMPUTED_VALUE"""),37146.645833333336)</f>
        <v>37146.64583</v>
      </c>
      <c r="B427" s="1">
        <f>IFERROR(__xludf.DUMMYFUNCTION("""COMPUTED_VALUE"""),200.0)</f>
        <v>200</v>
      </c>
      <c r="C427" s="1">
        <f>IFERROR(__xludf.DUMMYFUNCTION("""COMPUTED_VALUE"""),208.15)</f>
        <v>208.15</v>
      </c>
      <c r="D427" s="1">
        <f>IFERROR(__xludf.DUMMYFUNCTION("""COMPUTED_VALUE"""),190.05)</f>
        <v>190.05</v>
      </c>
      <c r="E427" s="1">
        <f>IFERROR(__xludf.DUMMYFUNCTION("""COMPUTED_VALUE"""),205.2)</f>
        <v>205.2</v>
      </c>
      <c r="F427" s="1">
        <f>IFERROR(__xludf.DUMMYFUNCTION("""COMPUTED_VALUE"""),1020206.0)</f>
        <v>1020206</v>
      </c>
    </row>
    <row r="428">
      <c r="A428" s="2">
        <f>IFERROR(__xludf.DUMMYFUNCTION("""COMPUTED_VALUE"""),37147.645833333336)</f>
        <v>37147.64583</v>
      </c>
      <c r="B428" s="1">
        <f>IFERROR(__xludf.DUMMYFUNCTION("""COMPUTED_VALUE"""),207.9)</f>
        <v>207.9</v>
      </c>
      <c r="C428" s="1">
        <f>IFERROR(__xludf.DUMMYFUNCTION("""COMPUTED_VALUE"""),210.0)</f>
        <v>210</v>
      </c>
      <c r="D428" s="1">
        <f>IFERROR(__xludf.DUMMYFUNCTION("""COMPUTED_VALUE"""),202.7)</f>
        <v>202.7</v>
      </c>
      <c r="E428" s="1">
        <f>IFERROR(__xludf.DUMMYFUNCTION("""COMPUTED_VALUE"""),205.1)</f>
        <v>205.1</v>
      </c>
      <c r="F428" s="1">
        <f>IFERROR(__xludf.DUMMYFUNCTION("""COMPUTED_VALUE"""),543948.0)</f>
        <v>543948</v>
      </c>
    </row>
    <row r="429">
      <c r="A429" s="2">
        <f>IFERROR(__xludf.DUMMYFUNCTION("""COMPUTED_VALUE"""),37148.645833333336)</f>
        <v>37148.64583</v>
      </c>
      <c r="B429" s="1">
        <f>IFERROR(__xludf.DUMMYFUNCTION("""COMPUTED_VALUE"""),205.5)</f>
        <v>205.5</v>
      </c>
      <c r="C429" s="1">
        <f>IFERROR(__xludf.DUMMYFUNCTION("""COMPUTED_VALUE"""),211.8)</f>
        <v>211.8</v>
      </c>
      <c r="D429" s="1">
        <f>IFERROR(__xludf.DUMMYFUNCTION("""COMPUTED_VALUE"""),189.5)</f>
        <v>189.5</v>
      </c>
      <c r="E429" s="1">
        <f>IFERROR(__xludf.DUMMYFUNCTION("""COMPUTED_VALUE"""),200.5)</f>
        <v>200.5</v>
      </c>
      <c r="F429" s="1">
        <f>IFERROR(__xludf.DUMMYFUNCTION("""COMPUTED_VALUE"""),3199089.0)</f>
        <v>3199089</v>
      </c>
    </row>
    <row r="430">
      <c r="A430" s="2">
        <f>IFERROR(__xludf.DUMMYFUNCTION("""COMPUTED_VALUE"""),37151.645833333336)</f>
        <v>37151.64583</v>
      </c>
      <c r="B430" s="1">
        <f>IFERROR(__xludf.DUMMYFUNCTION("""COMPUTED_VALUE"""),195.65)</f>
        <v>195.65</v>
      </c>
      <c r="C430" s="1">
        <f>IFERROR(__xludf.DUMMYFUNCTION("""COMPUTED_VALUE"""),195.65)</f>
        <v>195.65</v>
      </c>
      <c r="D430" s="1">
        <f>IFERROR(__xludf.DUMMYFUNCTION("""COMPUTED_VALUE"""),181.7)</f>
        <v>181.7</v>
      </c>
      <c r="E430" s="1">
        <f>IFERROR(__xludf.DUMMYFUNCTION("""COMPUTED_VALUE"""),188.1)</f>
        <v>188.1</v>
      </c>
      <c r="F430" s="1">
        <f>IFERROR(__xludf.DUMMYFUNCTION("""COMPUTED_VALUE"""),3579126.0)</f>
        <v>3579126</v>
      </c>
    </row>
    <row r="431">
      <c r="A431" s="2">
        <f>IFERROR(__xludf.DUMMYFUNCTION("""COMPUTED_VALUE"""),37152.645833333336)</f>
        <v>37152.64583</v>
      </c>
      <c r="B431" s="1">
        <f>IFERROR(__xludf.DUMMYFUNCTION("""COMPUTED_VALUE"""),190.0)</f>
        <v>190</v>
      </c>
      <c r="C431" s="1">
        <f>IFERROR(__xludf.DUMMYFUNCTION("""COMPUTED_VALUE"""),206.0)</f>
        <v>206</v>
      </c>
      <c r="D431" s="1">
        <f>IFERROR(__xludf.DUMMYFUNCTION("""COMPUTED_VALUE"""),186.35)</f>
        <v>186.35</v>
      </c>
      <c r="E431" s="1">
        <f>IFERROR(__xludf.DUMMYFUNCTION("""COMPUTED_VALUE"""),203.8)</f>
        <v>203.8</v>
      </c>
      <c r="F431" s="1">
        <f>IFERROR(__xludf.DUMMYFUNCTION("""COMPUTED_VALUE"""),2812937.0)</f>
        <v>2812937</v>
      </c>
    </row>
    <row r="432">
      <c r="A432" s="2">
        <f>IFERROR(__xludf.DUMMYFUNCTION("""COMPUTED_VALUE"""),37153.645833333336)</f>
        <v>37153.64583</v>
      </c>
      <c r="B432" s="1">
        <f>IFERROR(__xludf.DUMMYFUNCTION("""COMPUTED_VALUE"""),202.0)</f>
        <v>202</v>
      </c>
      <c r="C432" s="1">
        <f>IFERROR(__xludf.DUMMYFUNCTION("""COMPUTED_VALUE"""),213.4)</f>
        <v>213.4</v>
      </c>
      <c r="D432" s="1">
        <f>IFERROR(__xludf.DUMMYFUNCTION("""COMPUTED_VALUE"""),200.3)</f>
        <v>200.3</v>
      </c>
      <c r="E432" s="1">
        <f>IFERROR(__xludf.DUMMYFUNCTION("""COMPUTED_VALUE"""),211.7)</f>
        <v>211.7</v>
      </c>
      <c r="F432" s="1">
        <f>IFERROR(__xludf.DUMMYFUNCTION("""COMPUTED_VALUE"""),2383928.0)</f>
        <v>2383928</v>
      </c>
    </row>
    <row r="433">
      <c r="A433" s="2">
        <f>IFERROR(__xludf.DUMMYFUNCTION("""COMPUTED_VALUE"""),37154.645833333336)</f>
        <v>37154.64583</v>
      </c>
      <c r="B433" s="1">
        <f>IFERROR(__xludf.DUMMYFUNCTION("""COMPUTED_VALUE"""),207.5)</f>
        <v>207.5</v>
      </c>
      <c r="C433" s="1">
        <f>IFERROR(__xludf.DUMMYFUNCTION("""COMPUTED_VALUE"""),212.0)</f>
        <v>212</v>
      </c>
      <c r="D433" s="1">
        <f>IFERROR(__xludf.DUMMYFUNCTION("""COMPUTED_VALUE"""),201.0)</f>
        <v>201</v>
      </c>
      <c r="E433" s="1">
        <f>IFERROR(__xludf.DUMMYFUNCTION("""COMPUTED_VALUE"""),210.25)</f>
        <v>210.25</v>
      </c>
      <c r="F433" s="1">
        <f>IFERROR(__xludf.DUMMYFUNCTION("""COMPUTED_VALUE"""),2102916.0)</f>
        <v>2102916</v>
      </c>
    </row>
    <row r="434">
      <c r="A434" s="2">
        <f>IFERROR(__xludf.DUMMYFUNCTION("""COMPUTED_VALUE"""),37155.645833333336)</f>
        <v>37155.64583</v>
      </c>
      <c r="B434" s="1">
        <f>IFERROR(__xludf.DUMMYFUNCTION("""COMPUTED_VALUE"""),204.0)</f>
        <v>204</v>
      </c>
      <c r="C434" s="1">
        <f>IFERROR(__xludf.DUMMYFUNCTION("""COMPUTED_VALUE"""),205.1)</f>
        <v>205.1</v>
      </c>
      <c r="D434" s="1">
        <f>IFERROR(__xludf.DUMMYFUNCTION("""COMPUTED_VALUE"""),191.1)</f>
        <v>191.1</v>
      </c>
      <c r="E434" s="1">
        <f>IFERROR(__xludf.DUMMYFUNCTION("""COMPUTED_VALUE"""),194.15)</f>
        <v>194.15</v>
      </c>
      <c r="F434" s="1">
        <f>IFERROR(__xludf.DUMMYFUNCTION("""COMPUTED_VALUE"""),2334742.0)</f>
        <v>2334742</v>
      </c>
    </row>
    <row r="435">
      <c r="A435" s="2">
        <f>IFERROR(__xludf.DUMMYFUNCTION("""COMPUTED_VALUE"""),37158.645833333336)</f>
        <v>37158.64583</v>
      </c>
      <c r="B435" s="1">
        <f>IFERROR(__xludf.DUMMYFUNCTION("""COMPUTED_VALUE"""),196.9)</f>
        <v>196.9</v>
      </c>
      <c r="C435" s="1">
        <f>IFERROR(__xludf.DUMMYFUNCTION("""COMPUTED_VALUE"""),199.45)</f>
        <v>199.45</v>
      </c>
      <c r="D435" s="1">
        <f>IFERROR(__xludf.DUMMYFUNCTION("""COMPUTED_VALUE"""),190.05)</f>
        <v>190.05</v>
      </c>
      <c r="E435" s="1">
        <f>IFERROR(__xludf.DUMMYFUNCTION("""COMPUTED_VALUE"""),194.35)</f>
        <v>194.35</v>
      </c>
      <c r="F435" s="1">
        <f>IFERROR(__xludf.DUMMYFUNCTION("""COMPUTED_VALUE"""),1107068.0)</f>
        <v>1107068</v>
      </c>
    </row>
    <row r="436">
      <c r="A436" s="2">
        <f>IFERROR(__xludf.DUMMYFUNCTION("""COMPUTED_VALUE"""),37159.645833333336)</f>
        <v>37159.64583</v>
      </c>
      <c r="B436" s="1">
        <f>IFERROR(__xludf.DUMMYFUNCTION("""COMPUTED_VALUE"""),197.0)</f>
        <v>197</v>
      </c>
      <c r="C436" s="1">
        <f>IFERROR(__xludf.DUMMYFUNCTION("""COMPUTED_VALUE"""),201.55)</f>
        <v>201.55</v>
      </c>
      <c r="D436" s="1">
        <f>IFERROR(__xludf.DUMMYFUNCTION("""COMPUTED_VALUE"""),188.4)</f>
        <v>188.4</v>
      </c>
      <c r="E436" s="1">
        <f>IFERROR(__xludf.DUMMYFUNCTION("""COMPUTED_VALUE"""),191.1)</f>
        <v>191.1</v>
      </c>
      <c r="F436" s="1">
        <f>IFERROR(__xludf.DUMMYFUNCTION("""COMPUTED_VALUE"""),1786369.0)</f>
        <v>1786369</v>
      </c>
    </row>
    <row r="437">
      <c r="A437" s="2">
        <f>IFERROR(__xludf.DUMMYFUNCTION("""COMPUTED_VALUE"""),37160.645833333336)</f>
        <v>37160.64583</v>
      </c>
      <c r="B437" s="1">
        <f>IFERROR(__xludf.DUMMYFUNCTION("""COMPUTED_VALUE"""),193.0)</f>
        <v>193</v>
      </c>
      <c r="C437" s="1">
        <f>IFERROR(__xludf.DUMMYFUNCTION("""COMPUTED_VALUE"""),198.5)</f>
        <v>198.5</v>
      </c>
      <c r="D437" s="1">
        <f>IFERROR(__xludf.DUMMYFUNCTION("""COMPUTED_VALUE"""),190.0)</f>
        <v>190</v>
      </c>
      <c r="E437" s="1">
        <f>IFERROR(__xludf.DUMMYFUNCTION("""COMPUTED_VALUE"""),192.05)</f>
        <v>192.05</v>
      </c>
      <c r="F437" s="1">
        <f>IFERROR(__xludf.DUMMYFUNCTION("""COMPUTED_VALUE"""),1665668.0)</f>
        <v>1665668</v>
      </c>
    </row>
    <row r="438">
      <c r="A438" s="2">
        <f>IFERROR(__xludf.DUMMYFUNCTION("""COMPUTED_VALUE"""),37161.645833333336)</f>
        <v>37161.64583</v>
      </c>
      <c r="B438" s="1">
        <f>IFERROR(__xludf.DUMMYFUNCTION("""COMPUTED_VALUE"""),194.9)</f>
        <v>194.9</v>
      </c>
      <c r="C438" s="1">
        <f>IFERROR(__xludf.DUMMYFUNCTION("""COMPUTED_VALUE"""),200.0)</f>
        <v>200</v>
      </c>
      <c r="D438" s="1">
        <f>IFERROR(__xludf.DUMMYFUNCTION("""COMPUTED_VALUE"""),188.15)</f>
        <v>188.15</v>
      </c>
      <c r="E438" s="1">
        <f>IFERROR(__xludf.DUMMYFUNCTION("""COMPUTED_VALUE"""),199.05)</f>
        <v>199.05</v>
      </c>
      <c r="F438" s="1">
        <f>IFERROR(__xludf.DUMMYFUNCTION("""COMPUTED_VALUE"""),2106206.0)</f>
        <v>2106206</v>
      </c>
    </row>
    <row r="439">
      <c r="A439" s="2">
        <f>IFERROR(__xludf.DUMMYFUNCTION("""COMPUTED_VALUE"""),37162.645833333336)</f>
        <v>37162.64583</v>
      </c>
      <c r="B439" s="1">
        <f>IFERROR(__xludf.DUMMYFUNCTION("""COMPUTED_VALUE"""),199.85)</f>
        <v>199.85</v>
      </c>
      <c r="C439" s="1">
        <f>IFERROR(__xludf.DUMMYFUNCTION("""COMPUTED_VALUE"""),208.0)</f>
        <v>208</v>
      </c>
      <c r="D439" s="1">
        <f>IFERROR(__xludf.DUMMYFUNCTION("""COMPUTED_VALUE"""),199.5)</f>
        <v>199.5</v>
      </c>
      <c r="E439" s="1">
        <f>IFERROR(__xludf.DUMMYFUNCTION("""COMPUTED_VALUE"""),207.05)</f>
        <v>207.05</v>
      </c>
      <c r="F439" s="1">
        <f>IFERROR(__xludf.DUMMYFUNCTION("""COMPUTED_VALUE"""),2503264.0)</f>
        <v>2503264</v>
      </c>
    </row>
    <row r="440">
      <c r="A440" s="2">
        <f>IFERROR(__xludf.DUMMYFUNCTION("""COMPUTED_VALUE"""),37165.645833333336)</f>
        <v>37165.64583</v>
      </c>
      <c r="B440" s="1">
        <f>IFERROR(__xludf.DUMMYFUNCTION("""COMPUTED_VALUE"""),207.0)</f>
        <v>207</v>
      </c>
      <c r="C440" s="1">
        <f>IFERROR(__xludf.DUMMYFUNCTION("""COMPUTED_VALUE"""),211.35)</f>
        <v>211.35</v>
      </c>
      <c r="D440" s="1">
        <f>IFERROR(__xludf.DUMMYFUNCTION("""COMPUTED_VALUE"""),205.0)</f>
        <v>205</v>
      </c>
      <c r="E440" s="1">
        <f>IFERROR(__xludf.DUMMYFUNCTION("""COMPUTED_VALUE"""),210.1)</f>
        <v>210.1</v>
      </c>
      <c r="F440" s="1">
        <f>IFERROR(__xludf.DUMMYFUNCTION("""COMPUTED_VALUE"""),1570934.0)</f>
        <v>1570934</v>
      </c>
    </row>
    <row r="441">
      <c r="A441" s="2">
        <f>IFERROR(__xludf.DUMMYFUNCTION("""COMPUTED_VALUE"""),37167.645833333336)</f>
        <v>37167.64583</v>
      </c>
      <c r="B441" s="1">
        <f>IFERROR(__xludf.DUMMYFUNCTION("""COMPUTED_VALUE"""),210.0)</f>
        <v>210</v>
      </c>
      <c r="C441" s="1">
        <f>IFERROR(__xludf.DUMMYFUNCTION("""COMPUTED_VALUE"""),212.9)</f>
        <v>212.9</v>
      </c>
      <c r="D441" s="1">
        <f>IFERROR(__xludf.DUMMYFUNCTION("""COMPUTED_VALUE"""),207.6)</f>
        <v>207.6</v>
      </c>
      <c r="E441" s="1">
        <f>IFERROR(__xludf.DUMMYFUNCTION("""COMPUTED_VALUE"""),212.1)</f>
        <v>212.1</v>
      </c>
      <c r="F441" s="1">
        <f>IFERROR(__xludf.DUMMYFUNCTION("""COMPUTED_VALUE"""),1415497.0)</f>
        <v>1415497</v>
      </c>
    </row>
    <row r="442">
      <c r="A442" s="2">
        <f>IFERROR(__xludf.DUMMYFUNCTION("""COMPUTED_VALUE"""),37168.645833333336)</f>
        <v>37168.64583</v>
      </c>
      <c r="B442" s="1">
        <f>IFERROR(__xludf.DUMMYFUNCTION("""COMPUTED_VALUE"""),212.0)</f>
        <v>212</v>
      </c>
      <c r="C442" s="1">
        <f>IFERROR(__xludf.DUMMYFUNCTION("""COMPUTED_VALUE"""),214.7)</f>
        <v>214.7</v>
      </c>
      <c r="D442" s="1">
        <f>IFERROR(__xludf.DUMMYFUNCTION("""COMPUTED_VALUE"""),208.1)</f>
        <v>208.1</v>
      </c>
      <c r="E442" s="1">
        <f>IFERROR(__xludf.DUMMYFUNCTION("""COMPUTED_VALUE"""),212.6)</f>
        <v>212.6</v>
      </c>
      <c r="F442" s="1">
        <f>IFERROR(__xludf.DUMMYFUNCTION("""COMPUTED_VALUE"""),1850837.0)</f>
        <v>1850837</v>
      </c>
    </row>
    <row r="443">
      <c r="A443" s="2">
        <f>IFERROR(__xludf.DUMMYFUNCTION("""COMPUTED_VALUE"""),37169.645833333336)</f>
        <v>37169.64583</v>
      </c>
      <c r="B443" s="1">
        <f>IFERROR(__xludf.DUMMYFUNCTION("""COMPUTED_VALUE"""),211.95)</f>
        <v>211.95</v>
      </c>
      <c r="C443" s="1">
        <f>IFERROR(__xludf.DUMMYFUNCTION("""COMPUTED_VALUE"""),212.7)</f>
        <v>212.7</v>
      </c>
      <c r="D443" s="1">
        <f>IFERROR(__xludf.DUMMYFUNCTION("""COMPUTED_VALUE"""),209.65)</f>
        <v>209.65</v>
      </c>
      <c r="E443" s="1">
        <f>IFERROR(__xludf.DUMMYFUNCTION("""COMPUTED_VALUE"""),212.05)</f>
        <v>212.05</v>
      </c>
      <c r="F443" s="1">
        <f>IFERROR(__xludf.DUMMYFUNCTION("""COMPUTED_VALUE"""),892557.0)</f>
        <v>892557</v>
      </c>
    </row>
    <row r="444">
      <c r="A444" s="2">
        <f>IFERROR(__xludf.DUMMYFUNCTION("""COMPUTED_VALUE"""),37172.645833333336)</f>
        <v>37172.64583</v>
      </c>
      <c r="B444" s="1">
        <f>IFERROR(__xludf.DUMMYFUNCTION("""COMPUTED_VALUE"""),204.0)</f>
        <v>204</v>
      </c>
      <c r="C444" s="1">
        <f>IFERROR(__xludf.DUMMYFUNCTION("""COMPUTED_VALUE"""),211.0)</f>
        <v>211</v>
      </c>
      <c r="D444" s="1">
        <f>IFERROR(__xludf.DUMMYFUNCTION("""COMPUTED_VALUE"""),203.05)</f>
        <v>203.05</v>
      </c>
      <c r="E444" s="1">
        <f>IFERROR(__xludf.DUMMYFUNCTION("""COMPUTED_VALUE"""),208.3)</f>
        <v>208.3</v>
      </c>
      <c r="F444" s="1">
        <f>IFERROR(__xludf.DUMMYFUNCTION("""COMPUTED_VALUE"""),1112119.0)</f>
        <v>1112119</v>
      </c>
    </row>
    <row r="445">
      <c r="A445" s="2">
        <f>IFERROR(__xludf.DUMMYFUNCTION("""COMPUTED_VALUE"""),37173.645833333336)</f>
        <v>37173.64583</v>
      </c>
      <c r="B445" s="1">
        <f>IFERROR(__xludf.DUMMYFUNCTION("""COMPUTED_VALUE"""),208.0)</f>
        <v>208</v>
      </c>
      <c r="C445" s="1">
        <f>IFERROR(__xludf.DUMMYFUNCTION("""COMPUTED_VALUE"""),212.0)</f>
        <v>212</v>
      </c>
      <c r="D445" s="1">
        <f>IFERROR(__xludf.DUMMYFUNCTION("""COMPUTED_VALUE"""),207.1)</f>
        <v>207.1</v>
      </c>
      <c r="E445" s="1">
        <f>IFERROR(__xludf.DUMMYFUNCTION("""COMPUTED_VALUE"""),211.15)</f>
        <v>211.15</v>
      </c>
      <c r="F445" s="1">
        <f>IFERROR(__xludf.DUMMYFUNCTION("""COMPUTED_VALUE"""),610447.0)</f>
        <v>610447</v>
      </c>
    </row>
    <row r="446">
      <c r="A446" s="2">
        <f>IFERROR(__xludf.DUMMYFUNCTION("""COMPUTED_VALUE"""),37174.645833333336)</f>
        <v>37174.64583</v>
      </c>
      <c r="B446" s="1">
        <f>IFERROR(__xludf.DUMMYFUNCTION("""COMPUTED_VALUE"""),217.0)</f>
        <v>217</v>
      </c>
      <c r="C446" s="1">
        <f>IFERROR(__xludf.DUMMYFUNCTION("""COMPUTED_VALUE"""),232.0)</f>
        <v>232</v>
      </c>
      <c r="D446" s="1">
        <f>IFERROR(__xludf.DUMMYFUNCTION("""COMPUTED_VALUE"""),216.0)</f>
        <v>216</v>
      </c>
      <c r="E446" s="1">
        <f>IFERROR(__xludf.DUMMYFUNCTION("""COMPUTED_VALUE"""),229.75)</f>
        <v>229.75</v>
      </c>
      <c r="F446" s="1">
        <f>IFERROR(__xludf.DUMMYFUNCTION("""COMPUTED_VALUE"""),7109292.0)</f>
        <v>7109292</v>
      </c>
    </row>
    <row r="447">
      <c r="A447" s="2">
        <f>IFERROR(__xludf.DUMMYFUNCTION("""COMPUTED_VALUE"""),37175.645833333336)</f>
        <v>37175.64583</v>
      </c>
      <c r="B447" s="1">
        <f>IFERROR(__xludf.DUMMYFUNCTION("""COMPUTED_VALUE"""),230.0)</f>
        <v>230</v>
      </c>
      <c r="C447" s="1">
        <f>IFERROR(__xludf.DUMMYFUNCTION("""COMPUTED_VALUE"""),233.0)</f>
        <v>233</v>
      </c>
      <c r="D447" s="1">
        <f>IFERROR(__xludf.DUMMYFUNCTION("""COMPUTED_VALUE"""),225.15)</f>
        <v>225.15</v>
      </c>
      <c r="E447" s="1">
        <f>IFERROR(__xludf.DUMMYFUNCTION("""COMPUTED_VALUE"""),226.65)</f>
        <v>226.65</v>
      </c>
      <c r="F447" s="1">
        <f>IFERROR(__xludf.DUMMYFUNCTION("""COMPUTED_VALUE"""),2527938.0)</f>
        <v>2527938</v>
      </c>
    </row>
    <row r="448">
      <c r="A448" s="2">
        <f>IFERROR(__xludf.DUMMYFUNCTION("""COMPUTED_VALUE"""),37176.645833333336)</f>
        <v>37176.64583</v>
      </c>
      <c r="B448" s="1">
        <f>IFERROR(__xludf.DUMMYFUNCTION("""COMPUTED_VALUE"""),226.5)</f>
        <v>226.5</v>
      </c>
      <c r="C448" s="1">
        <f>IFERROR(__xludf.DUMMYFUNCTION("""COMPUTED_VALUE"""),228.0)</f>
        <v>228</v>
      </c>
      <c r="D448" s="1">
        <f>IFERROR(__xludf.DUMMYFUNCTION("""COMPUTED_VALUE"""),223.25)</f>
        <v>223.25</v>
      </c>
      <c r="E448" s="1">
        <f>IFERROR(__xludf.DUMMYFUNCTION("""COMPUTED_VALUE"""),225.25)</f>
        <v>225.25</v>
      </c>
      <c r="F448" s="1">
        <f>IFERROR(__xludf.DUMMYFUNCTION("""COMPUTED_VALUE"""),1666669.0)</f>
        <v>1666669</v>
      </c>
    </row>
    <row r="449">
      <c r="A449" s="2">
        <f>IFERROR(__xludf.DUMMYFUNCTION("""COMPUTED_VALUE"""),37179.645833333336)</f>
        <v>37179.64583</v>
      </c>
      <c r="B449" s="1">
        <f>IFERROR(__xludf.DUMMYFUNCTION("""COMPUTED_VALUE"""),221.9)</f>
        <v>221.9</v>
      </c>
      <c r="C449" s="1">
        <f>IFERROR(__xludf.DUMMYFUNCTION("""COMPUTED_VALUE"""),225.5)</f>
        <v>225.5</v>
      </c>
      <c r="D449" s="1">
        <f>IFERROR(__xludf.DUMMYFUNCTION("""COMPUTED_VALUE"""),221.9)</f>
        <v>221.9</v>
      </c>
      <c r="E449" s="1">
        <f>IFERROR(__xludf.DUMMYFUNCTION("""COMPUTED_VALUE"""),223.95)</f>
        <v>223.95</v>
      </c>
      <c r="F449" s="1">
        <f>IFERROR(__xludf.DUMMYFUNCTION("""COMPUTED_VALUE"""),1138466.0)</f>
        <v>1138466</v>
      </c>
    </row>
    <row r="450">
      <c r="A450" s="2">
        <f>IFERROR(__xludf.DUMMYFUNCTION("""COMPUTED_VALUE"""),37180.645833333336)</f>
        <v>37180.64583</v>
      </c>
      <c r="B450" s="1">
        <f>IFERROR(__xludf.DUMMYFUNCTION("""COMPUTED_VALUE"""),224.5)</f>
        <v>224.5</v>
      </c>
      <c r="C450" s="1">
        <f>IFERROR(__xludf.DUMMYFUNCTION("""COMPUTED_VALUE"""),228.5)</f>
        <v>228.5</v>
      </c>
      <c r="D450" s="1">
        <f>IFERROR(__xludf.DUMMYFUNCTION("""COMPUTED_VALUE"""),222.1)</f>
        <v>222.1</v>
      </c>
      <c r="E450" s="1">
        <f>IFERROR(__xludf.DUMMYFUNCTION("""COMPUTED_VALUE"""),227.35)</f>
        <v>227.35</v>
      </c>
      <c r="F450" s="1">
        <f>IFERROR(__xludf.DUMMYFUNCTION("""COMPUTED_VALUE"""),2785870.0)</f>
        <v>2785870</v>
      </c>
    </row>
    <row r="451">
      <c r="A451" s="2">
        <f>IFERROR(__xludf.DUMMYFUNCTION("""COMPUTED_VALUE"""),37181.645833333336)</f>
        <v>37181.64583</v>
      </c>
      <c r="B451" s="1">
        <f>IFERROR(__xludf.DUMMYFUNCTION("""COMPUTED_VALUE"""),228.0)</f>
        <v>228</v>
      </c>
      <c r="C451" s="1">
        <f>IFERROR(__xludf.DUMMYFUNCTION("""COMPUTED_VALUE"""),229.3)</f>
        <v>229.3</v>
      </c>
      <c r="D451" s="1">
        <f>IFERROR(__xludf.DUMMYFUNCTION("""COMPUTED_VALUE"""),226.05)</f>
        <v>226.05</v>
      </c>
      <c r="E451" s="1">
        <f>IFERROR(__xludf.DUMMYFUNCTION("""COMPUTED_VALUE"""),226.75)</f>
        <v>226.75</v>
      </c>
      <c r="F451" s="1">
        <f>IFERROR(__xludf.DUMMYFUNCTION("""COMPUTED_VALUE"""),1160772.0)</f>
        <v>1160772</v>
      </c>
    </row>
    <row r="452">
      <c r="A452" s="2">
        <f>IFERROR(__xludf.DUMMYFUNCTION("""COMPUTED_VALUE"""),37182.645833333336)</f>
        <v>37182.64583</v>
      </c>
      <c r="B452" s="1">
        <f>IFERROR(__xludf.DUMMYFUNCTION("""COMPUTED_VALUE"""),224.0)</f>
        <v>224</v>
      </c>
      <c r="C452" s="1">
        <f>IFERROR(__xludf.DUMMYFUNCTION("""COMPUTED_VALUE"""),225.5)</f>
        <v>225.5</v>
      </c>
      <c r="D452" s="1">
        <f>IFERROR(__xludf.DUMMYFUNCTION("""COMPUTED_VALUE"""),219.0)</f>
        <v>219</v>
      </c>
      <c r="E452" s="1">
        <f>IFERROR(__xludf.DUMMYFUNCTION("""COMPUTED_VALUE"""),220.5)</f>
        <v>220.5</v>
      </c>
      <c r="F452" s="1">
        <f>IFERROR(__xludf.DUMMYFUNCTION("""COMPUTED_VALUE"""),1404573.0)</f>
        <v>1404573</v>
      </c>
    </row>
    <row r="453">
      <c r="A453" s="2">
        <f>IFERROR(__xludf.DUMMYFUNCTION("""COMPUTED_VALUE"""),37183.645833333336)</f>
        <v>37183.64583</v>
      </c>
      <c r="B453" s="1">
        <f>IFERROR(__xludf.DUMMYFUNCTION("""COMPUTED_VALUE"""),220.0)</f>
        <v>220</v>
      </c>
      <c r="C453" s="1">
        <f>IFERROR(__xludf.DUMMYFUNCTION("""COMPUTED_VALUE"""),221.9)</f>
        <v>221.9</v>
      </c>
      <c r="D453" s="1">
        <f>IFERROR(__xludf.DUMMYFUNCTION("""COMPUTED_VALUE"""),216.8)</f>
        <v>216.8</v>
      </c>
      <c r="E453" s="1">
        <f>IFERROR(__xludf.DUMMYFUNCTION("""COMPUTED_VALUE"""),218.15)</f>
        <v>218.15</v>
      </c>
      <c r="F453" s="1">
        <f>IFERROR(__xludf.DUMMYFUNCTION("""COMPUTED_VALUE"""),995279.0)</f>
        <v>995279</v>
      </c>
    </row>
    <row r="454">
      <c r="A454" s="2">
        <f>IFERROR(__xludf.DUMMYFUNCTION("""COMPUTED_VALUE"""),37186.645833333336)</f>
        <v>37186.64583</v>
      </c>
      <c r="B454" s="1">
        <f>IFERROR(__xludf.DUMMYFUNCTION("""COMPUTED_VALUE"""),218.95)</f>
        <v>218.95</v>
      </c>
      <c r="C454" s="1">
        <f>IFERROR(__xludf.DUMMYFUNCTION("""COMPUTED_VALUE"""),220.4)</f>
        <v>220.4</v>
      </c>
      <c r="D454" s="1">
        <f>IFERROR(__xludf.DUMMYFUNCTION("""COMPUTED_VALUE"""),212.55)</f>
        <v>212.55</v>
      </c>
      <c r="E454" s="1">
        <f>IFERROR(__xludf.DUMMYFUNCTION("""COMPUTED_VALUE"""),214.25)</f>
        <v>214.25</v>
      </c>
      <c r="F454" s="1">
        <f>IFERROR(__xludf.DUMMYFUNCTION("""COMPUTED_VALUE"""),2247214.0)</f>
        <v>2247214</v>
      </c>
    </row>
    <row r="455">
      <c r="A455" s="2">
        <f>IFERROR(__xludf.DUMMYFUNCTION("""COMPUTED_VALUE"""),37187.645833333336)</f>
        <v>37187.64583</v>
      </c>
      <c r="B455" s="1">
        <f>IFERROR(__xludf.DUMMYFUNCTION("""COMPUTED_VALUE"""),218.0)</f>
        <v>218</v>
      </c>
      <c r="C455" s="1">
        <f>IFERROR(__xludf.DUMMYFUNCTION("""COMPUTED_VALUE"""),221.5)</f>
        <v>221.5</v>
      </c>
      <c r="D455" s="1">
        <f>IFERROR(__xludf.DUMMYFUNCTION("""COMPUTED_VALUE"""),215.75)</f>
        <v>215.75</v>
      </c>
      <c r="E455" s="1">
        <f>IFERROR(__xludf.DUMMYFUNCTION("""COMPUTED_VALUE"""),220.65)</f>
        <v>220.65</v>
      </c>
      <c r="F455" s="1">
        <f>IFERROR(__xludf.DUMMYFUNCTION("""COMPUTED_VALUE"""),768393.0)</f>
        <v>768393</v>
      </c>
    </row>
    <row r="456">
      <c r="A456" s="2">
        <f>IFERROR(__xludf.DUMMYFUNCTION("""COMPUTED_VALUE"""),37188.645833333336)</f>
        <v>37188.64583</v>
      </c>
      <c r="B456" s="1">
        <f>IFERROR(__xludf.DUMMYFUNCTION("""COMPUTED_VALUE"""),221.6)</f>
        <v>221.6</v>
      </c>
      <c r="C456" s="1">
        <f>IFERROR(__xludf.DUMMYFUNCTION("""COMPUTED_VALUE"""),222.0)</f>
        <v>222</v>
      </c>
      <c r="D456" s="1">
        <f>IFERROR(__xludf.DUMMYFUNCTION("""COMPUTED_VALUE"""),214.2)</f>
        <v>214.2</v>
      </c>
      <c r="E456" s="1">
        <f>IFERROR(__xludf.DUMMYFUNCTION("""COMPUTED_VALUE"""),215.55)</f>
        <v>215.55</v>
      </c>
      <c r="F456" s="1">
        <f>IFERROR(__xludf.DUMMYFUNCTION("""COMPUTED_VALUE"""),628938.0)</f>
        <v>628938</v>
      </c>
    </row>
    <row r="457">
      <c r="A457" s="2">
        <f>IFERROR(__xludf.DUMMYFUNCTION("""COMPUTED_VALUE"""),37189.645833333336)</f>
        <v>37189.64583</v>
      </c>
      <c r="B457" s="1">
        <f>IFERROR(__xludf.DUMMYFUNCTION("""COMPUTED_VALUE"""),217.5)</f>
        <v>217.5</v>
      </c>
      <c r="C457" s="1">
        <f>IFERROR(__xludf.DUMMYFUNCTION("""COMPUTED_VALUE"""),217.5)</f>
        <v>217.5</v>
      </c>
      <c r="D457" s="1">
        <f>IFERROR(__xludf.DUMMYFUNCTION("""COMPUTED_VALUE"""),211.05)</f>
        <v>211.05</v>
      </c>
      <c r="E457" s="1">
        <f>IFERROR(__xludf.DUMMYFUNCTION("""COMPUTED_VALUE"""),211.85)</f>
        <v>211.85</v>
      </c>
      <c r="F457" s="1">
        <f>IFERROR(__xludf.DUMMYFUNCTION("""COMPUTED_VALUE"""),974175.0)</f>
        <v>974175</v>
      </c>
    </row>
    <row r="458">
      <c r="A458" s="2">
        <f>IFERROR(__xludf.DUMMYFUNCTION("""COMPUTED_VALUE"""),37193.645833333336)</f>
        <v>37193.64583</v>
      </c>
      <c r="B458" s="1">
        <f>IFERROR(__xludf.DUMMYFUNCTION("""COMPUTED_VALUE"""),214.9)</f>
        <v>214.9</v>
      </c>
      <c r="C458" s="1">
        <f>IFERROR(__xludf.DUMMYFUNCTION("""COMPUTED_VALUE"""),215.0)</f>
        <v>215</v>
      </c>
      <c r="D458" s="1">
        <f>IFERROR(__xludf.DUMMYFUNCTION("""COMPUTED_VALUE"""),210.0)</f>
        <v>210</v>
      </c>
      <c r="E458" s="1">
        <f>IFERROR(__xludf.DUMMYFUNCTION("""COMPUTED_VALUE"""),211.55)</f>
        <v>211.55</v>
      </c>
      <c r="F458" s="1">
        <f>IFERROR(__xludf.DUMMYFUNCTION("""COMPUTED_VALUE"""),520619.0)</f>
        <v>520619</v>
      </c>
    </row>
    <row r="459">
      <c r="A459" s="2">
        <f>IFERROR(__xludf.DUMMYFUNCTION("""COMPUTED_VALUE"""),37194.645833333336)</f>
        <v>37194.64583</v>
      </c>
      <c r="B459" s="1">
        <f>IFERROR(__xludf.DUMMYFUNCTION("""COMPUTED_VALUE"""),210.5)</f>
        <v>210.5</v>
      </c>
      <c r="C459" s="1">
        <f>IFERROR(__xludf.DUMMYFUNCTION("""COMPUTED_VALUE"""),211.95)</f>
        <v>211.95</v>
      </c>
      <c r="D459" s="1">
        <f>IFERROR(__xludf.DUMMYFUNCTION("""COMPUTED_VALUE"""),208.65)</f>
        <v>208.65</v>
      </c>
      <c r="E459" s="1">
        <f>IFERROR(__xludf.DUMMYFUNCTION("""COMPUTED_VALUE"""),210.0)</f>
        <v>210</v>
      </c>
      <c r="F459" s="1">
        <f>IFERROR(__xludf.DUMMYFUNCTION("""COMPUTED_VALUE"""),911397.0)</f>
        <v>911397</v>
      </c>
    </row>
    <row r="460">
      <c r="A460" s="2">
        <f>IFERROR(__xludf.DUMMYFUNCTION("""COMPUTED_VALUE"""),37195.645833333336)</f>
        <v>37195.64583</v>
      </c>
      <c r="B460" s="1">
        <f>IFERROR(__xludf.DUMMYFUNCTION("""COMPUTED_VALUE"""),210.0)</f>
        <v>210</v>
      </c>
      <c r="C460" s="1">
        <f>IFERROR(__xludf.DUMMYFUNCTION("""COMPUTED_VALUE"""),216.8)</f>
        <v>216.8</v>
      </c>
      <c r="D460" s="1">
        <f>IFERROR(__xludf.DUMMYFUNCTION("""COMPUTED_VALUE"""),209.05)</f>
        <v>209.05</v>
      </c>
      <c r="E460" s="1">
        <f>IFERROR(__xludf.DUMMYFUNCTION("""COMPUTED_VALUE"""),214.8)</f>
        <v>214.8</v>
      </c>
      <c r="F460" s="1">
        <f>IFERROR(__xludf.DUMMYFUNCTION("""COMPUTED_VALUE"""),650685.0)</f>
        <v>650685</v>
      </c>
    </row>
    <row r="461">
      <c r="A461" s="2">
        <f>IFERROR(__xludf.DUMMYFUNCTION("""COMPUTED_VALUE"""),37196.645833333336)</f>
        <v>37196.64583</v>
      </c>
      <c r="B461" s="1">
        <f>IFERROR(__xludf.DUMMYFUNCTION("""COMPUTED_VALUE"""),215.0)</f>
        <v>215</v>
      </c>
      <c r="C461" s="1">
        <f>IFERROR(__xludf.DUMMYFUNCTION("""COMPUTED_VALUE"""),217.75)</f>
        <v>217.75</v>
      </c>
      <c r="D461" s="1">
        <f>IFERROR(__xludf.DUMMYFUNCTION("""COMPUTED_VALUE"""),212.2)</f>
        <v>212.2</v>
      </c>
      <c r="E461" s="1">
        <f>IFERROR(__xludf.DUMMYFUNCTION("""COMPUTED_VALUE"""),215.2)</f>
        <v>215.2</v>
      </c>
      <c r="F461" s="1">
        <f>IFERROR(__xludf.DUMMYFUNCTION("""COMPUTED_VALUE"""),849733.0)</f>
        <v>849733</v>
      </c>
    </row>
    <row r="462">
      <c r="A462" s="2">
        <f>IFERROR(__xludf.DUMMYFUNCTION("""COMPUTED_VALUE"""),37197.645833333336)</f>
        <v>37197.64583</v>
      </c>
      <c r="B462" s="1">
        <f>IFERROR(__xludf.DUMMYFUNCTION("""COMPUTED_VALUE"""),216.5)</f>
        <v>216.5</v>
      </c>
      <c r="C462" s="1">
        <f>IFERROR(__xludf.DUMMYFUNCTION("""COMPUTED_VALUE"""),220.0)</f>
        <v>220</v>
      </c>
      <c r="D462" s="1">
        <f>IFERROR(__xludf.DUMMYFUNCTION("""COMPUTED_VALUE"""),216.5)</f>
        <v>216.5</v>
      </c>
      <c r="E462" s="1">
        <f>IFERROR(__xludf.DUMMYFUNCTION("""COMPUTED_VALUE"""),219.15)</f>
        <v>219.15</v>
      </c>
      <c r="F462" s="1">
        <f>IFERROR(__xludf.DUMMYFUNCTION("""COMPUTED_VALUE"""),736147.0)</f>
        <v>736147</v>
      </c>
    </row>
    <row r="463">
      <c r="A463" s="2">
        <f>IFERROR(__xludf.DUMMYFUNCTION("""COMPUTED_VALUE"""),37200.645833333336)</f>
        <v>37200.64583</v>
      </c>
      <c r="B463" s="1">
        <f>IFERROR(__xludf.DUMMYFUNCTION("""COMPUTED_VALUE"""),219.2)</f>
        <v>219.2</v>
      </c>
      <c r="C463" s="1">
        <f>IFERROR(__xludf.DUMMYFUNCTION("""COMPUTED_VALUE"""),220.75)</f>
        <v>220.75</v>
      </c>
      <c r="D463" s="1">
        <f>IFERROR(__xludf.DUMMYFUNCTION("""COMPUTED_VALUE"""),214.15)</f>
        <v>214.15</v>
      </c>
      <c r="E463" s="1">
        <f>IFERROR(__xludf.DUMMYFUNCTION("""COMPUTED_VALUE"""),214.65)</f>
        <v>214.65</v>
      </c>
      <c r="F463" s="1">
        <f>IFERROR(__xludf.DUMMYFUNCTION("""COMPUTED_VALUE"""),515200.0)</f>
        <v>515200</v>
      </c>
    </row>
    <row r="464">
      <c r="A464" s="2">
        <f>IFERROR(__xludf.DUMMYFUNCTION("""COMPUTED_VALUE"""),37201.645833333336)</f>
        <v>37201.64583</v>
      </c>
      <c r="B464" s="1">
        <f>IFERROR(__xludf.DUMMYFUNCTION("""COMPUTED_VALUE"""),215.0)</f>
        <v>215</v>
      </c>
      <c r="C464" s="1">
        <f>IFERROR(__xludf.DUMMYFUNCTION("""COMPUTED_VALUE"""),218.0)</f>
        <v>218</v>
      </c>
      <c r="D464" s="1">
        <f>IFERROR(__xludf.DUMMYFUNCTION("""COMPUTED_VALUE"""),215.0)</f>
        <v>215</v>
      </c>
      <c r="E464" s="1">
        <f>IFERROR(__xludf.DUMMYFUNCTION("""COMPUTED_VALUE"""),217.4)</f>
        <v>217.4</v>
      </c>
      <c r="F464" s="1">
        <f>IFERROR(__xludf.DUMMYFUNCTION("""COMPUTED_VALUE"""),512480.0)</f>
        <v>512480</v>
      </c>
    </row>
    <row r="465">
      <c r="A465" s="2">
        <f>IFERROR(__xludf.DUMMYFUNCTION("""COMPUTED_VALUE"""),37202.645833333336)</f>
        <v>37202.64583</v>
      </c>
      <c r="B465" s="1">
        <f>IFERROR(__xludf.DUMMYFUNCTION("""COMPUTED_VALUE"""),219.0)</f>
        <v>219</v>
      </c>
      <c r="C465" s="1">
        <f>IFERROR(__xludf.DUMMYFUNCTION("""COMPUTED_VALUE"""),219.0)</f>
        <v>219</v>
      </c>
      <c r="D465" s="1">
        <f>IFERROR(__xludf.DUMMYFUNCTION("""COMPUTED_VALUE"""),214.25)</f>
        <v>214.25</v>
      </c>
      <c r="E465" s="1">
        <f>IFERROR(__xludf.DUMMYFUNCTION("""COMPUTED_VALUE"""),215.15)</f>
        <v>215.15</v>
      </c>
      <c r="F465" s="1">
        <f>IFERROR(__xludf.DUMMYFUNCTION("""COMPUTED_VALUE"""),303867.0)</f>
        <v>303867</v>
      </c>
    </row>
    <row r="466">
      <c r="A466" s="2">
        <f>IFERROR(__xludf.DUMMYFUNCTION("""COMPUTED_VALUE"""),37203.645833333336)</f>
        <v>37203.64583</v>
      </c>
      <c r="B466" s="1">
        <f>IFERROR(__xludf.DUMMYFUNCTION("""COMPUTED_VALUE"""),216.5)</f>
        <v>216.5</v>
      </c>
      <c r="C466" s="1">
        <f>IFERROR(__xludf.DUMMYFUNCTION("""COMPUTED_VALUE"""),217.5)</f>
        <v>217.5</v>
      </c>
      <c r="D466" s="1">
        <f>IFERROR(__xludf.DUMMYFUNCTION("""COMPUTED_VALUE"""),214.85)</f>
        <v>214.85</v>
      </c>
      <c r="E466" s="1">
        <f>IFERROR(__xludf.DUMMYFUNCTION("""COMPUTED_VALUE"""),216.7)</f>
        <v>216.7</v>
      </c>
      <c r="F466" s="1">
        <f>IFERROR(__xludf.DUMMYFUNCTION("""COMPUTED_VALUE"""),335494.0)</f>
        <v>335494</v>
      </c>
    </row>
    <row r="467">
      <c r="A467" s="2">
        <f>IFERROR(__xludf.DUMMYFUNCTION("""COMPUTED_VALUE"""),37204.645833333336)</f>
        <v>37204.64583</v>
      </c>
      <c r="B467" s="1">
        <f>IFERROR(__xludf.DUMMYFUNCTION("""COMPUTED_VALUE"""),219.0)</f>
        <v>219</v>
      </c>
      <c r="C467" s="1">
        <f>IFERROR(__xludf.DUMMYFUNCTION("""COMPUTED_VALUE"""),219.0)</f>
        <v>219</v>
      </c>
      <c r="D467" s="1">
        <f>IFERROR(__xludf.DUMMYFUNCTION("""COMPUTED_VALUE"""),214.55)</f>
        <v>214.55</v>
      </c>
      <c r="E467" s="1">
        <f>IFERROR(__xludf.DUMMYFUNCTION("""COMPUTED_VALUE"""),216.35)</f>
        <v>216.35</v>
      </c>
      <c r="F467" s="1">
        <f>IFERROR(__xludf.DUMMYFUNCTION("""COMPUTED_VALUE"""),350670.0)</f>
        <v>350670</v>
      </c>
    </row>
    <row r="468">
      <c r="A468" s="2">
        <f>IFERROR(__xludf.DUMMYFUNCTION("""COMPUTED_VALUE"""),37207.645833333336)</f>
        <v>37207.64583</v>
      </c>
      <c r="B468" s="1">
        <f>IFERROR(__xludf.DUMMYFUNCTION("""COMPUTED_VALUE"""),215.0)</f>
        <v>215</v>
      </c>
      <c r="C468" s="1">
        <f>IFERROR(__xludf.DUMMYFUNCTION("""COMPUTED_VALUE"""),217.85)</f>
        <v>217.85</v>
      </c>
      <c r="D468" s="1">
        <f>IFERROR(__xludf.DUMMYFUNCTION("""COMPUTED_VALUE"""),215.0)</f>
        <v>215</v>
      </c>
      <c r="E468" s="1">
        <f>IFERROR(__xludf.DUMMYFUNCTION("""COMPUTED_VALUE"""),215.4)</f>
        <v>215.4</v>
      </c>
      <c r="F468" s="1">
        <f>IFERROR(__xludf.DUMMYFUNCTION("""COMPUTED_VALUE"""),323258.0)</f>
        <v>323258</v>
      </c>
    </row>
    <row r="469">
      <c r="A469" s="2">
        <f>IFERROR(__xludf.DUMMYFUNCTION("""COMPUTED_VALUE"""),37208.645833333336)</f>
        <v>37208.64583</v>
      </c>
      <c r="B469" s="1">
        <f>IFERROR(__xludf.DUMMYFUNCTION("""COMPUTED_VALUE"""),214.05)</f>
        <v>214.05</v>
      </c>
      <c r="C469" s="1">
        <f>IFERROR(__xludf.DUMMYFUNCTION("""COMPUTED_VALUE"""),215.0)</f>
        <v>215</v>
      </c>
      <c r="D469" s="1">
        <f>IFERROR(__xludf.DUMMYFUNCTION("""COMPUTED_VALUE"""),212.0)</f>
        <v>212</v>
      </c>
      <c r="E469" s="1">
        <f>IFERROR(__xludf.DUMMYFUNCTION("""COMPUTED_VALUE"""),214.05)</f>
        <v>214.05</v>
      </c>
      <c r="F469" s="1">
        <f>IFERROR(__xludf.DUMMYFUNCTION("""COMPUTED_VALUE"""),610251.0)</f>
        <v>610251</v>
      </c>
    </row>
    <row r="470">
      <c r="A470" s="2">
        <f>IFERROR(__xludf.DUMMYFUNCTION("""COMPUTED_VALUE"""),37209.645833333336)</f>
        <v>37209.64583</v>
      </c>
      <c r="B470" s="1">
        <f>IFERROR(__xludf.DUMMYFUNCTION("""COMPUTED_VALUE"""),216.0)</f>
        <v>216</v>
      </c>
      <c r="C470" s="1">
        <f>IFERROR(__xludf.DUMMYFUNCTION("""COMPUTED_VALUE"""),216.0)</f>
        <v>216</v>
      </c>
      <c r="D470" s="1">
        <f>IFERROR(__xludf.DUMMYFUNCTION("""COMPUTED_VALUE"""),215.0)</f>
        <v>215</v>
      </c>
      <c r="E470" s="1">
        <f>IFERROR(__xludf.DUMMYFUNCTION("""COMPUTED_VALUE"""),215.5)</f>
        <v>215.5</v>
      </c>
      <c r="F470" s="1">
        <f>IFERROR(__xludf.DUMMYFUNCTION("""COMPUTED_VALUE"""),114906.0)</f>
        <v>114906</v>
      </c>
    </row>
    <row r="471">
      <c r="A471" s="2">
        <f>IFERROR(__xludf.DUMMYFUNCTION("""COMPUTED_VALUE"""),37210.645833333336)</f>
        <v>37210.64583</v>
      </c>
      <c r="B471" s="1">
        <f>IFERROR(__xludf.DUMMYFUNCTION("""COMPUTED_VALUE"""),216.4)</f>
        <v>216.4</v>
      </c>
      <c r="C471" s="1">
        <f>IFERROR(__xludf.DUMMYFUNCTION("""COMPUTED_VALUE"""),219.0)</f>
        <v>219</v>
      </c>
      <c r="D471" s="1">
        <f>IFERROR(__xludf.DUMMYFUNCTION("""COMPUTED_VALUE"""),213.25)</f>
        <v>213.25</v>
      </c>
      <c r="E471" s="1">
        <f>IFERROR(__xludf.DUMMYFUNCTION("""COMPUTED_VALUE"""),216.45)</f>
        <v>216.45</v>
      </c>
      <c r="F471" s="1">
        <f>IFERROR(__xludf.DUMMYFUNCTION("""COMPUTED_VALUE"""),637379.0)</f>
        <v>637379</v>
      </c>
    </row>
    <row r="472">
      <c r="A472" s="2">
        <f>IFERROR(__xludf.DUMMYFUNCTION("""COMPUTED_VALUE"""),37214.645833333336)</f>
        <v>37214.64583</v>
      </c>
      <c r="B472" s="1">
        <f>IFERROR(__xludf.DUMMYFUNCTION("""COMPUTED_VALUE"""),219.0)</f>
        <v>219</v>
      </c>
      <c r="C472" s="1">
        <f>IFERROR(__xludf.DUMMYFUNCTION("""COMPUTED_VALUE"""),222.25)</f>
        <v>222.25</v>
      </c>
      <c r="D472" s="1">
        <f>IFERROR(__xludf.DUMMYFUNCTION("""COMPUTED_VALUE"""),215.85)</f>
        <v>215.85</v>
      </c>
      <c r="E472" s="1">
        <f>IFERROR(__xludf.DUMMYFUNCTION("""COMPUTED_VALUE"""),220.45)</f>
        <v>220.45</v>
      </c>
      <c r="F472" s="1">
        <f>IFERROR(__xludf.DUMMYFUNCTION("""COMPUTED_VALUE"""),1465382.0)</f>
        <v>1465382</v>
      </c>
    </row>
    <row r="473">
      <c r="A473" s="2">
        <f>IFERROR(__xludf.DUMMYFUNCTION("""COMPUTED_VALUE"""),37215.645833333336)</f>
        <v>37215.64583</v>
      </c>
      <c r="B473" s="1">
        <f>IFERROR(__xludf.DUMMYFUNCTION("""COMPUTED_VALUE"""),223.1)</f>
        <v>223.1</v>
      </c>
      <c r="C473" s="1">
        <f>IFERROR(__xludf.DUMMYFUNCTION("""COMPUTED_VALUE"""),224.0)</f>
        <v>224</v>
      </c>
      <c r="D473" s="1">
        <f>IFERROR(__xludf.DUMMYFUNCTION("""COMPUTED_VALUE"""),212.5)</f>
        <v>212.5</v>
      </c>
      <c r="E473" s="1">
        <f>IFERROR(__xludf.DUMMYFUNCTION("""COMPUTED_VALUE"""),214.5)</f>
        <v>214.5</v>
      </c>
      <c r="F473" s="1">
        <f>IFERROR(__xludf.DUMMYFUNCTION("""COMPUTED_VALUE"""),1185867.0)</f>
        <v>1185867</v>
      </c>
    </row>
    <row r="474">
      <c r="A474" s="2">
        <f>IFERROR(__xludf.DUMMYFUNCTION("""COMPUTED_VALUE"""),37216.645833333336)</f>
        <v>37216.64583</v>
      </c>
      <c r="B474" s="1">
        <f>IFERROR(__xludf.DUMMYFUNCTION("""COMPUTED_VALUE"""),216.5)</f>
        <v>216.5</v>
      </c>
      <c r="C474" s="1">
        <f>IFERROR(__xludf.DUMMYFUNCTION("""COMPUTED_VALUE"""),218.3)</f>
        <v>218.3</v>
      </c>
      <c r="D474" s="1">
        <f>IFERROR(__xludf.DUMMYFUNCTION("""COMPUTED_VALUE"""),214.65)</f>
        <v>214.65</v>
      </c>
      <c r="E474" s="1">
        <f>IFERROR(__xludf.DUMMYFUNCTION("""COMPUTED_VALUE"""),215.0)</f>
        <v>215</v>
      </c>
      <c r="F474" s="1">
        <f>IFERROR(__xludf.DUMMYFUNCTION("""COMPUTED_VALUE"""),566909.0)</f>
        <v>566909</v>
      </c>
    </row>
    <row r="475">
      <c r="A475" s="2">
        <f>IFERROR(__xludf.DUMMYFUNCTION("""COMPUTED_VALUE"""),37217.645833333336)</f>
        <v>37217.64583</v>
      </c>
      <c r="B475" s="1">
        <f>IFERROR(__xludf.DUMMYFUNCTION("""COMPUTED_VALUE"""),216.0)</f>
        <v>216</v>
      </c>
      <c r="C475" s="1">
        <f>IFERROR(__xludf.DUMMYFUNCTION("""COMPUTED_VALUE"""),217.75)</f>
        <v>217.75</v>
      </c>
      <c r="D475" s="1">
        <f>IFERROR(__xludf.DUMMYFUNCTION("""COMPUTED_VALUE"""),214.05)</f>
        <v>214.05</v>
      </c>
      <c r="E475" s="1">
        <f>IFERROR(__xludf.DUMMYFUNCTION("""COMPUTED_VALUE"""),214.75)</f>
        <v>214.75</v>
      </c>
      <c r="F475" s="1">
        <f>IFERROR(__xludf.DUMMYFUNCTION("""COMPUTED_VALUE"""),537142.0)</f>
        <v>537142</v>
      </c>
    </row>
    <row r="476">
      <c r="A476" s="2">
        <f>IFERROR(__xludf.DUMMYFUNCTION("""COMPUTED_VALUE"""),37218.645833333336)</f>
        <v>37218.64583</v>
      </c>
      <c r="B476" s="1">
        <f>IFERROR(__xludf.DUMMYFUNCTION("""COMPUTED_VALUE"""),215.0)</f>
        <v>215</v>
      </c>
      <c r="C476" s="1">
        <f>IFERROR(__xludf.DUMMYFUNCTION("""COMPUTED_VALUE"""),218.8)</f>
        <v>218.8</v>
      </c>
      <c r="D476" s="1">
        <f>IFERROR(__xludf.DUMMYFUNCTION("""COMPUTED_VALUE"""),213.55)</f>
        <v>213.55</v>
      </c>
      <c r="E476" s="1">
        <f>IFERROR(__xludf.DUMMYFUNCTION("""COMPUTED_VALUE"""),214.55)</f>
        <v>214.55</v>
      </c>
      <c r="F476" s="1">
        <f>IFERROR(__xludf.DUMMYFUNCTION("""COMPUTED_VALUE"""),688386.0)</f>
        <v>688386</v>
      </c>
    </row>
    <row r="477">
      <c r="A477" s="2">
        <f>IFERROR(__xludf.DUMMYFUNCTION("""COMPUTED_VALUE"""),37221.645833333336)</f>
        <v>37221.64583</v>
      </c>
      <c r="B477" s="1">
        <f>IFERROR(__xludf.DUMMYFUNCTION("""COMPUTED_VALUE"""),216.5)</f>
        <v>216.5</v>
      </c>
      <c r="C477" s="1">
        <f>IFERROR(__xludf.DUMMYFUNCTION("""COMPUTED_VALUE"""),216.5)</f>
        <v>216.5</v>
      </c>
      <c r="D477" s="1">
        <f>IFERROR(__xludf.DUMMYFUNCTION("""COMPUTED_VALUE"""),213.55)</f>
        <v>213.55</v>
      </c>
      <c r="E477" s="1">
        <f>IFERROR(__xludf.DUMMYFUNCTION("""COMPUTED_VALUE"""),214.25)</f>
        <v>214.25</v>
      </c>
      <c r="F477" s="1">
        <f>IFERROR(__xludf.DUMMYFUNCTION("""COMPUTED_VALUE"""),721154.0)</f>
        <v>721154</v>
      </c>
    </row>
    <row r="478">
      <c r="A478" s="2">
        <f>IFERROR(__xludf.DUMMYFUNCTION("""COMPUTED_VALUE"""),37222.645833333336)</f>
        <v>37222.64583</v>
      </c>
      <c r="B478" s="1">
        <f>IFERROR(__xludf.DUMMYFUNCTION("""COMPUTED_VALUE"""),214.5)</f>
        <v>214.5</v>
      </c>
      <c r="C478" s="1">
        <f>IFERROR(__xludf.DUMMYFUNCTION("""COMPUTED_VALUE"""),216.0)</f>
        <v>216</v>
      </c>
      <c r="D478" s="1">
        <f>IFERROR(__xludf.DUMMYFUNCTION("""COMPUTED_VALUE"""),210.9)</f>
        <v>210.9</v>
      </c>
      <c r="E478" s="1">
        <f>IFERROR(__xludf.DUMMYFUNCTION("""COMPUTED_VALUE"""),211.95)</f>
        <v>211.95</v>
      </c>
      <c r="F478" s="1">
        <f>IFERROR(__xludf.DUMMYFUNCTION("""COMPUTED_VALUE"""),866474.0)</f>
        <v>866474</v>
      </c>
    </row>
    <row r="479">
      <c r="A479" s="2">
        <f>IFERROR(__xludf.DUMMYFUNCTION("""COMPUTED_VALUE"""),37223.645833333336)</f>
        <v>37223.64583</v>
      </c>
      <c r="B479" s="1">
        <f>IFERROR(__xludf.DUMMYFUNCTION("""COMPUTED_VALUE"""),214.0)</f>
        <v>214</v>
      </c>
      <c r="C479" s="1">
        <f>IFERROR(__xludf.DUMMYFUNCTION("""COMPUTED_VALUE"""),214.5)</f>
        <v>214.5</v>
      </c>
      <c r="D479" s="1">
        <f>IFERROR(__xludf.DUMMYFUNCTION("""COMPUTED_VALUE"""),212.0)</f>
        <v>212</v>
      </c>
      <c r="E479" s="1">
        <f>IFERROR(__xludf.DUMMYFUNCTION("""COMPUTED_VALUE"""),212.45)</f>
        <v>212.45</v>
      </c>
      <c r="F479" s="1">
        <f>IFERROR(__xludf.DUMMYFUNCTION("""COMPUTED_VALUE"""),459360.0)</f>
        <v>459360</v>
      </c>
    </row>
    <row r="480">
      <c r="A480" s="2">
        <f>IFERROR(__xludf.DUMMYFUNCTION("""COMPUTED_VALUE"""),37224.645833333336)</f>
        <v>37224.64583</v>
      </c>
      <c r="B480" s="1">
        <f>IFERROR(__xludf.DUMMYFUNCTION("""COMPUTED_VALUE"""),213.0)</f>
        <v>213</v>
      </c>
      <c r="C480" s="1">
        <f>IFERROR(__xludf.DUMMYFUNCTION("""COMPUTED_VALUE"""),213.0)</f>
        <v>213</v>
      </c>
      <c r="D480" s="1">
        <f>IFERROR(__xludf.DUMMYFUNCTION("""COMPUTED_VALUE"""),209.6)</f>
        <v>209.6</v>
      </c>
      <c r="E480" s="1">
        <f>IFERROR(__xludf.DUMMYFUNCTION("""COMPUTED_VALUE"""),210.2)</f>
        <v>210.2</v>
      </c>
      <c r="F480" s="1">
        <f>IFERROR(__xludf.DUMMYFUNCTION("""COMPUTED_VALUE"""),1125764.0)</f>
        <v>1125764</v>
      </c>
    </row>
    <row r="481">
      <c r="A481" s="2">
        <f>IFERROR(__xludf.DUMMYFUNCTION("""COMPUTED_VALUE"""),37228.645833333336)</f>
        <v>37228.64583</v>
      </c>
      <c r="B481" s="1">
        <f>IFERROR(__xludf.DUMMYFUNCTION("""COMPUTED_VALUE"""),210.25)</f>
        <v>210.25</v>
      </c>
      <c r="C481" s="1">
        <f>IFERROR(__xludf.DUMMYFUNCTION("""COMPUTED_VALUE"""),213.8)</f>
        <v>213.8</v>
      </c>
      <c r="D481" s="1">
        <f>IFERROR(__xludf.DUMMYFUNCTION("""COMPUTED_VALUE"""),208.0)</f>
        <v>208</v>
      </c>
      <c r="E481" s="1">
        <f>IFERROR(__xludf.DUMMYFUNCTION("""COMPUTED_VALUE"""),209.7)</f>
        <v>209.7</v>
      </c>
      <c r="F481" s="1">
        <f>IFERROR(__xludf.DUMMYFUNCTION("""COMPUTED_VALUE"""),945726.0)</f>
        <v>945726</v>
      </c>
    </row>
    <row r="482">
      <c r="A482" s="2">
        <f>IFERROR(__xludf.DUMMYFUNCTION("""COMPUTED_VALUE"""),37229.645833333336)</f>
        <v>37229.64583</v>
      </c>
      <c r="B482" s="1">
        <f>IFERROR(__xludf.DUMMYFUNCTION("""COMPUTED_VALUE"""),211.0)</f>
        <v>211</v>
      </c>
      <c r="C482" s="1">
        <f>IFERROR(__xludf.DUMMYFUNCTION("""COMPUTED_VALUE"""),215.9)</f>
        <v>215.9</v>
      </c>
      <c r="D482" s="1">
        <f>IFERROR(__xludf.DUMMYFUNCTION("""COMPUTED_VALUE"""),210.35)</f>
        <v>210.35</v>
      </c>
      <c r="E482" s="1">
        <f>IFERROR(__xludf.DUMMYFUNCTION("""COMPUTED_VALUE"""),213.35)</f>
        <v>213.35</v>
      </c>
      <c r="F482" s="1">
        <f>IFERROR(__xludf.DUMMYFUNCTION("""COMPUTED_VALUE"""),1014556.0)</f>
        <v>1014556</v>
      </c>
    </row>
    <row r="483">
      <c r="A483" s="2">
        <f>IFERROR(__xludf.DUMMYFUNCTION("""COMPUTED_VALUE"""),37230.645833333336)</f>
        <v>37230.64583</v>
      </c>
      <c r="B483" s="1">
        <f>IFERROR(__xludf.DUMMYFUNCTION("""COMPUTED_VALUE"""),215.9)</f>
        <v>215.9</v>
      </c>
      <c r="C483" s="1">
        <f>IFERROR(__xludf.DUMMYFUNCTION("""COMPUTED_VALUE"""),219.0)</f>
        <v>219</v>
      </c>
      <c r="D483" s="1">
        <f>IFERROR(__xludf.DUMMYFUNCTION("""COMPUTED_VALUE"""),214.25)</f>
        <v>214.25</v>
      </c>
      <c r="E483" s="1">
        <f>IFERROR(__xludf.DUMMYFUNCTION("""COMPUTED_VALUE"""),217.85)</f>
        <v>217.85</v>
      </c>
      <c r="F483" s="1">
        <f>IFERROR(__xludf.DUMMYFUNCTION("""COMPUTED_VALUE"""),1020075.0)</f>
        <v>1020075</v>
      </c>
    </row>
    <row r="484">
      <c r="A484" s="2">
        <f>IFERROR(__xludf.DUMMYFUNCTION("""COMPUTED_VALUE"""),37231.645833333336)</f>
        <v>37231.64583</v>
      </c>
      <c r="B484" s="1">
        <f>IFERROR(__xludf.DUMMYFUNCTION("""COMPUTED_VALUE"""),219.8)</f>
        <v>219.8</v>
      </c>
      <c r="C484" s="1">
        <f>IFERROR(__xludf.DUMMYFUNCTION("""COMPUTED_VALUE"""),220.6)</f>
        <v>220.6</v>
      </c>
      <c r="D484" s="1">
        <f>IFERROR(__xludf.DUMMYFUNCTION("""COMPUTED_VALUE"""),214.75)</f>
        <v>214.75</v>
      </c>
      <c r="E484" s="1">
        <f>IFERROR(__xludf.DUMMYFUNCTION("""COMPUTED_VALUE"""),215.65)</f>
        <v>215.65</v>
      </c>
      <c r="F484" s="1">
        <f>IFERROR(__xludf.DUMMYFUNCTION("""COMPUTED_VALUE"""),844104.0)</f>
        <v>844104</v>
      </c>
    </row>
    <row r="485">
      <c r="A485" s="2">
        <f>IFERROR(__xludf.DUMMYFUNCTION("""COMPUTED_VALUE"""),37232.645833333336)</f>
        <v>37232.64583</v>
      </c>
      <c r="B485" s="1">
        <f>IFERROR(__xludf.DUMMYFUNCTION("""COMPUTED_VALUE"""),217.0)</f>
        <v>217</v>
      </c>
      <c r="C485" s="1">
        <f>IFERROR(__xludf.DUMMYFUNCTION("""COMPUTED_VALUE"""),219.5)</f>
        <v>219.5</v>
      </c>
      <c r="D485" s="1">
        <f>IFERROR(__xludf.DUMMYFUNCTION("""COMPUTED_VALUE"""),213.05)</f>
        <v>213.05</v>
      </c>
      <c r="E485" s="1">
        <f>IFERROR(__xludf.DUMMYFUNCTION("""COMPUTED_VALUE"""),214.65)</f>
        <v>214.65</v>
      </c>
      <c r="F485" s="1">
        <f>IFERROR(__xludf.DUMMYFUNCTION("""COMPUTED_VALUE"""),823769.0)</f>
        <v>823769</v>
      </c>
    </row>
    <row r="486">
      <c r="A486" s="2">
        <f>IFERROR(__xludf.DUMMYFUNCTION("""COMPUTED_VALUE"""),37235.645833333336)</f>
        <v>37235.64583</v>
      </c>
      <c r="B486" s="1">
        <f>IFERROR(__xludf.DUMMYFUNCTION("""COMPUTED_VALUE"""),215.8)</f>
        <v>215.8</v>
      </c>
      <c r="C486" s="1">
        <f>IFERROR(__xludf.DUMMYFUNCTION("""COMPUTED_VALUE"""),217.25)</f>
        <v>217.25</v>
      </c>
      <c r="D486" s="1">
        <f>IFERROR(__xludf.DUMMYFUNCTION("""COMPUTED_VALUE"""),213.0)</f>
        <v>213</v>
      </c>
      <c r="E486" s="1">
        <f>IFERROR(__xludf.DUMMYFUNCTION("""COMPUTED_VALUE"""),214.75)</f>
        <v>214.75</v>
      </c>
      <c r="F486" s="1">
        <f>IFERROR(__xludf.DUMMYFUNCTION("""COMPUTED_VALUE"""),450615.0)</f>
        <v>450615</v>
      </c>
    </row>
    <row r="487">
      <c r="A487" s="2">
        <f>IFERROR(__xludf.DUMMYFUNCTION("""COMPUTED_VALUE"""),37236.645833333336)</f>
        <v>37236.64583</v>
      </c>
      <c r="B487" s="1">
        <f>IFERROR(__xludf.DUMMYFUNCTION("""COMPUTED_VALUE"""),215.95)</f>
        <v>215.95</v>
      </c>
      <c r="C487" s="1">
        <f>IFERROR(__xludf.DUMMYFUNCTION("""COMPUTED_VALUE"""),217.8)</f>
        <v>217.8</v>
      </c>
      <c r="D487" s="1">
        <f>IFERROR(__xludf.DUMMYFUNCTION("""COMPUTED_VALUE"""),213.5)</f>
        <v>213.5</v>
      </c>
      <c r="E487" s="1">
        <f>IFERROR(__xludf.DUMMYFUNCTION("""COMPUTED_VALUE"""),216.95)</f>
        <v>216.95</v>
      </c>
      <c r="F487" s="1">
        <f>IFERROR(__xludf.DUMMYFUNCTION("""COMPUTED_VALUE"""),518987.0)</f>
        <v>518987</v>
      </c>
    </row>
    <row r="488">
      <c r="A488" s="2">
        <f>IFERROR(__xludf.DUMMYFUNCTION("""COMPUTED_VALUE"""),37237.645833333336)</f>
        <v>37237.64583</v>
      </c>
      <c r="B488" s="1">
        <f>IFERROR(__xludf.DUMMYFUNCTION("""COMPUTED_VALUE"""),216.9)</f>
        <v>216.9</v>
      </c>
      <c r="C488" s="1">
        <f>IFERROR(__xludf.DUMMYFUNCTION("""COMPUTED_VALUE"""),217.5)</f>
        <v>217.5</v>
      </c>
      <c r="D488" s="1">
        <f>IFERROR(__xludf.DUMMYFUNCTION("""COMPUTED_VALUE"""),214.75)</f>
        <v>214.75</v>
      </c>
      <c r="E488" s="1">
        <f>IFERROR(__xludf.DUMMYFUNCTION("""COMPUTED_VALUE"""),215.05)</f>
        <v>215.05</v>
      </c>
      <c r="F488" s="1">
        <f>IFERROR(__xludf.DUMMYFUNCTION("""COMPUTED_VALUE"""),531830.0)</f>
        <v>531830</v>
      </c>
    </row>
    <row r="489">
      <c r="A489" s="2">
        <f>IFERROR(__xludf.DUMMYFUNCTION("""COMPUTED_VALUE"""),37238.645833333336)</f>
        <v>37238.64583</v>
      </c>
      <c r="B489" s="1">
        <f>IFERROR(__xludf.DUMMYFUNCTION("""COMPUTED_VALUE"""),216.45)</f>
        <v>216.45</v>
      </c>
      <c r="C489" s="1">
        <f>IFERROR(__xludf.DUMMYFUNCTION("""COMPUTED_VALUE"""),219.0)</f>
        <v>219</v>
      </c>
      <c r="D489" s="1">
        <f>IFERROR(__xludf.DUMMYFUNCTION("""COMPUTED_VALUE"""),213.6)</f>
        <v>213.6</v>
      </c>
      <c r="E489" s="1">
        <f>IFERROR(__xludf.DUMMYFUNCTION("""COMPUTED_VALUE"""),216.95)</f>
        <v>216.95</v>
      </c>
      <c r="F489" s="1">
        <f>IFERROR(__xludf.DUMMYFUNCTION("""COMPUTED_VALUE"""),1426021.0)</f>
        <v>1426021</v>
      </c>
    </row>
    <row r="490">
      <c r="A490" s="2">
        <f>IFERROR(__xludf.DUMMYFUNCTION("""COMPUTED_VALUE"""),37239.645833333336)</f>
        <v>37239.64583</v>
      </c>
      <c r="B490" s="1">
        <f>IFERROR(__xludf.DUMMYFUNCTION("""COMPUTED_VALUE"""),217.55)</f>
        <v>217.55</v>
      </c>
      <c r="C490" s="1">
        <f>IFERROR(__xludf.DUMMYFUNCTION("""COMPUTED_VALUE"""),218.5)</f>
        <v>218.5</v>
      </c>
      <c r="D490" s="1">
        <f>IFERROR(__xludf.DUMMYFUNCTION("""COMPUTED_VALUE"""),215.9)</f>
        <v>215.9</v>
      </c>
      <c r="E490" s="1">
        <f>IFERROR(__xludf.DUMMYFUNCTION("""COMPUTED_VALUE"""),216.9)</f>
        <v>216.9</v>
      </c>
      <c r="F490" s="1">
        <f>IFERROR(__xludf.DUMMYFUNCTION("""COMPUTED_VALUE"""),776997.0)</f>
        <v>776997</v>
      </c>
    </row>
    <row r="491">
      <c r="A491" s="2">
        <f>IFERROR(__xludf.DUMMYFUNCTION("""COMPUTED_VALUE"""),37243.645833333336)</f>
        <v>37243.64583</v>
      </c>
      <c r="B491" s="1">
        <f>IFERROR(__xludf.DUMMYFUNCTION("""COMPUTED_VALUE"""),218.9)</f>
        <v>218.9</v>
      </c>
      <c r="C491" s="1">
        <f>IFERROR(__xludf.DUMMYFUNCTION("""COMPUTED_VALUE"""),218.9)</f>
        <v>218.9</v>
      </c>
      <c r="D491" s="1">
        <f>IFERROR(__xludf.DUMMYFUNCTION("""COMPUTED_VALUE"""),215.0)</f>
        <v>215</v>
      </c>
      <c r="E491" s="1">
        <f>IFERROR(__xludf.DUMMYFUNCTION("""COMPUTED_VALUE"""),217.25)</f>
        <v>217.25</v>
      </c>
      <c r="F491" s="1">
        <f>IFERROR(__xludf.DUMMYFUNCTION("""COMPUTED_VALUE"""),524842.0)</f>
        <v>524842</v>
      </c>
    </row>
    <row r="492">
      <c r="A492" s="2">
        <f>IFERROR(__xludf.DUMMYFUNCTION("""COMPUTED_VALUE"""),37244.645833333336)</f>
        <v>37244.64583</v>
      </c>
      <c r="B492" s="1">
        <f>IFERROR(__xludf.DUMMYFUNCTION("""COMPUTED_VALUE"""),216.25)</f>
        <v>216.25</v>
      </c>
      <c r="C492" s="1">
        <f>IFERROR(__xludf.DUMMYFUNCTION("""COMPUTED_VALUE"""),217.0)</f>
        <v>217</v>
      </c>
      <c r="D492" s="1">
        <f>IFERROR(__xludf.DUMMYFUNCTION("""COMPUTED_VALUE"""),213.55)</f>
        <v>213.55</v>
      </c>
      <c r="E492" s="1">
        <f>IFERROR(__xludf.DUMMYFUNCTION("""COMPUTED_VALUE"""),216.3)</f>
        <v>216.3</v>
      </c>
      <c r="F492" s="1">
        <f>IFERROR(__xludf.DUMMYFUNCTION("""COMPUTED_VALUE"""),861737.0)</f>
        <v>861737</v>
      </c>
    </row>
    <row r="493">
      <c r="A493" s="2">
        <f>IFERROR(__xludf.DUMMYFUNCTION("""COMPUTED_VALUE"""),37245.645833333336)</f>
        <v>37245.64583</v>
      </c>
      <c r="B493" s="1">
        <f>IFERROR(__xludf.DUMMYFUNCTION("""COMPUTED_VALUE"""),213.5)</f>
        <v>213.5</v>
      </c>
      <c r="C493" s="1">
        <f>IFERROR(__xludf.DUMMYFUNCTION("""COMPUTED_VALUE"""),218.0)</f>
        <v>218</v>
      </c>
      <c r="D493" s="1">
        <f>IFERROR(__xludf.DUMMYFUNCTION("""COMPUTED_VALUE"""),213.5)</f>
        <v>213.5</v>
      </c>
      <c r="E493" s="1">
        <f>IFERROR(__xludf.DUMMYFUNCTION("""COMPUTED_VALUE"""),217.2)</f>
        <v>217.2</v>
      </c>
      <c r="F493" s="1">
        <f>IFERROR(__xludf.DUMMYFUNCTION("""COMPUTED_VALUE"""),529670.0)</f>
        <v>529670</v>
      </c>
    </row>
    <row r="494">
      <c r="A494" s="2">
        <f>IFERROR(__xludf.DUMMYFUNCTION("""COMPUTED_VALUE"""),37246.645833333336)</f>
        <v>37246.64583</v>
      </c>
      <c r="B494" s="1">
        <f>IFERROR(__xludf.DUMMYFUNCTION("""COMPUTED_VALUE"""),216.25)</f>
        <v>216.25</v>
      </c>
      <c r="C494" s="1">
        <f>IFERROR(__xludf.DUMMYFUNCTION("""COMPUTED_VALUE"""),219.7)</f>
        <v>219.7</v>
      </c>
      <c r="D494" s="1">
        <f>IFERROR(__xludf.DUMMYFUNCTION("""COMPUTED_VALUE"""),216.25)</f>
        <v>216.25</v>
      </c>
      <c r="E494" s="1">
        <f>IFERROR(__xludf.DUMMYFUNCTION("""COMPUTED_VALUE"""),218.1)</f>
        <v>218.1</v>
      </c>
      <c r="F494" s="1">
        <f>IFERROR(__xludf.DUMMYFUNCTION("""COMPUTED_VALUE"""),1075728.0)</f>
        <v>1075728</v>
      </c>
    </row>
    <row r="495">
      <c r="A495" s="2">
        <f>IFERROR(__xludf.DUMMYFUNCTION("""COMPUTED_VALUE"""),37249.645833333336)</f>
        <v>37249.64583</v>
      </c>
      <c r="B495" s="1">
        <f>IFERROR(__xludf.DUMMYFUNCTION("""COMPUTED_VALUE"""),220.0)</f>
        <v>220</v>
      </c>
      <c r="C495" s="1">
        <f>IFERROR(__xludf.DUMMYFUNCTION("""COMPUTED_VALUE"""),220.0)</f>
        <v>220</v>
      </c>
      <c r="D495" s="1">
        <f>IFERROR(__xludf.DUMMYFUNCTION("""COMPUTED_VALUE"""),216.05)</f>
        <v>216.05</v>
      </c>
      <c r="E495" s="1">
        <f>IFERROR(__xludf.DUMMYFUNCTION("""COMPUTED_VALUE"""),216.25)</f>
        <v>216.25</v>
      </c>
      <c r="F495" s="1">
        <f>IFERROR(__xludf.DUMMYFUNCTION("""COMPUTED_VALUE"""),296912.0)</f>
        <v>296912</v>
      </c>
    </row>
    <row r="496">
      <c r="A496" s="2">
        <f>IFERROR(__xludf.DUMMYFUNCTION("""COMPUTED_VALUE"""),37251.645833333336)</f>
        <v>37251.64583</v>
      </c>
      <c r="B496" s="1">
        <f>IFERROR(__xludf.DUMMYFUNCTION("""COMPUTED_VALUE"""),217.4)</f>
        <v>217.4</v>
      </c>
      <c r="C496" s="1">
        <f>IFERROR(__xludf.DUMMYFUNCTION("""COMPUTED_VALUE"""),217.4)</f>
        <v>217.4</v>
      </c>
      <c r="D496" s="1">
        <f>IFERROR(__xludf.DUMMYFUNCTION("""COMPUTED_VALUE"""),214.25)</f>
        <v>214.25</v>
      </c>
      <c r="E496" s="1">
        <f>IFERROR(__xludf.DUMMYFUNCTION("""COMPUTED_VALUE"""),215.0)</f>
        <v>215</v>
      </c>
      <c r="F496" s="1">
        <f>IFERROR(__xludf.DUMMYFUNCTION("""COMPUTED_VALUE"""),145609.0)</f>
        <v>145609</v>
      </c>
    </row>
    <row r="497">
      <c r="A497" s="2">
        <f>IFERROR(__xludf.DUMMYFUNCTION("""COMPUTED_VALUE"""),37252.645833333336)</f>
        <v>37252.64583</v>
      </c>
      <c r="B497" s="1">
        <f>IFERROR(__xludf.DUMMYFUNCTION("""COMPUTED_VALUE"""),215.0)</f>
        <v>215</v>
      </c>
      <c r="C497" s="1">
        <f>IFERROR(__xludf.DUMMYFUNCTION("""COMPUTED_VALUE"""),218.5)</f>
        <v>218.5</v>
      </c>
      <c r="D497" s="1">
        <f>IFERROR(__xludf.DUMMYFUNCTION("""COMPUTED_VALUE"""),214.5)</f>
        <v>214.5</v>
      </c>
      <c r="E497" s="1">
        <f>IFERROR(__xludf.DUMMYFUNCTION("""COMPUTED_VALUE"""),217.8)</f>
        <v>217.8</v>
      </c>
      <c r="F497" s="1">
        <f>IFERROR(__xludf.DUMMYFUNCTION("""COMPUTED_VALUE"""),752416.0)</f>
        <v>752416</v>
      </c>
    </row>
    <row r="498">
      <c r="A498" s="2">
        <f>IFERROR(__xludf.DUMMYFUNCTION("""COMPUTED_VALUE"""),37253.645833333336)</f>
        <v>37253.64583</v>
      </c>
      <c r="B498" s="1">
        <f>IFERROR(__xludf.DUMMYFUNCTION("""COMPUTED_VALUE"""),218.0)</f>
        <v>218</v>
      </c>
      <c r="C498" s="1">
        <f>IFERROR(__xludf.DUMMYFUNCTION("""COMPUTED_VALUE"""),219.9)</f>
        <v>219.9</v>
      </c>
      <c r="D498" s="1">
        <f>IFERROR(__xludf.DUMMYFUNCTION("""COMPUTED_VALUE"""),216.55)</f>
        <v>216.55</v>
      </c>
      <c r="E498" s="1">
        <f>IFERROR(__xludf.DUMMYFUNCTION("""COMPUTED_VALUE"""),218.7)</f>
        <v>218.7</v>
      </c>
      <c r="F498" s="1">
        <f>IFERROR(__xludf.DUMMYFUNCTION("""COMPUTED_VALUE"""),945226.0)</f>
        <v>945226</v>
      </c>
    </row>
    <row r="499">
      <c r="A499" s="2">
        <f>IFERROR(__xludf.DUMMYFUNCTION("""COMPUTED_VALUE"""),37256.645833333336)</f>
        <v>37256.64583</v>
      </c>
      <c r="B499" s="1">
        <f>IFERROR(__xludf.DUMMYFUNCTION("""COMPUTED_VALUE"""),218.0)</f>
        <v>218</v>
      </c>
      <c r="C499" s="1">
        <f>IFERROR(__xludf.DUMMYFUNCTION("""COMPUTED_VALUE"""),225.0)</f>
        <v>225</v>
      </c>
      <c r="D499" s="1">
        <f>IFERROR(__xludf.DUMMYFUNCTION("""COMPUTED_VALUE"""),218.0)</f>
        <v>218</v>
      </c>
      <c r="E499" s="1">
        <f>IFERROR(__xludf.DUMMYFUNCTION("""COMPUTED_VALUE"""),222.95)</f>
        <v>222.95</v>
      </c>
      <c r="F499" s="1">
        <f>IFERROR(__xludf.DUMMYFUNCTION("""COMPUTED_VALUE"""),1506785.0)</f>
        <v>1506785</v>
      </c>
    </row>
    <row r="500">
      <c r="A500" s="2">
        <f>IFERROR(__xludf.DUMMYFUNCTION("""COMPUTED_VALUE"""),37257.645833333336)</f>
        <v>37257.64583</v>
      </c>
      <c r="B500" s="1">
        <f>IFERROR(__xludf.DUMMYFUNCTION("""COMPUTED_VALUE"""),220.0)</f>
        <v>220</v>
      </c>
      <c r="C500" s="1">
        <f>IFERROR(__xludf.DUMMYFUNCTION("""COMPUTED_VALUE"""),222.9)</f>
        <v>222.9</v>
      </c>
      <c r="D500" s="1">
        <f>IFERROR(__xludf.DUMMYFUNCTION("""COMPUTED_VALUE"""),219.7)</f>
        <v>219.7</v>
      </c>
      <c r="E500" s="1">
        <f>IFERROR(__xludf.DUMMYFUNCTION("""COMPUTED_VALUE"""),220.75)</f>
        <v>220.75</v>
      </c>
      <c r="F500" s="1">
        <f>IFERROR(__xludf.DUMMYFUNCTION("""COMPUTED_VALUE"""),320963.0)</f>
        <v>320963</v>
      </c>
    </row>
    <row r="501">
      <c r="A501" s="2">
        <f>IFERROR(__xludf.DUMMYFUNCTION("""COMPUTED_VALUE"""),37258.645833333336)</f>
        <v>37258.64583</v>
      </c>
      <c r="B501" s="1">
        <f>IFERROR(__xludf.DUMMYFUNCTION("""COMPUTED_VALUE"""),219.5)</f>
        <v>219.5</v>
      </c>
      <c r="C501" s="1">
        <f>IFERROR(__xludf.DUMMYFUNCTION("""COMPUTED_VALUE"""),223.9)</f>
        <v>223.9</v>
      </c>
      <c r="D501" s="1">
        <f>IFERROR(__xludf.DUMMYFUNCTION("""COMPUTED_VALUE"""),218.95)</f>
        <v>218.95</v>
      </c>
      <c r="E501" s="1">
        <f>IFERROR(__xludf.DUMMYFUNCTION("""COMPUTED_VALUE"""),222.45)</f>
        <v>222.45</v>
      </c>
      <c r="F501" s="1">
        <f>IFERROR(__xludf.DUMMYFUNCTION("""COMPUTED_VALUE"""),538953.0)</f>
        <v>538953</v>
      </c>
    </row>
    <row r="502">
      <c r="A502" s="2">
        <f>IFERROR(__xludf.DUMMYFUNCTION("""COMPUTED_VALUE"""),37259.645833333336)</f>
        <v>37259.64583</v>
      </c>
      <c r="B502" s="1">
        <f>IFERROR(__xludf.DUMMYFUNCTION("""COMPUTED_VALUE"""),222.0)</f>
        <v>222</v>
      </c>
      <c r="C502" s="1">
        <f>IFERROR(__xludf.DUMMYFUNCTION("""COMPUTED_VALUE"""),222.75)</f>
        <v>222.75</v>
      </c>
      <c r="D502" s="1">
        <f>IFERROR(__xludf.DUMMYFUNCTION("""COMPUTED_VALUE"""),218.7)</f>
        <v>218.7</v>
      </c>
      <c r="E502" s="1">
        <f>IFERROR(__xludf.DUMMYFUNCTION("""COMPUTED_VALUE"""),220.15)</f>
        <v>220.15</v>
      </c>
      <c r="F502" s="1">
        <f>IFERROR(__xludf.DUMMYFUNCTION("""COMPUTED_VALUE"""),645340.0)</f>
        <v>645340</v>
      </c>
    </row>
    <row r="503">
      <c r="A503" s="2">
        <f>IFERROR(__xludf.DUMMYFUNCTION("""COMPUTED_VALUE"""),37260.645833333336)</f>
        <v>37260.64583</v>
      </c>
      <c r="B503" s="1">
        <f>IFERROR(__xludf.DUMMYFUNCTION("""COMPUTED_VALUE"""),221.95)</f>
        <v>221.95</v>
      </c>
      <c r="C503" s="1">
        <f>IFERROR(__xludf.DUMMYFUNCTION("""COMPUTED_VALUE"""),224.7)</f>
        <v>224.7</v>
      </c>
      <c r="D503" s="1">
        <f>IFERROR(__xludf.DUMMYFUNCTION("""COMPUTED_VALUE"""),220.8)</f>
        <v>220.8</v>
      </c>
      <c r="E503" s="1">
        <f>IFERROR(__xludf.DUMMYFUNCTION("""COMPUTED_VALUE"""),222.95)</f>
        <v>222.95</v>
      </c>
      <c r="F503" s="1">
        <f>IFERROR(__xludf.DUMMYFUNCTION("""COMPUTED_VALUE"""),491327.0)</f>
        <v>491327</v>
      </c>
    </row>
    <row r="504">
      <c r="A504" s="2">
        <f>IFERROR(__xludf.DUMMYFUNCTION("""COMPUTED_VALUE"""),37263.645833333336)</f>
        <v>37263.64583</v>
      </c>
      <c r="B504" s="1">
        <f>IFERROR(__xludf.DUMMYFUNCTION("""COMPUTED_VALUE"""),223.0)</f>
        <v>223</v>
      </c>
      <c r="C504" s="1">
        <f>IFERROR(__xludf.DUMMYFUNCTION("""COMPUTED_VALUE"""),224.85)</f>
        <v>224.85</v>
      </c>
      <c r="D504" s="1">
        <f>IFERROR(__xludf.DUMMYFUNCTION("""COMPUTED_VALUE"""),216.05)</f>
        <v>216.05</v>
      </c>
      <c r="E504" s="1">
        <f>IFERROR(__xludf.DUMMYFUNCTION("""COMPUTED_VALUE"""),217.65)</f>
        <v>217.65</v>
      </c>
      <c r="F504" s="1">
        <f>IFERROR(__xludf.DUMMYFUNCTION("""COMPUTED_VALUE"""),461020.0)</f>
        <v>461020</v>
      </c>
    </row>
    <row r="505">
      <c r="A505" s="2">
        <f>IFERROR(__xludf.DUMMYFUNCTION("""COMPUTED_VALUE"""),37264.645833333336)</f>
        <v>37264.64583</v>
      </c>
      <c r="B505" s="1">
        <f>IFERROR(__xludf.DUMMYFUNCTION("""COMPUTED_VALUE"""),218.5)</f>
        <v>218.5</v>
      </c>
      <c r="C505" s="1">
        <f>IFERROR(__xludf.DUMMYFUNCTION("""COMPUTED_VALUE"""),220.9)</f>
        <v>220.9</v>
      </c>
      <c r="D505" s="1">
        <f>IFERROR(__xludf.DUMMYFUNCTION("""COMPUTED_VALUE"""),216.0)</f>
        <v>216</v>
      </c>
      <c r="E505" s="1">
        <f>IFERROR(__xludf.DUMMYFUNCTION("""COMPUTED_VALUE"""),220.15)</f>
        <v>220.15</v>
      </c>
      <c r="F505" s="1">
        <f>IFERROR(__xludf.DUMMYFUNCTION("""COMPUTED_VALUE"""),340485.0)</f>
        <v>340485</v>
      </c>
    </row>
    <row r="506">
      <c r="A506" s="2">
        <f>IFERROR(__xludf.DUMMYFUNCTION("""COMPUTED_VALUE"""),37265.645833333336)</f>
        <v>37265.64583</v>
      </c>
      <c r="B506" s="1">
        <f>IFERROR(__xludf.DUMMYFUNCTION("""COMPUTED_VALUE"""),219.5)</f>
        <v>219.5</v>
      </c>
      <c r="C506" s="1">
        <f>IFERROR(__xludf.DUMMYFUNCTION("""COMPUTED_VALUE"""),220.5)</f>
        <v>220.5</v>
      </c>
      <c r="D506" s="1">
        <f>IFERROR(__xludf.DUMMYFUNCTION("""COMPUTED_VALUE"""),214.8)</f>
        <v>214.8</v>
      </c>
      <c r="E506" s="1">
        <f>IFERROR(__xludf.DUMMYFUNCTION("""COMPUTED_VALUE"""),215.15)</f>
        <v>215.15</v>
      </c>
      <c r="F506" s="1">
        <f>IFERROR(__xludf.DUMMYFUNCTION("""COMPUTED_VALUE"""),447720.0)</f>
        <v>447720</v>
      </c>
    </row>
    <row r="507">
      <c r="A507" s="2">
        <f>IFERROR(__xludf.DUMMYFUNCTION("""COMPUTED_VALUE"""),37266.645833333336)</f>
        <v>37266.64583</v>
      </c>
      <c r="B507" s="1">
        <f>IFERROR(__xludf.DUMMYFUNCTION("""COMPUTED_VALUE"""),216.0)</f>
        <v>216</v>
      </c>
      <c r="C507" s="1">
        <f>IFERROR(__xludf.DUMMYFUNCTION("""COMPUTED_VALUE"""),216.0)</f>
        <v>216</v>
      </c>
      <c r="D507" s="1">
        <f>IFERROR(__xludf.DUMMYFUNCTION("""COMPUTED_VALUE"""),213.1)</f>
        <v>213.1</v>
      </c>
      <c r="E507" s="1">
        <f>IFERROR(__xludf.DUMMYFUNCTION("""COMPUTED_VALUE"""),214.75)</f>
        <v>214.75</v>
      </c>
      <c r="F507" s="1">
        <f>IFERROR(__xludf.DUMMYFUNCTION("""COMPUTED_VALUE"""),485409.0)</f>
        <v>485409</v>
      </c>
    </row>
    <row r="508">
      <c r="A508" s="2">
        <f>IFERROR(__xludf.DUMMYFUNCTION("""COMPUTED_VALUE"""),37267.645833333336)</f>
        <v>37267.64583</v>
      </c>
      <c r="B508" s="1">
        <f>IFERROR(__xludf.DUMMYFUNCTION("""COMPUTED_VALUE"""),213.5)</f>
        <v>213.5</v>
      </c>
      <c r="C508" s="1">
        <f>IFERROR(__xludf.DUMMYFUNCTION("""COMPUTED_VALUE"""),217.9)</f>
        <v>217.9</v>
      </c>
      <c r="D508" s="1">
        <f>IFERROR(__xludf.DUMMYFUNCTION("""COMPUTED_VALUE"""),212.1)</f>
        <v>212.1</v>
      </c>
      <c r="E508" s="1">
        <f>IFERROR(__xludf.DUMMYFUNCTION("""COMPUTED_VALUE"""),215.1)</f>
        <v>215.1</v>
      </c>
      <c r="F508" s="1">
        <f>IFERROR(__xludf.DUMMYFUNCTION("""COMPUTED_VALUE"""),757137.0)</f>
        <v>757137</v>
      </c>
    </row>
    <row r="509">
      <c r="A509" s="2">
        <f>IFERROR(__xludf.DUMMYFUNCTION("""COMPUTED_VALUE"""),37270.645833333336)</f>
        <v>37270.64583</v>
      </c>
      <c r="B509" s="1">
        <f>IFERROR(__xludf.DUMMYFUNCTION("""COMPUTED_VALUE"""),218.9)</f>
        <v>218.9</v>
      </c>
      <c r="C509" s="1">
        <f>IFERROR(__xludf.DUMMYFUNCTION("""COMPUTED_VALUE"""),218.9)</f>
        <v>218.9</v>
      </c>
      <c r="D509" s="1">
        <f>IFERROR(__xludf.DUMMYFUNCTION("""COMPUTED_VALUE"""),214.6)</f>
        <v>214.6</v>
      </c>
      <c r="E509" s="1">
        <f>IFERROR(__xludf.DUMMYFUNCTION("""COMPUTED_VALUE"""),214.9)</f>
        <v>214.9</v>
      </c>
      <c r="F509" s="1">
        <f>IFERROR(__xludf.DUMMYFUNCTION("""COMPUTED_VALUE"""),186883.0)</f>
        <v>186883</v>
      </c>
    </row>
    <row r="510">
      <c r="A510" s="2">
        <f>IFERROR(__xludf.DUMMYFUNCTION("""COMPUTED_VALUE"""),37271.645833333336)</f>
        <v>37271.64583</v>
      </c>
      <c r="B510" s="1">
        <f>IFERROR(__xludf.DUMMYFUNCTION("""COMPUTED_VALUE"""),215.0)</f>
        <v>215</v>
      </c>
      <c r="C510" s="1">
        <f>IFERROR(__xludf.DUMMYFUNCTION("""COMPUTED_VALUE"""),216.5)</f>
        <v>216.5</v>
      </c>
      <c r="D510" s="1">
        <f>IFERROR(__xludf.DUMMYFUNCTION("""COMPUTED_VALUE"""),210.65)</f>
        <v>210.65</v>
      </c>
      <c r="E510" s="1">
        <f>IFERROR(__xludf.DUMMYFUNCTION("""COMPUTED_VALUE"""),211.45)</f>
        <v>211.45</v>
      </c>
      <c r="F510" s="1">
        <f>IFERROR(__xludf.DUMMYFUNCTION("""COMPUTED_VALUE"""),1462275.0)</f>
        <v>1462275</v>
      </c>
    </row>
    <row r="511">
      <c r="A511" s="2">
        <f>IFERROR(__xludf.DUMMYFUNCTION("""COMPUTED_VALUE"""),37272.645833333336)</f>
        <v>37272.64583</v>
      </c>
      <c r="B511" s="1">
        <f>IFERROR(__xludf.DUMMYFUNCTION("""COMPUTED_VALUE"""),212.0)</f>
        <v>212</v>
      </c>
      <c r="C511" s="1">
        <f>IFERROR(__xludf.DUMMYFUNCTION("""COMPUTED_VALUE"""),213.5)</f>
        <v>213.5</v>
      </c>
      <c r="D511" s="1">
        <f>IFERROR(__xludf.DUMMYFUNCTION("""COMPUTED_VALUE"""),210.0)</f>
        <v>210</v>
      </c>
      <c r="E511" s="1">
        <f>IFERROR(__xludf.DUMMYFUNCTION("""COMPUTED_VALUE"""),210.1)</f>
        <v>210.1</v>
      </c>
      <c r="F511" s="1">
        <f>IFERROR(__xludf.DUMMYFUNCTION("""COMPUTED_VALUE"""),889657.0)</f>
        <v>889657</v>
      </c>
    </row>
    <row r="512">
      <c r="A512" s="2">
        <f>IFERROR(__xludf.DUMMYFUNCTION("""COMPUTED_VALUE"""),37273.645833333336)</f>
        <v>37273.64583</v>
      </c>
      <c r="B512" s="1">
        <f>IFERROR(__xludf.DUMMYFUNCTION("""COMPUTED_VALUE"""),211.5)</f>
        <v>211.5</v>
      </c>
      <c r="C512" s="1">
        <f>IFERROR(__xludf.DUMMYFUNCTION("""COMPUTED_VALUE"""),214.0)</f>
        <v>214</v>
      </c>
      <c r="D512" s="1">
        <f>IFERROR(__xludf.DUMMYFUNCTION("""COMPUTED_VALUE"""),210.0)</f>
        <v>210</v>
      </c>
      <c r="E512" s="1">
        <f>IFERROR(__xludf.DUMMYFUNCTION("""COMPUTED_VALUE"""),211.45)</f>
        <v>211.45</v>
      </c>
      <c r="F512" s="1">
        <f>IFERROR(__xludf.DUMMYFUNCTION("""COMPUTED_VALUE"""),687959.0)</f>
        <v>687959</v>
      </c>
    </row>
    <row r="513">
      <c r="A513" s="2">
        <f>IFERROR(__xludf.DUMMYFUNCTION("""COMPUTED_VALUE"""),37274.645833333336)</f>
        <v>37274.64583</v>
      </c>
      <c r="B513" s="1">
        <f>IFERROR(__xludf.DUMMYFUNCTION("""COMPUTED_VALUE"""),214.5)</f>
        <v>214.5</v>
      </c>
      <c r="C513" s="1">
        <f>IFERROR(__xludf.DUMMYFUNCTION("""COMPUTED_VALUE"""),214.5)</f>
        <v>214.5</v>
      </c>
      <c r="D513" s="1">
        <f>IFERROR(__xludf.DUMMYFUNCTION("""COMPUTED_VALUE"""),211.6)</f>
        <v>211.6</v>
      </c>
      <c r="E513" s="1">
        <f>IFERROR(__xludf.DUMMYFUNCTION("""COMPUTED_VALUE"""),213.6)</f>
        <v>213.6</v>
      </c>
      <c r="F513" s="1">
        <f>IFERROR(__xludf.DUMMYFUNCTION("""COMPUTED_VALUE"""),615244.0)</f>
        <v>615244</v>
      </c>
    </row>
    <row r="514">
      <c r="A514" s="2">
        <f>IFERROR(__xludf.DUMMYFUNCTION("""COMPUTED_VALUE"""),37277.645833333336)</f>
        <v>37277.64583</v>
      </c>
      <c r="B514" s="1">
        <f>IFERROR(__xludf.DUMMYFUNCTION("""COMPUTED_VALUE"""),213.05)</f>
        <v>213.05</v>
      </c>
      <c r="C514" s="1">
        <f>IFERROR(__xludf.DUMMYFUNCTION("""COMPUTED_VALUE"""),214.0)</f>
        <v>214</v>
      </c>
      <c r="D514" s="1">
        <f>IFERROR(__xludf.DUMMYFUNCTION("""COMPUTED_VALUE"""),212.4)</f>
        <v>212.4</v>
      </c>
      <c r="E514" s="1">
        <f>IFERROR(__xludf.DUMMYFUNCTION("""COMPUTED_VALUE"""),212.7)</f>
        <v>212.7</v>
      </c>
      <c r="F514" s="1">
        <f>IFERROR(__xludf.DUMMYFUNCTION("""COMPUTED_VALUE"""),322789.0)</f>
        <v>322789</v>
      </c>
    </row>
    <row r="515">
      <c r="A515" s="2">
        <f>IFERROR(__xludf.DUMMYFUNCTION("""COMPUTED_VALUE"""),37278.645833333336)</f>
        <v>37278.64583</v>
      </c>
      <c r="B515" s="1">
        <f>IFERROR(__xludf.DUMMYFUNCTION("""COMPUTED_VALUE"""),213.0)</f>
        <v>213</v>
      </c>
      <c r="C515" s="1">
        <f>IFERROR(__xludf.DUMMYFUNCTION("""COMPUTED_VALUE"""),216.0)</f>
        <v>216</v>
      </c>
      <c r="D515" s="1">
        <f>IFERROR(__xludf.DUMMYFUNCTION("""COMPUTED_VALUE"""),210.3)</f>
        <v>210.3</v>
      </c>
      <c r="E515" s="1">
        <f>IFERROR(__xludf.DUMMYFUNCTION("""COMPUTED_VALUE"""),211.25)</f>
        <v>211.25</v>
      </c>
      <c r="F515" s="1">
        <f>IFERROR(__xludf.DUMMYFUNCTION("""COMPUTED_VALUE"""),978494.0)</f>
        <v>978494</v>
      </c>
    </row>
    <row r="516">
      <c r="A516" s="2">
        <f>IFERROR(__xludf.DUMMYFUNCTION("""COMPUTED_VALUE"""),37279.645833333336)</f>
        <v>37279.64583</v>
      </c>
      <c r="B516" s="1">
        <f>IFERROR(__xludf.DUMMYFUNCTION("""COMPUTED_VALUE"""),211.25)</f>
        <v>211.25</v>
      </c>
      <c r="C516" s="1">
        <f>IFERROR(__xludf.DUMMYFUNCTION("""COMPUTED_VALUE"""),216.5)</f>
        <v>216.5</v>
      </c>
      <c r="D516" s="1">
        <f>IFERROR(__xludf.DUMMYFUNCTION("""COMPUTED_VALUE"""),211.25)</f>
        <v>211.25</v>
      </c>
      <c r="E516" s="1">
        <f>IFERROR(__xludf.DUMMYFUNCTION("""COMPUTED_VALUE"""),215.6)</f>
        <v>215.6</v>
      </c>
      <c r="F516" s="1">
        <f>IFERROR(__xludf.DUMMYFUNCTION("""COMPUTED_VALUE"""),1042598.0)</f>
        <v>1042598</v>
      </c>
    </row>
    <row r="517">
      <c r="A517" s="2">
        <f>IFERROR(__xludf.DUMMYFUNCTION("""COMPUTED_VALUE"""),37280.645833333336)</f>
        <v>37280.64583</v>
      </c>
      <c r="B517" s="1">
        <f>IFERROR(__xludf.DUMMYFUNCTION("""COMPUTED_VALUE"""),216.4)</f>
        <v>216.4</v>
      </c>
      <c r="C517" s="1">
        <f>IFERROR(__xludf.DUMMYFUNCTION("""COMPUTED_VALUE"""),220.8)</f>
        <v>220.8</v>
      </c>
      <c r="D517" s="1">
        <f>IFERROR(__xludf.DUMMYFUNCTION("""COMPUTED_VALUE"""),216.25)</f>
        <v>216.25</v>
      </c>
      <c r="E517" s="1">
        <f>IFERROR(__xludf.DUMMYFUNCTION("""COMPUTED_VALUE"""),220.05)</f>
        <v>220.05</v>
      </c>
      <c r="F517" s="1">
        <f>IFERROR(__xludf.DUMMYFUNCTION("""COMPUTED_VALUE"""),1206687.0)</f>
        <v>1206687</v>
      </c>
    </row>
    <row r="518">
      <c r="A518" s="2">
        <f>IFERROR(__xludf.DUMMYFUNCTION("""COMPUTED_VALUE"""),37281.645833333336)</f>
        <v>37281.64583</v>
      </c>
      <c r="B518" s="1">
        <f>IFERROR(__xludf.DUMMYFUNCTION("""COMPUTED_VALUE"""),223.3)</f>
        <v>223.3</v>
      </c>
      <c r="C518" s="1">
        <f>IFERROR(__xludf.DUMMYFUNCTION("""COMPUTED_VALUE"""),223.3)</f>
        <v>223.3</v>
      </c>
      <c r="D518" s="1">
        <f>IFERROR(__xludf.DUMMYFUNCTION("""COMPUTED_VALUE"""),218.65)</f>
        <v>218.65</v>
      </c>
      <c r="E518" s="1">
        <f>IFERROR(__xludf.DUMMYFUNCTION("""COMPUTED_VALUE"""),220.3)</f>
        <v>220.3</v>
      </c>
      <c r="F518" s="1">
        <f>IFERROR(__xludf.DUMMYFUNCTION("""COMPUTED_VALUE"""),524729.0)</f>
        <v>524729</v>
      </c>
    </row>
    <row r="519">
      <c r="A519" s="2">
        <f>IFERROR(__xludf.DUMMYFUNCTION("""COMPUTED_VALUE"""),37284.645833333336)</f>
        <v>37284.64583</v>
      </c>
      <c r="B519" s="1">
        <f>IFERROR(__xludf.DUMMYFUNCTION("""COMPUTED_VALUE"""),220.0)</f>
        <v>220</v>
      </c>
      <c r="C519" s="1">
        <f>IFERROR(__xludf.DUMMYFUNCTION("""COMPUTED_VALUE"""),223.95)</f>
        <v>223.95</v>
      </c>
      <c r="D519" s="1">
        <f>IFERROR(__xludf.DUMMYFUNCTION("""COMPUTED_VALUE"""),217.35)</f>
        <v>217.35</v>
      </c>
      <c r="E519" s="1">
        <f>IFERROR(__xludf.DUMMYFUNCTION("""COMPUTED_VALUE"""),219.15)</f>
        <v>219.15</v>
      </c>
      <c r="F519" s="1">
        <f>IFERROR(__xludf.DUMMYFUNCTION("""COMPUTED_VALUE"""),566064.0)</f>
        <v>566064</v>
      </c>
    </row>
    <row r="520">
      <c r="A520" s="2">
        <f>IFERROR(__xludf.DUMMYFUNCTION("""COMPUTED_VALUE"""),37285.645833333336)</f>
        <v>37285.64583</v>
      </c>
      <c r="B520" s="1">
        <f>IFERROR(__xludf.DUMMYFUNCTION("""COMPUTED_VALUE"""),218.2)</f>
        <v>218.2</v>
      </c>
      <c r="C520" s="1">
        <f>IFERROR(__xludf.DUMMYFUNCTION("""COMPUTED_VALUE"""),222.9)</f>
        <v>222.9</v>
      </c>
      <c r="D520" s="1">
        <f>IFERROR(__xludf.DUMMYFUNCTION("""COMPUTED_VALUE"""),218.2)</f>
        <v>218.2</v>
      </c>
      <c r="E520" s="1">
        <f>IFERROR(__xludf.DUMMYFUNCTION("""COMPUTED_VALUE"""),221.6)</f>
        <v>221.6</v>
      </c>
      <c r="F520" s="1">
        <f>IFERROR(__xludf.DUMMYFUNCTION("""COMPUTED_VALUE"""),633382.0)</f>
        <v>633382</v>
      </c>
    </row>
    <row r="521">
      <c r="A521" s="2">
        <f>IFERROR(__xludf.DUMMYFUNCTION("""COMPUTED_VALUE"""),37286.645833333336)</f>
        <v>37286.64583</v>
      </c>
      <c r="B521" s="1">
        <f>IFERROR(__xludf.DUMMYFUNCTION("""COMPUTED_VALUE"""),223.0)</f>
        <v>223</v>
      </c>
      <c r="C521" s="1">
        <f>IFERROR(__xludf.DUMMYFUNCTION("""COMPUTED_VALUE"""),224.0)</f>
        <v>224</v>
      </c>
      <c r="D521" s="1">
        <f>IFERROR(__xludf.DUMMYFUNCTION("""COMPUTED_VALUE"""),220.05)</f>
        <v>220.05</v>
      </c>
      <c r="E521" s="1">
        <f>IFERROR(__xludf.DUMMYFUNCTION("""COMPUTED_VALUE"""),221.3)</f>
        <v>221.3</v>
      </c>
      <c r="F521" s="1">
        <f>IFERROR(__xludf.DUMMYFUNCTION("""COMPUTED_VALUE"""),908193.0)</f>
        <v>908193</v>
      </c>
    </row>
    <row r="522">
      <c r="A522" s="2">
        <f>IFERROR(__xludf.DUMMYFUNCTION("""COMPUTED_VALUE"""),37287.645833333336)</f>
        <v>37287.64583</v>
      </c>
      <c r="B522" s="1">
        <f>IFERROR(__xludf.DUMMYFUNCTION("""COMPUTED_VALUE"""),219.0)</f>
        <v>219</v>
      </c>
      <c r="C522" s="1">
        <f>IFERROR(__xludf.DUMMYFUNCTION("""COMPUTED_VALUE"""),222.0)</f>
        <v>222</v>
      </c>
      <c r="D522" s="1">
        <f>IFERROR(__xludf.DUMMYFUNCTION("""COMPUTED_VALUE"""),215.0)</f>
        <v>215</v>
      </c>
      <c r="E522" s="1">
        <f>IFERROR(__xludf.DUMMYFUNCTION("""COMPUTED_VALUE"""),220.5)</f>
        <v>220.5</v>
      </c>
      <c r="F522" s="1">
        <f>IFERROR(__xludf.DUMMYFUNCTION("""COMPUTED_VALUE"""),750061.0)</f>
        <v>750061</v>
      </c>
    </row>
    <row r="523">
      <c r="A523" s="2">
        <f>IFERROR(__xludf.DUMMYFUNCTION("""COMPUTED_VALUE"""),37288.645833333336)</f>
        <v>37288.64583</v>
      </c>
      <c r="B523" s="1">
        <f>IFERROR(__xludf.DUMMYFUNCTION("""COMPUTED_VALUE"""),221.0)</f>
        <v>221</v>
      </c>
      <c r="C523" s="1">
        <f>IFERROR(__xludf.DUMMYFUNCTION("""COMPUTED_VALUE"""),221.1)</f>
        <v>221.1</v>
      </c>
      <c r="D523" s="1">
        <f>IFERROR(__xludf.DUMMYFUNCTION("""COMPUTED_VALUE"""),217.9)</f>
        <v>217.9</v>
      </c>
      <c r="E523" s="1">
        <f>IFERROR(__xludf.DUMMYFUNCTION("""COMPUTED_VALUE"""),219.2)</f>
        <v>219.2</v>
      </c>
      <c r="F523" s="1">
        <f>IFERROR(__xludf.DUMMYFUNCTION("""COMPUTED_VALUE"""),669746.0)</f>
        <v>669746</v>
      </c>
    </row>
    <row r="524">
      <c r="A524" s="2">
        <f>IFERROR(__xludf.DUMMYFUNCTION("""COMPUTED_VALUE"""),37291.645833333336)</f>
        <v>37291.64583</v>
      </c>
      <c r="B524" s="1">
        <f>IFERROR(__xludf.DUMMYFUNCTION("""COMPUTED_VALUE"""),221.4)</f>
        <v>221.4</v>
      </c>
      <c r="C524" s="1">
        <f>IFERROR(__xludf.DUMMYFUNCTION("""COMPUTED_VALUE"""),221.95)</f>
        <v>221.95</v>
      </c>
      <c r="D524" s="1">
        <f>IFERROR(__xludf.DUMMYFUNCTION("""COMPUTED_VALUE"""),217.7)</f>
        <v>217.7</v>
      </c>
      <c r="E524" s="1">
        <f>IFERROR(__xludf.DUMMYFUNCTION("""COMPUTED_VALUE"""),218.75)</f>
        <v>218.75</v>
      </c>
      <c r="F524" s="1">
        <f>IFERROR(__xludf.DUMMYFUNCTION("""COMPUTED_VALUE"""),398108.0)</f>
        <v>398108</v>
      </c>
    </row>
    <row r="525">
      <c r="A525" s="2">
        <f>IFERROR(__xludf.DUMMYFUNCTION("""COMPUTED_VALUE"""),37292.645833333336)</f>
        <v>37292.64583</v>
      </c>
      <c r="B525" s="1">
        <f>IFERROR(__xludf.DUMMYFUNCTION("""COMPUTED_VALUE"""),218.6)</f>
        <v>218.6</v>
      </c>
      <c r="C525" s="1">
        <f>IFERROR(__xludf.DUMMYFUNCTION("""COMPUTED_VALUE"""),219.25)</f>
        <v>219.25</v>
      </c>
      <c r="D525" s="1">
        <f>IFERROR(__xludf.DUMMYFUNCTION("""COMPUTED_VALUE"""),215.75)</f>
        <v>215.75</v>
      </c>
      <c r="E525" s="1">
        <f>IFERROR(__xludf.DUMMYFUNCTION("""COMPUTED_VALUE"""),217.15)</f>
        <v>217.15</v>
      </c>
      <c r="F525" s="1">
        <f>IFERROR(__xludf.DUMMYFUNCTION("""COMPUTED_VALUE"""),336439.0)</f>
        <v>336439</v>
      </c>
    </row>
    <row r="526">
      <c r="A526" s="2">
        <f>IFERROR(__xludf.DUMMYFUNCTION("""COMPUTED_VALUE"""),37293.645833333336)</f>
        <v>37293.64583</v>
      </c>
      <c r="B526" s="1">
        <f>IFERROR(__xludf.DUMMYFUNCTION("""COMPUTED_VALUE"""),217.9)</f>
        <v>217.9</v>
      </c>
      <c r="C526" s="1">
        <f>IFERROR(__xludf.DUMMYFUNCTION("""COMPUTED_VALUE"""),222.45)</f>
        <v>222.45</v>
      </c>
      <c r="D526" s="1">
        <f>IFERROR(__xludf.DUMMYFUNCTION("""COMPUTED_VALUE"""),217.05)</f>
        <v>217.05</v>
      </c>
      <c r="E526" s="1">
        <f>IFERROR(__xludf.DUMMYFUNCTION("""COMPUTED_VALUE"""),222.05)</f>
        <v>222.05</v>
      </c>
      <c r="F526" s="1">
        <f>IFERROR(__xludf.DUMMYFUNCTION("""COMPUTED_VALUE"""),627291.0)</f>
        <v>627291</v>
      </c>
    </row>
    <row r="527">
      <c r="A527" s="2">
        <f>IFERROR(__xludf.DUMMYFUNCTION("""COMPUTED_VALUE"""),37294.645833333336)</f>
        <v>37294.64583</v>
      </c>
      <c r="B527" s="1">
        <f>IFERROR(__xludf.DUMMYFUNCTION("""COMPUTED_VALUE"""),222.45)</f>
        <v>222.45</v>
      </c>
      <c r="C527" s="1">
        <f>IFERROR(__xludf.DUMMYFUNCTION("""COMPUTED_VALUE"""),226.2)</f>
        <v>226.2</v>
      </c>
      <c r="D527" s="1">
        <f>IFERROR(__xludf.DUMMYFUNCTION("""COMPUTED_VALUE"""),221.5)</f>
        <v>221.5</v>
      </c>
      <c r="E527" s="1">
        <f>IFERROR(__xludf.DUMMYFUNCTION("""COMPUTED_VALUE"""),224.25)</f>
        <v>224.25</v>
      </c>
      <c r="F527" s="1">
        <f>IFERROR(__xludf.DUMMYFUNCTION("""COMPUTED_VALUE"""),1102393.0)</f>
        <v>1102393</v>
      </c>
    </row>
    <row r="528">
      <c r="A528" s="2">
        <f>IFERROR(__xludf.DUMMYFUNCTION("""COMPUTED_VALUE"""),37295.645833333336)</f>
        <v>37295.64583</v>
      </c>
      <c r="B528" s="1">
        <f>IFERROR(__xludf.DUMMYFUNCTION("""COMPUTED_VALUE"""),224.9)</f>
        <v>224.9</v>
      </c>
      <c r="C528" s="1">
        <f>IFERROR(__xludf.DUMMYFUNCTION("""COMPUTED_VALUE"""),233.0)</f>
        <v>233</v>
      </c>
      <c r="D528" s="1">
        <f>IFERROR(__xludf.DUMMYFUNCTION("""COMPUTED_VALUE"""),224.9)</f>
        <v>224.9</v>
      </c>
      <c r="E528" s="1">
        <f>IFERROR(__xludf.DUMMYFUNCTION("""COMPUTED_VALUE"""),230.35)</f>
        <v>230.35</v>
      </c>
      <c r="F528" s="1">
        <f>IFERROR(__xludf.DUMMYFUNCTION("""COMPUTED_VALUE"""),2051260.0)</f>
        <v>2051260</v>
      </c>
    </row>
    <row r="529">
      <c r="A529" s="2">
        <f>IFERROR(__xludf.DUMMYFUNCTION("""COMPUTED_VALUE"""),37298.645833333336)</f>
        <v>37298.64583</v>
      </c>
      <c r="B529" s="1">
        <f>IFERROR(__xludf.DUMMYFUNCTION("""COMPUTED_VALUE"""),233.4)</f>
        <v>233.4</v>
      </c>
      <c r="C529" s="1">
        <f>IFERROR(__xludf.DUMMYFUNCTION("""COMPUTED_VALUE"""),240.35)</f>
        <v>240.35</v>
      </c>
      <c r="D529" s="1">
        <f>IFERROR(__xludf.DUMMYFUNCTION("""COMPUTED_VALUE"""),233.25)</f>
        <v>233.25</v>
      </c>
      <c r="E529" s="1">
        <f>IFERROR(__xludf.DUMMYFUNCTION("""COMPUTED_VALUE"""),239.1)</f>
        <v>239.1</v>
      </c>
      <c r="F529" s="1">
        <f>IFERROR(__xludf.DUMMYFUNCTION("""COMPUTED_VALUE"""),1784987.0)</f>
        <v>1784987</v>
      </c>
    </row>
    <row r="530">
      <c r="A530" s="2">
        <f>IFERROR(__xludf.DUMMYFUNCTION("""COMPUTED_VALUE"""),37299.645833333336)</f>
        <v>37299.64583</v>
      </c>
      <c r="B530" s="1">
        <f>IFERROR(__xludf.DUMMYFUNCTION("""COMPUTED_VALUE"""),239.0)</f>
        <v>239</v>
      </c>
      <c r="C530" s="1">
        <f>IFERROR(__xludf.DUMMYFUNCTION("""COMPUTED_VALUE"""),239.5)</f>
        <v>239.5</v>
      </c>
      <c r="D530" s="1">
        <f>IFERROR(__xludf.DUMMYFUNCTION("""COMPUTED_VALUE"""),229.3)</f>
        <v>229.3</v>
      </c>
      <c r="E530" s="1">
        <f>IFERROR(__xludf.DUMMYFUNCTION("""COMPUTED_VALUE"""),231.45)</f>
        <v>231.45</v>
      </c>
      <c r="F530" s="1">
        <f>IFERROR(__xludf.DUMMYFUNCTION("""COMPUTED_VALUE"""),617578.0)</f>
        <v>617578</v>
      </c>
    </row>
    <row r="531">
      <c r="A531" s="2">
        <f>IFERROR(__xludf.DUMMYFUNCTION("""COMPUTED_VALUE"""),37300.645833333336)</f>
        <v>37300.64583</v>
      </c>
      <c r="B531" s="1">
        <f>IFERROR(__xludf.DUMMYFUNCTION("""COMPUTED_VALUE"""),234.0)</f>
        <v>234</v>
      </c>
      <c r="C531" s="1">
        <f>IFERROR(__xludf.DUMMYFUNCTION("""COMPUTED_VALUE"""),234.95)</f>
        <v>234.95</v>
      </c>
      <c r="D531" s="1">
        <f>IFERROR(__xludf.DUMMYFUNCTION("""COMPUTED_VALUE"""),230.65)</f>
        <v>230.65</v>
      </c>
      <c r="E531" s="1">
        <f>IFERROR(__xludf.DUMMYFUNCTION("""COMPUTED_VALUE"""),233.4)</f>
        <v>233.4</v>
      </c>
      <c r="F531" s="1">
        <f>IFERROR(__xludf.DUMMYFUNCTION("""COMPUTED_VALUE"""),649306.0)</f>
        <v>649306</v>
      </c>
    </row>
    <row r="532">
      <c r="A532" s="2">
        <f>IFERROR(__xludf.DUMMYFUNCTION("""COMPUTED_VALUE"""),37301.645833333336)</f>
        <v>37301.64583</v>
      </c>
      <c r="B532" s="1">
        <f>IFERROR(__xludf.DUMMYFUNCTION("""COMPUTED_VALUE"""),230.1)</f>
        <v>230.1</v>
      </c>
      <c r="C532" s="1">
        <f>IFERROR(__xludf.DUMMYFUNCTION("""COMPUTED_VALUE"""),237.85)</f>
        <v>237.85</v>
      </c>
      <c r="D532" s="1">
        <f>IFERROR(__xludf.DUMMYFUNCTION("""COMPUTED_VALUE"""),230.1)</f>
        <v>230.1</v>
      </c>
      <c r="E532" s="1">
        <f>IFERROR(__xludf.DUMMYFUNCTION("""COMPUTED_VALUE"""),231.05)</f>
        <v>231.05</v>
      </c>
      <c r="F532" s="1">
        <f>IFERROR(__xludf.DUMMYFUNCTION("""COMPUTED_VALUE"""),273859.0)</f>
        <v>273859</v>
      </c>
    </row>
    <row r="533">
      <c r="A533" s="2">
        <f>IFERROR(__xludf.DUMMYFUNCTION("""COMPUTED_VALUE"""),37302.645833333336)</f>
        <v>37302.64583</v>
      </c>
      <c r="B533" s="1">
        <f>IFERROR(__xludf.DUMMYFUNCTION("""COMPUTED_VALUE"""),232.0)</f>
        <v>232</v>
      </c>
      <c r="C533" s="1">
        <f>IFERROR(__xludf.DUMMYFUNCTION("""COMPUTED_VALUE"""),236.4)</f>
        <v>236.4</v>
      </c>
      <c r="D533" s="1">
        <f>IFERROR(__xludf.DUMMYFUNCTION("""COMPUTED_VALUE"""),230.4)</f>
        <v>230.4</v>
      </c>
      <c r="E533" s="1">
        <f>IFERROR(__xludf.DUMMYFUNCTION("""COMPUTED_VALUE"""),234.6)</f>
        <v>234.6</v>
      </c>
      <c r="F533" s="1">
        <f>IFERROR(__xludf.DUMMYFUNCTION("""COMPUTED_VALUE"""),618046.0)</f>
        <v>618046</v>
      </c>
    </row>
    <row r="534">
      <c r="A534" s="2">
        <f>IFERROR(__xludf.DUMMYFUNCTION("""COMPUTED_VALUE"""),37305.645833333336)</f>
        <v>37305.64583</v>
      </c>
      <c r="B534" s="1">
        <f>IFERROR(__xludf.DUMMYFUNCTION("""COMPUTED_VALUE"""),235.7)</f>
        <v>235.7</v>
      </c>
      <c r="C534" s="1">
        <f>IFERROR(__xludf.DUMMYFUNCTION("""COMPUTED_VALUE"""),246.0)</f>
        <v>246</v>
      </c>
      <c r="D534" s="1">
        <f>IFERROR(__xludf.DUMMYFUNCTION("""COMPUTED_VALUE"""),233.0)</f>
        <v>233</v>
      </c>
      <c r="E534" s="1">
        <f>IFERROR(__xludf.DUMMYFUNCTION("""COMPUTED_VALUE"""),242.9)</f>
        <v>242.9</v>
      </c>
      <c r="F534" s="1">
        <f>IFERROR(__xludf.DUMMYFUNCTION("""COMPUTED_VALUE"""),1352675.0)</f>
        <v>1352675</v>
      </c>
    </row>
    <row r="535">
      <c r="A535" s="2">
        <f>IFERROR(__xludf.DUMMYFUNCTION("""COMPUTED_VALUE"""),37306.645833333336)</f>
        <v>37306.64583</v>
      </c>
      <c r="B535" s="1">
        <f>IFERROR(__xludf.DUMMYFUNCTION("""COMPUTED_VALUE"""),242.4)</f>
        <v>242.4</v>
      </c>
      <c r="C535" s="1">
        <f>IFERROR(__xludf.DUMMYFUNCTION("""COMPUTED_VALUE"""),243.95)</f>
        <v>243.95</v>
      </c>
      <c r="D535" s="1">
        <f>IFERROR(__xludf.DUMMYFUNCTION("""COMPUTED_VALUE"""),239.05)</f>
        <v>239.05</v>
      </c>
      <c r="E535" s="1">
        <f>IFERROR(__xludf.DUMMYFUNCTION("""COMPUTED_VALUE"""),240.9)</f>
        <v>240.9</v>
      </c>
      <c r="F535" s="1">
        <f>IFERROR(__xludf.DUMMYFUNCTION("""COMPUTED_VALUE"""),922084.0)</f>
        <v>922084</v>
      </c>
    </row>
    <row r="536">
      <c r="A536" s="2">
        <f>IFERROR(__xludf.DUMMYFUNCTION("""COMPUTED_VALUE"""),37307.645833333336)</f>
        <v>37307.64583</v>
      </c>
      <c r="B536" s="1">
        <f>IFERROR(__xludf.DUMMYFUNCTION("""COMPUTED_VALUE"""),220.0)</f>
        <v>220</v>
      </c>
      <c r="C536" s="1">
        <f>IFERROR(__xludf.DUMMYFUNCTION("""COMPUTED_VALUE"""),241.0)</f>
        <v>241</v>
      </c>
      <c r="D536" s="1">
        <f>IFERROR(__xludf.DUMMYFUNCTION("""COMPUTED_VALUE"""),220.0)</f>
        <v>220</v>
      </c>
      <c r="E536" s="1">
        <f>IFERROR(__xludf.DUMMYFUNCTION("""COMPUTED_VALUE"""),240.1)</f>
        <v>240.1</v>
      </c>
      <c r="F536" s="1">
        <f>IFERROR(__xludf.DUMMYFUNCTION("""COMPUTED_VALUE"""),772090.0)</f>
        <v>772090</v>
      </c>
    </row>
    <row r="537">
      <c r="A537" s="2">
        <f>IFERROR(__xludf.DUMMYFUNCTION("""COMPUTED_VALUE"""),37308.645833333336)</f>
        <v>37308.64583</v>
      </c>
      <c r="B537" s="1">
        <f>IFERROR(__xludf.DUMMYFUNCTION("""COMPUTED_VALUE"""),238.55)</f>
        <v>238.55</v>
      </c>
      <c r="C537" s="1">
        <f>IFERROR(__xludf.DUMMYFUNCTION("""COMPUTED_VALUE"""),242.0)</f>
        <v>242</v>
      </c>
      <c r="D537" s="1">
        <f>IFERROR(__xludf.DUMMYFUNCTION("""COMPUTED_VALUE"""),238.0)</f>
        <v>238</v>
      </c>
      <c r="E537" s="1">
        <f>IFERROR(__xludf.DUMMYFUNCTION("""COMPUTED_VALUE"""),240.75)</f>
        <v>240.75</v>
      </c>
      <c r="F537" s="1">
        <f>IFERROR(__xludf.DUMMYFUNCTION("""COMPUTED_VALUE"""),888888.0)</f>
        <v>888888</v>
      </c>
    </row>
    <row r="538">
      <c r="A538" s="2">
        <f>IFERROR(__xludf.DUMMYFUNCTION("""COMPUTED_VALUE"""),37309.645833333336)</f>
        <v>37309.64583</v>
      </c>
      <c r="B538" s="1">
        <f>IFERROR(__xludf.DUMMYFUNCTION("""COMPUTED_VALUE"""),240.0)</f>
        <v>240</v>
      </c>
      <c r="C538" s="1">
        <f>IFERROR(__xludf.DUMMYFUNCTION("""COMPUTED_VALUE"""),241.5)</f>
        <v>241.5</v>
      </c>
      <c r="D538" s="1">
        <f>IFERROR(__xludf.DUMMYFUNCTION("""COMPUTED_VALUE"""),238.0)</f>
        <v>238</v>
      </c>
      <c r="E538" s="1">
        <f>IFERROR(__xludf.DUMMYFUNCTION("""COMPUTED_VALUE"""),240.8)</f>
        <v>240.8</v>
      </c>
      <c r="F538" s="1">
        <f>IFERROR(__xludf.DUMMYFUNCTION("""COMPUTED_VALUE"""),702255.0)</f>
        <v>702255</v>
      </c>
    </row>
    <row r="539">
      <c r="A539" s="2">
        <f>IFERROR(__xludf.DUMMYFUNCTION("""COMPUTED_VALUE"""),37312.645833333336)</f>
        <v>37312.64583</v>
      </c>
      <c r="B539" s="1">
        <f>IFERROR(__xludf.DUMMYFUNCTION("""COMPUTED_VALUE"""),237.0)</f>
        <v>237</v>
      </c>
      <c r="C539" s="1">
        <f>IFERROR(__xludf.DUMMYFUNCTION("""COMPUTED_VALUE"""),239.95)</f>
        <v>239.95</v>
      </c>
      <c r="D539" s="1">
        <f>IFERROR(__xludf.DUMMYFUNCTION("""COMPUTED_VALUE"""),236.2)</f>
        <v>236.2</v>
      </c>
      <c r="E539" s="1">
        <f>IFERROR(__xludf.DUMMYFUNCTION("""COMPUTED_VALUE"""),238.85)</f>
        <v>238.85</v>
      </c>
      <c r="F539" s="1">
        <f>IFERROR(__xludf.DUMMYFUNCTION("""COMPUTED_VALUE"""),527423.0)</f>
        <v>527423</v>
      </c>
    </row>
    <row r="540">
      <c r="A540" s="2">
        <f>IFERROR(__xludf.DUMMYFUNCTION("""COMPUTED_VALUE"""),37313.645833333336)</f>
        <v>37313.64583</v>
      </c>
      <c r="B540" s="1">
        <f>IFERROR(__xludf.DUMMYFUNCTION("""COMPUTED_VALUE"""),238.75)</f>
        <v>238.75</v>
      </c>
      <c r="C540" s="1">
        <f>IFERROR(__xludf.DUMMYFUNCTION("""COMPUTED_VALUE"""),241.4)</f>
        <v>241.4</v>
      </c>
      <c r="D540" s="1">
        <f>IFERROR(__xludf.DUMMYFUNCTION("""COMPUTED_VALUE"""),238.0)</f>
        <v>238</v>
      </c>
      <c r="E540" s="1">
        <f>IFERROR(__xludf.DUMMYFUNCTION("""COMPUTED_VALUE"""),240.9)</f>
        <v>240.9</v>
      </c>
      <c r="F540" s="1">
        <f>IFERROR(__xludf.DUMMYFUNCTION("""COMPUTED_VALUE"""),1153669.0)</f>
        <v>1153669</v>
      </c>
    </row>
    <row r="541">
      <c r="A541" s="2">
        <f>IFERROR(__xludf.DUMMYFUNCTION("""COMPUTED_VALUE"""),37314.645833333336)</f>
        <v>37314.64583</v>
      </c>
      <c r="B541" s="1">
        <f>IFERROR(__xludf.DUMMYFUNCTION("""COMPUTED_VALUE"""),242.0)</f>
        <v>242</v>
      </c>
      <c r="C541" s="1">
        <f>IFERROR(__xludf.DUMMYFUNCTION("""COMPUTED_VALUE"""),249.0)</f>
        <v>249</v>
      </c>
      <c r="D541" s="1">
        <f>IFERROR(__xludf.DUMMYFUNCTION("""COMPUTED_VALUE"""),242.0)</f>
        <v>242</v>
      </c>
      <c r="E541" s="1">
        <f>IFERROR(__xludf.DUMMYFUNCTION("""COMPUTED_VALUE"""),246.5)</f>
        <v>246.5</v>
      </c>
      <c r="F541" s="1">
        <f>IFERROR(__xludf.DUMMYFUNCTION("""COMPUTED_VALUE"""),2000136.0)</f>
        <v>2000136</v>
      </c>
    </row>
    <row r="542">
      <c r="A542" s="2">
        <f>IFERROR(__xludf.DUMMYFUNCTION("""COMPUTED_VALUE"""),37315.645833333336)</f>
        <v>37315.64583</v>
      </c>
      <c r="B542" s="1">
        <f>IFERROR(__xludf.DUMMYFUNCTION("""COMPUTED_VALUE"""),248.0)</f>
        <v>248</v>
      </c>
      <c r="C542" s="1">
        <f>IFERROR(__xludf.DUMMYFUNCTION("""COMPUTED_VALUE"""),252.0)</f>
        <v>252</v>
      </c>
      <c r="D542" s="1">
        <f>IFERROR(__xludf.DUMMYFUNCTION("""COMPUTED_VALUE"""),240.1)</f>
        <v>240.1</v>
      </c>
      <c r="E542" s="1">
        <f>IFERROR(__xludf.DUMMYFUNCTION("""COMPUTED_VALUE"""),248.5)</f>
        <v>248.5</v>
      </c>
      <c r="F542" s="1">
        <f>IFERROR(__xludf.DUMMYFUNCTION("""COMPUTED_VALUE"""),2040648.0)</f>
        <v>2040648</v>
      </c>
    </row>
    <row r="543">
      <c r="A543" s="2">
        <f>IFERROR(__xludf.DUMMYFUNCTION("""COMPUTED_VALUE"""),37316.645833333336)</f>
        <v>37316.64583</v>
      </c>
      <c r="B543" s="1">
        <f>IFERROR(__xludf.DUMMYFUNCTION("""COMPUTED_VALUE"""),254.0)</f>
        <v>254</v>
      </c>
      <c r="C543" s="1">
        <f>IFERROR(__xludf.DUMMYFUNCTION("""COMPUTED_VALUE"""),266.0)</f>
        <v>266</v>
      </c>
      <c r="D543" s="1">
        <f>IFERROR(__xludf.DUMMYFUNCTION("""COMPUTED_VALUE"""),248.0)</f>
        <v>248</v>
      </c>
      <c r="E543" s="1">
        <f>IFERROR(__xludf.DUMMYFUNCTION("""COMPUTED_VALUE"""),262.7)</f>
        <v>262.7</v>
      </c>
      <c r="F543" s="1">
        <f>IFERROR(__xludf.DUMMYFUNCTION("""COMPUTED_VALUE"""),2353448.0)</f>
        <v>2353448</v>
      </c>
    </row>
    <row r="544">
      <c r="A544" s="2">
        <f>IFERROR(__xludf.DUMMYFUNCTION("""COMPUTED_VALUE"""),37319.645833333336)</f>
        <v>37319.64583</v>
      </c>
      <c r="B544" s="1">
        <f>IFERROR(__xludf.DUMMYFUNCTION("""COMPUTED_VALUE"""),257.95)</f>
        <v>257.95</v>
      </c>
      <c r="C544" s="1">
        <f>IFERROR(__xludf.DUMMYFUNCTION("""COMPUTED_VALUE"""),264.0)</f>
        <v>264</v>
      </c>
      <c r="D544" s="1">
        <f>IFERROR(__xludf.DUMMYFUNCTION("""COMPUTED_VALUE"""),247.6)</f>
        <v>247.6</v>
      </c>
      <c r="E544" s="1">
        <f>IFERROR(__xludf.DUMMYFUNCTION("""COMPUTED_VALUE"""),249.65)</f>
        <v>249.65</v>
      </c>
      <c r="F544" s="1">
        <f>IFERROR(__xludf.DUMMYFUNCTION("""COMPUTED_VALUE"""),921743.0)</f>
        <v>921743</v>
      </c>
    </row>
    <row r="545">
      <c r="A545" s="2">
        <f>IFERROR(__xludf.DUMMYFUNCTION("""COMPUTED_VALUE"""),37320.645833333336)</f>
        <v>37320.64583</v>
      </c>
      <c r="B545" s="1">
        <f>IFERROR(__xludf.DUMMYFUNCTION("""COMPUTED_VALUE"""),252.0)</f>
        <v>252</v>
      </c>
      <c r="C545" s="1">
        <f>IFERROR(__xludf.DUMMYFUNCTION("""COMPUTED_VALUE"""),253.0)</f>
        <v>253</v>
      </c>
      <c r="D545" s="1">
        <f>IFERROR(__xludf.DUMMYFUNCTION("""COMPUTED_VALUE"""),246.75)</f>
        <v>246.75</v>
      </c>
      <c r="E545" s="1">
        <f>IFERROR(__xludf.DUMMYFUNCTION("""COMPUTED_VALUE"""),247.7)</f>
        <v>247.7</v>
      </c>
      <c r="F545" s="1">
        <f>IFERROR(__xludf.DUMMYFUNCTION("""COMPUTED_VALUE"""),676428.0)</f>
        <v>676428</v>
      </c>
    </row>
    <row r="546">
      <c r="A546" s="2">
        <f>IFERROR(__xludf.DUMMYFUNCTION("""COMPUTED_VALUE"""),37321.645833333336)</f>
        <v>37321.64583</v>
      </c>
      <c r="B546" s="1">
        <f>IFERROR(__xludf.DUMMYFUNCTION("""COMPUTED_VALUE"""),247.75)</f>
        <v>247.75</v>
      </c>
      <c r="C546" s="1">
        <f>IFERROR(__xludf.DUMMYFUNCTION("""COMPUTED_VALUE"""),249.5)</f>
        <v>249.5</v>
      </c>
      <c r="D546" s="1">
        <f>IFERROR(__xludf.DUMMYFUNCTION("""COMPUTED_VALUE"""),242.0)</f>
        <v>242</v>
      </c>
      <c r="E546" s="1">
        <f>IFERROR(__xludf.DUMMYFUNCTION("""COMPUTED_VALUE"""),246.1)</f>
        <v>246.1</v>
      </c>
      <c r="F546" s="1">
        <f>IFERROR(__xludf.DUMMYFUNCTION("""COMPUTED_VALUE"""),578944.0)</f>
        <v>578944</v>
      </c>
    </row>
    <row r="547">
      <c r="A547" s="2">
        <f>IFERROR(__xludf.DUMMYFUNCTION("""COMPUTED_VALUE"""),37322.645833333336)</f>
        <v>37322.64583</v>
      </c>
      <c r="B547" s="1">
        <f>IFERROR(__xludf.DUMMYFUNCTION("""COMPUTED_VALUE"""),247.5)</f>
        <v>247.5</v>
      </c>
      <c r="C547" s="1">
        <f>IFERROR(__xludf.DUMMYFUNCTION("""COMPUTED_VALUE"""),254.65)</f>
        <v>254.65</v>
      </c>
      <c r="D547" s="1">
        <f>IFERROR(__xludf.DUMMYFUNCTION("""COMPUTED_VALUE"""),247.5)</f>
        <v>247.5</v>
      </c>
      <c r="E547" s="1">
        <f>IFERROR(__xludf.DUMMYFUNCTION("""COMPUTED_VALUE"""),251.2)</f>
        <v>251.2</v>
      </c>
      <c r="F547" s="1">
        <f>IFERROR(__xludf.DUMMYFUNCTION("""COMPUTED_VALUE"""),1022589.0)</f>
        <v>1022589</v>
      </c>
    </row>
    <row r="548">
      <c r="A548" s="2">
        <f>IFERROR(__xludf.DUMMYFUNCTION("""COMPUTED_VALUE"""),37323.645833333336)</f>
        <v>37323.64583</v>
      </c>
      <c r="B548" s="1">
        <f>IFERROR(__xludf.DUMMYFUNCTION("""COMPUTED_VALUE"""),252.8)</f>
        <v>252.8</v>
      </c>
      <c r="C548" s="1">
        <f>IFERROR(__xludf.DUMMYFUNCTION("""COMPUTED_VALUE"""),252.9)</f>
        <v>252.9</v>
      </c>
      <c r="D548" s="1">
        <f>IFERROR(__xludf.DUMMYFUNCTION("""COMPUTED_VALUE"""),245.0)</f>
        <v>245</v>
      </c>
      <c r="E548" s="1">
        <f>IFERROR(__xludf.DUMMYFUNCTION("""COMPUTED_VALUE"""),246.5)</f>
        <v>246.5</v>
      </c>
      <c r="F548" s="1">
        <f>IFERROR(__xludf.DUMMYFUNCTION("""COMPUTED_VALUE"""),455955.0)</f>
        <v>455955</v>
      </c>
    </row>
    <row r="549">
      <c r="A549" s="2">
        <f>IFERROR(__xludf.DUMMYFUNCTION("""COMPUTED_VALUE"""),37326.645833333336)</f>
        <v>37326.64583</v>
      </c>
      <c r="B549" s="1">
        <f>IFERROR(__xludf.DUMMYFUNCTION("""COMPUTED_VALUE"""),247.0)</f>
        <v>247</v>
      </c>
      <c r="C549" s="1">
        <f>IFERROR(__xludf.DUMMYFUNCTION("""COMPUTED_VALUE"""),249.1)</f>
        <v>249.1</v>
      </c>
      <c r="D549" s="1">
        <f>IFERROR(__xludf.DUMMYFUNCTION("""COMPUTED_VALUE"""),239.0)</f>
        <v>239</v>
      </c>
      <c r="E549" s="1">
        <f>IFERROR(__xludf.DUMMYFUNCTION("""COMPUTED_VALUE"""),239.4)</f>
        <v>239.4</v>
      </c>
      <c r="F549" s="1">
        <f>IFERROR(__xludf.DUMMYFUNCTION("""COMPUTED_VALUE"""),654505.0)</f>
        <v>654505</v>
      </c>
    </row>
    <row r="550">
      <c r="A550" s="2">
        <f>IFERROR(__xludf.DUMMYFUNCTION("""COMPUTED_VALUE"""),37327.645833333336)</f>
        <v>37327.64583</v>
      </c>
      <c r="B550" s="1">
        <f>IFERROR(__xludf.DUMMYFUNCTION("""COMPUTED_VALUE"""),240.1)</f>
        <v>240.1</v>
      </c>
      <c r="C550" s="1">
        <f>IFERROR(__xludf.DUMMYFUNCTION("""COMPUTED_VALUE"""),241.35)</f>
        <v>241.35</v>
      </c>
      <c r="D550" s="1">
        <f>IFERROR(__xludf.DUMMYFUNCTION("""COMPUTED_VALUE"""),230.6)</f>
        <v>230.6</v>
      </c>
      <c r="E550" s="1">
        <f>IFERROR(__xludf.DUMMYFUNCTION("""COMPUTED_VALUE"""),232.2)</f>
        <v>232.2</v>
      </c>
      <c r="F550" s="1">
        <f>IFERROR(__xludf.DUMMYFUNCTION("""COMPUTED_VALUE"""),1036179.0)</f>
        <v>1036179</v>
      </c>
    </row>
    <row r="551">
      <c r="A551" s="2">
        <f>IFERROR(__xludf.DUMMYFUNCTION("""COMPUTED_VALUE"""),37328.645833333336)</f>
        <v>37328.64583</v>
      </c>
      <c r="B551" s="1">
        <f>IFERROR(__xludf.DUMMYFUNCTION("""COMPUTED_VALUE"""),233.0)</f>
        <v>233</v>
      </c>
      <c r="C551" s="1">
        <f>IFERROR(__xludf.DUMMYFUNCTION("""COMPUTED_VALUE"""),240.4)</f>
        <v>240.4</v>
      </c>
      <c r="D551" s="1">
        <f>IFERROR(__xludf.DUMMYFUNCTION("""COMPUTED_VALUE"""),232.0)</f>
        <v>232</v>
      </c>
      <c r="E551" s="1">
        <f>IFERROR(__xludf.DUMMYFUNCTION("""COMPUTED_VALUE"""),238.5)</f>
        <v>238.5</v>
      </c>
      <c r="F551" s="1">
        <f>IFERROR(__xludf.DUMMYFUNCTION("""COMPUTED_VALUE"""),737070.0)</f>
        <v>737070</v>
      </c>
    </row>
    <row r="552">
      <c r="A552" s="2">
        <f>IFERROR(__xludf.DUMMYFUNCTION("""COMPUTED_VALUE"""),37329.645833333336)</f>
        <v>37329.64583</v>
      </c>
      <c r="B552" s="1">
        <f>IFERROR(__xludf.DUMMYFUNCTION("""COMPUTED_VALUE"""),240.0)</f>
        <v>240</v>
      </c>
      <c r="C552" s="1">
        <f>IFERROR(__xludf.DUMMYFUNCTION("""COMPUTED_VALUE"""),241.5)</f>
        <v>241.5</v>
      </c>
      <c r="D552" s="1">
        <f>IFERROR(__xludf.DUMMYFUNCTION("""COMPUTED_VALUE"""),236.0)</f>
        <v>236</v>
      </c>
      <c r="E552" s="1">
        <f>IFERROR(__xludf.DUMMYFUNCTION("""COMPUTED_VALUE"""),238.75)</f>
        <v>238.75</v>
      </c>
      <c r="F552" s="1">
        <f>IFERROR(__xludf.DUMMYFUNCTION("""COMPUTED_VALUE"""),164897.0)</f>
        <v>164897</v>
      </c>
    </row>
    <row r="553">
      <c r="A553" s="2">
        <f>IFERROR(__xludf.DUMMYFUNCTION("""COMPUTED_VALUE"""),37330.645833333336)</f>
        <v>37330.64583</v>
      </c>
      <c r="B553" s="1">
        <f>IFERROR(__xludf.DUMMYFUNCTION("""COMPUTED_VALUE"""),238.15)</f>
        <v>238.15</v>
      </c>
      <c r="C553" s="1">
        <f>IFERROR(__xludf.DUMMYFUNCTION("""COMPUTED_VALUE"""),240.1)</f>
        <v>240.1</v>
      </c>
      <c r="D553" s="1">
        <f>IFERROR(__xludf.DUMMYFUNCTION("""COMPUTED_VALUE"""),236.4)</f>
        <v>236.4</v>
      </c>
      <c r="E553" s="1">
        <f>IFERROR(__xludf.DUMMYFUNCTION("""COMPUTED_VALUE"""),237.4)</f>
        <v>237.4</v>
      </c>
      <c r="F553" s="1">
        <f>IFERROR(__xludf.DUMMYFUNCTION("""COMPUTED_VALUE"""),208447.0)</f>
        <v>208447</v>
      </c>
    </row>
    <row r="554">
      <c r="A554" s="2">
        <f>IFERROR(__xludf.DUMMYFUNCTION("""COMPUTED_VALUE"""),37333.645833333336)</f>
        <v>37333.64583</v>
      </c>
      <c r="B554" s="1">
        <f>IFERROR(__xludf.DUMMYFUNCTION("""COMPUTED_VALUE"""),244.0)</f>
        <v>244</v>
      </c>
      <c r="C554" s="1">
        <f>IFERROR(__xludf.DUMMYFUNCTION("""COMPUTED_VALUE"""),244.0)</f>
        <v>244</v>
      </c>
      <c r="D554" s="1">
        <f>IFERROR(__xludf.DUMMYFUNCTION("""COMPUTED_VALUE"""),237.1)</f>
        <v>237.1</v>
      </c>
      <c r="E554" s="1">
        <f>IFERROR(__xludf.DUMMYFUNCTION("""COMPUTED_VALUE"""),238.4)</f>
        <v>238.4</v>
      </c>
      <c r="F554" s="1">
        <f>IFERROR(__xludf.DUMMYFUNCTION("""COMPUTED_VALUE"""),373902.0)</f>
        <v>373902</v>
      </c>
    </row>
    <row r="555">
      <c r="A555" s="2">
        <f>IFERROR(__xludf.DUMMYFUNCTION("""COMPUTED_VALUE"""),37334.645833333336)</f>
        <v>37334.64583</v>
      </c>
      <c r="B555" s="1">
        <f>IFERROR(__xludf.DUMMYFUNCTION("""COMPUTED_VALUE"""),239.5)</f>
        <v>239.5</v>
      </c>
      <c r="C555" s="1">
        <f>IFERROR(__xludf.DUMMYFUNCTION("""COMPUTED_VALUE"""),239.5)</f>
        <v>239.5</v>
      </c>
      <c r="D555" s="1">
        <f>IFERROR(__xludf.DUMMYFUNCTION("""COMPUTED_VALUE"""),232.0)</f>
        <v>232</v>
      </c>
      <c r="E555" s="1">
        <f>IFERROR(__xludf.DUMMYFUNCTION("""COMPUTED_VALUE"""),232.85)</f>
        <v>232.85</v>
      </c>
      <c r="F555" s="1">
        <f>IFERROR(__xludf.DUMMYFUNCTION("""COMPUTED_VALUE"""),512210.0)</f>
        <v>512210</v>
      </c>
    </row>
    <row r="556">
      <c r="A556" s="2">
        <f>IFERROR(__xludf.DUMMYFUNCTION("""COMPUTED_VALUE"""),37335.645833333336)</f>
        <v>37335.64583</v>
      </c>
      <c r="B556" s="1">
        <f>IFERROR(__xludf.DUMMYFUNCTION("""COMPUTED_VALUE"""),234.5)</f>
        <v>234.5</v>
      </c>
      <c r="C556" s="1">
        <f>IFERROR(__xludf.DUMMYFUNCTION("""COMPUTED_VALUE"""),237.6)</f>
        <v>237.6</v>
      </c>
      <c r="D556" s="1">
        <f>IFERROR(__xludf.DUMMYFUNCTION("""COMPUTED_VALUE"""),232.9)</f>
        <v>232.9</v>
      </c>
      <c r="E556" s="1">
        <f>IFERROR(__xludf.DUMMYFUNCTION("""COMPUTED_VALUE"""),236.3)</f>
        <v>236.3</v>
      </c>
      <c r="F556" s="1">
        <f>IFERROR(__xludf.DUMMYFUNCTION("""COMPUTED_VALUE"""),332089.0)</f>
        <v>332089</v>
      </c>
    </row>
    <row r="557">
      <c r="A557" s="2">
        <f>IFERROR(__xludf.DUMMYFUNCTION("""COMPUTED_VALUE"""),37336.645833333336)</f>
        <v>37336.64583</v>
      </c>
      <c r="B557" s="1">
        <f>IFERROR(__xludf.DUMMYFUNCTION("""COMPUTED_VALUE"""),236.0)</f>
        <v>236</v>
      </c>
      <c r="C557" s="1">
        <f>IFERROR(__xludf.DUMMYFUNCTION("""COMPUTED_VALUE"""),236.9)</f>
        <v>236.9</v>
      </c>
      <c r="D557" s="1">
        <f>IFERROR(__xludf.DUMMYFUNCTION("""COMPUTED_VALUE"""),232.0)</f>
        <v>232</v>
      </c>
      <c r="E557" s="1">
        <f>IFERROR(__xludf.DUMMYFUNCTION("""COMPUTED_VALUE"""),232.85)</f>
        <v>232.85</v>
      </c>
      <c r="F557" s="1">
        <f>IFERROR(__xludf.DUMMYFUNCTION("""COMPUTED_VALUE"""),149978.0)</f>
        <v>149978</v>
      </c>
    </row>
    <row r="558">
      <c r="A558" s="2">
        <f>IFERROR(__xludf.DUMMYFUNCTION("""COMPUTED_VALUE"""),37337.645833333336)</f>
        <v>37337.64583</v>
      </c>
      <c r="B558" s="1">
        <f>IFERROR(__xludf.DUMMYFUNCTION("""COMPUTED_VALUE"""),234.5)</f>
        <v>234.5</v>
      </c>
      <c r="C558" s="1">
        <f>IFERROR(__xludf.DUMMYFUNCTION("""COMPUTED_VALUE"""),234.5)</f>
        <v>234.5</v>
      </c>
      <c r="D558" s="1">
        <f>IFERROR(__xludf.DUMMYFUNCTION("""COMPUTED_VALUE"""),230.5)</f>
        <v>230.5</v>
      </c>
      <c r="E558" s="1">
        <f>IFERROR(__xludf.DUMMYFUNCTION("""COMPUTED_VALUE"""),231.15)</f>
        <v>231.15</v>
      </c>
      <c r="F558" s="1">
        <f>IFERROR(__xludf.DUMMYFUNCTION("""COMPUTED_VALUE"""),297160.0)</f>
        <v>297160</v>
      </c>
    </row>
    <row r="559">
      <c r="A559" s="2">
        <f>IFERROR(__xludf.DUMMYFUNCTION("""COMPUTED_VALUE"""),37341.645833333336)</f>
        <v>37341.64583</v>
      </c>
      <c r="B559" s="1">
        <f>IFERROR(__xludf.DUMMYFUNCTION("""COMPUTED_VALUE"""),233.0)</f>
        <v>233</v>
      </c>
      <c r="C559" s="1">
        <f>IFERROR(__xludf.DUMMYFUNCTION("""COMPUTED_VALUE"""),234.25)</f>
        <v>234.25</v>
      </c>
      <c r="D559" s="1">
        <f>IFERROR(__xludf.DUMMYFUNCTION("""COMPUTED_VALUE"""),229.0)</f>
        <v>229</v>
      </c>
      <c r="E559" s="1">
        <f>IFERROR(__xludf.DUMMYFUNCTION("""COMPUTED_VALUE"""),229.85)</f>
        <v>229.85</v>
      </c>
      <c r="F559" s="1">
        <f>IFERROR(__xludf.DUMMYFUNCTION("""COMPUTED_VALUE"""),342058.0)</f>
        <v>342058</v>
      </c>
    </row>
    <row r="560">
      <c r="A560" s="2">
        <f>IFERROR(__xludf.DUMMYFUNCTION("""COMPUTED_VALUE"""),37342.645833333336)</f>
        <v>37342.64583</v>
      </c>
      <c r="B560" s="1">
        <f>IFERROR(__xludf.DUMMYFUNCTION("""COMPUTED_VALUE"""),230.0)</f>
        <v>230</v>
      </c>
      <c r="C560" s="1">
        <f>IFERROR(__xludf.DUMMYFUNCTION("""COMPUTED_VALUE"""),234.45)</f>
        <v>234.45</v>
      </c>
      <c r="D560" s="1">
        <f>IFERROR(__xludf.DUMMYFUNCTION("""COMPUTED_VALUE"""),226.1)</f>
        <v>226.1</v>
      </c>
      <c r="E560" s="1">
        <f>IFERROR(__xludf.DUMMYFUNCTION("""COMPUTED_VALUE"""),227.6)</f>
        <v>227.6</v>
      </c>
      <c r="F560" s="1">
        <f>IFERROR(__xludf.DUMMYFUNCTION("""COMPUTED_VALUE"""),800576.0)</f>
        <v>800576</v>
      </c>
    </row>
    <row r="561">
      <c r="A561" s="2">
        <f>IFERROR(__xludf.DUMMYFUNCTION("""COMPUTED_VALUE"""),37343.645833333336)</f>
        <v>37343.64583</v>
      </c>
      <c r="B561" s="1">
        <f>IFERROR(__xludf.DUMMYFUNCTION("""COMPUTED_VALUE"""),229.8)</f>
        <v>229.8</v>
      </c>
      <c r="C561" s="1">
        <f>IFERROR(__xludf.DUMMYFUNCTION("""COMPUTED_VALUE"""),230.0)</f>
        <v>230</v>
      </c>
      <c r="D561" s="1">
        <f>IFERROR(__xludf.DUMMYFUNCTION("""COMPUTED_VALUE"""),224.6)</f>
        <v>224.6</v>
      </c>
      <c r="E561" s="1">
        <f>IFERROR(__xludf.DUMMYFUNCTION("""COMPUTED_VALUE"""),225.15)</f>
        <v>225.15</v>
      </c>
      <c r="F561" s="1">
        <f>IFERROR(__xludf.DUMMYFUNCTION("""COMPUTED_VALUE"""),528491.0)</f>
        <v>528491</v>
      </c>
    </row>
    <row r="562">
      <c r="A562" s="2">
        <f>IFERROR(__xludf.DUMMYFUNCTION("""COMPUTED_VALUE"""),37347.645833333336)</f>
        <v>37347.64583</v>
      </c>
      <c r="B562" s="1">
        <f>IFERROR(__xludf.DUMMYFUNCTION("""COMPUTED_VALUE"""),227.25)</f>
        <v>227.25</v>
      </c>
      <c r="C562" s="1">
        <f>IFERROR(__xludf.DUMMYFUNCTION("""COMPUTED_VALUE"""),230.0)</f>
        <v>230</v>
      </c>
      <c r="D562" s="1">
        <f>IFERROR(__xludf.DUMMYFUNCTION("""COMPUTED_VALUE"""),224.3)</f>
        <v>224.3</v>
      </c>
      <c r="E562" s="1">
        <f>IFERROR(__xludf.DUMMYFUNCTION("""COMPUTED_VALUE"""),227.25)</f>
        <v>227.25</v>
      </c>
      <c r="F562" s="1">
        <f>IFERROR(__xludf.DUMMYFUNCTION("""COMPUTED_VALUE"""),395131.0)</f>
        <v>395131</v>
      </c>
    </row>
    <row r="563">
      <c r="A563" s="2">
        <f>IFERROR(__xludf.DUMMYFUNCTION("""COMPUTED_VALUE"""),37348.645833333336)</f>
        <v>37348.64583</v>
      </c>
      <c r="B563" s="1">
        <f>IFERROR(__xludf.DUMMYFUNCTION("""COMPUTED_VALUE"""),227.0)</f>
        <v>227</v>
      </c>
      <c r="C563" s="1">
        <f>IFERROR(__xludf.DUMMYFUNCTION("""COMPUTED_VALUE"""),227.2)</f>
        <v>227.2</v>
      </c>
      <c r="D563" s="1">
        <f>IFERROR(__xludf.DUMMYFUNCTION("""COMPUTED_VALUE"""),221.15)</f>
        <v>221.15</v>
      </c>
      <c r="E563" s="1">
        <f>IFERROR(__xludf.DUMMYFUNCTION("""COMPUTED_VALUE"""),222.45)</f>
        <v>222.45</v>
      </c>
      <c r="F563" s="1">
        <f>IFERROR(__xludf.DUMMYFUNCTION("""COMPUTED_VALUE"""),1162993.0)</f>
        <v>1162993</v>
      </c>
    </row>
    <row r="564">
      <c r="A564" s="2">
        <f>IFERROR(__xludf.DUMMYFUNCTION("""COMPUTED_VALUE"""),37349.645833333336)</f>
        <v>37349.64583</v>
      </c>
      <c r="B564" s="1">
        <f>IFERROR(__xludf.DUMMYFUNCTION("""COMPUTED_VALUE"""),222.0)</f>
        <v>222</v>
      </c>
      <c r="C564" s="1">
        <f>IFERROR(__xludf.DUMMYFUNCTION("""COMPUTED_VALUE"""),223.45)</f>
        <v>223.45</v>
      </c>
      <c r="D564" s="1">
        <f>IFERROR(__xludf.DUMMYFUNCTION("""COMPUTED_VALUE"""),217.1)</f>
        <v>217.1</v>
      </c>
      <c r="E564" s="1">
        <f>IFERROR(__xludf.DUMMYFUNCTION("""COMPUTED_VALUE"""),218.05)</f>
        <v>218.05</v>
      </c>
      <c r="F564" s="1">
        <f>IFERROR(__xludf.DUMMYFUNCTION("""COMPUTED_VALUE"""),1135615.0)</f>
        <v>1135615</v>
      </c>
    </row>
    <row r="565">
      <c r="A565" s="2">
        <f>IFERROR(__xludf.DUMMYFUNCTION("""COMPUTED_VALUE"""),37350.645833333336)</f>
        <v>37350.64583</v>
      </c>
      <c r="B565" s="1">
        <f>IFERROR(__xludf.DUMMYFUNCTION("""COMPUTED_VALUE"""),220.0)</f>
        <v>220</v>
      </c>
      <c r="C565" s="1">
        <f>IFERROR(__xludf.DUMMYFUNCTION("""COMPUTED_VALUE"""),228.6)</f>
        <v>228.6</v>
      </c>
      <c r="D565" s="1">
        <f>IFERROR(__xludf.DUMMYFUNCTION("""COMPUTED_VALUE"""),220.0)</f>
        <v>220</v>
      </c>
      <c r="E565" s="1">
        <f>IFERROR(__xludf.DUMMYFUNCTION("""COMPUTED_VALUE"""),227.7)</f>
        <v>227.7</v>
      </c>
      <c r="F565" s="1">
        <f>IFERROR(__xludf.DUMMYFUNCTION("""COMPUTED_VALUE"""),1614952.0)</f>
        <v>1614952</v>
      </c>
    </row>
    <row r="566">
      <c r="A566" s="2">
        <f>IFERROR(__xludf.DUMMYFUNCTION("""COMPUTED_VALUE"""),37351.645833333336)</f>
        <v>37351.64583</v>
      </c>
      <c r="B566" s="1">
        <f>IFERROR(__xludf.DUMMYFUNCTION("""COMPUTED_VALUE"""),229.9)</f>
        <v>229.9</v>
      </c>
      <c r="C566" s="1">
        <f>IFERROR(__xludf.DUMMYFUNCTION("""COMPUTED_VALUE"""),229.9)</f>
        <v>229.9</v>
      </c>
      <c r="D566" s="1">
        <f>IFERROR(__xludf.DUMMYFUNCTION("""COMPUTED_VALUE"""),226.0)</f>
        <v>226</v>
      </c>
      <c r="E566" s="1">
        <f>IFERROR(__xludf.DUMMYFUNCTION("""COMPUTED_VALUE"""),227.6)</f>
        <v>227.6</v>
      </c>
      <c r="F566" s="1">
        <f>IFERROR(__xludf.DUMMYFUNCTION("""COMPUTED_VALUE"""),640344.0)</f>
        <v>640344</v>
      </c>
    </row>
    <row r="567">
      <c r="A567" s="2">
        <f>IFERROR(__xludf.DUMMYFUNCTION("""COMPUTED_VALUE"""),37354.645833333336)</f>
        <v>37354.64583</v>
      </c>
      <c r="B567" s="1">
        <f>IFERROR(__xludf.DUMMYFUNCTION("""COMPUTED_VALUE"""),226.0)</f>
        <v>226</v>
      </c>
      <c r="C567" s="1">
        <f>IFERROR(__xludf.DUMMYFUNCTION("""COMPUTED_VALUE"""),229.05)</f>
        <v>229.05</v>
      </c>
      <c r="D567" s="1">
        <f>IFERROR(__xludf.DUMMYFUNCTION("""COMPUTED_VALUE"""),225.3)</f>
        <v>225.3</v>
      </c>
      <c r="E567" s="1">
        <f>IFERROR(__xludf.DUMMYFUNCTION("""COMPUTED_VALUE"""),225.75)</f>
        <v>225.75</v>
      </c>
      <c r="F567" s="1">
        <f>IFERROR(__xludf.DUMMYFUNCTION("""COMPUTED_VALUE"""),711634.0)</f>
        <v>711634</v>
      </c>
    </row>
    <row r="568">
      <c r="A568" s="2">
        <f>IFERROR(__xludf.DUMMYFUNCTION("""COMPUTED_VALUE"""),37355.645833333336)</f>
        <v>37355.64583</v>
      </c>
      <c r="B568" s="1">
        <f>IFERROR(__xludf.DUMMYFUNCTION("""COMPUTED_VALUE"""),225.5)</f>
        <v>225.5</v>
      </c>
      <c r="C568" s="1">
        <f>IFERROR(__xludf.DUMMYFUNCTION("""COMPUTED_VALUE"""),228.25)</f>
        <v>228.25</v>
      </c>
      <c r="D568" s="1">
        <f>IFERROR(__xludf.DUMMYFUNCTION("""COMPUTED_VALUE"""),224.9)</f>
        <v>224.9</v>
      </c>
      <c r="E568" s="1">
        <f>IFERROR(__xludf.DUMMYFUNCTION("""COMPUTED_VALUE"""),225.05)</f>
        <v>225.05</v>
      </c>
      <c r="F568" s="1">
        <f>IFERROR(__xludf.DUMMYFUNCTION("""COMPUTED_VALUE"""),837424.0)</f>
        <v>837424</v>
      </c>
    </row>
    <row r="569">
      <c r="A569" s="2">
        <f>IFERROR(__xludf.DUMMYFUNCTION("""COMPUTED_VALUE"""),37356.645833333336)</f>
        <v>37356.64583</v>
      </c>
      <c r="B569" s="1">
        <f>IFERROR(__xludf.DUMMYFUNCTION("""COMPUTED_VALUE"""),224.9)</f>
        <v>224.9</v>
      </c>
      <c r="C569" s="1">
        <f>IFERROR(__xludf.DUMMYFUNCTION("""COMPUTED_VALUE"""),225.05)</f>
        <v>225.05</v>
      </c>
      <c r="D569" s="1">
        <f>IFERROR(__xludf.DUMMYFUNCTION("""COMPUTED_VALUE"""),223.1)</f>
        <v>223.1</v>
      </c>
      <c r="E569" s="1">
        <f>IFERROR(__xludf.DUMMYFUNCTION("""COMPUTED_VALUE"""),224.7)</f>
        <v>224.7</v>
      </c>
      <c r="F569" s="1">
        <f>IFERROR(__xludf.DUMMYFUNCTION("""COMPUTED_VALUE"""),1188957.0)</f>
        <v>1188957</v>
      </c>
    </row>
    <row r="570">
      <c r="A570" s="2">
        <f>IFERROR(__xludf.DUMMYFUNCTION("""COMPUTED_VALUE"""),37357.645833333336)</f>
        <v>37357.64583</v>
      </c>
      <c r="B570" s="1">
        <f>IFERROR(__xludf.DUMMYFUNCTION("""COMPUTED_VALUE"""),224.7)</f>
        <v>224.7</v>
      </c>
      <c r="C570" s="1">
        <f>IFERROR(__xludf.DUMMYFUNCTION("""COMPUTED_VALUE"""),224.7)</f>
        <v>224.7</v>
      </c>
      <c r="D570" s="1">
        <f>IFERROR(__xludf.DUMMYFUNCTION("""COMPUTED_VALUE"""),222.0)</f>
        <v>222</v>
      </c>
      <c r="E570" s="1">
        <f>IFERROR(__xludf.DUMMYFUNCTION("""COMPUTED_VALUE"""),223.1)</f>
        <v>223.1</v>
      </c>
      <c r="F570" s="1">
        <f>IFERROR(__xludf.DUMMYFUNCTION("""COMPUTED_VALUE"""),959649.0)</f>
        <v>959649</v>
      </c>
    </row>
    <row r="571">
      <c r="A571" s="2">
        <f>IFERROR(__xludf.DUMMYFUNCTION("""COMPUTED_VALUE"""),37358.645833333336)</f>
        <v>37358.64583</v>
      </c>
      <c r="B571" s="1">
        <f>IFERROR(__xludf.DUMMYFUNCTION("""COMPUTED_VALUE"""),223.1)</f>
        <v>223.1</v>
      </c>
      <c r="C571" s="1">
        <f>IFERROR(__xludf.DUMMYFUNCTION("""COMPUTED_VALUE"""),225.4)</f>
        <v>225.4</v>
      </c>
      <c r="D571" s="1">
        <f>IFERROR(__xludf.DUMMYFUNCTION("""COMPUTED_VALUE"""),221.55)</f>
        <v>221.55</v>
      </c>
      <c r="E571" s="1">
        <f>IFERROR(__xludf.DUMMYFUNCTION("""COMPUTED_VALUE"""),223.75)</f>
        <v>223.75</v>
      </c>
      <c r="F571" s="1">
        <f>IFERROR(__xludf.DUMMYFUNCTION("""COMPUTED_VALUE"""),723069.0)</f>
        <v>723069</v>
      </c>
    </row>
    <row r="572">
      <c r="A572" s="2">
        <f>IFERROR(__xludf.DUMMYFUNCTION("""COMPUTED_VALUE"""),37361.645833333336)</f>
        <v>37361.64583</v>
      </c>
      <c r="B572" s="1">
        <f>IFERROR(__xludf.DUMMYFUNCTION("""COMPUTED_VALUE"""),225.25)</f>
        <v>225.25</v>
      </c>
      <c r="C572" s="1">
        <f>IFERROR(__xludf.DUMMYFUNCTION("""COMPUTED_VALUE"""),227.95)</f>
        <v>227.95</v>
      </c>
      <c r="D572" s="1">
        <f>IFERROR(__xludf.DUMMYFUNCTION("""COMPUTED_VALUE"""),221.45)</f>
        <v>221.45</v>
      </c>
      <c r="E572" s="1">
        <f>IFERROR(__xludf.DUMMYFUNCTION("""COMPUTED_VALUE"""),223.7)</f>
        <v>223.7</v>
      </c>
      <c r="F572" s="1">
        <f>IFERROR(__xludf.DUMMYFUNCTION("""COMPUTED_VALUE"""),1143943.0)</f>
        <v>1143943</v>
      </c>
    </row>
    <row r="573">
      <c r="A573" s="2">
        <f>IFERROR(__xludf.DUMMYFUNCTION("""COMPUTED_VALUE"""),37362.645833333336)</f>
        <v>37362.64583</v>
      </c>
      <c r="B573" s="1">
        <f>IFERROR(__xludf.DUMMYFUNCTION("""COMPUTED_VALUE"""),219.0)</f>
        <v>219</v>
      </c>
      <c r="C573" s="1">
        <f>IFERROR(__xludf.DUMMYFUNCTION("""COMPUTED_VALUE"""),220.8)</f>
        <v>220.8</v>
      </c>
      <c r="D573" s="1">
        <f>IFERROR(__xludf.DUMMYFUNCTION("""COMPUTED_VALUE"""),210.5)</f>
        <v>210.5</v>
      </c>
      <c r="E573" s="1">
        <f>IFERROR(__xludf.DUMMYFUNCTION("""COMPUTED_VALUE"""),211.4)</f>
        <v>211.4</v>
      </c>
      <c r="F573" s="1">
        <f>IFERROR(__xludf.DUMMYFUNCTION("""COMPUTED_VALUE"""),2997803.0)</f>
        <v>2997803</v>
      </c>
    </row>
    <row r="574">
      <c r="A574" s="2">
        <f>IFERROR(__xludf.DUMMYFUNCTION("""COMPUTED_VALUE"""),37363.645833333336)</f>
        <v>37363.64583</v>
      </c>
      <c r="B574" s="1">
        <f>IFERROR(__xludf.DUMMYFUNCTION("""COMPUTED_VALUE"""),213.25)</f>
        <v>213.25</v>
      </c>
      <c r="C574" s="1">
        <f>IFERROR(__xludf.DUMMYFUNCTION("""COMPUTED_VALUE"""),217.0)</f>
        <v>217</v>
      </c>
      <c r="D574" s="1">
        <f>IFERROR(__xludf.DUMMYFUNCTION("""COMPUTED_VALUE"""),205.65)</f>
        <v>205.65</v>
      </c>
      <c r="E574" s="1">
        <f>IFERROR(__xludf.DUMMYFUNCTION("""COMPUTED_VALUE"""),207.8)</f>
        <v>207.8</v>
      </c>
      <c r="F574" s="1">
        <f>IFERROR(__xludf.DUMMYFUNCTION("""COMPUTED_VALUE"""),1647365.0)</f>
        <v>1647365</v>
      </c>
    </row>
    <row r="575">
      <c r="A575" s="2">
        <f>IFERROR(__xludf.DUMMYFUNCTION("""COMPUTED_VALUE"""),37364.645833333336)</f>
        <v>37364.64583</v>
      </c>
      <c r="B575" s="1">
        <f>IFERROR(__xludf.DUMMYFUNCTION("""COMPUTED_VALUE"""),209.95)</f>
        <v>209.95</v>
      </c>
      <c r="C575" s="1">
        <f>IFERROR(__xludf.DUMMYFUNCTION("""COMPUTED_VALUE"""),209.95)</f>
        <v>209.95</v>
      </c>
      <c r="D575" s="1">
        <f>IFERROR(__xludf.DUMMYFUNCTION("""COMPUTED_VALUE"""),203.5)</f>
        <v>203.5</v>
      </c>
      <c r="E575" s="1">
        <f>IFERROR(__xludf.DUMMYFUNCTION("""COMPUTED_VALUE"""),205.4)</f>
        <v>205.4</v>
      </c>
      <c r="F575" s="1">
        <f>IFERROR(__xludf.DUMMYFUNCTION("""COMPUTED_VALUE"""),1713661.0)</f>
        <v>1713661</v>
      </c>
    </row>
    <row r="576">
      <c r="A576" s="2">
        <f>IFERROR(__xludf.DUMMYFUNCTION("""COMPUTED_VALUE"""),37365.645833333336)</f>
        <v>37365.64583</v>
      </c>
      <c r="B576" s="1">
        <f>IFERROR(__xludf.DUMMYFUNCTION("""COMPUTED_VALUE"""),205.0)</f>
        <v>205</v>
      </c>
      <c r="C576" s="1">
        <f>IFERROR(__xludf.DUMMYFUNCTION("""COMPUTED_VALUE"""),207.0)</f>
        <v>207</v>
      </c>
      <c r="D576" s="1">
        <f>IFERROR(__xludf.DUMMYFUNCTION("""COMPUTED_VALUE"""),202.0)</f>
        <v>202</v>
      </c>
      <c r="E576" s="1">
        <f>IFERROR(__xludf.DUMMYFUNCTION("""COMPUTED_VALUE"""),203.1)</f>
        <v>203.1</v>
      </c>
      <c r="F576" s="1">
        <f>IFERROR(__xludf.DUMMYFUNCTION("""COMPUTED_VALUE"""),1584773.0)</f>
        <v>1584773</v>
      </c>
    </row>
    <row r="577">
      <c r="A577" s="2">
        <f>IFERROR(__xludf.DUMMYFUNCTION("""COMPUTED_VALUE"""),37368.645833333336)</f>
        <v>37368.64583</v>
      </c>
      <c r="B577" s="1">
        <f>IFERROR(__xludf.DUMMYFUNCTION("""COMPUTED_VALUE"""),203.5)</f>
        <v>203.5</v>
      </c>
      <c r="C577" s="1">
        <f>IFERROR(__xludf.DUMMYFUNCTION("""COMPUTED_VALUE"""),211.45)</f>
        <v>211.45</v>
      </c>
      <c r="D577" s="1">
        <f>IFERROR(__xludf.DUMMYFUNCTION("""COMPUTED_VALUE"""),201.65)</f>
        <v>201.65</v>
      </c>
      <c r="E577" s="1">
        <f>IFERROR(__xludf.DUMMYFUNCTION("""COMPUTED_VALUE"""),208.45)</f>
        <v>208.45</v>
      </c>
      <c r="F577" s="1">
        <f>IFERROR(__xludf.DUMMYFUNCTION("""COMPUTED_VALUE"""),1880403.0)</f>
        <v>1880403</v>
      </c>
    </row>
    <row r="578">
      <c r="A578" s="2">
        <f>IFERROR(__xludf.DUMMYFUNCTION("""COMPUTED_VALUE"""),37369.645833333336)</f>
        <v>37369.64583</v>
      </c>
      <c r="B578" s="1">
        <f>IFERROR(__xludf.DUMMYFUNCTION("""COMPUTED_VALUE"""),207.0)</f>
        <v>207</v>
      </c>
      <c r="C578" s="1">
        <f>IFERROR(__xludf.DUMMYFUNCTION("""COMPUTED_VALUE"""),211.8)</f>
        <v>211.8</v>
      </c>
      <c r="D578" s="1">
        <f>IFERROR(__xludf.DUMMYFUNCTION("""COMPUTED_VALUE"""),207.0)</f>
        <v>207</v>
      </c>
      <c r="E578" s="1">
        <f>IFERROR(__xludf.DUMMYFUNCTION("""COMPUTED_VALUE"""),210.35)</f>
        <v>210.35</v>
      </c>
      <c r="F578" s="1">
        <f>IFERROR(__xludf.DUMMYFUNCTION("""COMPUTED_VALUE"""),864803.0)</f>
        <v>864803</v>
      </c>
    </row>
    <row r="579">
      <c r="A579" s="2">
        <f>IFERROR(__xludf.DUMMYFUNCTION("""COMPUTED_VALUE"""),37370.645833333336)</f>
        <v>37370.64583</v>
      </c>
      <c r="B579" s="1">
        <f>IFERROR(__xludf.DUMMYFUNCTION("""COMPUTED_VALUE"""),210.1)</f>
        <v>210.1</v>
      </c>
      <c r="C579" s="1">
        <f>IFERROR(__xludf.DUMMYFUNCTION("""COMPUTED_VALUE"""),210.9)</f>
        <v>210.9</v>
      </c>
      <c r="D579" s="1">
        <f>IFERROR(__xludf.DUMMYFUNCTION("""COMPUTED_VALUE"""),207.75)</f>
        <v>207.75</v>
      </c>
      <c r="E579" s="1">
        <f>IFERROR(__xludf.DUMMYFUNCTION("""COMPUTED_VALUE"""),209.35)</f>
        <v>209.35</v>
      </c>
      <c r="F579" s="1">
        <f>IFERROR(__xludf.DUMMYFUNCTION("""COMPUTED_VALUE"""),615080.0)</f>
        <v>615080</v>
      </c>
    </row>
    <row r="580">
      <c r="A580" s="2">
        <f>IFERROR(__xludf.DUMMYFUNCTION("""COMPUTED_VALUE"""),37371.645833333336)</f>
        <v>37371.64583</v>
      </c>
      <c r="B580" s="1">
        <f>IFERROR(__xludf.DUMMYFUNCTION("""COMPUTED_VALUE"""),210.0)</f>
        <v>210</v>
      </c>
      <c r="C580" s="1">
        <f>IFERROR(__xludf.DUMMYFUNCTION("""COMPUTED_VALUE"""),211.0)</f>
        <v>211</v>
      </c>
      <c r="D580" s="1">
        <f>IFERROR(__xludf.DUMMYFUNCTION("""COMPUTED_VALUE"""),206.1)</f>
        <v>206.1</v>
      </c>
      <c r="E580" s="1">
        <f>IFERROR(__xludf.DUMMYFUNCTION("""COMPUTED_VALUE"""),208.6)</f>
        <v>208.6</v>
      </c>
      <c r="F580" s="1">
        <f>IFERROR(__xludf.DUMMYFUNCTION("""COMPUTED_VALUE"""),1144438.0)</f>
        <v>1144438</v>
      </c>
    </row>
    <row r="581">
      <c r="A581" s="2">
        <f>IFERROR(__xludf.DUMMYFUNCTION("""COMPUTED_VALUE"""),37372.645833333336)</f>
        <v>37372.64583</v>
      </c>
      <c r="B581" s="1">
        <f>IFERROR(__xludf.DUMMYFUNCTION("""COMPUTED_VALUE"""),208.0)</f>
        <v>208</v>
      </c>
      <c r="C581" s="1">
        <f>IFERROR(__xludf.DUMMYFUNCTION("""COMPUTED_VALUE"""),209.5)</f>
        <v>209.5</v>
      </c>
      <c r="D581" s="1">
        <f>IFERROR(__xludf.DUMMYFUNCTION("""COMPUTED_VALUE"""),206.5)</f>
        <v>206.5</v>
      </c>
      <c r="E581" s="1">
        <f>IFERROR(__xludf.DUMMYFUNCTION("""COMPUTED_VALUE"""),207.2)</f>
        <v>207.2</v>
      </c>
      <c r="F581" s="1">
        <f>IFERROR(__xludf.DUMMYFUNCTION("""COMPUTED_VALUE"""),598612.0)</f>
        <v>598612</v>
      </c>
    </row>
    <row r="582">
      <c r="A582" s="2">
        <f>IFERROR(__xludf.DUMMYFUNCTION("""COMPUTED_VALUE"""),37375.645833333336)</f>
        <v>37375.64583</v>
      </c>
      <c r="B582" s="1">
        <f>IFERROR(__xludf.DUMMYFUNCTION("""COMPUTED_VALUE"""),207.0)</f>
        <v>207</v>
      </c>
      <c r="C582" s="1">
        <f>IFERROR(__xludf.DUMMYFUNCTION("""COMPUTED_VALUE"""),207.1)</f>
        <v>207.1</v>
      </c>
      <c r="D582" s="1">
        <f>IFERROR(__xludf.DUMMYFUNCTION("""COMPUTED_VALUE"""),202.0)</f>
        <v>202</v>
      </c>
      <c r="E582" s="1">
        <f>IFERROR(__xludf.DUMMYFUNCTION("""COMPUTED_VALUE"""),203.1)</f>
        <v>203.1</v>
      </c>
      <c r="F582" s="1">
        <f>IFERROR(__xludf.DUMMYFUNCTION("""COMPUTED_VALUE"""),953289.0)</f>
        <v>953289</v>
      </c>
    </row>
    <row r="583">
      <c r="A583" s="2">
        <f>IFERROR(__xludf.DUMMYFUNCTION("""COMPUTED_VALUE"""),37376.645833333336)</f>
        <v>37376.64583</v>
      </c>
      <c r="B583" s="1">
        <f>IFERROR(__xludf.DUMMYFUNCTION("""COMPUTED_VALUE"""),204.0)</f>
        <v>204</v>
      </c>
      <c r="C583" s="1">
        <f>IFERROR(__xludf.DUMMYFUNCTION("""COMPUTED_VALUE"""),204.0)</f>
        <v>204</v>
      </c>
      <c r="D583" s="1">
        <f>IFERROR(__xludf.DUMMYFUNCTION("""COMPUTED_VALUE"""),199.0)</f>
        <v>199</v>
      </c>
      <c r="E583" s="1">
        <f>IFERROR(__xludf.DUMMYFUNCTION("""COMPUTED_VALUE"""),202.5)</f>
        <v>202.5</v>
      </c>
      <c r="F583" s="1">
        <f>IFERROR(__xludf.DUMMYFUNCTION("""COMPUTED_VALUE"""),723518.0)</f>
        <v>723518</v>
      </c>
    </row>
    <row r="584">
      <c r="A584" s="2">
        <f>IFERROR(__xludf.DUMMYFUNCTION("""COMPUTED_VALUE"""),37378.645833333336)</f>
        <v>37378.64583</v>
      </c>
      <c r="B584" s="1">
        <f>IFERROR(__xludf.DUMMYFUNCTION("""COMPUTED_VALUE"""),203.0)</f>
        <v>203</v>
      </c>
      <c r="C584" s="1">
        <f>IFERROR(__xludf.DUMMYFUNCTION("""COMPUTED_VALUE"""),205.7)</f>
        <v>205.7</v>
      </c>
      <c r="D584" s="1">
        <f>IFERROR(__xludf.DUMMYFUNCTION("""COMPUTED_VALUE"""),201.75)</f>
        <v>201.75</v>
      </c>
      <c r="E584" s="1">
        <f>IFERROR(__xludf.DUMMYFUNCTION("""COMPUTED_VALUE"""),203.2)</f>
        <v>203.2</v>
      </c>
      <c r="F584" s="1">
        <f>IFERROR(__xludf.DUMMYFUNCTION("""COMPUTED_VALUE"""),794785.0)</f>
        <v>794785</v>
      </c>
    </row>
    <row r="585">
      <c r="A585" s="2">
        <f>IFERROR(__xludf.DUMMYFUNCTION("""COMPUTED_VALUE"""),37379.645833333336)</f>
        <v>37379.64583</v>
      </c>
      <c r="B585" s="1">
        <f>IFERROR(__xludf.DUMMYFUNCTION("""COMPUTED_VALUE"""),202.75)</f>
        <v>202.75</v>
      </c>
      <c r="C585" s="1">
        <f>IFERROR(__xludf.DUMMYFUNCTION("""COMPUTED_VALUE"""),205.7)</f>
        <v>205.7</v>
      </c>
      <c r="D585" s="1">
        <f>IFERROR(__xludf.DUMMYFUNCTION("""COMPUTED_VALUE"""),202.55)</f>
        <v>202.55</v>
      </c>
      <c r="E585" s="1">
        <f>IFERROR(__xludf.DUMMYFUNCTION("""COMPUTED_VALUE"""),203.35)</f>
        <v>203.35</v>
      </c>
      <c r="F585" s="1">
        <f>IFERROR(__xludf.DUMMYFUNCTION("""COMPUTED_VALUE"""),777839.0)</f>
        <v>777839</v>
      </c>
    </row>
    <row r="586">
      <c r="A586" s="2">
        <f>IFERROR(__xludf.DUMMYFUNCTION("""COMPUTED_VALUE"""),37382.645833333336)</f>
        <v>37382.64583</v>
      </c>
      <c r="B586" s="1">
        <f>IFERROR(__xludf.DUMMYFUNCTION("""COMPUTED_VALUE"""),204.0)</f>
        <v>204</v>
      </c>
      <c r="C586" s="1">
        <f>IFERROR(__xludf.DUMMYFUNCTION("""COMPUTED_VALUE"""),205.0)</f>
        <v>205</v>
      </c>
      <c r="D586" s="1">
        <f>IFERROR(__xludf.DUMMYFUNCTION("""COMPUTED_VALUE"""),202.55)</f>
        <v>202.55</v>
      </c>
      <c r="E586" s="1">
        <f>IFERROR(__xludf.DUMMYFUNCTION("""COMPUTED_VALUE"""),203.8)</f>
        <v>203.8</v>
      </c>
      <c r="F586" s="1">
        <f>IFERROR(__xludf.DUMMYFUNCTION("""COMPUTED_VALUE"""),505114.0)</f>
        <v>505114</v>
      </c>
    </row>
    <row r="587">
      <c r="A587" s="2">
        <f>IFERROR(__xludf.DUMMYFUNCTION("""COMPUTED_VALUE"""),37383.645833333336)</f>
        <v>37383.64583</v>
      </c>
      <c r="B587" s="1">
        <f>IFERROR(__xludf.DUMMYFUNCTION("""COMPUTED_VALUE"""),205.45)</f>
        <v>205.45</v>
      </c>
      <c r="C587" s="1">
        <f>IFERROR(__xludf.DUMMYFUNCTION("""COMPUTED_VALUE"""),210.3)</f>
        <v>210.3</v>
      </c>
      <c r="D587" s="1">
        <f>IFERROR(__xludf.DUMMYFUNCTION("""COMPUTED_VALUE"""),204.0)</f>
        <v>204</v>
      </c>
      <c r="E587" s="1">
        <f>IFERROR(__xludf.DUMMYFUNCTION("""COMPUTED_VALUE"""),209.2)</f>
        <v>209.2</v>
      </c>
      <c r="F587" s="1">
        <f>IFERROR(__xludf.DUMMYFUNCTION("""COMPUTED_VALUE"""),827639.0)</f>
        <v>827639</v>
      </c>
    </row>
    <row r="588">
      <c r="A588" s="2">
        <f>IFERROR(__xludf.DUMMYFUNCTION("""COMPUTED_VALUE"""),37384.645833333336)</f>
        <v>37384.64583</v>
      </c>
      <c r="B588" s="1">
        <f>IFERROR(__xludf.DUMMYFUNCTION("""COMPUTED_VALUE"""),209.35)</f>
        <v>209.35</v>
      </c>
      <c r="C588" s="1">
        <f>IFERROR(__xludf.DUMMYFUNCTION("""COMPUTED_VALUE"""),210.9)</f>
        <v>210.9</v>
      </c>
      <c r="D588" s="1">
        <f>IFERROR(__xludf.DUMMYFUNCTION("""COMPUTED_VALUE"""),208.0)</f>
        <v>208</v>
      </c>
      <c r="E588" s="1">
        <f>IFERROR(__xludf.DUMMYFUNCTION("""COMPUTED_VALUE"""),210.25)</f>
        <v>210.25</v>
      </c>
      <c r="F588" s="1">
        <f>IFERROR(__xludf.DUMMYFUNCTION("""COMPUTED_VALUE"""),398662.0)</f>
        <v>398662</v>
      </c>
    </row>
    <row r="589">
      <c r="A589" s="2">
        <f>IFERROR(__xludf.DUMMYFUNCTION("""COMPUTED_VALUE"""),37385.645833333336)</f>
        <v>37385.64583</v>
      </c>
      <c r="B589" s="1">
        <f>IFERROR(__xludf.DUMMYFUNCTION("""COMPUTED_VALUE"""),211.2)</f>
        <v>211.2</v>
      </c>
      <c r="C589" s="1">
        <f>IFERROR(__xludf.DUMMYFUNCTION("""COMPUTED_VALUE"""),214.0)</f>
        <v>214</v>
      </c>
      <c r="D589" s="1">
        <f>IFERROR(__xludf.DUMMYFUNCTION("""COMPUTED_VALUE"""),209.0)</f>
        <v>209</v>
      </c>
      <c r="E589" s="1">
        <f>IFERROR(__xludf.DUMMYFUNCTION("""COMPUTED_VALUE"""),213.05)</f>
        <v>213.05</v>
      </c>
      <c r="F589" s="1">
        <f>IFERROR(__xludf.DUMMYFUNCTION("""COMPUTED_VALUE"""),613897.0)</f>
        <v>613897</v>
      </c>
    </row>
    <row r="590">
      <c r="A590" s="2">
        <f>IFERROR(__xludf.DUMMYFUNCTION("""COMPUTED_VALUE"""),37386.645833333336)</f>
        <v>37386.64583</v>
      </c>
      <c r="B590" s="1">
        <f>IFERROR(__xludf.DUMMYFUNCTION("""COMPUTED_VALUE"""),213.0)</f>
        <v>213</v>
      </c>
      <c r="C590" s="1">
        <f>IFERROR(__xludf.DUMMYFUNCTION("""COMPUTED_VALUE"""),213.0)</f>
        <v>213</v>
      </c>
      <c r="D590" s="1">
        <f>IFERROR(__xludf.DUMMYFUNCTION("""COMPUTED_VALUE"""),209.1)</f>
        <v>209.1</v>
      </c>
      <c r="E590" s="1">
        <f>IFERROR(__xludf.DUMMYFUNCTION("""COMPUTED_VALUE"""),210.05)</f>
        <v>210.05</v>
      </c>
      <c r="F590" s="1">
        <f>IFERROR(__xludf.DUMMYFUNCTION("""COMPUTED_VALUE"""),380214.0)</f>
        <v>380214</v>
      </c>
    </row>
    <row r="591">
      <c r="A591" s="2">
        <f>IFERROR(__xludf.DUMMYFUNCTION("""COMPUTED_VALUE"""),37389.645833333336)</f>
        <v>37389.64583</v>
      </c>
      <c r="B591" s="1">
        <f>IFERROR(__xludf.DUMMYFUNCTION("""COMPUTED_VALUE"""),210.0)</f>
        <v>210</v>
      </c>
      <c r="C591" s="1">
        <f>IFERROR(__xludf.DUMMYFUNCTION("""COMPUTED_VALUE"""),212.4)</f>
        <v>212.4</v>
      </c>
      <c r="D591" s="1">
        <f>IFERROR(__xludf.DUMMYFUNCTION("""COMPUTED_VALUE"""),207.15)</f>
        <v>207.15</v>
      </c>
      <c r="E591" s="1">
        <f>IFERROR(__xludf.DUMMYFUNCTION("""COMPUTED_VALUE"""),210.25)</f>
        <v>210.25</v>
      </c>
      <c r="F591" s="1">
        <f>IFERROR(__xludf.DUMMYFUNCTION("""COMPUTED_VALUE"""),228006.0)</f>
        <v>228006</v>
      </c>
    </row>
    <row r="592">
      <c r="A592" s="2">
        <f>IFERROR(__xludf.DUMMYFUNCTION("""COMPUTED_VALUE"""),37390.645833333336)</f>
        <v>37390.64583</v>
      </c>
      <c r="B592" s="1">
        <f>IFERROR(__xludf.DUMMYFUNCTION("""COMPUTED_VALUE"""),210.0)</f>
        <v>210</v>
      </c>
      <c r="C592" s="1">
        <f>IFERROR(__xludf.DUMMYFUNCTION("""COMPUTED_VALUE"""),210.9)</f>
        <v>210.9</v>
      </c>
      <c r="D592" s="1">
        <f>IFERROR(__xludf.DUMMYFUNCTION("""COMPUTED_VALUE"""),205.7)</f>
        <v>205.7</v>
      </c>
      <c r="E592" s="1">
        <f>IFERROR(__xludf.DUMMYFUNCTION("""COMPUTED_VALUE"""),206.45)</f>
        <v>206.45</v>
      </c>
      <c r="F592" s="1">
        <f>IFERROR(__xludf.DUMMYFUNCTION("""COMPUTED_VALUE"""),421700.0)</f>
        <v>421700</v>
      </c>
    </row>
    <row r="593">
      <c r="A593" s="2">
        <f>IFERROR(__xludf.DUMMYFUNCTION("""COMPUTED_VALUE"""),37391.645833333336)</f>
        <v>37391.64583</v>
      </c>
      <c r="B593" s="1">
        <f>IFERROR(__xludf.DUMMYFUNCTION("""COMPUTED_VALUE"""),207.15)</f>
        <v>207.15</v>
      </c>
      <c r="C593" s="1">
        <f>IFERROR(__xludf.DUMMYFUNCTION("""COMPUTED_VALUE"""),207.95)</f>
        <v>207.95</v>
      </c>
      <c r="D593" s="1">
        <f>IFERROR(__xludf.DUMMYFUNCTION("""COMPUTED_VALUE"""),203.6)</f>
        <v>203.6</v>
      </c>
      <c r="E593" s="1">
        <f>IFERROR(__xludf.DUMMYFUNCTION("""COMPUTED_VALUE"""),206.4)</f>
        <v>206.4</v>
      </c>
      <c r="F593" s="1">
        <f>IFERROR(__xludf.DUMMYFUNCTION("""COMPUTED_VALUE"""),753458.0)</f>
        <v>753458</v>
      </c>
    </row>
    <row r="594">
      <c r="A594" s="2">
        <f>IFERROR(__xludf.DUMMYFUNCTION("""COMPUTED_VALUE"""),37392.645833333336)</f>
        <v>37392.64583</v>
      </c>
      <c r="B594" s="1">
        <f>IFERROR(__xludf.DUMMYFUNCTION("""COMPUTED_VALUE"""),207.75)</f>
        <v>207.75</v>
      </c>
      <c r="C594" s="1">
        <f>IFERROR(__xludf.DUMMYFUNCTION("""COMPUTED_VALUE"""),207.75)</f>
        <v>207.75</v>
      </c>
      <c r="D594" s="1">
        <f>IFERROR(__xludf.DUMMYFUNCTION("""COMPUTED_VALUE"""),202.0)</f>
        <v>202</v>
      </c>
      <c r="E594" s="1">
        <f>IFERROR(__xludf.DUMMYFUNCTION("""COMPUTED_VALUE"""),203.0)</f>
        <v>203</v>
      </c>
      <c r="F594" s="1">
        <f>IFERROR(__xludf.DUMMYFUNCTION("""COMPUTED_VALUE"""),466654.0)</f>
        <v>466654</v>
      </c>
    </row>
    <row r="595">
      <c r="A595" s="2">
        <f>IFERROR(__xludf.DUMMYFUNCTION("""COMPUTED_VALUE"""),37393.645833333336)</f>
        <v>37393.64583</v>
      </c>
      <c r="B595" s="1">
        <f>IFERROR(__xludf.DUMMYFUNCTION("""COMPUTED_VALUE"""),205.0)</f>
        <v>205</v>
      </c>
      <c r="C595" s="1">
        <f>IFERROR(__xludf.DUMMYFUNCTION("""COMPUTED_VALUE"""),206.75)</f>
        <v>206.75</v>
      </c>
      <c r="D595" s="1">
        <f>IFERROR(__xludf.DUMMYFUNCTION("""COMPUTED_VALUE"""),201.7)</f>
        <v>201.7</v>
      </c>
      <c r="E595" s="1">
        <f>IFERROR(__xludf.DUMMYFUNCTION("""COMPUTED_VALUE"""),202.65)</f>
        <v>202.65</v>
      </c>
      <c r="F595" s="1">
        <f>IFERROR(__xludf.DUMMYFUNCTION("""COMPUTED_VALUE"""),431636.0)</f>
        <v>431636</v>
      </c>
    </row>
    <row r="596">
      <c r="A596" s="2">
        <f>IFERROR(__xludf.DUMMYFUNCTION("""COMPUTED_VALUE"""),37396.645833333336)</f>
        <v>37396.64583</v>
      </c>
      <c r="B596" s="1">
        <f>IFERROR(__xludf.DUMMYFUNCTION("""COMPUTED_VALUE"""),203.05)</f>
        <v>203.05</v>
      </c>
      <c r="C596" s="1">
        <f>IFERROR(__xludf.DUMMYFUNCTION("""COMPUTED_VALUE"""),203.3)</f>
        <v>203.3</v>
      </c>
      <c r="D596" s="1">
        <f>IFERROR(__xludf.DUMMYFUNCTION("""COMPUTED_VALUE"""),198.5)</f>
        <v>198.5</v>
      </c>
      <c r="E596" s="1">
        <f>IFERROR(__xludf.DUMMYFUNCTION("""COMPUTED_VALUE"""),199.2)</f>
        <v>199.2</v>
      </c>
      <c r="F596" s="1">
        <f>IFERROR(__xludf.DUMMYFUNCTION("""COMPUTED_VALUE"""),503930.0)</f>
        <v>503930</v>
      </c>
    </row>
    <row r="597">
      <c r="A597" s="2">
        <f>IFERROR(__xludf.DUMMYFUNCTION("""COMPUTED_VALUE"""),37397.645833333336)</f>
        <v>37397.64583</v>
      </c>
      <c r="B597" s="1">
        <f>IFERROR(__xludf.DUMMYFUNCTION("""COMPUTED_VALUE"""),202.0)</f>
        <v>202</v>
      </c>
      <c r="C597" s="1">
        <f>IFERROR(__xludf.DUMMYFUNCTION("""COMPUTED_VALUE"""),202.0)</f>
        <v>202</v>
      </c>
      <c r="D597" s="1">
        <f>IFERROR(__xludf.DUMMYFUNCTION("""COMPUTED_VALUE"""),192.8)</f>
        <v>192.8</v>
      </c>
      <c r="E597" s="1">
        <f>IFERROR(__xludf.DUMMYFUNCTION("""COMPUTED_VALUE"""),197.9)</f>
        <v>197.9</v>
      </c>
      <c r="F597" s="1">
        <f>IFERROR(__xludf.DUMMYFUNCTION("""COMPUTED_VALUE"""),1063959.0)</f>
        <v>1063959</v>
      </c>
    </row>
    <row r="598">
      <c r="A598" s="2">
        <f>IFERROR(__xludf.DUMMYFUNCTION("""COMPUTED_VALUE"""),37398.645833333336)</f>
        <v>37398.64583</v>
      </c>
      <c r="B598" s="1">
        <f>IFERROR(__xludf.DUMMYFUNCTION("""COMPUTED_VALUE"""),196.7)</f>
        <v>196.7</v>
      </c>
      <c r="C598" s="1">
        <f>IFERROR(__xludf.DUMMYFUNCTION("""COMPUTED_VALUE"""),198.2)</f>
        <v>198.2</v>
      </c>
      <c r="D598" s="1">
        <f>IFERROR(__xludf.DUMMYFUNCTION("""COMPUTED_VALUE"""),194.5)</f>
        <v>194.5</v>
      </c>
      <c r="E598" s="1">
        <f>IFERROR(__xludf.DUMMYFUNCTION("""COMPUTED_VALUE"""),196.25)</f>
        <v>196.25</v>
      </c>
      <c r="F598" s="1">
        <f>IFERROR(__xludf.DUMMYFUNCTION("""COMPUTED_VALUE"""),582769.0)</f>
        <v>582769</v>
      </c>
    </row>
    <row r="599">
      <c r="A599" s="2">
        <f>IFERROR(__xludf.DUMMYFUNCTION("""COMPUTED_VALUE"""),37399.645833333336)</f>
        <v>37399.64583</v>
      </c>
      <c r="B599" s="1">
        <f>IFERROR(__xludf.DUMMYFUNCTION("""COMPUTED_VALUE"""),196.0)</f>
        <v>196</v>
      </c>
      <c r="C599" s="1">
        <f>IFERROR(__xludf.DUMMYFUNCTION("""COMPUTED_VALUE"""),196.9)</f>
        <v>196.9</v>
      </c>
      <c r="D599" s="1">
        <f>IFERROR(__xludf.DUMMYFUNCTION("""COMPUTED_VALUE"""),188.4)</f>
        <v>188.4</v>
      </c>
      <c r="E599" s="1">
        <f>IFERROR(__xludf.DUMMYFUNCTION("""COMPUTED_VALUE"""),189.7)</f>
        <v>189.7</v>
      </c>
      <c r="F599" s="1">
        <f>IFERROR(__xludf.DUMMYFUNCTION("""COMPUTED_VALUE"""),845178.0)</f>
        <v>845178</v>
      </c>
    </row>
    <row r="600">
      <c r="A600" s="2">
        <f>IFERROR(__xludf.DUMMYFUNCTION("""COMPUTED_VALUE"""),37400.645833333336)</f>
        <v>37400.64583</v>
      </c>
      <c r="B600" s="1">
        <f>IFERROR(__xludf.DUMMYFUNCTION("""COMPUTED_VALUE"""),192.0)</f>
        <v>192</v>
      </c>
      <c r="C600" s="1">
        <f>IFERROR(__xludf.DUMMYFUNCTION("""COMPUTED_VALUE"""),202.0)</f>
        <v>202</v>
      </c>
      <c r="D600" s="1">
        <f>IFERROR(__xludf.DUMMYFUNCTION("""COMPUTED_VALUE"""),189.5)</f>
        <v>189.5</v>
      </c>
      <c r="E600" s="1">
        <f>IFERROR(__xludf.DUMMYFUNCTION("""COMPUTED_VALUE"""),199.5)</f>
        <v>199.5</v>
      </c>
      <c r="F600" s="1">
        <f>IFERROR(__xludf.DUMMYFUNCTION("""COMPUTED_VALUE"""),1558224.0)</f>
        <v>1558224</v>
      </c>
    </row>
    <row r="601">
      <c r="A601" s="2">
        <f>IFERROR(__xludf.DUMMYFUNCTION("""COMPUTED_VALUE"""),37403.645833333336)</f>
        <v>37403.64583</v>
      </c>
      <c r="B601" s="1">
        <f>IFERROR(__xludf.DUMMYFUNCTION("""COMPUTED_VALUE"""),200.2)</f>
        <v>200.2</v>
      </c>
      <c r="C601" s="1">
        <f>IFERROR(__xludf.DUMMYFUNCTION("""COMPUTED_VALUE"""),203.45)</f>
        <v>203.45</v>
      </c>
      <c r="D601" s="1">
        <f>IFERROR(__xludf.DUMMYFUNCTION("""COMPUTED_VALUE"""),198.0)</f>
        <v>198</v>
      </c>
      <c r="E601" s="1">
        <f>IFERROR(__xludf.DUMMYFUNCTION("""COMPUTED_VALUE"""),201.85)</f>
        <v>201.85</v>
      </c>
      <c r="F601" s="1">
        <f>IFERROR(__xludf.DUMMYFUNCTION("""COMPUTED_VALUE"""),886064.0)</f>
        <v>886064</v>
      </c>
    </row>
    <row r="602">
      <c r="A602" s="2">
        <f>IFERROR(__xludf.DUMMYFUNCTION("""COMPUTED_VALUE"""),37404.645833333336)</f>
        <v>37404.64583</v>
      </c>
      <c r="B602" s="1">
        <f>IFERROR(__xludf.DUMMYFUNCTION("""COMPUTED_VALUE"""),200.0)</f>
        <v>200</v>
      </c>
      <c r="C602" s="1">
        <f>IFERROR(__xludf.DUMMYFUNCTION("""COMPUTED_VALUE"""),204.9)</f>
        <v>204.9</v>
      </c>
      <c r="D602" s="1">
        <f>IFERROR(__xludf.DUMMYFUNCTION("""COMPUTED_VALUE"""),197.25)</f>
        <v>197.25</v>
      </c>
      <c r="E602" s="1">
        <f>IFERROR(__xludf.DUMMYFUNCTION("""COMPUTED_VALUE"""),199.55)</f>
        <v>199.55</v>
      </c>
      <c r="F602" s="1">
        <f>IFERROR(__xludf.DUMMYFUNCTION("""COMPUTED_VALUE"""),486488.0)</f>
        <v>486488</v>
      </c>
    </row>
    <row r="603">
      <c r="A603" s="2">
        <f>IFERROR(__xludf.DUMMYFUNCTION("""COMPUTED_VALUE"""),37405.645833333336)</f>
        <v>37405.64583</v>
      </c>
      <c r="B603" s="1">
        <f>IFERROR(__xludf.DUMMYFUNCTION("""COMPUTED_VALUE"""),200.0)</f>
        <v>200</v>
      </c>
      <c r="C603" s="1">
        <f>IFERROR(__xludf.DUMMYFUNCTION("""COMPUTED_VALUE"""),200.0)</f>
        <v>200</v>
      </c>
      <c r="D603" s="1">
        <f>IFERROR(__xludf.DUMMYFUNCTION("""COMPUTED_VALUE"""),191.55)</f>
        <v>191.55</v>
      </c>
      <c r="E603" s="1">
        <f>IFERROR(__xludf.DUMMYFUNCTION("""COMPUTED_VALUE"""),193.0)</f>
        <v>193</v>
      </c>
      <c r="F603" s="1">
        <f>IFERROR(__xludf.DUMMYFUNCTION("""COMPUTED_VALUE"""),1369403.0)</f>
        <v>1369403</v>
      </c>
    </row>
    <row r="604">
      <c r="A604" s="2">
        <f>IFERROR(__xludf.DUMMYFUNCTION("""COMPUTED_VALUE"""),37406.645833333336)</f>
        <v>37406.64583</v>
      </c>
      <c r="B604" s="1">
        <f>IFERROR(__xludf.DUMMYFUNCTION("""COMPUTED_VALUE"""),195.0)</f>
        <v>195</v>
      </c>
      <c r="C604" s="1">
        <f>IFERROR(__xludf.DUMMYFUNCTION("""COMPUTED_VALUE"""),195.0)</f>
        <v>195</v>
      </c>
      <c r="D604" s="1">
        <f>IFERROR(__xludf.DUMMYFUNCTION("""COMPUTED_VALUE"""),187.15)</f>
        <v>187.15</v>
      </c>
      <c r="E604" s="1">
        <f>IFERROR(__xludf.DUMMYFUNCTION("""COMPUTED_VALUE"""),187.95)</f>
        <v>187.95</v>
      </c>
      <c r="F604" s="1">
        <f>IFERROR(__xludf.DUMMYFUNCTION("""COMPUTED_VALUE"""),1665467.0)</f>
        <v>1665467</v>
      </c>
    </row>
    <row r="605">
      <c r="A605" s="2">
        <f>IFERROR(__xludf.DUMMYFUNCTION("""COMPUTED_VALUE"""),37407.645833333336)</f>
        <v>37407.64583</v>
      </c>
      <c r="B605" s="1">
        <f>IFERROR(__xludf.DUMMYFUNCTION("""COMPUTED_VALUE"""),195.0)</f>
        <v>195</v>
      </c>
      <c r="C605" s="1">
        <f>IFERROR(__xludf.DUMMYFUNCTION("""COMPUTED_VALUE"""),195.0)</f>
        <v>195</v>
      </c>
      <c r="D605" s="1">
        <f>IFERROR(__xludf.DUMMYFUNCTION("""COMPUTED_VALUE"""),184.1)</f>
        <v>184.1</v>
      </c>
      <c r="E605" s="1">
        <f>IFERROR(__xludf.DUMMYFUNCTION("""COMPUTED_VALUE"""),185.3)</f>
        <v>185.3</v>
      </c>
      <c r="F605" s="1">
        <f>IFERROR(__xludf.DUMMYFUNCTION("""COMPUTED_VALUE"""),1397515.0)</f>
        <v>1397515</v>
      </c>
    </row>
    <row r="606">
      <c r="A606" s="2">
        <f>IFERROR(__xludf.DUMMYFUNCTION("""COMPUTED_VALUE"""),37410.645833333336)</f>
        <v>37410.64583</v>
      </c>
      <c r="B606" s="1">
        <f>IFERROR(__xludf.DUMMYFUNCTION("""COMPUTED_VALUE"""),189.0)</f>
        <v>189</v>
      </c>
      <c r="C606" s="1">
        <f>IFERROR(__xludf.DUMMYFUNCTION("""COMPUTED_VALUE"""),192.0)</f>
        <v>192</v>
      </c>
      <c r="D606" s="1">
        <f>IFERROR(__xludf.DUMMYFUNCTION("""COMPUTED_VALUE"""),187.65)</f>
        <v>187.65</v>
      </c>
      <c r="E606" s="1">
        <f>IFERROR(__xludf.DUMMYFUNCTION("""COMPUTED_VALUE"""),189.15)</f>
        <v>189.15</v>
      </c>
      <c r="F606" s="1">
        <f>IFERROR(__xludf.DUMMYFUNCTION("""COMPUTED_VALUE"""),784379.0)</f>
        <v>784379</v>
      </c>
    </row>
    <row r="607">
      <c r="A607" s="2">
        <f>IFERROR(__xludf.DUMMYFUNCTION("""COMPUTED_VALUE"""),37411.645833333336)</f>
        <v>37411.64583</v>
      </c>
      <c r="B607" s="1">
        <f>IFERROR(__xludf.DUMMYFUNCTION("""COMPUTED_VALUE"""),190.5)</f>
        <v>190.5</v>
      </c>
      <c r="C607" s="1">
        <f>IFERROR(__xludf.DUMMYFUNCTION("""COMPUTED_VALUE"""),198.8)</f>
        <v>198.8</v>
      </c>
      <c r="D607" s="1">
        <f>IFERROR(__xludf.DUMMYFUNCTION("""COMPUTED_VALUE"""),189.05)</f>
        <v>189.05</v>
      </c>
      <c r="E607" s="1">
        <f>IFERROR(__xludf.DUMMYFUNCTION("""COMPUTED_VALUE"""),197.75)</f>
        <v>197.75</v>
      </c>
      <c r="F607" s="1">
        <f>IFERROR(__xludf.DUMMYFUNCTION("""COMPUTED_VALUE"""),1054449.0)</f>
        <v>1054449</v>
      </c>
    </row>
    <row r="608">
      <c r="A608" s="2">
        <f>IFERROR(__xludf.DUMMYFUNCTION("""COMPUTED_VALUE"""),37412.645833333336)</f>
        <v>37412.64583</v>
      </c>
      <c r="B608" s="1">
        <f>IFERROR(__xludf.DUMMYFUNCTION("""COMPUTED_VALUE"""),197.8)</f>
        <v>197.8</v>
      </c>
      <c r="C608" s="1">
        <f>IFERROR(__xludf.DUMMYFUNCTION("""COMPUTED_VALUE"""),202.0)</f>
        <v>202</v>
      </c>
      <c r="D608" s="1">
        <f>IFERROR(__xludf.DUMMYFUNCTION("""COMPUTED_VALUE"""),197.8)</f>
        <v>197.8</v>
      </c>
      <c r="E608" s="1">
        <f>IFERROR(__xludf.DUMMYFUNCTION("""COMPUTED_VALUE"""),200.2)</f>
        <v>200.2</v>
      </c>
      <c r="F608" s="1">
        <f>IFERROR(__xludf.DUMMYFUNCTION("""COMPUTED_VALUE"""),1767019.0)</f>
        <v>1767019</v>
      </c>
    </row>
    <row r="609">
      <c r="A609" s="2">
        <f>IFERROR(__xludf.DUMMYFUNCTION("""COMPUTED_VALUE"""),37413.645833333336)</f>
        <v>37413.64583</v>
      </c>
      <c r="B609" s="1">
        <f>IFERROR(__xludf.DUMMYFUNCTION("""COMPUTED_VALUE"""),201.9)</f>
        <v>201.9</v>
      </c>
      <c r="C609" s="1">
        <f>IFERROR(__xludf.DUMMYFUNCTION("""COMPUTED_VALUE"""),204.9)</f>
        <v>204.9</v>
      </c>
      <c r="D609" s="1">
        <f>IFERROR(__xludf.DUMMYFUNCTION("""COMPUTED_VALUE"""),196.15)</f>
        <v>196.15</v>
      </c>
      <c r="E609" s="1">
        <f>IFERROR(__xludf.DUMMYFUNCTION("""COMPUTED_VALUE"""),202.45)</f>
        <v>202.45</v>
      </c>
      <c r="F609" s="1">
        <f>IFERROR(__xludf.DUMMYFUNCTION("""COMPUTED_VALUE"""),1444891.0)</f>
        <v>1444891</v>
      </c>
    </row>
    <row r="610">
      <c r="A610" s="2">
        <f>IFERROR(__xludf.DUMMYFUNCTION("""COMPUTED_VALUE"""),37414.645833333336)</f>
        <v>37414.64583</v>
      </c>
      <c r="B610" s="1">
        <f>IFERROR(__xludf.DUMMYFUNCTION("""COMPUTED_VALUE"""),200.0)</f>
        <v>200</v>
      </c>
      <c r="C610" s="1">
        <f>IFERROR(__xludf.DUMMYFUNCTION("""COMPUTED_VALUE"""),201.0)</f>
        <v>201</v>
      </c>
      <c r="D610" s="1">
        <f>IFERROR(__xludf.DUMMYFUNCTION("""COMPUTED_VALUE"""),198.0)</f>
        <v>198</v>
      </c>
      <c r="E610" s="1">
        <f>IFERROR(__xludf.DUMMYFUNCTION("""COMPUTED_VALUE"""),199.6)</f>
        <v>199.6</v>
      </c>
      <c r="F610" s="1">
        <f>IFERROR(__xludf.DUMMYFUNCTION("""COMPUTED_VALUE"""),849389.0)</f>
        <v>849389</v>
      </c>
    </row>
    <row r="611">
      <c r="A611" s="2">
        <f>IFERROR(__xludf.DUMMYFUNCTION("""COMPUTED_VALUE"""),37417.645833333336)</f>
        <v>37417.64583</v>
      </c>
      <c r="B611" s="1">
        <f>IFERROR(__xludf.DUMMYFUNCTION("""COMPUTED_VALUE"""),202.0)</f>
        <v>202</v>
      </c>
      <c r="C611" s="1">
        <f>IFERROR(__xludf.DUMMYFUNCTION("""COMPUTED_VALUE"""),203.8)</f>
        <v>203.8</v>
      </c>
      <c r="D611" s="1">
        <f>IFERROR(__xludf.DUMMYFUNCTION("""COMPUTED_VALUE"""),196.55)</f>
        <v>196.55</v>
      </c>
      <c r="E611" s="1">
        <f>IFERROR(__xludf.DUMMYFUNCTION("""COMPUTED_VALUE"""),197.35)</f>
        <v>197.35</v>
      </c>
      <c r="F611" s="1">
        <f>IFERROR(__xludf.DUMMYFUNCTION("""COMPUTED_VALUE"""),669151.0)</f>
        <v>669151</v>
      </c>
    </row>
    <row r="612">
      <c r="A612" s="2">
        <f>IFERROR(__xludf.DUMMYFUNCTION("""COMPUTED_VALUE"""),37418.645833333336)</f>
        <v>37418.64583</v>
      </c>
      <c r="B612" s="1">
        <f>IFERROR(__xludf.DUMMYFUNCTION("""COMPUTED_VALUE"""),200.0)</f>
        <v>200</v>
      </c>
      <c r="C612" s="1">
        <f>IFERROR(__xludf.DUMMYFUNCTION("""COMPUTED_VALUE"""),205.0)</f>
        <v>205</v>
      </c>
      <c r="D612" s="1">
        <f>IFERROR(__xludf.DUMMYFUNCTION("""COMPUTED_VALUE"""),198.3)</f>
        <v>198.3</v>
      </c>
      <c r="E612" s="1">
        <f>IFERROR(__xludf.DUMMYFUNCTION("""COMPUTED_VALUE"""),202.8)</f>
        <v>202.8</v>
      </c>
      <c r="F612" s="1">
        <f>IFERROR(__xludf.DUMMYFUNCTION("""COMPUTED_VALUE"""),1956602.0)</f>
        <v>1956602</v>
      </c>
    </row>
    <row r="613">
      <c r="A613" s="2">
        <f>IFERROR(__xludf.DUMMYFUNCTION("""COMPUTED_VALUE"""),37419.645833333336)</f>
        <v>37419.64583</v>
      </c>
      <c r="B613" s="1">
        <f>IFERROR(__xludf.DUMMYFUNCTION("""COMPUTED_VALUE"""),204.9)</f>
        <v>204.9</v>
      </c>
      <c r="C613" s="1">
        <f>IFERROR(__xludf.DUMMYFUNCTION("""COMPUTED_VALUE"""),208.4)</f>
        <v>208.4</v>
      </c>
      <c r="D613" s="1">
        <f>IFERROR(__xludf.DUMMYFUNCTION("""COMPUTED_VALUE"""),201.05)</f>
        <v>201.05</v>
      </c>
      <c r="E613" s="1">
        <f>IFERROR(__xludf.DUMMYFUNCTION("""COMPUTED_VALUE"""),203.45)</f>
        <v>203.45</v>
      </c>
      <c r="F613" s="1">
        <f>IFERROR(__xludf.DUMMYFUNCTION("""COMPUTED_VALUE"""),1884273.0)</f>
        <v>1884273</v>
      </c>
    </row>
    <row r="614">
      <c r="A614" s="2">
        <f>IFERROR(__xludf.DUMMYFUNCTION("""COMPUTED_VALUE"""),37420.645833333336)</f>
        <v>37420.64583</v>
      </c>
      <c r="B614" s="1">
        <f>IFERROR(__xludf.DUMMYFUNCTION("""COMPUTED_VALUE"""),201.0)</f>
        <v>201</v>
      </c>
      <c r="C614" s="1">
        <f>IFERROR(__xludf.DUMMYFUNCTION("""COMPUTED_VALUE"""),204.25)</f>
        <v>204.25</v>
      </c>
      <c r="D614" s="1">
        <f>IFERROR(__xludf.DUMMYFUNCTION("""COMPUTED_VALUE"""),195.1)</f>
        <v>195.1</v>
      </c>
      <c r="E614" s="1">
        <f>IFERROR(__xludf.DUMMYFUNCTION("""COMPUTED_VALUE"""),195.8)</f>
        <v>195.8</v>
      </c>
      <c r="F614" s="1">
        <f>IFERROR(__xludf.DUMMYFUNCTION("""COMPUTED_VALUE"""),953107.0)</f>
        <v>953107</v>
      </c>
    </row>
    <row r="615">
      <c r="A615" s="2">
        <f>IFERROR(__xludf.DUMMYFUNCTION("""COMPUTED_VALUE"""),37421.645833333336)</f>
        <v>37421.64583</v>
      </c>
      <c r="B615" s="1">
        <f>IFERROR(__xludf.DUMMYFUNCTION("""COMPUTED_VALUE"""),196.5)</f>
        <v>196.5</v>
      </c>
      <c r="C615" s="1">
        <f>IFERROR(__xludf.DUMMYFUNCTION("""COMPUTED_VALUE"""),198.0)</f>
        <v>198</v>
      </c>
      <c r="D615" s="1">
        <f>IFERROR(__xludf.DUMMYFUNCTION("""COMPUTED_VALUE"""),194.5)</f>
        <v>194.5</v>
      </c>
      <c r="E615" s="1">
        <f>IFERROR(__xludf.DUMMYFUNCTION("""COMPUTED_VALUE"""),195.85)</f>
        <v>195.85</v>
      </c>
      <c r="F615" s="1">
        <f>IFERROR(__xludf.DUMMYFUNCTION("""COMPUTED_VALUE"""),786491.0)</f>
        <v>786491</v>
      </c>
    </row>
    <row r="616">
      <c r="A616" s="2">
        <f>IFERROR(__xludf.DUMMYFUNCTION("""COMPUTED_VALUE"""),37424.645833333336)</f>
        <v>37424.64583</v>
      </c>
      <c r="B616" s="1">
        <f>IFERROR(__xludf.DUMMYFUNCTION("""COMPUTED_VALUE"""),197.4)</f>
        <v>197.4</v>
      </c>
      <c r="C616" s="1">
        <f>IFERROR(__xludf.DUMMYFUNCTION("""COMPUTED_VALUE"""),199.0)</f>
        <v>199</v>
      </c>
      <c r="D616" s="1">
        <f>IFERROR(__xludf.DUMMYFUNCTION("""COMPUTED_VALUE"""),194.15)</f>
        <v>194.15</v>
      </c>
      <c r="E616" s="1">
        <f>IFERROR(__xludf.DUMMYFUNCTION("""COMPUTED_VALUE"""),194.8)</f>
        <v>194.8</v>
      </c>
      <c r="F616" s="1">
        <f>IFERROR(__xludf.DUMMYFUNCTION("""COMPUTED_VALUE"""),404714.0)</f>
        <v>404714</v>
      </c>
    </row>
    <row r="617">
      <c r="A617" s="2">
        <f>IFERROR(__xludf.DUMMYFUNCTION("""COMPUTED_VALUE"""),37425.645833333336)</f>
        <v>37425.64583</v>
      </c>
      <c r="B617" s="1">
        <f>IFERROR(__xludf.DUMMYFUNCTION("""COMPUTED_VALUE"""),193.55)</f>
        <v>193.55</v>
      </c>
      <c r="C617" s="1">
        <f>IFERROR(__xludf.DUMMYFUNCTION("""COMPUTED_VALUE"""),197.0)</f>
        <v>197</v>
      </c>
      <c r="D617" s="1">
        <f>IFERROR(__xludf.DUMMYFUNCTION("""COMPUTED_VALUE"""),192.0)</f>
        <v>192</v>
      </c>
      <c r="E617" s="1">
        <f>IFERROR(__xludf.DUMMYFUNCTION("""COMPUTED_VALUE"""),192.65)</f>
        <v>192.65</v>
      </c>
      <c r="F617" s="1">
        <f>IFERROR(__xludf.DUMMYFUNCTION("""COMPUTED_VALUE"""),525492.0)</f>
        <v>525492</v>
      </c>
    </row>
    <row r="618">
      <c r="A618" s="2">
        <f>IFERROR(__xludf.DUMMYFUNCTION("""COMPUTED_VALUE"""),37426.645833333336)</f>
        <v>37426.64583</v>
      </c>
      <c r="B618" s="1">
        <f>IFERROR(__xludf.DUMMYFUNCTION("""COMPUTED_VALUE"""),193.5)</f>
        <v>193.5</v>
      </c>
      <c r="C618" s="1">
        <f>IFERROR(__xludf.DUMMYFUNCTION("""COMPUTED_VALUE"""),193.9)</f>
        <v>193.9</v>
      </c>
      <c r="D618" s="1">
        <f>IFERROR(__xludf.DUMMYFUNCTION("""COMPUTED_VALUE"""),188.3)</f>
        <v>188.3</v>
      </c>
      <c r="E618" s="1">
        <f>IFERROR(__xludf.DUMMYFUNCTION("""COMPUTED_VALUE"""),189.8)</f>
        <v>189.8</v>
      </c>
      <c r="F618" s="1">
        <f>IFERROR(__xludf.DUMMYFUNCTION("""COMPUTED_VALUE"""),1745117.0)</f>
        <v>1745117</v>
      </c>
    </row>
    <row r="619">
      <c r="A619" s="2">
        <f>IFERROR(__xludf.DUMMYFUNCTION("""COMPUTED_VALUE"""),37427.645833333336)</f>
        <v>37427.64583</v>
      </c>
      <c r="B619" s="1">
        <f>IFERROR(__xludf.DUMMYFUNCTION("""COMPUTED_VALUE"""),190.05)</f>
        <v>190.05</v>
      </c>
      <c r="C619" s="1">
        <f>IFERROR(__xludf.DUMMYFUNCTION("""COMPUTED_VALUE"""),194.85)</f>
        <v>194.85</v>
      </c>
      <c r="D619" s="1">
        <f>IFERROR(__xludf.DUMMYFUNCTION("""COMPUTED_VALUE"""),188.5)</f>
        <v>188.5</v>
      </c>
      <c r="E619" s="1">
        <f>IFERROR(__xludf.DUMMYFUNCTION("""COMPUTED_VALUE"""),193.4)</f>
        <v>193.4</v>
      </c>
      <c r="F619" s="1">
        <f>IFERROR(__xludf.DUMMYFUNCTION("""COMPUTED_VALUE"""),581166.0)</f>
        <v>581166</v>
      </c>
    </row>
    <row r="620">
      <c r="A620" s="2">
        <f>IFERROR(__xludf.DUMMYFUNCTION("""COMPUTED_VALUE"""),37428.645833333336)</f>
        <v>37428.64583</v>
      </c>
      <c r="B620" s="1">
        <f>IFERROR(__xludf.DUMMYFUNCTION("""COMPUTED_VALUE"""),193.5)</f>
        <v>193.5</v>
      </c>
      <c r="C620" s="1">
        <f>IFERROR(__xludf.DUMMYFUNCTION("""COMPUTED_VALUE"""),193.5)</f>
        <v>193.5</v>
      </c>
      <c r="D620" s="1">
        <f>IFERROR(__xludf.DUMMYFUNCTION("""COMPUTED_VALUE"""),191.1)</f>
        <v>191.1</v>
      </c>
      <c r="E620" s="1">
        <f>IFERROR(__xludf.DUMMYFUNCTION("""COMPUTED_VALUE"""),192.65)</f>
        <v>192.65</v>
      </c>
      <c r="F620" s="1">
        <f>IFERROR(__xludf.DUMMYFUNCTION("""COMPUTED_VALUE"""),441260.0)</f>
        <v>441260</v>
      </c>
    </row>
    <row r="621">
      <c r="A621" s="2">
        <f>IFERROR(__xludf.DUMMYFUNCTION("""COMPUTED_VALUE"""),37431.645833333336)</f>
        <v>37431.64583</v>
      </c>
      <c r="B621" s="1">
        <f>IFERROR(__xludf.DUMMYFUNCTION("""COMPUTED_VALUE"""),192.95)</f>
        <v>192.95</v>
      </c>
      <c r="C621" s="1">
        <f>IFERROR(__xludf.DUMMYFUNCTION("""COMPUTED_VALUE"""),192.95)</f>
        <v>192.95</v>
      </c>
      <c r="D621" s="1">
        <f>IFERROR(__xludf.DUMMYFUNCTION("""COMPUTED_VALUE"""),187.9)</f>
        <v>187.9</v>
      </c>
      <c r="E621" s="1">
        <f>IFERROR(__xludf.DUMMYFUNCTION("""COMPUTED_VALUE"""),189.1)</f>
        <v>189.1</v>
      </c>
      <c r="F621" s="1">
        <f>IFERROR(__xludf.DUMMYFUNCTION("""COMPUTED_VALUE"""),1009151.0)</f>
        <v>1009151</v>
      </c>
    </row>
    <row r="622">
      <c r="A622" s="2">
        <f>IFERROR(__xludf.DUMMYFUNCTION("""COMPUTED_VALUE"""),37432.645833333336)</f>
        <v>37432.64583</v>
      </c>
      <c r="B622" s="1">
        <f>IFERROR(__xludf.DUMMYFUNCTION("""COMPUTED_VALUE"""),190.0)</f>
        <v>190</v>
      </c>
      <c r="C622" s="1">
        <f>IFERROR(__xludf.DUMMYFUNCTION("""COMPUTED_VALUE"""),193.8)</f>
        <v>193.8</v>
      </c>
      <c r="D622" s="1">
        <f>IFERROR(__xludf.DUMMYFUNCTION("""COMPUTED_VALUE"""),189.35)</f>
        <v>189.35</v>
      </c>
      <c r="E622" s="1">
        <f>IFERROR(__xludf.DUMMYFUNCTION("""COMPUTED_VALUE"""),190.8)</f>
        <v>190.8</v>
      </c>
      <c r="F622" s="1">
        <f>IFERROR(__xludf.DUMMYFUNCTION("""COMPUTED_VALUE"""),1117609.0)</f>
        <v>1117609</v>
      </c>
    </row>
    <row r="623">
      <c r="A623" s="2">
        <f>IFERROR(__xludf.DUMMYFUNCTION("""COMPUTED_VALUE"""),37433.645833333336)</f>
        <v>37433.64583</v>
      </c>
      <c r="B623" s="1">
        <f>IFERROR(__xludf.DUMMYFUNCTION("""COMPUTED_VALUE"""),199.0)</f>
        <v>199</v>
      </c>
      <c r="C623" s="1">
        <f>IFERROR(__xludf.DUMMYFUNCTION("""COMPUTED_VALUE"""),199.0)</f>
        <v>199</v>
      </c>
      <c r="D623" s="1">
        <f>IFERROR(__xludf.DUMMYFUNCTION("""COMPUTED_VALUE"""),190.75)</f>
        <v>190.75</v>
      </c>
      <c r="E623" s="1">
        <f>IFERROR(__xludf.DUMMYFUNCTION("""COMPUTED_VALUE"""),192.25)</f>
        <v>192.25</v>
      </c>
      <c r="F623" s="1">
        <f>IFERROR(__xludf.DUMMYFUNCTION("""COMPUTED_VALUE"""),703080.0)</f>
        <v>703080</v>
      </c>
    </row>
    <row r="624">
      <c r="A624" s="2">
        <f>IFERROR(__xludf.DUMMYFUNCTION("""COMPUTED_VALUE"""),37434.645833333336)</f>
        <v>37434.64583</v>
      </c>
      <c r="B624" s="1">
        <f>IFERROR(__xludf.DUMMYFUNCTION("""COMPUTED_VALUE"""),194.0)</f>
        <v>194</v>
      </c>
      <c r="C624" s="1">
        <f>IFERROR(__xludf.DUMMYFUNCTION("""COMPUTED_VALUE"""),194.5)</f>
        <v>194.5</v>
      </c>
      <c r="D624" s="1">
        <f>IFERROR(__xludf.DUMMYFUNCTION("""COMPUTED_VALUE"""),189.4)</f>
        <v>189.4</v>
      </c>
      <c r="E624" s="1">
        <f>IFERROR(__xludf.DUMMYFUNCTION("""COMPUTED_VALUE"""),189.9)</f>
        <v>189.9</v>
      </c>
      <c r="F624" s="1">
        <f>IFERROR(__xludf.DUMMYFUNCTION("""COMPUTED_VALUE"""),1403644.0)</f>
        <v>1403644</v>
      </c>
    </row>
    <row r="625">
      <c r="A625" s="2">
        <f>IFERROR(__xludf.DUMMYFUNCTION("""COMPUTED_VALUE"""),37435.645833333336)</f>
        <v>37435.64583</v>
      </c>
      <c r="B625" s="1">
        <f>IFERROR(__xludf.DUMMYFUNCTION("""COMPUTED_VALUE"""),210.0)</f>
        <v>210</v>
      </c>
      <c r="C625" s="1">
        <f>IFERROR(__xludf.DUMMYFUNCTION("""COMPUTED_VALUE"""),210.0)</f>
        <v>210</v>
      </c>
      <c r="D625" s="1">
        <f>IFERROR(__xludf.DUMMYFUNCTION("""COMPUTED_VALUE"""),190.8)</f>
        <v>190.8</v>
      </c>
      <c r="E625" s="1">
        <f>IFERROR(__xludf.DUMMYFUNCTION("""COMPUTED_VALUE"""),193.05)</f>
        <v>193.05</v>
      </c>
      <c r="F625" s="1">
        <f>IFERROR(__xludf.DUMMYFUNCTION("""COMPUTED_VALUE"""),503141.0)</f>
        <v>503141</v>
      </c>
    </row>
    <row r="626">
      <c r="A626" s="2">
        <f>IFERROR(__xludf.DUMMYFUNCTION("""COMPUTED_VALUE"""),37438.645833333336)</f>
        <v>37438.64583</v>
      </c>
      <c r="B626" s="1">
        <f>IFERROR(__xludf.DUMMYFUNCTION("""COMPUTED_VALUE"""),193.5)</f>
        <v>193.5</v>
      </c>
      <c r="C626" s="1">
        <f>IFERROR(__xludf.DUMMYFUNCTION("""COMPUTED_VALUE"""),194.9)</f>
        <v>194.9</v>
      </c>
      <c r="D626" s="1">
        <f>IFERROR(__xludf.DUMMYFUNCTION("""COMPUTED_VALUE"""),192.6)</f>
        <v>192.6</v>
      </c>
      <c r="E626" s="1">
        <f>IFERROR(__xludf.DUMMYFUNCTION("""COMPUTED_VALUE"""),194.4)</f>
        <v>194.4</v>
      </c>
      <c r="F626" s="1">
        <f>IFERROR(__xludf.DUMMYFUNCTION("""COMPUTED_VALUE"""),274836.0)</f>
        <v>274836</v>
      </c>
    </row>
    <row r="627">
      <c r="A627" s="2">
        <f>IFERROR(__xludf.DUMMYFUNCTION("""COMPUTED_VALUE"""),37439.645833333336)</f>
        <v>37439.64583</v>
      </c>
      <c r="B627" s="1">
        <f>IFERROR(__xludf.DUMMYFUNCTION("""COMPUTED_VALUE"""),194.9)</f>
        <v>194.9</v>
      </c>
      <c r="C627" s="1">
        <f>IFERROR(__xludf.DUMMYFUNCTION("""COMPUTED_VALUE"""),195.65)</f>
        <v>195.65</v>
      </c>
      <c r="D627" s="1">
        <f>IFERROR(__xludf.DUMMYFUNCTION("""COMPUTED_VALUE"""),191.1)</f>
        <v>191.1</v>
      </c>
      <c r="E627" s="1">
        <f>IFERROR(__xludf.DUMMYFUNCTION("""COMPUTED_VALUE"""),192.1)</f>
        <v>192.1</v>
      </c>
      <c r="F627" s="1">
        <f>IFERROR(__xludf.DUMMYFUNCTION("""COMPUTED_VALUE"""),569440.0)</f>
        <v>569440</v>
      </c>
    </row>
    <row r="628">
      <c r="A628" s="2">
        <f>IFERROR(__xludf.DUMMYFUNCTION("""COMPUTED_VALUE"""),37440.645833333336)</f>
        <v>37440.64583</v>
      </c>
      <c r="B628" s="1">
        <f>IFERROR(__xludf.DUMMYFUNCTION("""COMPUTED_VALUE"""),193.75)</f>
        <v>193.75</v>
      </c>
      <c r="C628" s="1">
        <f>IFERROR(__xludf.DUMMYFUNCTION("""COMPUTED_VALUE"""),194.95)</f>
        <v>194.95</v>
      </c>
      <c r="D628" s="1">
        <f>IFERROR(__xludf.DUMMYFUNCTION("""COMPUTED_VALUE"""),191.85)</f>
        <v>191.85</v>
      </c>
      <c r="E628" s="1">
        <f>IFERROR(__xludf.DUMMYFUNCTION("""COMPUTED_VALUE"""),194.05)</f>
        <v>194.05</v>
      </c>
      <c r="F628" s="1">
        <f>IFERROR(__xludf.DUMMYFUNCTION("""COMPUTED_VALUE"""),276207.0)</f>
        <v>276207</v>
      </c>
    </row>
    <row r="629">
      <c r="A629" s="2">
        <f>IFERROR(__xludf.DUMMYFUNCTION("""COMPUTED_VALUE"""),37441.645833333336)</f>
        <v>37441.64583</v>
      </c>
      <c r="B629" s="1">
        <f>IFERROR(__xludf.DUMMYFUNCTION("""COMPUTED_VALUE"""),192.0)</f>
        <v>192</v>
      </c>
      <c r="C629" s="1">
        <f>IFERROR(__xludf.DUMMYFUNCTION("""COMPUTED_VALUE"""),195.9)</f>
        <v>195.9</v>
      </c>
      <c r="D629" s="1">
        <f>IFERROR(__xludf.DUMMYFUNCTION("""COMPUTED_VALUE"""),192.0)</f>
        <v>192</v>
      </c>
      <c r="E629" s="1">
        <f>IFERROR(__xludf.DUMMYFUNCTION("""COMPUTED_VALUE"""),192.55)</f>
        <v>192.55</v>
      </c>
      <c r="F629" s="1">
        <f>IFERROR(__xludf.DUMMYFUNCTION("""COMPUTED_VALUE"""),433121.0)</f>
        <v>433121</v>
      </c>
    </row>
    <row r="630">
      <c r="A630" s="2">
        <f>IFERROR(__xludf.DUMMYFUNCTION("""COMPUTED_VALUE"""),37442.645833333336)</f>
        <v>37442.64583</v>
      </c>
      <c r="B630" s="1">
        <f>IFERROR(__xludf.DUMMYFUNCTION("""COMPUTED_VALUE"""),193.25)</f>
        <v>193.25</v>
      </c>
      <c r="C630" s="1">
        <f>IFERROR(__xludf.DUMMYFUNCTION("""COMPUTED_VALUE"""),194.4)</f>
        <v>194.4</v>
      </c>
      <c r="D630" s="1">
        <f>IFERROR(__xludf.DUMMYFUNCTION("""COMPUTED_VALUE"""),192.05)</f>
        <v>192.05</v>
      </c>
      <c r="E630" s="1">
        <f>IFERROR(__xludf.DUMMYFUNCTION("""COMPUTED_VALUE"""),192.85)</f>
        <v>192.85</v>
      </c>
      <c r="F630" s="1">
        <f>IFERROR(__xludf.DUMMYFUNCTION("""COMPUTED_VALUE"""),426927.0)</f>
        <v>426927</v>
      </c>
    </row>
    <row r="631">
      <c r="A631" s="2">
        <f>IFERROR(__xludf.DUMMYFUNCTION("""COMPUTED_VALUE"""),37445.645833333336)</f>
        <v>37445.64583</v>
      </c>
      <c r="B631" s="1">
        <f>IFERROR(__xludf.DUMMYFUNCTION("""COMPUTED_VALUE"""),193.9)</f>
        <v>193.9</v>
      </c>
      <c r="C631" s="1">
        <f>IFERROR(__xludf.DUMMYFUNCTION("""COMPUTED_VALUE"""),195.0)</f>
        <v>195</v>
      </c>
      <c r="D631" s="1">
        <f>IFERROR(__xludf.DUMMYFUNCTION("""COMPUTED_VALUE"""),191.5)</f>
        <v>191.5</v>
      </c>
      <c r="E631" s="1">
        <f>IFERROR(__xludf.DUMMYFUNCTION("""COMPUTED_VALUE"""),194.25)</f>
        <v>194.25</v>
      </c>
      <c r="F631" s="1">
        <f>IFERROR(__xludf.DUMMYFUNCTION("""COMPUTED_VALUE"""),227724.0)</f>
        <v>227724</v>
      </c>
    </row>
    <row r="632">
      <c r="A632" s="2">
        <f>IFERROR(__xludf.DUMMYFUNCTION("""COMPUTED_VALUE"""),37446.645833333336)</f>
        <v>37446.64583</v>
      </c>
      <c r="B632" s="1">
        <f>IFERROR(__xludf.DUMMYFUNCTION("""COMPUTED_VALUE"""),195.0)</f>
        <v>195</v>
      </c>
      <c r="C632" s="1">
        <f>IFERROR(__xludf.DUMMYFUNCTION("""COMPUTED_VALUE"""),195.2)</f>
        <v>195.2</v>
      </c>
      <c r="D632" s="1">
        <f>IFERROR(__xludf.DUMMYFUNCTION("""COMPUTED_VALUE"""),193.0)</f>
        <v>193</v>
      </c>
      <c r="E632" s="1">
        <f>IFERROR(__xludf.DUMMYFUNCTION("""COMPUTED_VALUE"""),194.75)</f>
        <v>194.75</v>
      </c>
      <c r="F632" s="1">
        <f>IFERROR(__xludf.DUMMYFUNCTION("""COMPUTED_VALUE"""),418137.0)</f>
        <v>418137</v>
      </c>
    </row>
    <row r="633">
      <c r="A633" s="2">
        <f>IFERROR(__xludf.DUMMYFUNCTION("""COMPUTED_VALUE"""),37447.645833333336)</f>
        <v>37447.64583</v>
      </c>
      <c r="B633" s="1">
        <f>IFERROR(__xludf.DUMMYFUNCTION("""COMPUTED_VALUE"""),194.0)</f>
        <v>194</v>
      </c>
      <c r="C633" s="1">
        <f>IFERROR(__xludf.DUMMYFUNCTION("""COMPUTED_VALUE"""),195.2)</f>
        <v>195.2</v>
      </c>
      <c r="D633" s="1">
        <f>IFERROR(__xludf.DUMMYFUNCTION("""COMPUTED_VALUE"""),192.05)</f>
        <v>192.05</v>
      </c>
      <c r="E633" s="1">
        <f>IFERROR(__xludf.DUMMYFUNCTION("""COMPUTED_VALUE"""),192.6)</f>
        <v>192.6</v>
      </c>
      <c r="F633" s="1">
        <f>IFERROR(__xludf.DUMMYFUNCTION("""COMPUTED_VALUE"""),405876.0)</f>
        <v>405876</v>
      </c>
    </row>
    <row r="634">
      <c r="A634" s="2">
        <f>IFERROR(__xludf.DUMMYFUNCTION("""COMPUTED_VALUE"""),37448.645833333336)</f>
        <v>37448.64583</v>
      </c>
      <c r="B634" s="1">
        <f>IFERROR(__xludf.DUMMYFUNCTION("""COMPUTED_VALUE"""),193.0)</f>
        <v>193</v>
      </c>
      <c r="C634" s="1">
        <f>IFERROR(__xludf.DUMMYFUNCTION("""COMPUTED_VALUE"""),194.7)</f>
        <v>194.7</v>
      </c>
      <c r="D634" s="1">
        <f>IFERROR(__xludf.DUMMYFUNCTION("""COMPUTED_VALUE"""),191.5)</f>
        <v>191.5</v>
      </c>
      <c r="E634" s="1">
        <f>IFERROR(__xludf.DUMMYFUNCTION("""COMPUTED_VALUE"""),193.85)</f>
        <v>193.85</v>
      </c>
      <c r="F634" s="1">
        <f>IFERROR(__xludf.DUMMYFUNCTION("""COMPUTED_VALUE"""),468975.0)</f>
        <v>468975</v>
      </c>
    </row>
    <row r="635">
      <c r="A635" s="2">
        <f>IFERROR(__xludf.DUMMYFUNCTION("""COMPUTED_VALUE"""),37449.645833333336)</f>
        <v>37449.64583</v>
      </c>
      <c r="B635" s="1">
        <f>IFERROR(__xludf.DUMMYFUNCTION("""COMPUTED_VALUE"""),194.7)</f>
        <v>194.7</v>
      </c>
      <c r="C635" s="1">
        <f>IFERROR(__xludf.DUMMYFUNCTION("""COMPUTED_VALUE"""),194.95)</f>
        <v>194.95</v>
      </c>
      <c r="D635" s="1">
        <f>IFERROR(__xludf.DUMMYFUNCTION("""COMPUTED_VALUE"""),193.0)</f>
        <v>193</v>
      </c>
      <c r="E635" s="1">
        <f>IFERROR(__xludf.DUMMYFUNCTION("""COMPUTED_VALUE"""),194.5)</f>
        <v>194.5</v>
      </c>
      <c r="F635" s="1">
        <f>IFERROR(__xludf.DUMMYFUNCTION("""COMPUTED_VALUE"""),170822.0)</f>
        <v>170822</v>
      </c>
    </row>
    <row r="636">
      <c r="A636" s="2">
        <f>IFERROR(__xludf.DUMMYFUNCTION("""COMPUTED_VALUE"""),37452.645833333336)</f>
        <v>37452.64583</v>
      </c>
      <c r="B636" s="1">
        <f>IFERROR(__xludf.DUMMYFUNCTION("""COMPUTED_VALUE"""),193.15)</f>
        <v>193.15</v>
      </c>
      <c r="C636" s="1">
        <f>IFERROR(__xludf.DUMMYFUNCTION("""COMPUTED_VALUE"""),194.9)</f>
        <v>194.9</v>
      </c>
      <c r="D636" s="1">
        <f>IFERROR(__xludf.DUMMYFUNCTION("""COMPUTED_VALUE"""),191.55)</f>
        <v>191.55</v>
      </c>
      <c r="E636" s="1">
        <f>IFERROR(__xludf.DUMMYFUNCTION("""COMPUTED_VALUE"""),192.05)</f>
        <v>192.05</v>
      </c>
      <c r="F636" s="1">
        <f>IFERROR(__xludf.DUMMYFUNCTION("""COMPUTED_VALUE"""),566638.0)</f>
        <v>566638</v>
      </c>
    </row>
    <row r="637">
      <c r="A637" s="2">
        <f>IFERROR(__xludf.DUMMYFUNCTION("""COMPUTED_VALUE"""),37453.645833333336)</f>
        <v>37453.64583</v>
      </c>
      <c r="B637" s="1">
        <f>IFERROR(__xludf.DUMMYFUNCTION("""COMPUTED_VALUE"""),192.5)</f>
        <v>192.5</v>
      </c>
      <c r="C637" s="1">
        <f>IFERROR(__xludf.DUMMYFUNCTION("""COMPUTED_VALUE"""),192.5)</f>
        <v>192.5</v>
      </c>
      <c r="D637" s="1">
        <f>IFERROR(__xludf.DUMMYFUNCTION("""COMPUTED_VALUE"""),187.75)</f>
        <v>187.75</v>
      </c>
      <c r="E637" s="1">
        <f>IFERROR(__xludf.DUMMYFUNCTION("""COMPUTED_VALUE"""),187.95)</f>
        <v>187.95</v>
      </c>
      <c r="F637" s="1">
        <f>IFERROR(__xludf.DUMMYFUNCTION("""COMPUTED_VALUE"""),750932.0)</f>
        <v>750932</v>
      </c>
    </row>
    <row r="638">
      <c r="A638" s="2">
        <f>IFERROR(__xludf.DUMMYFUNCTION("""COMPUTED_VALUE"""),37454.645833333336)</f>
        <v>37454.64583</v>
      </c>
      <c r="B638" s="1">
        <f>IFERROR(__xludf.DUMMYFUNCTION("""COMPUTED_VALUE"""),188.0)</f>
        <v>188</v>
      </c>
      <c r="C638" s="1">
        <f>IFERROR(__xludf.DUMMYFUNCTION("""COMPUTED_VALUE"""),188.0)</f>
        <v>188</v>
      </c>
      <c r="D638" s="1">
        <f>IFERROR(__xludf.DUMMYFUNCTION("""COMPUTED_VALUE"""),185.0)</f>
        <v>185</v>
      </c>
      <c r="E638" s="1">
        <f>IFERROR(__xludf.DUMMYFUNCTION("""COMPUTED_VALUE"""),185.7)</f>
        <v>185.7</v>
      </c>
      <c r="F638" s="1">
        <f>IFERROR(__xludf.DUMMYFUNCTION("""COMPUTED_VALUE"""),885677.0)</f>
        <v>885677</v>
      </c>
    </row>
    <row r="639">
      <c r="A639" s="2">
        <f>IFERROR(__xludf.DUMMYFUNCTION("""COMPUTED_VALUE"""),37455.645833333336)</f>
        <v>37455.64583</v>
      </c>
      <c r="B639" s="1">
        <f>IFERROR(__xludf.DUMMYFUNCTION("""COMPUTED_VALUE"""),187.5)</f>
        <v>187.5</v>
      </c>
      <c r="C639" s="1">
        <f>IFERROR(__xludf.DUMMYFUNCTION("""COMPUTED_VALUE"""),187.9)</f>
        <v>187.9</v>
      </c>
      <c r="D639" s="1">
        <f>IFERROR(__xludf.DUMMYFUNCTION("""COMPUTED_VALUE"""),185.3)</f>
        <v>185.3</v>
      </c>
      <c r="E639" s="1">
        <f>IFERROR(__xludf.DUMMYFUNCTION("""COMPUTED_VALUE"""),186.75)</f>
        <v>186.75</v>
      </c>
      <c r="F639" s="1">
        <f>IFERROR(__xludf.DUMMYFUNCTION("""COMPUTED_VALUE"""),563799.0)</f>
        <v>563799</v>
      </c>
    </row>
    <row r="640">
      <c r="A640" s="2">
        <f>IFERROR(__xludf.DUMMYFUNCTION("""COMPUTED_VALUE"""),37456.645833333336)</f>
        <v>37456.64583</v>
      </c>
      <c r="B640" s="1">
        <f>IFERROR(__xludf.DUMMYFUNCTION("""COMPUTED_VALUE"""),187.9)</f>
        <v>187.9</v>
      </c>
      <c r="C640" s="1">
        <f>IFERROR(__xludf.DUMMYFUNCTION("""COMPUTED_VALUE"""),189.0)</f>
        <v>189</v>
      </c>
      <c r="D640" s="1">
        <f>IFERROR(__xludf.DUMMYFUNCTION("""COMPUTED_VALUE"""),186.75)</f>
        <v>186.75</v>
      </c>
      <c r="E640" s="1">
        <f>IFERROR(__xludf.DUMMYFUNCTION("""COMPUTED_VALUE"""),187.15)</f>
        <v>187.15</v>
      </c>
      <c r="F640" s="1">
        <f>IFERROR(__xludf.DUMMYFUNCTION("""COMPUTED_VALUE"""),757348.0)</f>
        <v>757348</v>
      </c>
    </row>
    <row r="641">
      <c r="A641" s="2">
        <f>IFERROR(__xludf.DUMMYFUNCTION("""COMPUTED_VALUE"""),37459.645833333336)</f>
        <v>37459.64583</v>
      </c>
      <c r="B641" s="1">
        <f>IFERROR(__xludf.DUMMYFUNCTION("""COMPUTED_VALUE"""),186.5)</f>
        <v>186.5</v>
      </c>
      <c r="C641" s="1">
        <f>IFERROR(__xludf.DUMMYFUNCTION("""COMPUTED_VALUE"""),188.95)</f>
        <v>188.95</v>
      </c>
      <c r="D641" s="1">
        <f>IFERROR(__xludf.DUMMYFUNCTION("""COMPUTED_VALUE"""),181.55)</f>
        <v>181.55</v>
      </c>
      <c r="E641" s="1">
        <f>IFERROR(__xludf.DUMMYFUNCTION("""COMPUTED_VALUE"""),185.05)</f>
        <v>185.05</v>
      </c>
      <c r="F641" s="1">
        <f>IFERROR(__xludf.DUMMYFUNCTION("""COMPUTED_VALUE"""),1802517.0)</f>
        <v>1802517</v>
      </c>
    </row>
    <row r="642">
      <c r="A642" s="2">
        <f>IFERROR(__xludf.DUMMYFUNCTION("""COMPUTED_VALUE"""),37460.645833333336)</f>
        <v>37460.64583</v>
      </c>
      <c r="B642" s="1">
        <f>IFERROR(__xludf.DUMMYFUNCTION("""COMPUTED_VALUE"""),184.7)</f>
        <v>184.7</v>
      </c>
      <c r="C642" s="1">
        <f>IFERROR(__xludf.DUMMYFUNCTION("""COMPUTED_VALUE"""),185.0)</f>
        <v>185</v>
      </c>
      <c r="D642" s="1">
        <f>IFERROR(__xludf.DUMMYFUNCTION("""COMPUTED_VALUE"""),182.25)</f>
        <v>182.25</v>
      </c>
      <c r="E642" s="1">
        <f>IFERROR(__xludf.DUMMYFUNCTION("""COMPUTED_VALUE"""),184.65)</f>
        <v>184.65</v>
      </c>
      <c r="F642" s="1">
        <f>IFERROR(__xludf.DUMMYFUNCTION("""COMPUTED_VALUE"""),1157869.0)</f>
        <v>1157869</v>
      </c>
    </row>
    <row r="643">
      <c r="A643" s="2">
        <f>IFERROR(__xludf.DUMMYFUNCTION("""COMPUTED_VALUE"""),37461.645833333336)</f>
        <v>37461.64583</v>
      </c>
      <c r="B643" s="1">
        <f>IFERROR(__xludf.DUMMYFUNCTION("""COMPUTED_VALUE"""),184.0)</f>
        <v>184</v>
      </c>
      <c r="C643" s="1">
        <f>IFERROR(__xludf.DUMMYFUNCTION("""COMPUTED_VALUE"""),185.7)</f>
        <v>185.7</v>
      </c>
      <c r="D643" s="1">
        <f>IFERROR(__xludf.DUMMYFUNCTION("""COMPUTED_VALUE"""),182.7)</f>
        <v>182.7</v>
      </c>
      <c r="E643" s="1">
        <f>IFERROR(__xludf.DUMMYFUNCTION("""COMPUTED_VALUE"""),183.15)</f>
        <v>183.15</v>
      </c>
      <c r="F643" s="1">
        <f>IFERROR(__xludf.DUMMYFUNCTION("""COMPUTED_VALUE"""),708954.0)</f>
        <v>708954</v>
      </c>
    </row>
    <row r="644">
      <c r="A644" s="2">
        <f>IFERROR(__xludf.DUMMYFUNCTION("""COMPUTED_VALUE"""),37462.645833333336)</f>
        <v>37462.64583</v>
      </c>
      <c r="B644" s="1">
        <f>IFERROR(__xludf.DUMMYFUNCTION("""COMPUTED_VALUE"""),185.5)</f>
        <v>185.5</v>
      </c>
      <c r="C644" s="1">
        <f>IFERROR(__xludf.DUMMYFUNCTION("""COMPUTED_VALUE"""),187.7)</f>
        <v>187.7</v>
      </c>
      <c r="D644" s="1">
        <f>IFERROR(__xludf.DUMMYFUNCTION("""COMPUTED_VALUE"""),181.55)</f>
        <v>181.55</v>
      </c>
      <c r="E644" s="1">
        <f>IFERROR(__xludf.DUMMYFUNCTION("""COMPUTED_VALUE"""),182.3)</f>
        <v>182.3</v>
      </c>
      <c r="F644" s="1">
        <f>IFERROR(__xludf.DUMMYFUNCTION("""COMPUTED_VALUE"""),1124093.0)</f>
        <v>1124093</v>
      </c>
    </row>
    <row r="645">
      <c r="A645" s="2">
        <f>IFERROR(__xludf.DUMMYFUNCTION("""COMPUTED_VALUE"""),37463.645833333336)</f>
        <v>37463.64583</v>
      </c>
      <c r="B645" s="1">
        <f>IFERROR(__xludf.DUMMYFUNCTION("""COMPUTED_VALUE"""),182.0)</f>
        <v>182</v>
      </c>
      <c r="C645" s="1">
        <f>IFERROR(__xludf.DUMMYFUNCTION("""COMPUTED_VALUE"""),184.8)</f>
        <v>184.8</v>
      </c>
      <c r="D645" s="1">
        <f>IFERROR(__xludf.DUMMYFUNCTION("""COMPUTED_VALUE"""),172.15)</f>
        <v>172.15</v>
      </c>
      <c r="E645" s="1">
        <f>IFERROR(__xludf.DUMMYFUNCTION("""COMPUTED_VALUE"""),174.8)</f>
        <v>174.8</v>
      </c>
      <c r="F645" s="1">
        <f>IFERROR(__xludf.DUMMYFUNCTION("""COMPUTED_VALUE"""),1512421.0)</f>
        <v>1512421</v>
      </c>
    </row>
    <row r="646">
      <c r="A646" s="2">
        <f>IFERROR(__xludf.DUMMYFUNCTION("""COMPUTED_VALUE"""),37466.645833333336)</f>
        <v>37466.64583</v>
      </c>
      <c r="B646" s="1">
        <f>IFERROR(__xludf.DUMMYFUNCTION("""COMPUTED_VALUE"""),178.0)</f>
        <v>178</v>
      </c>
      <c r="C646" s="1">
        <f>IFERROR(__xludf.DUMMYFUNCTION("""COMPUTED_VALUE"""),178.0)</f>
        <v>178</v>
      </c>
      <c r="D646" s="1">
        <f>IFERROR(__xludf.DUMMYFUNCTION("""COMPUTED_VALUE"""),172.0)</f>
        <v>172</v>
      </c>
      <c r="E646" s="1">
        <f>IFERROR(__xludf.DUMMYFUNCTION("""COMPUTED_VALUE"""),175.3)</f>
        <v>175.3</v>
      </c>
      <c r="F646" s="1">
        <f>IFERROR(__xludf.DUMMYFUNCTION("""COMPUTED_VALUE"""),624194.0)</f>
        <v>624194</v>
      </c>
    </row>
    <row r="647">
      <c r="A647" s="2">
        <f>IFERROR(__xludf.DUMMYFUNCTION("""COMPUTED_VALUE"""),37467.645833333336)</f>
        <v>37467.64583</v>
      </c>
      <c r="B647" s="1">
        <f>IFERROR(__xludf.DUMMYFUNCTION("""COMPUTED_VALUE"""),177.95)</f>
        <v>177.95</v>
      </c>
      <c r="C647" s="1">
        <f>IFERROR(__xludf.DUMMYFUNCTION("""COMPUTED_VALUE"""),177.95)</f>
        <v>177.95</v>
      </c>
      <c r="D647" s="1">
        <f>IFERROR(__xludf.DUMMYFUNCTION("""COMPUTED_VALUE"""),172.5)</f>
        <v>172.5</v>
      </c>
      <c r="E647" s="1">
        <f>IFERROR(__xludf.DUMMYFUNCTION("""COMPUTED_VALUE"""),173.45)</f>
        <v>173.45</v>
      </c>
      <c r="F647" s="1">
        <f>IFERROR(__xludf.DUMMYFUNCTION("""COMPUTED_VALUE"""),471589.0)</f>
        <v>471589</v>
      </c>
    </row>
    <row r="648">
      <c r="A648" s="2">
        <f>IFERROR(__xludf.DUMMYFUNCTION("""COMPUTED_VALUE"""),37468.645833333336)</f>
        <v>37468.64583</v>
      </c>
      <c r="B648" s="1">
        <f>IFERROR(__xludf.DUMMYFUNCTION("""COMPUTED_VALUE"""),172.55)</f>
        <v>172.55</v>
      </c>
      <c r="C648" s="1">
        <f>IFERROR(__xludf.DUMMYFUNCTION("""COMPUTED_VALUE"""),173.4)</f>
        <v>173.4</v>
      </c>
      <c r="D648" s="1">
        <f>IFERROR(__xludf.DUMMYFUNCTION("""COMPUTED_VALUE"""),167.05)</f>
        <v>167.05</v>
      </c>
      <c r="E648" s="1">
        <f>IFERROR(__xludf.DUMMYFUNCTION("""COMPUTED_VALUE"""),170.8)</f>
        <v>170.8</v>
      </c>
      <c r="F648" s="1">
        <f>IFERROR(__xludf.DUMMYFUNCTION("""COMPUTED_VALUE"""),1697471.0)</f>
        <v>1697471</v>
      </c>
    </row>
    <row r="649">
      <c r="A649" s="2">
        <f>IFERROR(__xludf.DUMMYFUNCTION("""COMPUTED_VALUE"""),37469.645833333336)</f>
        <v>37469.64583</v>
      </c>
      <c r="B649" s="1">
        <f>IFERROR(__xludf.DUMMYFUNCTION("""COMPUTED_VALUE"""),172.0)</f>
        <v>172</v>
      </c>
      <c r="C649" s="1">
        <f>IFERROR(__xludf.DUMMYFUNCTION("""COMPUTED_VALUE"""),172.5)</f>
        <v>172.5</v>
      </c>
      <c r="D649" s="1">
        <f>IFERROR(__xludf.DUMMYFUNCTION("""COMPUTED_VALUE"""),167.0)</f>
        <v>167</v>
      </c>
      <c r="E649" s="1">
        <f>IFERROR(__xludf.DUMMYFUNCTION("""COMPUTED_VALUE"""),168.0)</f>
        <v>168</v>
      </c>
      <c r="F649" s="1">
        <f>IFERROR(__xludf.DUMMYFUNCTION("""COMPUTED_VALUE"""),1026250.0)</f>
        <v>1026250</v>
      </c>
    </row>
    <row r="650">
      <c r="A650" s="2">
        <f>IFERROR(__xludf.DUMMYFUNCTION("""COMPUTED_VALUE"""),37470.645833333336)</f>
        <v>37470.64583</v>
      </c>
      <c r="B650" s="1">
        <f>IFERROR(__xludf.DUMMYFUNCTION("""COMPUTED_VALUE"""),168.4)</f>
        <v>168.4</v>
      </c>
      <c r="C650" s="1">
        <f>IFERROR(__xludf.DUMMYFUNCTION("""COMPUTED_VALUE"""),171.8)</f>
        <v>171.8</v>
      </c>
      <c r="D650" s="1">
        <f>IFERROR(__xludf.DUMMYFUNCTION("""COMPUTED_VALUE"""),166.0)</f>
        <v>166</v>
      </c>
      <c r="E650" s="1">
        <f>IFERROR(__xludf.DUMMYFUNCTION("""COMPUTED_VALUE"""),171.2)</f>
        <v>171.2</v>
      </c>
      <c r="F650" s="1">
        <f>IFERROR(__xludf.DUMMYFUNCTION("""COMPUTED_VALUE"""),757093.0)</f>
        <v>757093</v>
      </c>
    </row>
    <row r="651">
      <c r="A651" s="2">
        <f>IFERROR(__xludf.DUMMYFUNCTION("""COMPUTED_VALUE"""),37473.645833333336)</f>
        <v>37473.64583</v>
      </c>
      <c r="B651" s="1">
        <f>IFERROR(__xludf.DUMMYFUNCTION("""COMPUTED_VALUE"""),174.0)</f>
        <v>174</v>
      </c>
      <c r="C651" s="1">
        <f>IFERROR(__xludf.DUMMYFUNCTION("""COMPUTED_VALUE"""),175.0)</f>
        <v>175</v>
      </c>
      <c r="D651" s="1">
        <f>IFERROR(__xludf.DUMMYFUNCTION("""COMPUTED_VALUE"""),171.2)</f>
        <v>171.2</v>
      </c>
      <c r="E651" s="1">
        <f>IFERROR(__xludf.DUMMYFUNCTION("""COMPUTED_VALUE"""),172.8)</f>
        <v>172.8</v>
      </c>
      <c r="F651" s="1">
        <f>IFERROR(__xludf.DUMMYFUNCTION("""COMPUTED_VALUE"""),578202.0)</f>
        <v>578202</v>
      </c>
    </row>
    <row r="652">
      <c r="A652" s="2">
        <f>IFERROR(__xludf.DUMMYFUNCTION("""COMPUTED_VALUE"""),37474.645833333336)</f>
        <v>37474.64583</v>
      </c>
      <c r="B652" s="1">
        <f>IFERROR(__xludf.DUMMYFUNCTION("""COMPUTED_VALUE"""),172.5)</f>
        <v>172.5</v>
      </c>
      <c r="C652" s="1">
        <f>IFERROR(__xludf.DUMMYFUNCTION("""COMPUTED_VALUE"""),173.8)</f>
        <v>173.8</v>
      </c>
      <c r="D652" s="1">
        <f>IFERROR(__xludf.DUMMYFUNCTION("""COMPUTED_VALUE"""),171.2)</f>
        <v>171.2</v>
      </c>
      <c r="E652" s="1">
        <f>IFERROR(__xludf.DUMMYFUNCTION("""COMPUTED_VALUE"""),173.3)</f>
        <v>173.3</v>
      </c>
      <c r="F652" s="1">
        <f>IFERROR(__xludf.DUMMYFUNCTION("""COMPUTED_VALUE"""),428357.0)</f>
        <v>428357</v>
      </c>
    </row>
    <row r="653">
      <c r="A653" s="2">
        <f>IFERROR(__xludf.DUMMYFUNCTION("""COMPUTED_VALUE"""),37475.645833333336)</f>
        <v>37475.64583</v>
      </c>
      <c r="B653" s="1">
        <f>IFERROR(__xludf.DUMMYFUNCTION("""COMPUTED_VALUE"""),174.0)</f>
        <v>174</v>
      </c>
      <c r="C653" s="1">
        <f>IFERROR(__xludf.DUMMYFUNCTION("""COMPUTED_VALUE"""),175.9)</f>
        <v>175.9</v>
      </c>
      <c r="D653" s="1">
        <f>IFERROR(__xludf.DUMMYFUNCTION("""COMPUTED_VALUE"""),169.25)</f>
        <v>169.25</v>
      </c>
      <c r="E653" s="1">
        <f>IFERROR(__xludf.DUMMYFUNCTION("""COMPUTED_VALUE"""),170.0)</f>
        <v>170</v>
      </c>
      <c r="F653" s="1">
        <f>IFERROR(__xludf.DUMMYFUNCTION("""COMPUTED_VALUE"""),1428687.0)</f>
        <v>1428687</v>
      </c>
    </row>
    <row r="654">
      <c r="A654" s="2">
        <f>IFERROR(__xludf.DUMMYFUNCTION("""COMPUTED_VALUE"""),37476.645833333336)</f>
        <v>37476.64583</v>
      </c>
      <c r="B654" s="1">
        <f>IFERROR(__xludf.DUMMYFUNCTION("""COMPUTED_VALUE"""),171.9)</f>
        <v>171.9</v>
      </c>
      <c r="C654" s="1">
        <f>IFERROR(__xludf.DUMMYFUNCTION("""COMPUTED_VALUE"""),171.9)</f>
        <v>171.9</v>
      </c>
      <c r="D654" s="1">
        <f>IFERROR(__xludf.DUMMYFUNCTION("""COMPUTED_VALUE"""),167.0)</f>
        <v>167</v>
      </c>
      <c r="E654" s="1">
        <f>IFERROR(__xludf.DUMMYFUNCTION("""COMPUTED_VALUE"""),168.15)</f>
        <v>168.15</v>
      </c>
      <c r="F654" s="1">
        <f>IFERROR(__xludf.DUMMYFUNCTION("""COMPUTED_VALUE"""),837760.0)</f>
        <v>837760</v>
      </c>
    </row>
    <row r="655">
      <c r="A655" s="2">
        <f>IFERROR(__xludf.DUMMYFUNCTION("""COMPUTED_VALUE"""),37477.645833333336)</f>
        <v>37477.64583</v>
      </c>
      <c r="B655" s="1">
        <f>IFERROR(__xludf.DUMMYFUNCTION("""COMPUTED_VALUE"""),168.25)</f>
        <v>168.25</v>
      </c>
      <c r="C655" s="1">
        <f>IFERROR(__xludf.DUMMYFUNCTION("""COMPUTED_VALUE"""),168.9)</f>
        <v>168.9</v>
      </c>
      <c r="D655" s="1">
        <f>IFERROR(__xludf.DUMMYFUNCTION("""COMPUTED_VALUE"""),163.2)</f>
        <v>163.2</v>
      </c>
      <c r="E655" s="1">
        <f>IFERROR(__xludf.DUMMYFUNCTION("""COMPUTED_VALUE"""),166.25)</f>
        <v>166.25</v>
      </c>
      <c r="F655" s="1">
        <f>IFERROR(__xludf.DUMMYFUNCTION("""COMPUTED_VALUE"""),1457925.0)</f>
        <v>1457925</v>
      </c>
    </row>
    <row r="656">
      <c r="A656" s="2">
        <f>IFERROR(__xludf.DUMMYFUNCTION("""COMPUTED_VALUE"""),37480.645833333336)</f>
        <v>37480.64583</v>
      </c>
      <c r="B656" s="1">
        <f>IFERROR(__xludf.DUMMYFUNCTION("""COMPUTED_VALUE"""),166.25)</f>
        <v>166.25</v>
      </c>
      <c r="C656" s="1">
        <f>IFERROR(__xludf.DUMMYFUNCTION("""COMPUTED_VALUE"""),169.4)</f>
        <v>169.4</v>
      </c>
      <c r="D656" s="1">
        <f>IFERROR(__xludf.DUMMYFUNCTION("""COMPUTED_VALUE"""),165.0)</f>
        <v>165</v>
      </c>
      <c r="E656" s="1">
        <f>IFERROR(__xludf.DUMMYFUNCTION("""COMPUTED_VALUE"""),167.75)</f>
        <v>167.75</v>
      </c>
      <c r="F656" s="1">
        <f>IFERROR(__xludf.DUMMYFUNCTION("""COMPUTED_VALUE"""),977597.0)</f>
        <v>977597</v>
      </c>
    </row>
    <row r="657">
      <c r="A657" s="2">
        <f>IFERROR(__xludf.DUMMYFUNCTION("""COMPUTED_VALUE"""),37481.645833333336)</f>
        <v>37481.64583</v>
      </c>
      <c r="B657" s="1">
        <f>IFERROR(__xludf.DUMMYFUNCTION("""COMPUTED_VALUE"""),169.0)</f>
        <v>169</v>
      </c>
      <c r="C657" s="1">
        <f>IFERROR(__xludf.DUMMYFUNCTION("""COMPUTED_VALUE"""),174.85)</f>
        <v>174.85</v>
      </c>
      <c r="D657" s="1">
        <f>IFERROR(__xludf.DUMMYFUNCTION("""COMPUTED_VALUE"""),169.0)</f>
        <v>169</v>
      </c>
      <c r="E657" s="1">
        <f>IFERROR(__xludf.DUMMYFUNCTION("""COMPUTED_VALUE"""),173.35)</f>
        <v>173.35</v>
      </c>
      <c r="F657" s="1">
        <f>IFERROR(__xludf.DUMMYFUNCTION("""COMPUTED_VALUE"""),1307965.0)</f>
        <v>1307965</v>
      </c>
    </row>
    <row r="658">
      <c r="A658" s="2">
        <f>IFERROR(__xludf.DUMMYFUNCTION("""COMPUTED_VALUE"""),37482.645833333336)</f>
        <v>37482.64583</v>
      </c>
      <c r="B658" s="1">
        <f>IFERROR(__xludf.DUMMYFUNCTION("""COMPUTED_VALUE"""),172.45)</f>
        <v>172.45</v>
      </c>
      <c r="C658" s="1">
        <f>IFERROR(__xludf.DUMMYFUNCTION("""COMPUTED_VALUE"""),175.0)</f>
        <v>175</v>
      </c>
      <c r="D658" s="1">
        <f>IFERROR(__xludf.DUMMYFUNCTION("""COMPUTED_VALUE"""),171.8)</f>
        <v>171.8</v>
      </c>
      <c r="E658" s="1">
        <f>IFERROR(__xludf.DUMMYFUNCTION("""COMPUTED_VALUE"""),174.5)</f>
        <v>174.5</v>
      </c>
      <c r="F658" s="1">
        <f>IFERROR(__xludf.DUMMYFUNCTION("""COMPUTED_VALUE"""),833142.0)</f>
        <v>833142</v>
      </c>
    </row>
    <row r="659">
      <c r="A659" s="2">
        <f>IFERROR(__xludf.DUMMYFUNCTION("""COMPUTED_VALUE"""),37484.645833333336)</f>
        <v>37484.64583</v>
      </c>
      <c r="B659" s="1">
        <f>IFERROR(__xludf.DUMMYFUNCTION("""COMPUTED_VALUE"""),175.0)</f>
        <v>175</v>
      </c>
      <c r="C659" s="1">
        <f>IFERROR(__xludf.DUMMYFUNCTION("""COMPUTED_VALUE"""),183.7)</f>
        <v>183.7</v>
      </c>
      <c r="D659" s="1">
        <f>IFERROR(__xludf.DUMMYFUNCTION("""COMPUTED_VALUE"""),175.0)</f>
        <v>175</v>
      </c>
      <c r="E659" s="1">
        <f>IFERROR(__xludf.DUMMYFUNCTION("""COMPUTED_VALUE"""),182.2)</f>
        <v>182.2</v>
      </c>
      <c r="F659" s="1">
        <f>IFERROR(__xludf.DUMMYFUNCTION("""COMPUTED_VALUE"""),3482580.0)</f>
        <v>3482580</v>
      </c>
    </row>
    <row r="660">
      <c r="A660" s="2">
        <f>IFERROR(__xludf.DUMMYFUNCTION("""COMPUTED_VALUE"""),37487.645833333336)</f>
        <v>37487.64583</v>
      </c>
      <c r="B660" s="1">
        <f>IFERROR(__xludf.DUMMYFUNCTION("""COMPUTED_VALUE"""),181.0)</f>
        <v>181</v>
      </c>
      <c r="C660" s="1">
        <f>IFERROR(__xludf.DUMMYFUNCTION("""COMPUTED_VALUE"""),183.65)</f>
        <v>183.65</v>
      </c>
      <c r="D660" s="1">
        <f>IFERROR(__xludf.DUMMYFUNCTION("""COMPUTED_VALUE"""),179.5)</f>
        <v>179.5</v>
      </c>
      <c r="E660" s="1">
        <f>IFERROR(__xludf.DUMMYFUNCTION("""COMPUTED_VALUE"""),179.9)</f>
        <v>179.9</v>
      </c>
      <c r="F660" s="1">
        <f>IFERROR(__xludf.DUMMYFUNCTION("""COMPUTED_VALUE"""),799581.0)</f>
        <v>799581</v>
      </c>
    </row>
    <row r="661">
      <c r="A661" s="2">
        <f>IFERROR(__xludf.DUMMYFUNCTION("""COMPUTED_VALUE"""),37488.645833333336)</f>
        <v>37488.64583</v>
      </c>
      <c r="B661" s="1">
        <f>IFERROR(__xludf.DUMMYFUNCTION("""COMPUTED_VALUE"""),180.0)</f>
        <v>180</v>
      </c>
      <c r="C661" s="1">
        <f>IFERROR(__xludf.DUMMYFUNCTION("""COMPUTED_VALUE"""),181.45)</f>
        <v>181.45</v>
      </c>
      <c r="D661" s="1">
        <f>IFERROR(__xludf.DUMMYFUNCTION("""COMPUTED_VALUE"""),178.25)</f>
        <v>178.25</v>
      </c>
      <c r="E661" s="1">
        <f>IFERROR(__xludf.DUMMYFUNCTION("""COMPUTED_VALUE"""),179.9)</f>
        <v>179.9</v>
      </c>
      <c r="F661" s="1">
        <f>IFERROR(__xludf.DUMMYFUNCTION("""COMPUTED_VALUE"""),635643.0)</f>
        <v>635643</v>
      </c>
    </row>
    <row r="662">
      <c r="A662" s="2">
        <f>IFERROR(__xludf.DUMMYFUNCTION("""COMPUTED_VALUE"""),37489.645833333336)</f>
        <v>37489.64583</v>
      </c>
      <c r="B662" s="1">
        <f>IFERROR(__xludf.DUMMYFUNCTION("""COMPUTED_VALUE"""),180.0)</f>
        <v>180</v>
      </c>
      <c r="C662" s="1">
        <f>IFERROR(__xludf.DUMMYFUNCTION("""COMPUTED_VALUE"""),181.5)</f>
        <v>181.5</v>
      </c>
      <c r="D662" s="1">
        <f>IFERROR(__xludf.DUMMYFUNCTION("""COMPUTED_VALUE"""),179.05)</f>
        <v>179.05</v>
      </c>
      <c r="E662" s="1">
        <f>IFERROR(__xludf.DUMMYFUNCTION("""COMPUTED_VALUE"""),179.85)</f>
        <v>179.85</v>
      </c>
      <c r="F662" s="1">
        <f>IFERROR(__xludf.DUMMYFUNCTION("""COMPUTED_VALUE"""),364454.0)</f>
        <v>364454</v>
      </c>
    </row>
    <row r="663">
      <c r="A663" s="2">
        <f>IFERROR(__xludf.DUMMYFUNCTION("""COMPUTED_VALUE"""),37490.645833333336)</f>
        <v>37490.64583</v>
      </c>
      <c r="B663" s="1">
        <f>IFERROR(__xludf.DUMMYFUNCTION("""COMPUTED_VALUE"""),182.0)</f>
        <v>182</v>
      </c>
      <c r="C663" s="1">
        <f>IFERROR(__xludf.DUMMYFUNCTION("""COMPUTED_VALUE"""),183.4)</f>
        <v>183.4</v>
      </c>
      <c r="D663" s="1">
        <f>IFERROR(__xludf.DUMMYFUNCTION("""COMPUTED_VALUE"""),177.7)</f>
        <v>177.7</v>
      </c>
      <c r="E663" s="1">
        <f>IFERROR(__xludf.DUMMYFUNCTION("""COMPUTED_VALUE"""),177.95)</f>
        <v>177.95</v>
      </c>
      <c r="F663" s="1">
        <f>IFERROR(__xludf.DUMMYFUNCTION("""COMPUTED_VALUE"""),852821.0)</f>
        <v>852821</v>
      </c>
    </row>
    <row r="664">
      <c r="A664" s="2">
        <f>IFERROR(__xludf.DUMMYFUNCTION("""COMPUTED_VALUE"""),37491.645833333336)</f>
        <v>37491.64583</v>
      </c>
      <c r="B664" s="1">
        <f>IFERROR(__xludf.DUMMYFUNCTION("""COMPUTED_VALUE"""),177.15)</f>
        <v>177.15</v>
      </c>
      <c r="C664" s="1">
        <f>IFERROR(__xludf.DUMMYFUNCTION("""COMPUTED_VALUE"""),180.0)</f>
        <v>180</v>
      </c>
      <c r="D664" s="1">
        <f>IFERROR(__xludf.DUMMYFUNCTION("""COMPUTED_VALUE"""),177.05)</f>
        <v>177.05</v>
      </c>
      <c r="E664" s="1">
        <f>IFERROR(__xludf.DUMMYFUNCTION("""COMPUTED_VALUE"""),179.4)</f>
        <v>179.4</v>
      </c>
      <c r="F664" s="1">
        <f>IFERROR(__xludf.DUMMYFUNCTION("""COMPUTED_VALUE"""),367249.0)</f>
        <v>367249</v>
      </c>
    </row>
    <row r="665">
      <c r="A665" s="2">
        <f>IFERROR(__xludf.DUMMYFUNCTION("""COMPUTED_VALUE"""),37494.645833333336)</f>
        <v>37494.64583</v>
      </c>
      <c r="B665" s="1">
        <f>IFERROR(__xludf.DUMMYFUNCTION("""COMPUTED_VALUE"""),180.0)</f>
        <v>180</v>
      </c>
      <c r="C665" s="1">
        <f>IFERROR(__xludf.DUMMYFUNCTION("""COMPUTED_VALUE"""),182.45)</f>
        <v>182.45</v>
      </c>
      <c r="D665" s="1">
        <f>IFERROR(__xludf.DUMMYFUNCTION("""COMPUTED_VALUE"""),179.4)</f>
        <v>179.4</v>
      </c>
      <c r="E665" s="1">
        <f>IFERROR(__xludf.DUMMYFUNCTION("""COMPUTED_VALUE"""),181.15)</f>
        <v>181.15</v>
      </c>
      <c r="F665" s="1">
        <f>IFERROR(__xludf.DUMMYFUNCTION("""COMPUTED_VALUE"""),487578.0)</f>
        <v>487578</v>
      </c>
    </row>
    <row r="666">
      <c r="A666" s="2">
        <f>IFERROR(__xludf.DUMMYFUNCTION("""COMPUTED_VALUE"""),37495.645833333336)</f>
        <v>37495.64583</v>
      </c>
      <c r="B666" s="1">
        <f>IFERROR(__xludf.DUMMYFUNCTION("""COMPUTED_VALUE"""),182.0)</f>
        <v>182</v>
      </c>
      <c r="C666" s="1">
        <f>IFERROR(__xludf.DUMMYFUNCTION("""COMPUTED_VALUE"""),182.9)</f>
        <v>182.9</v>
      </c>
      <c r="D666" s="1">
        <f>IFERROR(__xludf.DUMMYFUNCTION("""COMPUTED_VALUE"""),181.0)</f>
        <v>181</v>
      </c>
      <c r="E666" s="1">
        <f>IFERROR(__xludf.DUMMYFUNCTION("""COMPUTED_VALUE"""),181.55)</f>
        <v>181.55</v>
      </c>
      <c r="F666" s="1">
        <f>IFERROR(__xludf.DUMMYFUNCTION("""COMPUTED_VALUE"""),488278.0)</f>
        <v>488278</v>
      </c>
    </row>
    <row r="667">
      <c r="A667" s="2">
        <f>IFERROR(__xludf.DUMMYFUNCTION("""COMPUTED_VALUE"""),37496.645833333336)</f>
        <v>37496.64583</v>
      </c>
      <c r="B667" s="1">
        <f>IFERROR(__xludf.DUMMYFUNCTION("""COMPUTED_VALUE"""),181.0)</f>
        <v>181</v>
      </c>
      <c r="C667" s="1">
        <f>IFERROR(__xludf.DUMMYFUNCTION("""COMPUTED_VALUE"""),181.7)</f>
        <v>181.7</v>
      </c>
      <c r="D667" s="1">
        <f>IFERROR(__xludf.DUMMYFUNCTION("""COMPUTED_VALUE"""),178.25)</f>
        <v>178.25</v>
      </c>
      <c r="E667" s="1">
        <f>IFERROR(__xludf.DUMMYFUNCTION("""COMPUTED_VALUE"""),179.55)</f>
        <v>179.55</v>
      </c>
      <c r="F667" s="1">
        <f>IFERROR(__xludf.DUMMYFUNCTION("""COMPUTED_VALUE"""),423530.0)</f>
        <v>423530</v>
      </c>
    </row>
    <row r="668">
      <c r="A668" s="2">
        <f>IFERROR(__xludf.DUMMYFUNCTION("""COMPUTED_VALUE"""),37497.645833333336)</f>
        <v>37497.64583</v>
      </c>
      <c r="B668" s="1">
        <f>IFERROR(__xludf.DUMMYFUNCTION("""COMPUTED_VALUE"""),178.0)</f>
        <v>178</v>
      </c>
      <c r="C668" s="1">
        <f>IFERROR(__xludf.DUMMYFUNCTION("""COMPUTED_VALUE"""),179.75)</f>
        <v>179.75</v>
      </c>
      <c r="D668" s="1">
        <f>IFERROR(__xludf.DUMMYFUNCTION("""COMPUTED_VALUE"""),178.0)</f>
        <v>178</v>
      </c>
      <c r="E668" s="1">
        <f>IFERROR(__xludf.DUMMYFUNCTION("""COMPUTED_VALUE"""),178.45)</f>
        <v>178.45</v>
      </c>
      <c r="F668" s="1">
        <f>IFERROR(__xludf.DUMMYFUNCTION("""COMPUTED_VALUE"""),307142.0)</f>
        <v>307142</v>
      </c>
    </row>
    <row r="669">
      <c r="A669" s="2">
        <f>IFERROR(__xludf.DUMMYFUNCTION("""COMPUTED_VALUE"""),37498.645833333336)</f>
        <v>37498.64583</v>
      </c>
      <c r="B669" s="1">
        <f>IFERROR(__xludf.DUMMYFUNCTION("""COMPUTED_VALUE"""),179.05)</f>
        <v>179.05</v>
      </c>
      <c r="C669" s="1">
        <f>IFERROR(__xludf.DUMMYFUNCTION("""COMPUTED_VALUE"""),187.2)</f>
        <v>187.2</v>
      </c>
      <c r="D669" s="1">
        <f>IFERROR(__xludf.DUMMYFUNCTION("""COMPUTED_VALUE"""),178.0)</f>
        <v>178</v>
      </c>
      <c r="E669" s="1">
        <f>IFERROR(__xludf.DUMMYFUNCTION("""COMPUTED_VALUE"""),186.65)</f>
        <v>186.65</v>
      </c>
      <c r="F669" s="1">
        <f>IFERROR(__xludf.DUMMYFUNCTION("""COMPUTED_VALUE"""),1652400.0)</f>
        <v>1652400</v>
      </c>
    </row>
    <row r="670">
      <c r="A670" s="2">
        <f>IFERROR(__xludf.DUMMYFUNCTION("""COMPUTED_VALUE"""),37501.645833333336)</f>
        <v>37501.64583</v>
      </c>
      <c r="B670" s="1">
        <f>IFERROR(__xludf.DUMMYFUNCTION("""COMPUTED_VALUE"""),186.3)</f>
        <v>186.3</v>
      </c>
      <c r="C670" s="1">
        <f>IFERROR(__xludf.DUMMYFUNCTION("""COMPUTED_VALUE"""),191.25)</f>
        <v>191.25</v>
      </c>
      <c r="D670" s="1">
        <f>IFERROR(__xludf.DUMMYFUNCTION("""COMPUTED_VALUE"""),186.3)</f>
        <v>186.3</v>
      </c>
      <c r="E670" s="1">
        <f>IFERROR(__xludf.DUMMYFUNCTION("""COMPUTED_VALUE"""),189.3)</f>
        <v>189.3</v>
      </c>
      <c r="F670" s="1">
        <f>IFERROR(__xludf.DUMMYFUNCTION("""COMPUTED_VALUE"""),1124612.0)</f>
        <v>1124612</v>
      </c>
    </row>
    <row r="671">
      <c r="A671" s="2">
        <f>IFERROR(__xludf.DUMMYFUNCTION("""COMPUTED_VALUE"""),37502.645833333336)</f>
        <v>37502.64583</v>
      </c>
      <c r="B671" s="1">
        <f>IFERROR(__xludf.DUMMYFUNCTION("""COMPUTED_VALUE"""),189.9)</f>
        <v>189.9</v>
      </c>
      <c r="C671" s="1">
        <f>IFERROR(__xludf.DUMMYFUNCTION("""COMPUTED_VALUE"""),190.0)</f>
        <v>190</v>
      </c>
      <c r="D671" s="1">
        <f>IFERROR(__xludf.DUMMYFUNCTION("""COMPUTED_VALUE"""),186.5)</f>
        <v>186.5</v>
      </c>
      <c r="E671" s="1">
        <f>IFERROR(__xludf.DUMMYFUNCTION("""COMPUTED_VALUE"""),187.8)</f>
        <v>187.8</v>
      </c>
      <c r="F671" s="1">
        <f>IFERROR(__xludf.DUMMYFUNCTION("""COMPUTED_VALUE"""),661482.0)</f>
        <v>661482</v>
      </c>
    </row>
    <row r="672">
      <c r="A672" s="2">
        <f>IFERROR(__xludf.DUMMYFUNCTION("""COMPUTED_VALUE"""),37503.645833333336)</f>
        <v>37503.64583</v>
      </c>
      <c r="B672" s="1">
        <f>IFERROR(__xludf.DUMMYFUNCTION("""COMPUTED_VALUE"""),186.0)</f>
        <v>186</v>
      </c>
      <c r="C672" s="1">
        <f>IFERROR(__xludf.DUMMYFUNCTION("""COMPUTED_VALUE"""),189.0)</f>
        <v>189</v>
      </c>
      <c r="D672" s="1">
        <f>IFERROR(__xludf.DUMMYFUNCTION("""COMPUTED_VALUE"""),185.65)</f>
        <v>185.65</v>
      </c>
      <c r="E672" s="1">
        <f>IFERROR(__xludf.DUMMYFUNCTION("""COMPUTED_VALUE"""),188.3)</f>
        <v>188.3</v>
      </c>
      <c r="F672" s="1">
        <f>IFERROR(__xludf.DUMMYFUNCTION("""COMPUTED_VALUE"""),448754.0)</f>
        <v>448754</v>
      </c>
    </row>
    <row r="673">
      <c r="A673" s="2">
        <f>IFERROR(__xludf.DUMMYFUNCTION("""COMPUTED_VALUE"""),37504.645833333336)</f>
        <v>37504.64583</v>
      </c>
      <c r="B673" s="1">
        <f>IFERROR(__xludf.DUMMYFUNCTION("""COMPUTED_VALUE"""),189.0)</f>
        <v>189</v>
      </c>
      <c r="C673" s="1">
        <f>IFERROR(__xludf.DUMMYFUNCTION("""COMPUTED_VALUE"""),190.2)</f>
        <v>190.2</v>
      </c>
      <c r="D673" s="1">
        <f>IFERROR(__xludf.DUMMYFUNCTION("""COMPUTED_VALUE"""),186.5)</f>
        <v>186.5</v>
      </c>
      <c r="E673" s="1">
        <f>IFERROR(__xludf.DUMMYFUNCTION("""COMPUTED_VALUE"""),187.7)</f>
        <v>187.7</v>
      </c>
      <c r="F673" s="1">
        <f>IFERROR(__xludf.DUMMYFUNCTION("""COMPUTED_VALUE"""),524248.0)</f>
        <v>524248</v>
      </c>
    </row>
    <row r="674">
      <c r="A674" s="2">
        <f>IFERROR(__xludf.DUMMYFUNCTION("""COMPUTED_VALUE"""),37505.645833333336)</f>
        <v>37505.64583</v>
      </c>
      <c r="B674" s="1">
        <f>IFERROR(__xludf.DUMMYFUNCTION("""COMPUTED_VALUE"""),189.4)</f>
        <v>189.4</v>
      </c>
      <c r="C674" s="1">
        <f>IFERROR(__xludf.DUMMYFUNCTION("""COMPUTED_VALUE"""),189.4)</f>
        <v>189.4</v>
      </c>
      <c r="D674" s="1">
        <f>IFERROR(__xludf.DUMMYFUNCTION("""COMPUTED_VALUE"""),179.75)</f>
        <v>179.75</v>
      </c>
      <c r="E674" s="1">
        <f>IFERROR(__xludf.DUMMYFUNCTION("""COMPUTED_VALUE"""),180.05)</f>
        <v>180.05</v>
      </c>
      <c r="F674" s="1">
        <f>IFERROR(__xludf.DUMMYFUNCTION("""COMPUTED_VALUE"""),706358.0)</f>
        <v>706358</v>
      </c>
    </row>
    <row r="675">
      <c r="A675" s="2">
        <f>IFERROR(__xludf.DUMMYFUNCTION("""COMPUTED_VALUE"""),37508.645833333336)</f>
        <v>37508.64583</v>
      </c>
      <c r="B675" s="1">
        <f>IFERROR(__xludf.DUMMYFUNCTION("""COMPUTED_VALUE"""),180.0)</f>
        <v>180</v>
      </c>
      <c r="C675" s="1">
        <f>IFERROR(__xludf.DUMMYFUNCTION("""COMPUTED_VALUE"""),182.8)</f>
        <v>182.8</v>
      </c>
      <c r="D675" s="1">
        <f>IFERROR(__xludf.DUMMYFUNCTION("""COMPUTED_VALUE"""),179.1)</f>
        <v>179.1</v>
      </c>
      <c r="E675" s="1">
        <f>IFERROR(__xludf.DUMMYFUNCTION("""COMPUTED_VALUE"""),180.6)</f>
        <v>180.6</v>
      </c>
      <c r="F675" s="1">
        <f>IFERROR(__xludf.DUMMYFUNCTION("""COMPUTED_VALUE"""),584410.0)</f>
        <v>584410</v>
      </c>
    </row>
    <row r="676">
      <c r="A676" s="2">
        <f>IFERROR(__xludf.DUMMYFUNCTION("""COMPUTED_VALUE"""),37510.645833333336)</f>
        <v>37510.64583</v>
      </c>
      <c r="B676" s="1">
        <f>IFERROR(__xludf.DUMMYFUNCTION("""COMPUTED_VALUE"""),181.0)</f>
        <v>181</v>
      </c>
      <c r="C676" s="1">
        <f>IFERROR(__xludf.DUMMYFUNCTION("""COMPUTED_VALUE"""),187.2)</f>
        <v>187.2</v>
      </c>
      <c r="D676" s="1">
        <f>IFERROR(__xludf.DUMMYFUNCTION("""COMPUTED_VALUE"""),181.0)</f>
        <v>181</v>
      </c>
      <c r="E676" s="1">
        <f>IFERROR(__xludf.DUMMYFUNCTION("""COMPUTED_VALUE"""),186.15)</f>
        <v>186.15</v>
      </c>
      <c r="F676" s="1">
        <f>IFERROR(__xludf.DUMMYFUNCTION("""COMPUTED_VALUE"""),999342.0)</f>
        <v>999342</v>
      </c>
    </row>
    <row r="677">
      <c r="A677" s="2">
        <f>IFERROR(__xludf.DUMMYFUNCTION("""COMPUTED_VALUE"""),37511.645833333336)</f>
        <v>37511.64583</v>
      </c>
      <c r="B677" s="1">
        <f>IFERROR(__xludf.DUMMYFUNCTION("""COMPUTED_VALUE"""),186.45)</f>
        <v>186.45</v>
      </c>
      <c r="C677" s="1">
        <f>IFERROR(__xludf.DUMMYFUNCTION("""COMPUTED_VALUE"""),186.7)</f>
        <v>186.7</v>
      </c>
      <c r="D677" s="1">
        <f>IFERROR(__xludf.DUMMYFUNCTION("""COMPUTED_VALUE"""),182.0)</f>
        <v>182</v>
      </c>
      <c r="E677" s="1">
        <f>IFERROR(__xludf.DUMMYFUNCTION("""COMPUTED_VALUE"""),183.0)</f>
        <v>183</v>
      </c>
      <c r="F677" s="1">
        <f>IFERROR(__xludf.DUMMYFUNCTION("""COMPUTED_VALUE"""),541099.0)</f>
        <v>541099</v>
      </c>
    </row>
    <row r="678">
      <c r="A678" s="2">
        <f>IFERROR(__xludf.DUMMYFUNCTION("""COMPUTED_VALUE"""),37512.645833333336)</f>
        <v>37512.64583</v>
      </c>
      <c r="B678" s="1">
        <f>IFERROR(__xludf.DUMMYFUNCTION("""COMPUTED_VALUE"""),182.1)</f>
        <v>182.1</v>
      </c>
      <c r="C678" s="1">
        <f>IFERROR(__xludf.DUMMYFUNCTION("""COMPUTED_VALUE"""),182.8)</f>
        <v>182.8</v>
      </c>
      <c r="D678" s="1">
        <f>IFERROR(__xludf.DUMMYFUNCTION("""COMPUTED_VALUE"""),179.85)</f>
        <v>179.85</v>
      </c>
      <c r="E678" s="1">
        <f>IFERROR(__xludf.DUMMYFUNCTION("""COMPUTED_VALUE"""),180.1)</f>
        <v>180.1</v>
      </c>
      <c r="F678" s="1">
        <f>IFERROR(__xludf.DUMMYFUNCTION("""COMPUTED_VALUE"""),415860.0)</f>
        <v>415860</v>
      </c>
    </row>
    <row r="679">
      <c r="A679" s="2">
        <f>IFERROR(__xludf.DUMMYFUNCTION("""COMPUTED_VALUE"""),37515.645833333336)</f>
        <v>37515.64583</v>
      </c>
      <c r="B679" s="1">
        <f>IFERROR(__xludf.DUMMYFUNCTION("""COMPUTED_VALUE"""),180.3)</f>
        <v>180.3</v>
      </c>
      <c r="C679" s="1">
        <f>IFERROR(__xludf.DUMMYFUNCTION("""COMPUTED_VALUE"""),181.9)</f>
        <v>181.9</v>
      </c>
      <c r="D679" s="1">
        <f>IFERROR(__xludf.DUMMYFUNCTION("""COMPUTED_VALUE"""),178.1)</f>
        <v>178.1</v>
      </c>
      <c r="E679" s="1">
        <f>IFERROR(__xludf.DUMMYFUNCTION("""COMPUTED_VALUE"""),179.85)</f>
        <v>179.85</v>
      </c>
      <c r="F679" s="1">
        <f>IFERROR(__xludf.DUMMYFUNCTION("""COMPUTED_VALUE"""),357948.0)</f>
        <v>357948</v>
      </c>
    </row>
    <row r="680">
      <c r="A680" s="2">
        <f>IFERROR(__xludf.DUMMYFUNCTION("""COMPUTED_VALUE"""),37516.645833333336)</f>
        <v>37516.64583</v>
      </c>
      <c r="B680" s="1">
        <f>IFERROR(__xludf.DUMMYFUNCTION("""COMPUTED_VALUE"""),178.0)</f>
        <v>178</v>
      </c>
      <c r="C680" s="1">
        <f>IFERROR(__xludf.DUMMYFUNCTION("""COMPUTED_VALUE"""),181.25)</f>
        <v>181.25</v>
      </c>
      <c r="D680" s="1">
        <f>IFERROR(__xludf.DUMMYFUNCTION("""COMPUTED_VALUE"""),177.0)</f>
        <v>177</v>
      </c>
      <c r="E680" s="1">
        <f>IFERROR(__xludf.DUMMYFUNCTION("""COMPUTED_VALUE"""),180.45)</f>
        <v>180.45</v>
      </c>
      <c r="F680" s="1">
        <f>IFERROR(__xludf.DUMMYFUNCTION("""COMPUTED_VALUE"""),390843.0)</f>
        <v>390843</v>
      </c>
    </row>
    <row r="681">
      <c r="A681" s="2">
        <f>IFERROR(__xludf.DUMMYFUNCTION("""COMPUTED_VALUE"""),37517.645833333336)</f>
        <v>37517.64583</v>
      </c>
      <c r="B681" s="1">
        <f>IFERROR(__xludf.DUMMYFUNCTION("""COMPUTED_VALUE"""),178.0)</f>
        <v>178</v>
      </c>
      <c r="C681" s="1">
        <f>IFERROR(__xludf.DUMMYFUNCTION("""COMPUTED_VALUE"""),180.9)</f>
        <v>180.9</v>
      </c>
      <c r="D681" s="1">
        <f>IFERROR(__xludf.DUMMYFUNCTION("""COMPUTED_VALUE"""),177.6)</f>
        <v>177.6</v>
      </c>
      <c r="E681" s="1">
        <f>IFERROR(__xludf.DUMMYFUNCTION("""COMPUTED_VALUE"""),180.2)</f>
        <v>180.2</v>
      </c>
      <c r="F681" s="1">
        <f>IFERROR(__xludf.DUMMYFUNCTION("""COMPUTED_VALUE"""),535272.0)</f>
        <v>535272</v>
      </c>
    </row>
    <row r="682">
      <c r="A682" s="2">
        <f>IFERROR(__xludf.DUMMYFUNCTION("""COMPUTED_VALUE"""),37518.645833333336)</f>
        <v>37518.64583</v>
      </c>
      <c r="B682" s="1">
        <f>IFERROR(__xludf.DUMMYFUNCTION("""COMPUTED_VALUE"""),179.9)</f>
        <v>179.9</v>
      </c>
      <c r="C682" s="1">
        <f>IFERROR(__xludf.DUMMYFUNCTION("""COMPUTED_VALUE"""),179.9)</f>
        <v>179.9</v>
      </c>
      <c r="D682" s="1">
        <f>IFERROR(__xludf.DUMMYFUNCTION("""COMPUTED_VALUE"""),178.0)</f>
        <v>178</v>
      </c>
      <c r="E682" s="1">
        <f>IFERROR(__xludf.DUMMYFUNCTION("""COMPUTED_VALUE"""),178.8)</f>
        <v>178.8</v>
      </c>
      <c r="F682" s="1">
        <f>IFERROR(__xludf.DUMMYFUNCTION("""COMPUTED_VALUE"""),459409.0)</f>
        <v>459409</v>
      </c>
    </row>
    <row r="683">
      <c r="A683" s="2">
        <f>IFERROR(__xludf.DUMMYFUNCTION("""COMPUTED_VALUE"""),37519.645833333336)</f>
        <v>37519.64583</v>
      </c>
      <c r="B683" s="1">
        <f>IFERROR(__xludf.DUMMYFUNCTION("""COMPUTED_VALUE"""),177.45)</f>
        <v>177.45</v>
      </c>
      <c r="C683" s="1">
        <f>IFERROR(__xludf.DUMMYFUNCTION("""COMPUTED_VALUE"""),178.5)</f>
        <v>178.5</v>
      </c>
      <c r="D683" s="1">
        <f>IFERROR(__xludf.DUMMYFUNCTION("""COMPUTED_VALUE"""),174.65)</f>
        <v>174.65</v>
      </c>
      <c r="E683" s="1">
        <f>IFERROR(__xludf.DUMMYFUNCTION("""COMPUTED_VALUE"""),175.3)</f>
        <v>175.3</v>
      </c>
      <c r="F683" s="1">
        <f>IFERROR(__xludf.DUMMYFUNCTION("""COMPUTED_VALUE"""),1387486.0)</f>
        <v>1387486</v>
      </c>
    </row>
    <row r="684">
      <c r="A684" s="2">
        <f>IFERROR(__xludf.DUMMYFUNCTION("""COMPUTED_VALUE"""),37522.645833333336)</f>
        <v>37522.64583</v>
      </c>
      <c r="B684" s="1">
        <f>IFERROR(__xludf.DUMMYFUNCTION("""COMPUTED_VALUE"""),177.0)</f>
        <v>177</v>
      </c>
      <c r="C684" s="1">
        <f>IFERROR(__xludf.DUMMYFUNCTION("""COMPUTED_VALUE"""),177.0)</f>
        <v>177</v>
      </c>
      <c r="D684" s="1">
        <f>IFERROR(__xludf.DUMMYFUNCTION("""COMPUTED_VALUE"""),173.6)</f>
        <v>173.6</v>
      </c>
      <c r="E684" s="1">
        <f>IFERROR(__xludf.DUMMYFUNCTION("""COMPUTED_VALUE"""),174.7)</f>
        <v>174.7</v>
      </c>
      <c r="F684" s="1">
        <f>IFERROR(__xludf.DUMMYFUNCTION("""COMPUTED_VALUE"""),959729.0)</f>
        <v>959729</v>
      </c>
    </row>
    <row r="685">
      <c r="A685" s="2">
        <f>IFERROR(__xludf.DUMMYFUNCTION("""COMPUTED_VALUE"""),37523.645833333336)</f>
        <v>37523.64583</v>
      </c>
      <c r="B685" s="1">
        <f>IFERROR(__xludf.DUMMYFUNCTION("""COMPUTED_VALUE"""),175.25)</f>
        <v>175.25</v>
      </c>
      <c r="C685" s="1">
        <f>IFERROR(__xludf.DUMMYFUNCTION("""COMPUTED_VALUE"""),178.0)</f>
        <v>178</v>
      </c>
      <c r="D685" s="1">
        <f>IFERROR(__xludf.DUMMYFUNCTION("""COMPUTED_VALUE"""),173.9)</f>
        <v>173.9</v>
      </c>
      <c r="E685" s="1">
        <f>IFERROR(__xludf.DUMMYFUNCTION("""COMPUTED_VALUE"""),176.4)</f>
        <v>176.4</v>
      </c>
      <c r="F685" s="1">
        <f>IFERROR(__xludf.DUMMYFUNCTION("""COMPUTED_VALUE"""),543651.0)</f>
        <v>543651</v>
      </c>
    </row>
    <row r="686">
      <c r="A686" s="2">
        <f>IFERROR(__xludf.DUMMYFUNCTION("""COMPUTED_VALUE"""),37524.645833333336)</f>
        <v>37524.64583</v>
      </c>
      <c r="B686" s="1">
        <f>IFERROR(__xludf.DUMMYFUNCTION("""COMPUTED_VALUE"""),175.05)</f>
        <v>175.05</v>
      </c>
      <c r="C686" s="1">
        <f>IFERROR(__xludf.DUMMYFUNCTION("""COMPUTED_VALUE"""),176.7)</f>
        <v>176.7</v>
      </c>
      <c r="D686" s="1">
        <f>IFERROR(__xludf.DUMMYFUNCTION("""COMPUTED_VALUE"""),175.0)</f>
        <v>175</v>
      </c>
      <c r="E686" s="1">
        <f>IFERROR(__xludf.DUMMYFUNCTION("""COMPUTED_VALUE"""),176.2)</f>
        <v>176.2</v>
      </c>
      <c r="F686" s="1">
        <f>IFERROR(__xludf.DUMMYFUNCTION("""COMPUTED_VALUE"""),345132.0)</f>
        <v>345132</v>
      </c>
    </row>
    <row r="687">
      <c r="A687" s="2">
        <f>IFERROR(__xludf.DUMMYFUNCTION("""COMPUTED_VALUE"""),37525.645833333336)</f>
        <v>37525.64583</v>
      </c>
      <c r="B687" s="1">
        <f>IFERROR(__xludf.DUMMYFUNCTION("""COMPUTED_VALUE"""),177.0)</f>
        <v>177</v>
      </c>
      <c r="C687" s="1">
        <f>IFERROR(__xludf.DUMMYFUNCTION("""COMPUTED_VALUE"""),177.0)</f>
        <v>177</v>
      </c>
      <c r="D687" s="1">
        <f>IFERROR(__xludf.DUMMYFUNCTION("""COMPUTED_VALUE"""),174.5)</f>
        <v>174.5</v>
      </c>
      <c r="E687" s="1">
        <f>IFERROR(__xludf.DUMMYFUNCTION("""COMPUTED_VALUE"""),174.9)</f>
        <v>174.9</v>
      </c>
      <c r="F687" s="1">
        <f>IFERROR(__xludf.DUMMYFUNCTION("""COMPUTED_VALUE"""),383312.0)</f>
        <v>383312</v>
      </c>
    </row>
    <row r="688">
      <c r="A688" s="2">
        <f>IFERROR(__xludf.DUMMYFUNCTION("""COMPUTED_VALUE"""),37526.645833333336)</f>
        <v>37526.64583</v>
      </c>
      <c r="B688" s="1">
        <f>IFERROR(__xludf.DUMMYFUNCTION("""COMPUTED_VALUE"""),176.25)</f>
        <v>176.25</v>
      </c>
      <c r="C688" s="1">
        <f>IFERROR(__xludf.DUMMYFUNCTION("""COMPUTED_VALUE"""),177.25)</f>
        <v>177.25</v>
      </c>
      <c r="D688" s="1">
        <f>IFERROR(__xludf.DUMMYFUNCTION("""COMPUTED_VALUE"""),174.3)</f>
        <v>174.3</v>
      </c>
      <c r="E688" s="1">
        <f>IFERROR(__xludf.DUMMYFUNCTION("""COMPUTED_VALUE"""),176.2)</f>
        <v>176.2</v>
      </c>
      <c r="F688" s="1">
        <f>IFERROR(__xludf.DUMMYFUNCTION("""COMPUTED_VALUE"""),1798309.0)</f>
        <v>1798309</v>
      </c>
    </row>
    <row r="689">
      <c r="A689" s="2">
        <f>IFERROR(__xludf.DUMMYFUNCTION("""COMPUTED_VALUE"""),37529.645833333336)</f>
        <v>37529.64583</v>
      </c>
      <c r="B689" s="1">
        <f>IFERROR(__xludf.DUMMYFUNCTION("""COMPUTED_VALUE"""),175.5)</f>
        <v>175.5</v>
      </c>
      <c r="C689" s="1">
        <f>IFERROR(__xludf.DUMMYFUNCTION("""COMPUTED_VALUE"""),175.5)</f>
        <v>175.5</v>
      </c>
      <c r="D689" s="1">
        <f>IFERROR(__xludf.DUMMYFUNCTION("""COMPUTED_VALUE"""),171.25)</f>
        <v>171.25</v>
      </c>
      <c r="E689" s="1">
        <f>IFERROR(__xludf.DUMMYFUNCTION("""COMPUTED_VALUE"""),172.55)</f>
        <v>172.55</v>
      </c>
      <c r="F689" s="1">
        <f>IFERROR(__xludf.DUMMYFUNCTION("""COMPUTED_VALUE"""),1660092.0)</f>
        <v>1660092</v>
      </c>
    </row>
    <row r="690">
      <c r="A690" s="2">
        <f>IFERROR(__xludf.DUMMYFUNCTION("""COMPUTED_VALUE"""),37530.645833333336)</f>
        <v>37530.64583</v>
      </c>
      <c r="B690" s="1">
        <f>IFERROR(__xludf.DUMMYFUNCTION("""COMPUTED_VALUE"""),172.0)</f>
        <v>172</v>
      </c>
      <c r="C690" s="1">
        <f>IFERROR(__xludf.DUMMYFUNCTION("""COMPUTED_VALUE"""),172.0)</f>
        <v>172</v>
      </c>
      <c r="D690" s="1">
        <f>IFERROR(__xludf.DUMMYFUNCTION("""COMPUTED_VALUE"""),168.05)</f>
        <v>168.05</v>
      </c>
      <c r="E690" s="1">
        <f>IFERROR(__xludf.DUMMYFUNCTION("""COMPUTED_VALUE"""),168.8)</f>
        <v>168.8</v>
      </c>
      <c r="F690" s="1">
        <f>IFERROR(__xludf.DUMMYFUNCTION("""COMPUTED_VALUE"""),1008391.0)</f>
        <v>1008391</v>
      </c>
    </row>
    <row r="691">
      <c r="A691" s="2">
        <f>IFERROR(__xludf.DUMMYFUNCTION("""COMPUTED_VALUE"""),37532.645833333336)</f>
        <v>37532.64583</v>
      </c>
      <c r="B691" s="1">
        <f>IFERROR(__xludf.DUMMYFUNCTION("""COMPUTED_VALUE"""),169.85)</f>
        <v>169.85</v>
      </c>
      <c r="C691" s="1">
        <f>IFERROR(__xludf.DUMMYFUNCTION("""COMPUTED_VALUE"""),169.85)</f>
        <v>169.85</v>
      </c>
      <c r="D691" s="1">
        <f>IFERROR(__xludf.DUMMYFUNCTION("""COMPUTED_VALUE"""),164.0)</f>
        <v>164</v>
      </c>
      <c r="E691" s="1">
        <f>IFERROR(__xludf.DUMMYFUNCTION("""COMPUTED_VALUE"""),166.6)</f>
        <v>166.6</v>
      </c>
      <c r="F691" s="1">
        <f>IFERROR(__xludf.DUMMYFUNCTION("""COMPUTED_VALUE"""),1591180.0)</f>
        <v>1591180</v>
      </c>
    </row>
    <row r="692">
      <c r="A692" s="2">
        <f>IFERROR(__xludf.DUMMYFUNCTION("""COMPUTED_VALUE"""),37533.645833333336)</f>
        <v>37533.64583</v>
      </c>
      <c r="B692" s="1">
        <f>IFERROR(__xludf.DUMMYFUNCTION("""COMPUTED_VALUE"""),166.7)</f>
        <v>166.7</v>
      </c>
      <c r="C692" s="1">
        <f>IFERROR(__xludf.DUMMYFUNCTION("""COMPUTED_VALUE"""),170.95)</f>
        <v>170.95</v>
      </c>
      <c r="D692" s="1">
        <f>IFERROR(__xludf.DUMMYFUNCTION("""COMPUTED_VALUE"""),166.55)</f>
        <v>166.55</v>
      </c>
      <c r="E692" s="1">
        <f>IFERROR(__xludf.DUMMYFUNCTION("""COMPUTED_VALUE"""),169.5)</f>
        <v>169.5</v>
      </c>
      <c r="F692" s="1">
        <f>IFERROR(__xludf.DUMMYFUNCTION("""COMPUTED_VALUE"""),674209.0)</f>
        <v>674209</v>
      </c>
    </row>
    <row r="693">
      <c r="A693" s="2">
        <f>IFERROR(__xludf.DUMMYFUNCTION("""COMPUTED_VALUE"""),37536.645833333336)</f>
        <v>37536.64583</v>
      </c>
      <c r="B693" s="1">
        <f>IFERROR(__xludf.DUMMYFUNCTION("""COMPUTED_VALUE"""),168.95)</f>
        <v>168.95</v>
      </c>
      <c r="C693" s="1">
        <f>IFERROR(__xludf.DUMMYFUNCTION("""COMPUTED_VALUE"""),171.5)</f>
        <v>171.5</v>
      </c>
      <c r="D693" s="1">
        <f>IFERROR(__xludf.DUMMYFUNCTION("""COMPUTED_VALUE"""),167.5)</f>
        <v>167.5</v>
      </c>
      <c r="E693" s="1">
        <f>IFERROR(__xludf.DUMMYFUNCTION("""COMPUTED_VALUE"""),169.1)</f>
        <v>169.1</v>
      </c>
      <c r="F693" s="1">
        <f>IFERROR(__xludf.DUMMYFUNCTION("""COMPUTED_VALUE"""),508657.0)</f>
        <v>508657</v>
      </c>
    </row>
    <row r="694">
      <c r="A694" s="2">
        <f>IFERROR(__xludf.DUMMYFUNCTION("""COMPUTED_VALUE"""),37537.645833333336)</f>
        <v>37537.64583</v>
      </c>
      <c r="B694" s="1">
        <f>IFERROR(__xludf.DUMMYFUNCTION("""COMPUTED_VALUE"""),171.7)</f>
        <v>171.7</v>
      </c>
      <c r="C694" s="1">
        <f>IFERROR(__xludf.DUMMYFUNCTION("""COMPUTED_VALUE"""),171.7)</f>
        <v>171.7</v>
      </c>
      <c r="D694" s="1">
        <f>IFERROR(__xludf.DUMMYFUNCTION("""COMPUTED_VALUE"""),168.0)</f>
        <v>168</v>
      </c>
      <c r="E694" s="1">
        <f>IFERROR(__xludf.DUMMYFUNCTION("""COMPUTED_VALUE"""),170.0)</f>
        <v>170</v>
      </c>
      <c r="F694" s="1">
        <f>IFERROR(__xludf.DUMMYFUNCTION("""COMPUTED_VALUE"""),474969.0)</f>
        <v>474969</v>
      </c>
    </row>
    <row r="695">
      <c r="A695" s="2">
        <f>IFERROR(__xludf.DUMMYFUNCTION("""COMPUTED_VALUE"""),37538.645833333336)</f>
        <v>37538.64583</v>
      </c>
      <c r="B695" s="1">
        <f>IFERROR(__xludf.DUMMYFUNCTION("""COMPUTED_VALUE"""),170.95)</f>
        <v>170.95</v>
      </c>
      <c r="C695" s="1">
        <f>IFERROR(__xludf.DUMMYFUNCTION("""COMPUTED_VALUE"""),170.95)</f>
        <v>170.95</v>
      </c>
      <c r="D695" s="1">
        <f>IFERROR(__xludf.DUMMYFUNCTION("""COMPUTED_VALUE"""),169.0)</f>
        <v>169</v>
      </c>
      <c r="E695" s="1">
        <f>IFERROR(__xludf.DUMMYFUNCTION("""COMPUTED_VALUE"""),169.4)</f>
        <v>169.4</v>
      </c>
      <c r="F695" s="1">
        <f>IFERROR(__xludf.DUMMYFUNCTION("""COMPUTED_VALUE"""),429102.0)</f>
        <v>429102</v>
      </c>
    </row>
    <row r="696">
      <c r="A696" s="2">
        <f>IFERROR(__xludf.DUMMYFUNCTION("""COMPUTED_VALUE"""),37539.645833333336)</f>
        <v>37539.64583</v>
      </c>
      <c r="B696" s="1">
        <f>IFERROR(__xludf.DUMMYFUNCTION("""COMPUTED_VALUE"""),169.5)</f>
        <v>169.5</v>
      </c>
      <c r="C696" s="1">
        <f>IFERROR(__xludf.DUMMYFUNCTION("""COMPUTED_VALUE"""),170.7)</f>
        <v>170.7</v>
      </c>
      <c r="D696" s="1">
        <f>IFERROR(__xludf.DUMMYFUNCTION("""COMPUTED_VALUE"""),168.5)</f>
        <v>168.5</v>
      </c>
      <c r="E696" s="1">
        <f>IFERROR(__xludf.DUMMYFUNCTION("""COMPUTED_VALUE"""),170.25)</f>
        <v>170.25</v>
      </c>
      <c r="F696" s="1">
        <f>IFERROR(__xludf.DUMMYFUNCTION("""COMPUTED_VALUE"""),227244.0)</f>
        <v>227244</v>
      </c>
    </row>
    <row r="697">
      <c r="A697" s="2">
        <f>IFERROR(__xludf.DUMMYFUNCTION("""COMPUTED_VALUE"""),37540.645833333336)</f>
        <v>37540.64583</v>
      </c>
      <c r="B697" s="1">
        <f>IFERROR(__xludf.DUMMYFUNCTION("""COMPUTED_VALUE"""),171.05)</f>
        <v>171.05</v>
      </c>
      <c r="C697" s="1">
        <f>IFERROR(__xludf.DUMMYFUNCTION("""COMPUTED_VALUE"""),172.25)</f>
        <v>172.25</v>
      </c>
      <c r="D697" s="1">
        <f>IFERROR(__xludf.DUMMYFUNCTION("""COMPUTED_VALUE"""),169.55)</f>
        <v>169.55</v>
      </c>
      <c r="E697" s="1">
        <f>IFERROR(__xludf.DUMMYFUNCTION("""COMPUTED_VALUE"""),170.75)</f>
        <v>170.75</v>
      </c>
      <c r="F697" s="1">
        <f>IFERROR(__xludf.DUMMYFUNCTION("""COMPUTED_VALUE"""),341569.0)</f>
        <v>341569</v>
      </c>
    </row>
    <row r="698">
      <c r="A698" s="2">
        <f>IFERROR(__xludf.DUMMYFUNCTION("""COMPUTED_VALUE"""),37543.645833333336)</f>
        <v>37543.64583</v>
      </c>
      <c r="B698" s="1">
        <f>IFERROR(__xludf.DUMMYFUNCTION("""COMPUTED_VALUE"""),172.2)</f>
        <v>172.2</v>
      </c>
      <c r="C698" s="1">
        <f>IFERROR(__xludf.DUMMYFUNCTION("""COMPUTED_VALUE"""),173.9)</f>
        <v>173.9</v>
      </c>
      <c r="D698" s="1">
        <f>IFERROR(__xludf.DUMMYFUNCTION("""COMPUTED_VALUE"""),171.0)</f>
        <v>171</v>
      </c>
      <c r="E698" s="1">
        <f>IFERROR(__xludf.DUMMYFUNCTION("""COMPUTED_VALUE"""),172.15)</f>
        <v>172.15</v>
      </c>
      <c r="F698" s="1">
        <f>IFERROR(__xludf.DUMMYFUNCTION("""COMPUTED_VALUE"""),276540.0)</f>
        <v>276540</v>
      </c>
    </row>
    <row r="699">
      <c r="A699" s="2">
        <f>IFERROR(__xludf.DUMMYFUNCTION("""COMPUTED_VALUE"""),37545.645833333336)</f>
        <v>37545.64583</v>
      </c>
      <c r="B699" s="1">
        <f>IFERROR(__xludf.DUMMYFUNCTION("""COMPUTED_VALUE"""),173.75)</f>
        <v>173.75</v>
      </c>
      <c r="C699" s="1">
        <f>IFERROR(__xludf.DUMMYFUNCTION("""COMPUTED_VALUE"""),175.7)</f>
        <v>175.7</v>
      </c>
      <c r="D699" s="1">
        <f>IFERROR(__xludf.DUMMYFUNCTION("""COMPUTED_VALUE"""),173.05)</f>
        <v>173.05</v>
      </c>
      <c r="E699" s="1">
        <f>IFERROR(__xludf.DUMMYFUNCTION("""COMPUTED_VALUE"""),175.0)</f>
        <v>175</v>
      </c>
      <c r="F699" s="1">
        <f>IFERROR(__xludf.DUMMYFUNCTION("""COMPUTED_VALUE"""),781743.0)</f>
        <v>781743</v>
      </c>
    </row>
    <row r="700">
      <c r="A700" s="2">
        <f>IFERROR(__xludf.DUMMYFUNCTION("""COMPUTED_VALUE"""),37546.645833333336)</f>
        <v>37546.64583</v>
      </c>
      <c r="B700" s="1">
        <f>IFERROR(__xludf.DUMMYFUNCTION("""COMPUTED_VALUE"""),174.1)</f>
        <v>174.1</v>
      </c>
      <c r="C700" s="1">
        <f>IFERROR(__xludf.DUMMYFUNCTION("""COMPUTED_VALUE"""),176.85)</f>
        <v>176.85</v>
      </c>
      <c r="D700" s="1">
        <f>IFERROR(__xludf.DUMMYFUNCTION("""COMPUTED_VALUE"""),172.55)</f>
        <v>172.55</v>
      </c>
      <c r="E700" s="1">
        <f>IFERROR(__xludf.DUMMYFUNCTION("""COMPUTED_VALUE"""),175.75)</f>
        <v>175.75</v>
      </c>
      <c r="F700" s="1">
        <f>IFERROR(__xludf.DUMMYFUNCTION("""COMPUTED_VALUE"""),1060485.0)</f>
        <v>1060485</v>
      </c>
    </row>
    <row r="701">
      <c r="A701" s="2">
        <f>IFERROR(__xludf.DUMMYFUNCTION("""COMPUTED_VALUE"""),37547.645833333336)</f>
        <v>37547.64583</v>
      </c>
      <c r="B701" s="1">
        <f>IFERROR(__xludf.DUMMYFUNCTION("""COMPUTED_VALUE"""),176.0)</f>
        <v>176</v>
      </c>
      <c r="C701" s="1">
        <f>IFERROR(__xludf.DUMMYFUNCTION("""COMPUTED_VALUE"""),178.6)</f>
        <v>178.6</v>
      </c>
      <c r="D701" s="1">
        <f>IFERROR(__xludf.DUMMYFUNCTION("""COMPUTED_VALUE"""),175.55)</f>
        <v>175.55</v>
      </c>
      <c r="E701" s="1">
        <f>IFERROR(__xludf.DUMMYFUNCTION("""COMPUTED_VALUE"""),176.65)</f>
        <v>176.65</v>
      </c>
      <c r="F701" s="1">
        <f>IFERROR(__xludf.DUMMYFUNCTION("""COMPUTED_VALUE"""),1104876.0)</f>
        <v>1104876</v>
      </c>
    </row>
    <row r="702">
      <c r="A702" s="2">
        <f>IFERROR(__xludf.DUMMYFUNCTION("""COMPUTED_VALUE"""),37550.645833333336)</f>
        <v>37550.64583</v>
      </c>
      <c r="B702" s="1">
        <f>IFERROR(__xludf.DUMMYFUNCTION("""COMPUTED_VALUE"""),178.0)</f>
        <v>178</v>
      </c>
      <c r="C702" s="1">
        <f>IFERROR(__xludf.DUMMYFUNCTION("""COMPUTED_VALUE"""),178.0)</f>
        <v>178</v>
      </c>
      <c r="D702" s="1">
        <f>IFERROR(__xludf.DUMMYFUNCTION("""COMPUTED_VALUE"""),175.3)</f>
        <v>175.3</v>
      </c>
      <c r="E702" s="1">
        <f>IFERROR(__xludf.DUMMYFUNCTION("""COMPUTED_VALUE"""),176.65)</f>
        <v>176.65</v>
      </c>
      <c r="F702" s="1">
        <f>IFERROR(__xludf.DUMMYFUNCTION("""COMPUTED_VALUE"""),375963.0)</f>
        <v>375963</v>
      </c>
    </row>
    <row r="703">
      <c r="A703" s="2">
        <f>IFERROR(__xludf.DUMMYFUNCTION("""COMPUTED_VALUE"""),37551.645833333336)</f>
        <v>37551.64583</v>
      </c>
      <c r="B703" s="1">
        <f>IFERROR(__xludf.DUMMYFUNCTION("""COMPUTED_VALUE"""),174.25)</f>
        <v>174.25</v>
      </c>
      <c r="C703" s="1">
        <f>IFERROR(__xludf.DUMMYFUNCTION("""COMPUTED_VALUE"""),176.5)</f>
        <v>176.5</v>
      </c>
      <c r="D703" s="1">
        <f>IFERROR(__xludf.DUMMYFUNCTION("""COMPUTED_VALUE"""),172.25)</f>
        <v>172.25</v>
      </c>
      <c r="E703" s="1">
        <f>IFERROR(__xludf.DUMMYFUNCTION("""COMPUTED_VALUE"""),175.6)</f>
        <v>175.6</v>
      </c>
      <c r="F703" s="1">
        <f>IFERROR(__xludf.DUMMYFUNCTION("""COMPUTED_VALUE"""),546165.0)</f>
        <v>546165</v>
      </c>
    </row>
    <row r="704">
      <c r="A704" s="2">
        <f>IFERROR(__xludf.DUMMYFUNCTION("""COMPUTED_VALUE"""),37552.645833333336)</f>
        <v>37552.64583</v>
      </c>
      <c r="B704" s="1">
        <f>IFERROR(__xludf.DUMMYFUNCTION("""COMPUTED_VALUE"""),176.5)</f>
        <v>176.5</v>
      </c>
      <c r="C704" s="1">
        <f>IFERROR(__xludf.DUMMYFUNCTION("""COMPUTED_VALUE"""),176.5)</f>
        <v>176.5</v>
      </c>
      <c r="D704" s="1">
        <f>IFERROR(__xludf.DUMMYFUNCTION("""COMPUTED_VALUE"""),170.05)</f>
        <v>170.05</v>
      </c>
      <c r="E704" s="1">
        <f>IFERROR(__xludf.DUMMYFUNCTION("""COMPUTED_VALUE"""),171.05)</f>
        <v>171.05</v>
      </c>
      <c r="F704" s="1">
        <f>IFERROR(__xludf.DUMMYFUNCTION("""COMPUTED_VALUE"""),746025.0)</f>
        <v>746025</v>
      </c>
    </row>
    <row r="705">
      <c r="A705" s="2">
        <f>IFERROR(__xludf.DUMMYFUNCTION("""COMPUTED_VALUE"""),37553.645833333336)</f>
        <v>37553.64583</v>
      </c>
      <c r="B705" s="1">
        <f>IFERROR(__xludf.DUMMYFUNCTION("""COMPUTED_VALUE"""),170.9)</f>
        <v>170.9</v>
      </c>
      <c r="C705" s="1">
        <f>IFERROR(__xludf.DUMMYFUNCTION("""COMPUTED_VALUE"""),171.45)</f>
        <v>171.45</v>
      </c>
      <c r="D705" s="1">
        <f>IFERROR(__xludf.DUMMYFUNCTION("""COMPUTED_VALUE"""),166.75)</f>
        <v>166.75</v>
      </c>
      <c r="E705" s="1">
        <f>IFERROR(__xludf.DUMMYFUNCTION("""COMPUTED_VALUE"""),167.7)</f>
        <v>167.7</v>
      </c>
      <c r="F705" s="1">
        <f>IFERROR(__xludf.DUMMYFUNCTION("""COMPUTED_VALUE"""),992251.0)</f>
        <v>992251</v>
      </c>
    </row>
    <row r="706">
      <c r="A706" s="2">
        <f>IFERROR(__xludf.DUMMYFUNCTION("""COMPUTED_VALUE"""),37554.645833333336)</f>
        <v>37554.64583</v>
      </c>
      <c r="B706" s="1">
        <f>IFERROR(__xludf.DUMMYFUNCTION("""COMPUTED_VALUE"""),167.0)</f>
        <v>167</v>
      </c>
      <c r="C706" s="1">
        <f>IFERROR(__xludf.DUMMYFUNCTION("""COMPUTED_VALUE"""),167.5)</f>
        <v>167.5</v>
      </c>
      <c r="D706" s="1">
        <f>IFERROR(__xludf.DUMMYFUNCTION("""COMPUTED_VALUE"""),158.15)</f>
        <v>158.15</v>
      </c>
      <c r="E706" s="1">
        <f>IFERROR(__xludf.DUMMYFUNCTION("""COMPUTED_VALUE"""),160.6)</f>
        <v>160.6</v>
      </c>
      <c r="F706" s="1">
        <f>IFERROR(__xludf.DUMMYFUNCTION("""COMPUTED_VALUE"""),3951285.0)</f>
        <v>3951285</v>
      </c>
    </row>
    <row r="707">
      <c r="A707" s="2">
        <f>IFERROR(__xludf.DUMMYFUNCTION("""COMPUTED_VALUE"""),37557.645833333336)</f>
        <v>37557.64583</v>
      </c>
      <c r="B707" s="1">
        <f>IFERROR(__xludf.DUMMYFUNCTION("""COMPUTED_VALUE"""),159.5)</f>
        <v>159.5</v>
      </c>
      <c r="C707" s="1">
        <f>IFERROR(__xludf.DUMMYFUNCTION("""COMPUTED_VALUE"""),160.25)</f>
        <v>160.25</v>
      </c>
      <c r="D707" s="1">
        <f>IFERROR(__xludf.DUMMYFUNCTION("""COMPUTED_VALUE"""),152.15)</f>
        <v>152.15</v>
      </c>
      <c r="E707" s="1">
        <f>IFERROR(__xludf.DUMMYFUNCTION("""COMPUTED_VALUE"""),152.9)</f>
        <v>152.9</v>
      </c>
      <c r="F707" s="1">
        <f>IFERROR(__xludf.DUMMYFUNCTION("""COMPUTED_VALUE"""),2976655.0)</f>
        <v>2976655</v>
      </c>
    </row>
    <row r="708">
      <c r="A708" s="2">
        <f>IFERROR(__xludf.DUMMYFUNCTION("""COMPUTED_VALUE"""),37558.645833333336)</f>
        <v>37558.64583</v>
      </c>
      <c r="B708" s="1">
        <f>IFERROR(__xludf.DUMMYFUNCTION("""COMPUTED_VALUE"""),154.2)</f>
        <v>154.2</v>
      </c>
      <c r="C708" s="1">
        <f>IFERROR(__xludf.DUMMYFUNCTION("""COMPUTED_VALUE"""),158.5)</f>
        <v>158.5</v>
      </c>
      <c r="D708" s="1">
        <f>IFERROR(__xludf.DUMMYFUNCTION("""COMPUTED_VALUE"""),154.0)</f>
        <v>154</v>
      </c>
      <c r="E708" s="1">
        <f>IFERROR(__xludf.DUMMYFUNCTION("""COMPUTED_VALUE"""),157.45)</f>
        <v>157.45</v>
      </c>
      <c r="F708" s="1">
        <f>IFERROR(__xludf.DUMMYFUNCTION("""COMPUTED_VALUE"""),2189455.0)</f>
        <v>2189455</v>
      </c>
    </row>
    <row r="709">
      <c r="A709" s="2">
        <f>IFERROR(__xludf.DUMMYFUNCTION("""COMPUTED_VALUE"""),37559.645833333336)</f>
        <v>37559.64583</v>
      </c>
      <c r="B709" s="1">
        <f>IFERROR(__xludf.DUMMYFUNCTION("""COMPUTED_VALUE"""),160.75)</f>
        <v>160.75</v>
      </c>
      <c r="C709" s="1">
        <f>IFERROR(__xludf.DUMMYFUNCTION("""COMPUTED_VALUE"""),164.3)</f>
        <v>164.3</v>
      </c>
      <c r="D709" s="1">
        <f>IFERROR(__xludf.DUMMYFUNCTION("""COMPUTED_VALUE"""),159.45)</f>
        <v>159.45</v>
      </c>
      <c r="E709" s="1">
        <f>IFERROR(__xludf.DUMMYFUNCTION("""COMPUTED_VALUE"""),163.25)</f>
        <v>163.25</v>
      </c>
      <c r="F709" s="1">
        <f>IFERROR(__xludf.DUMMYFUNCTION("""COMPUTED_VALUE"""),2598219.0)</f>
        <v>2598219</v>
      </c>
    </row>
    <row r="710">
      <c r="A710" s="2">
        <f>IFERROR(__xludf.DUMMYFUNCTION("""COMPUTED_VALUE"""),37560.645833333336)</f>
        <v>37560.64583</v>
      </c>
      <c r="B710" s="1">
        <f>IFERROR(__xludf.DUMMYFUNCTION("""COMPUTED_VALUE"""),163.0)</f>
        <v>163</v>
      </c>
      <c r="C710" s="1">
        <f>IFERROR(__xludf.DUMMYFUNCTION("""COMPUTED_VALUE"""),163.8)</f>
        <v>163.8</v>
      </c>
      <c r="D710" s="1">
        <f>IFERROR(__xludf.DUMMYFUNCTION("""COMPUTED_VALUE"""),159.0)</f>
        <v>159</v>
      </c>
      <c r="E710" s="1">
        <f>IFERROR(__xludf.DUMMYFUNCTION("""COMPUTED_VALUE"""),160.15)</f>
        <v>160.15</v>
      </c>
      <c r="F710" s="1">
        <f>IFERROR(__xludf.DUMMYFUNCTION("""COMPUTED_VALUE"""),1820532.0)</f>
        <v>1820532</v>
      </c>
    </row>
    <row r="711">
      <c r="A711" s="2">
        <f>IFERROR(__xludf.DUMMYFUNCTION("""COMPUTED_VALUE"""),37561.645833333336)</f>
        <v>37561.64583</v>
      </c>
      <c r="B711" s="1">
        <f>IFERROR(__xludf.DUMMYFUNCTION("""COMPUTED_VALUE"""),161.4)</f>
        <v>161.4</v>
      </c>
      <c r="C711" s="1">
        <f>IFERROR(__xludf.DUMMYFUNCTION("""COMPUTED_VALUE"""),161.65)</f>
        <v>161.65</v>
      </c>
      <c r="D711" s="1">
        <f>IFERROR(__xludf.DUMMYFUNCTION("""COMPUTED_VALUE"""),158.5)</f>
        <v>158.5</v>
      </c>
      <c r="E711" s="1">
        <f>IFERROR(__xludf.DUMMYFUNCTION("""COMPUTED_VALUE"""),159.5)</f>
        <v>159.5</v>
      </c>
      <c r="F711" s="1">
        <f>IFERROR(__xludf.DUMMYFUNCTION("""COMPUTED_VALUE"""),1501099.0)</f>
        <v>1501099</v>
      </c>
    </row>
    <row r="712">
      <c r="A712" s="2">
        <f>IFERROR(__xludf.DUMMYFUNCTION("""COMPUTED_VALUE"""),37564.645833333336)</f>
        <v>37564.64583</v>
      </c>
      <c r="B712" s="1">
        <f>IFERROR(__xludf.DUMMYFUNCTION("""COMPUTED_VALUE"""),162.0)</f>
        <v>162</v>
      </c>
      <c r="C712" s="1">
        <f>IFERROR(__xludf.DUMMYFUNCTION("""COMPUTED_VALUE"""),164.0)</f>
        <v>164</v>
      </c>
      <c r="D712" s="1">
        <f>IFERROR(__xludf.DUMMYFUNCTION("""COMPUTED_VALUE"""),160.0)</f>
        <v>160</v>
      </c>
      <c r="E712" s="1">
        <f>IFERROR(__xludf.DUMMYFUNCTION("""COMPUTED_VALUE"""),161.4)</f>
        <v>161.4</v>
      </c>
      <c r="F712" s="1">
        <f>IFERROR(__xludf.DUMMYFUNCTION("""COMPUTED_VALUE"""),227286.0)</f>
        <v>227286</v>
      </c>
    </row>
    <row r="713">
      <c r="A713" s="2">
        <f>IFERROR(__xludf.DUMMYFUNCTION("""COMPUTED_VALUE"""),37565.645833333336)</f>
        <v>37565.64583</v>
      </c>
      <c r="B713" s="1">
        <f>IFERROR(__xludf.DUMMYFUNCTION("""COMPUTED_VALUE"""),161.3)</f>
        <v>161.3</v>
      </c>
      <c r="C713" s="1">
        <f>IFERROR(__xludf.DUMMYFUNCTION("""COMPUTED_VALUE"""),161.5)</f>
        <v>161.5</v>
      </c>
      <c r="D713" s="1">
        <f>IFERROR(__xludf.DUMMYFUNCTION("""COMPUTED_VALUE"""),159.2)</f>
        <v>159.2</v>
      </c>
      <c r="E713" s="1">
        <f>IFERROR(__xludf.DUMMYFUNCTION("""COMPUTED_VALUE"""),160.05)</f>
        <v>160.05</v>
      </c>
      <c r="F713" s="1">
        <f>IFERROR(__xludf.DUMMYFUNCTION("""COMPUTED_VALUE"""),1041726.0)</f>
        <v>1041726</v>
      </c>
    </row>
    <row r="714">
      <c r="A714" s="2">
        <f>IFERROR(__xludf.DUMMYFUNCTION("""COMPUTED_VALUE"""),37567.645833333336)</f>
        <v>37567.64583</v>
      </c>
      <c r="B714" s="1">
        <f>IFERROR(__xludf.DUMMYFUNCTION("""COMPUTED_VALUE"""),160.0)</f>
        <v>160</v>
      </c>
      <c r="C714" s="1">
        <f>IFERROR(__xludf.DUMMYFUNCTION("""COMPUTED_VALUE"""),161.2)</f>
        <v>161.2</v>
      </c>
      <c r="D714" s="1">
        <f>IFERROR(__xludf.DUMMYFUNCTION("""COMPUTED_VALUE"""),156.5)</f>
        <v>156.5</v>
      </c>
      <c r="E714" s="1">
        <f>IFERROR(__xludf.DUMMYFUNCTION("""COMPUTED_VALUE"""),160.45)</f>
        <v>160.45</v>
      </c>
      <c r="F714" s="1">
        <f>IFERROR(__xludf.DUMMYFUNCTION("""COMPUTED_VALUE"""),1829175.0)</f>
        <v>1829175</v>
      </c>
    </row>
    <row r="715">
      <c r="A715" s="2">
        <f>IFERROR(__xludf.DUMMYFUNCTION("""COMPUTED_VALUE"""),37568.645833333336)</f>
        <v>37568.64583</v>
      </c>
      <c r="B715" s="1">
        <f>IFERROR(__xludf.DUMMYFUNCTION("""COMPUTED_VALUE"""),160.95)</f>
        <v>160.95</v>
      </c>
      <c r="C715" s="1">
        <f>IFERROR(__xludf.DUMMYFUNCTION("""COMPUTED_VALUE"""),160.95)</f>
        <v>160.95</v>
      </c>
      <c r="D715" s="1">
        <f>IFERROR(__xludf.DUMMYFUNCTION("""COMPUTED_VALUE"""),158.25)</f>
        <v>158.25</v>
      </c>
      <c r="E715" s="1">
        <f>IFERROR(__xludf.DUMMYFUNCTION("""COMPUTED_VALUE"""),158.85)</f>
        <v>158.85</v>
      </c>
      <c r="F715" s="1">
        <f>IFERROR(__xludf.DUMMYFUNCTION("""COMPUTED_VALUE"""),1197130.0)</f>
        <v>1197130</v>
      </c>
    </row>
    <row r="716">
      <c r="A716" s="2">
        <f>IFERROR(__xludf.DUMMYFUNCTION("""COMPUTED_VALUE"""),37571.645833333336)</f>
        <v>37571.64583</v>
      </c>
      <c r="B716" s="1">
        <f>IFERROR(__xludf.DUMMYFUNCTION("""COMPUTED_VALUE"""),159.9)</f>
        <v>159.9</v>
      </c>
      <c r="C716" s="1">
        <f>IFERROR(__xludf.DUMMYFUNCTION("""COMPUTED_VALUE"""),160.5)</f>
        <v>160.5</v>
      </c>
      <c r="D716" s="1">
        <f>IFERROR(__xludf.DUMMYFUNCTION("""COMPUTED_VALUE"""),157.5)</f>
        <v>157.5</v>
      </c>
      <c r="E716" s="1">
        <f>IFERROR(__xludf.DUMMYFUNCTION("""COMPUTED_VALUE"""),159.9)</f>
        <v>159.9</v>
      </c>
      <c r="F716" s="1">
        <f>IFERROR(__xludf.DUMMYFUNCTION("""COMPUTED_VALUE"""),1381166.0)</f>
        <v>1381166</v>
      </c>
    </row>
    <row r="717">
      <c r="A717" s="2">
        <f>IFERROR(__xludf.DUMMYFUNCTION("""COMPUTED_VALUE"""),37572.645833333336)</f>
        <v>37572.64583</v>
      </c>
      <c r="B717" s="1">
        <f>IFERROR(__xludf.DUMMYFUNCTION("""COMPUTED_VALUE"""),159.45)</f>
        <v>159.45</v>
      </c>
      <c r="C717" s="1">
        <f>IFERROR(__xludf.DUMMYFUNCTION("""COMPUTED_VALUE"""),160.5)</f>
        <v>160.5</v>
      </c>
      <c r="D717" s="1">
        <f>IFERROR(__xludf.DUMMYFUNCTION("""COMPUTED_VALUE"""),159.0)</f>
        <v>159</v>
      </c>
      <c r="E717" s="1">
        <f>IFERROR(__xludf.DUMMYFUNCTION("""COMPUTED_VALUE"""),160.15)</f>
        <v>160.15</v>
      </c>
      <c r="F717" s="1">
        <f>IFERROR(__xludf.DUMMYFUNCTION("""COMPUTED_VALUE"""),624978.0)</f>
        <v>624978</v>
      </c>
    </row>
    <row r="718">
      <c r="A718" s="2">
        <f>IFERROR(__xludf.DUMMYFUNCTION("""COMPUTED_VALUE"""),37573.645833333336)</f>
        <v>37573.64583</v>
      </c>
      <c r="B718" s="1">
        <f>IFERROR(__xludf.DUMMYFUNCTION("""COMPUTED_VALUE"""),160.7)</f>
        <v>160.7</v>
      </c>
      <c r="C718" s="1">
        <f>IFERROR(__xludf.DUMMYFUNCTION("""COMPUTED_VALUE"""),162.55)</f>
        <v>162.55</v>
      </c>
      <c r="D718" s="1">
        <f>IFERROR(__xludf.DUMMYFUNCTION("""COMPUTED_VALUE"""),159.05)</f>
        <v>159.05</v>
      </c>
      <c r="E718" s="1">
        <f>IFERROR(__xludf.DUMMYFUNCTION("""COMPUTED_VALUE"""),159.65)</f>
        <v>159.65</v>
      </c>
      <c r="F718" s="1">
        <f>IFERROR(__xludf.DUMMYFUNCTION("""COMPUTED_VALUE"""),1322991.0)</f>
        <v>1322991</v>
      </c>
    </row>
    <row r="719">
      <c r="A719" s="2">
        <f>IFERROR(__xludf.DUMMYFUNCTION("""COMPUTED_VALUE"""),37574.645833333336)</f>
        <v>37574.64583</v>
      </c>
      <c r="B719" s="1">
        <f>IFERROR(__xludf.DUMMYFUNCTION("""COMPUTED_VALUE"""),160.0)</f>
        <v>160</v>
      </c>
      <c r="C719" s="1">
        <f>IFERROR(__xludf.DUMMYFUNCTION("""COMPUTED_VALUE"""),161.0)</f>
        <v>161</v>
      </c>
      <c r="D719" s="1">
        <f>IFERROR(__xludf.DUMMYFUNCTION("""COMPUTED_VALUE"""),158.0)</f>
        <v>158</v>
      </c>
      <c r="E719" s="1">
        <f>IFERROR(__xludf.DUMMYFUNCTION("""COMPUTED_VALUE"""),158.1)</f>
        <v>158.1</v>
      </c>
      <c r="F719" s="1">
        <f>IFERROR(__xludf.DUMMYFUNCTION("""COMPUTED_VALUE"""),1285649.0)</f>
        <v>1285649</v>
      </c>
    </row>
    <row r="720">
      <c r="A720" s="2">
        <f>IFERROR(__xludf.DUMMYFUNCTION("""COMPUTED_VALUE"""),37575.645833333336)</f>
        <v>37575.64583</v>
      </c>
      <c r="B720" s="1">
        <f>IFERROR(__xludf.DUMMYFUNCTION("""COMPUTED_VALUE"""),159.8)</f>
        <v>159.8</v>
      </c>
      <c r="C720" s="1">
        <f>IFERROR(__xludf.DUMMYFUNCTION("""COMPUTED_VALUE"""),161.75)</f>
        <v>161.75</v>
      </c>
      <c r="D720" s="1">
        <f>IFERROR(__xludf.DUMMYFUNCTION("""COMPUTED_VALUE"""),158.5)</f>
        <v>158.5</v>
      </c>
      <c r="E720" s="1">
        <f>IFERROR(__xludf.DUMMYFUNCTION("""COMPUTED_VALUE"""),159.25)</f>
        <v>159.25</v>
      </c>
      <c r="F720" s="1">
        <f>IFERROR(__xludf.DUMMYFUNCTION("""COMPUTED_VALUE"""),1953451.0)</f>
        <v>1953451</v>
      </c>
    </row>
    <row r="721">
      <c r="A721" s="2">
        <f>IFERROR(__xludf.DUMMYFUNCTION("""COMPUTED_VALUE"""),37578.645833333336)</f>
        <v>37578.64583</v>
      </c>
      <c r="B721" s="1">
        <f>IFERROR(__xludf.DUMMYFUNCTION("""COMPUTED_VALUE"""),160.0)</f>
        <v>160</v>
      </c>
      <c r="C721" s="1">
        <f>IFERROR(__xludf.DUMMYFUNCTION("""COMPUTED_VALUE"""),165.25)</f>
        <v>165.25</v>
      </c>
      <c r="D721" s="1">
        <f>IFERROR(__xludf.DUMMYFUNCTION("""COMPUTED_VALUE"""),160.0)</f>
        <v>160</v>
      </c>
      <c r="E721" s="1">
        <f>IFERROR(__xludf.DUMMYFUNCTION("""COMPUTED_VALUE"""),164.5)</f>
        <v>164.5</v>
      </c>
      <c r="F721" s="1">
        <f>IFERROR(__xludf.DUMMYFUNCTION("""COMPUTED_VALUE"""),1915916.0)</f>
        <v>1915916</v>
      </c>
    </row>
    <row r="722">
      <c r="A722" s="2">
        <f>IFERROR(__xludf.DUMMYFUNCTION("""COMPUTED_VALUE"""),37580.645833333336)</f>
        <v>37580.64583</v>
      </c>
      <c r="B722" s="1">
        <f>IFERROR(__xludf.DUMMYFUNCTION("""COMPUTED_VALUE"""),165.5)</f>
        <v>165.5</v>
      </c>
      <c r="C722" s="1">
        <f>IFERROR(__xludf.DUMMYFUNCTION("""COMPUTED_VALUE"""),166.1)</f>
        <v>166.1</v>
      </c>
      <c r="D722" s="1">
        <f>IFERROR(__xludf.DUMMYFUNCTION("""COMPUTED_VALUE"""),163.0)</f>
        <v>163</v>
      </c>
      <c r="E722" s="1">
        <f>IFERROR(__xludf.DUMMYFUNCTION("""COMPUTED_VALUE"""),163.45)</f>
        <v>163.45</v>
      </c>
      <c r="F722" s="1">
        <f>IFERROR(__xludf.DUMMYFUNCTION("""COMPUTED_VALUE"""),1537507.0)</f>
        <v>1537507</v>
      </c>
    </row>
    <row r="723">
      <c r="A723" s="2">
        <f>IFERROR(__xludf.DUMMYFUNCTION("""COMPUTED_VALUE"""),37581.645833333336)</f>
        <v>37581.64583</v>
      </c>
      <c r="B723" s="1">
        <f>IFERROR(__xludf.DUMMYFUNCTION("""COMPUTED_VALUE"""),164.1)</f>
        <v>164.1</v>
      </c>
      <c r="C723" s="1">
        <f>IFERROR(__xludf.DUMMYFUNCTION("""COMPUTED_VALUE"""),166.55)</f>
        <v>166.55</v>
      </c>
      <c r="D723" s="1">
        <f>IFERROR(__xludf.DUMMYFUNCTION("""COMPUTED_VALUE"""),163.3)</f>
        <v>163.3</v>
      </c>
      <c r="E723" s="1">
        <f>IFERROR(__xludf.DUMMYFUNCTION("""COMPUTED_VALUE"""),163.75)</f>
        <v>163.75</v>
      </c>
      <c r="F723" s="1">
        <f>IFERROR(__xludf.DUMMYFUNCTION("""COMPUTED_VALUE"""),1499991.0)</f>
        <v>1499991</v>
      </c>
    </row>
    <row r="724">
      <c r="A724" s="2">
        <f>IFERROR(__xludf.DUMMYFUNCTION("""COMPUTED_VALUE"""),37582.645833333336)</f>
        <v>37582.64583</v>
      </c>
      <c r="B724" s="1">
        <f>IFERROR(__xludf.DUMMYFUNCTION("""COMPUTED_VALUE"""),165.0)</f>
        <v>165</v>
      </c>
      <c r="C724" s="1">
        <f>IFERROR(__xludf.DUMMYFUNCTION("""COMPUTED_VALUE"""),165.45)</f>
        <v>165.45</v>
      </c>
      <c r="D724" s="1">
        <f>IFERROR(__xludf.DUMMYFUNCTION("""COMPUTED_VALUE"""),163.1)</f>
        <v>163.1</v>
      </c>
      <c r="E724" s="1">
        <f>IFERROR(__xludf.DUMMYFUNCTION("""COMPUTED_VALUE"""),163.8)</f>
        <v>163.8</v>
      </c>
      <c r="F724" s="1">
        <f>IFERROR(__xludf.DUMMYFUNCTION("""COMPUTED_VALUE"""),1008899.0)</f>
        <v>1008899</v>
      </c>
    </row>
    <row r="725">
      <c r="A725" s="2">
        <f>IFERROR(__xludf.DUMMYFUNCTION("""COMPUTED_VALUE"""),37585.645833333336)</f>
        <v>37585.64583</v>
      </c>
      <c r="B725" s="1">
        <f>IFERROR(__xludf.DUMMYFUNCTION("""COMPUTED_VALUE"""),162.95)</f>
        <v>162.95</v>
      </c>
      <c r="C725" s="1">
        <f>IFERROR(__xludf.DUMMYFUNCTION("""COMPUTED_VALUE"""),164.95)</f>
        <v>164.95</v>
      </c>
      <c r="D725" s="1">
        <f>IFERROR(__xludf.DUMMYFUNCTION("""COMPUTED_VALUE"""),162.5)</f>
        <v>162.5</v>
      </c>
      <c r="E725" s="1">
        <f>IFERROR(__xludf.DUMMYFUNCTION("""COMPUTED_VALUE"""),163.65)</f>
        <v>163.65</v>
      </c>
      <c r="F725" s="1">
        <f>IFERROR(__xludf.DUMMYFUNCTION("""COMPUTED_VALUE"""),1529974.0)</f>
        <v>1529974</v>
      </c>
    </row>
    <row r="726">
      <c r="A726" s="2">
        <f>IFERROR(__xludf.DUMMYFUNCTION("""COMPUTED_VALUE"""),37586.645833333336)</f>
        <v>37586.64583</v>
      </c>
      <c r="B726" s="1">
        <f>IFERROR(__xludf.DUMMYFUNCTION("""COMPUTED_VALUE"""),165.0)</f>
        <v>165</v>
      </c>
      <c r="C726" s="1">
        <f>IFERROR(__xludf.DUMMYFUNCTION("""COMPUTED_VALUE"""),168.2)</f>
        <v>168.2</v>
      </c>
      <c r="D726" s="1">
        <f>IFERROR(__xludf.DUMMYFUNCTION("""COMPUTED_VALUE"""),165.0)</f>
        <v>165</v>
      </c>
      <c r="E726" s="1">
        <f>IFERROR(__xludf.DUMMYFUNCTION("""COMPUTED_VALUE"""),167.5)</f>
        <v>167.5</v>
      </c>
      <c r="F726" s="1">
        <f>IFERROR(__xludf.DUMMYFUNCTION("""COMPUTED_VALUE"""),3364903.0)</f>
        <v>3364903</v>
      </c>
    </row>
    <row r="727">
      <c r="A727" s="2">
        <f>IFERROR(__xludf.DUMMYFUNCTION("""COMPUTED_VALUE"""),37587.645833333336)</f>
        <v>37587.64583</v>
      </c>
      <c r="B727" s="1">
        <f>IFERROR(__xludf.DUMMYFUNCTION("""COMPUTED_VALUE"""),168.0)</f>
        <v>168</v>
      </c>
      <c r="C727" s="1">
        <f>IFERROR(__xludf.DUMMYFUNCTION("""COMPUTED_VALUE"""),169.75)</f>
        <v>169.75</v>
      </c>
      <c r="D727" s="1">
        <f>IFERROR(__xludf.DUMMYFUNCTION("""COMPUTED_VALUE"""),166.75)</f>
        <v>166.75</v>
      </c>
      <c r="E727" s="1">
        <f>IFERROR(__xludf.DUMMYFUNCTION("""COMPUTED_VALUE"""),168.55)</f>
        <v>168.55</v>
      </c>
      <c r="F727" s="1">
        <f>IFERROR(__xludf.DUMMYFUNCTION("""COMPUTED_VALUE"""),2775858.0)</f>
        <v>2775858</v>
      </c>
    </row>
    <row r="728">
      <c r="A728" s="2">
        <f>IFERROR(__xludf.DUMMYFUNCTION("""COMPUTED_VALUE"""),37588.645833333336)</f>
        <v>37588.64583</v>
      </c>
      <c r="B728" s="1">
        <f>IFERROR(__xludf.DUMMYFUNCTION("""COMPUTED_VALUE"""),170.0)</f>
        <v>170</v>
      </c>
      <c r="C728" s="1">
        <f>IFERROR(__xludf.DUMMYFUNCTION("""COMPUTED_VALUE"""),173.4)</f>
        <v>173.4</v>
      </c>
      <c r="D728" s="1">
        <f>IFERROR(__xludf.DUMMYFUNCTION("""COMPUTED_VALUE"""),169.55)</f>
        <v>169.55</v>
      </c>
      <c r="E728" s="1">
        <f>IFERROR(__xludf.DUMMYFUNCTION("""COMPUTED_VALUE"""),172.6)</f>
        <v>172.6</v>
      </c>
      <c r="F728" s="1">
        <f>IFERROR(__xludf.DUMMYFUNCTION("""COMPUTED_VALUE"""),2499412.0)</f>
        <v>2499412</v>
      </c>
    </row>
    <row r="729">
      <c r="A729" s="2">
        <f>IFERROR(__xludf.DUMMYFUNCTION("""COMPUTED_VALUE"""),37589.645833333336)</f>
        <v>37589.64583</v>
      </c>
      <c r="B729" s="1">
        <f>IFERROR(__xludf.DUMMYFUNCTION("""COMPUTED_VALUE"""),173.8)</f>
        <v>173.8</v>
      </c>
      <c r="C729" s="1">
        <f>IFERROR(__xludf.DUMMYFUNCTION("""COMPUTED_VALUE"""),174.75)</f>
        <v>174.75</v>
      </c>
      <c r="D729" s="1">
        <f>IFERROR(__xludf.DUMMYFUNCTION("""COMPUTED_VALUE"""),170.0)</f>
        <v>170</v>
      </c>
      <c r="E729" s="1">
        <f>IFERROR(__xludf.DUMMYFUNCTION("""COMPUTED_VALUE"""),171.65)</f>
        <v>171.65</v>
      </c>
      <c r="F729" s="1">
        <f>IFERROR(__xludf.DUMMYFUNCTION("""COMPUTED_VALUE"""),1560058.0)</f>
        <v>1560058</v>
      </c>
    </row>
    <row r="730">
      <c r="A730" s="2">
        <f>IFERROR(__xludf.DUMMYFUNCTION("""COMPUTED_VALUE"""),37592.645833333336)</f>
        <v>37592.64583</v>
      </c>
      <c r="B730" s="1">
        <f>IFERROR(__xludf.DUMMYFUNCTION("""COMPUTED_VALUE"""),173.85)</f>
        <v>173.85</v>
      </c>
      <c r="C730" s="1">
        <f>IFERROR(__xludf.DUMMYFUNCTION("""COMPUTED_VALUE"""),174.85)</f>
        <v>174.85</v>
      </c>
      <c r="D730" s="1">
        <f>IFERROR(__xludf.DUMMYFUNCTION("""COMPUTED_VALUE"""),172.3)</f>
        <v>172.3</v>
      </c>
      <c r="E730" s="1">
        <f>IFERROR(__xludf.DUMMYFUNCTION("""COMPUTED_VALUE"""),173.4)</f>
        <v>173.4</v>
      </c>
      <c r="F730" s="1">
        <f>IFERROR(__xludf.DUMMYFUNCTION("""COMPUTED_VALUE"""),1235219.0)</f>
        <v>1235219</v>
      </c>
    </row>
    <row r="731">
      <c r="A731" s="2">
        <f>IFERROR(__xludf.DUMMYFUNCTION("""COMPUTED_VALUE"""),37593.645833333336)</f>
        <v>37593.64583</v>
      </c>
      <c r="B731" s="1">
        <f>IFERROR(__xludf.DUMMYFUNCTION("""COMPUTED_VALUE"""),173.95)</f>
        <v>173.95</v>
      </c>
      <c r="C731" s="1">
        <f>IFERROR(__xludf.DUMMYFUNCTION("""COMPUTED_VALUE"""),173.95)</f>
        <v>173.95</v>
      </c>
      <c r="D731" s="1">
        <f>IFERROR(__xludf.DUMMYFUNCTION("""COMPUTED_VALUE"""),170.5)</f>
        <v>170.5</v>
      </c>
      <c r="E731" s="1">
        <f>IFERROR(__xludf.DUMMYFUNCTION("""COMPUTED_VALUE"""),172.0)</f>
        <v>172</v>
      </c>
      <c r="F731" s="1">
        <f>IFERROR(__xludf.DUMMYFUNCTION("""COMPUTED_VALUE"""),1083921.0)</f>
        <v>1083921</v>
      </c>
    </row>
    <row r="732">
      <c r="A732" s="2">
        <f>IFERROR(__xludf.DUMMYFUNCTION("""COMPUTED_VALUE"""),37594.645833333336)</f>
        <v>37594.64583</v>
      </c>
      <c r="B732" s="1">
        <f>IFERROR(__xludf.DUMMYFUNCTION("""COMPUTED_VALUE"""),171.0)</f>
        <v>171</v>
      </c>
      <c r="C732" s="1">
        <f>IFERROR(__xludf.DUMMYFUNCTION("""COMPUTED_VALUE"""),174.5)</f>
        <v>174.5</v>
      </c>
      <c r="D732" s="1">
        <f>IFERROR(__xludf.DUMMYFUNCTION("""COMPUTED_VALUE"""),168.25)</f>
        <v>168.25</v>
      </c>
      <c r="E732" s="1">
        <f>IFERROR(__xludf.DUMMYFUNCTION("""COMPUTED_VALUE"""),171.9)</f>
        <v>171.9</v>
      </c>
      <c r="F732" s="1">
        <f>IFERROR(__xludf.DUMMYFUNCTION("""COMPUTED_VALUE"""),2674560.0)</f>
        <v>2674560</v>
      </c>
    </row>
    <row r="733">
      <c r="A733" s="2">
        <f>IFERROR(__xludf.DUMMYFUNCTION("""COMPUTED_VALUE"""),37595.645833333336)</f>
        <v>37595.64583</v>
      </c>
      <c r="B733" s="1">
        <f>IFERROR(__xludf.DUMMYFUNCTION("""COMPUTED_VALUE"""),172.4)</f>
        <v>172.4</v>
      </c>
      <c r="C733" s="1">
        <f>IFERROR(__xludf.DUMMYFUNCTION("""COMPUTED_VALUE"""),173.85)</f>
        <v>173.85</v>
      </c>
      <c r="D733" s="1">
        <f>IFERROR(__xludf.DUMMYFUNCTION("""COMPUTED_VALUE"""),171.55)</f>
        <v>171.55</v>
      </c>
      <c r="E733" s="1">
        <f>IFERROR(__xludf.DUMMYFUNCTION("""COMPUTED_VALUE"""),173.05)</f>
        <v>173.05</v>
      </c>
      <c r="F733" s="1">
        <f>IFERROR(__xludf.DUMMYFUNCTION("""COMPUTED_VALUE"""),500972.0)</f>
        <v>500972</v>
      </c>
    </row>
    <row r="734">
      <c r="A734" s="2">
        <f>IFERROR(__xludf.DUMMYFUNCTION("""COMPUTED_VALUE"""),37596.645833333336)</f>
        <v>37596.64583</v>
      </c>
      <c r="B734" s="1">
        <f>IFERROR(__xludf.DUMMYFUNCTION("""COMPUTED_VALUE"""),174.0)</f>
        <v>174</v>
      </c>
      <c r="C734" s="1">
        <f>IFERROR(__xludf.DUMMYFUNCTION("""COMPUTED_VALUE"""),178.0)</f>
        <v>178</v>
      </c>
      <c r="D734" s="1">
        <f>IFERROR(__xludf.DUMMYFUNCTION("""COMPUTED_VALUE"""),173.25)</f>
        <v>173.25</v>
      </c>
      <c r="E734" s="1">
        <f>IFERROR(__xludf.DUMMYFUNCTION("""COMPUTED_VALUE"""),177.7)</f>
        <v>177.7</v>
      </c>
      <c r="F734" s="1">
        <f>IFERROR(__xludf.DUMMYFUNCTION("""COMPUTED_VALUE"""),1680107.0)</f>
        <v>1680107</v>
      </c>
    </row>
    <row r="735">
      <c r="A735" s="2">
        <f>IFERROR(__xludf.DUMMYFUNCTION("""COMPUTED_VALUE"""),37599.645833333336)</f>
        <v>37599.64583</v>
      </c>
      <c r="B735" s="1">
        <f>IFERROR(__xludf.DUMMYFUNCTION("""COMPUTED_VALUE"""),179.0)</f>
        <v>179</v>
      </c>
      <c r="C735" s="1">
        <f>IFERROR(__xludf.DUMMYFUNCTION("""COMPUTED_VALUE"""),181.0)</f>
        <v>181</v>
      </c>
      <c r="D735" s="1">
        <f>IFERROR(__xludf.DUMMYFUNCTION("""COMPUTED_VALUE"""),174.0)</f>
        <v>174</v>
      </c>
      <c r="E735" s="1">
        <f>IFERROR(__xludf.DUMMYFUNCTION("""COMPUTED_VALUE"""),175.05)</f>
        <v>175.05</v>
      </c>
      <c r="F735" s="1">
        <f>IFERROR(__xludf.DUMMYFUNCTION("""COMPUTED_VALUE"""),1141805.0)</f>
        <v>1141805</v>
      </c>
    </row>
    <row r="736">
      <c r="A736" s="2">
        <f>IFERROR(__xludf.DUMMYFUNCTION("""COMPUTED_VALUE"""),37600.645833333336)</f>
        <v>37600.64583</v>
      </c>
      <c r="B736" s="1">
        <f>IFERROR(__xludf.DUMMYFUNCTION("""COMPUTED_VALUE"""),173.5)</f>
        <v>173.5</v>
      </c>
      <c r="C736" s="1">
        <f>IFERROR(__xludf.DUMMYFUNCTION("""COMPUTED_VALUE"""),179.9)</f>
        <v>179.9</v>
      </c>
      <c r="D736" s="1">
        <f>IFERROR(__xludf.DUMMYFUNCTION("""COMPUTED_VALUE"""),173.5)</f>
        <v>173.5</v>
      </c>
      <c r="E736" s="1">
        <f>IFERROR(__xludf.DUMMYFUNCTION("""COMPUTED_VALUE"""),179.05)</f>
        <v>179.05</v>
      </c>
      <c r="F736" s="1">
        <f>IFERROR(__xludf.DUMMYFUNCTION("""COMPUTED_VALUE"""),1056817.0)</f>
        <v>1056817</v>
      </c>
    </row>
    <row r="737">
      <c r="A737" s="2">
        <f>IFERROR(__xludf.DUMMYFUNCTION("""COMPUTED_VALUE"""),37601.645833333336)</f>
        <v>37601.64583</v>
      </c>
      <c r="B737" s="1">
        <f>IFERROR(__xludf.DUMMYFUNCTION("""COMPUTED_VALUE"""),180.5)</f>
        <v>180.5</v>
      </c>
      <c r="C737" s="1">
        <f>IFERROR(__xludf.DUMMYFUNCTION("""COMPUTED_VALUE"""),180.85)</f>
        <v>180.85</v>
      </c>
      <c r="D737" s="1">
        <f>IFERROR(__xludf.DUMMYFUNCTION("""COMPUTED_VALUE"""),177.05)</f>
        <v>177.05</v>
      </c>
      <c r="E737" s="1">
        <f>IFERROR(__xludf.DUMMYFUNCTION("""COMPUTED_VALUE"""),179.95)</f>
        <v>179.95</v>
      </c>
      <c r="F737" s="1">
        <f>IFERROR(__xludf.DUMMYFUNCTION("""COMPUTED_VALUE"""),1046171.0)</f>
        <v>1046171</v>
      </c>
    </row>
    <row r="738">
      <c r="A738" s="2">
        <f>IFERROR(__xludf.DUMMYFUNCTION("""COMPUTED_VALUE"""),37602.645833333336)</f>
        <v>37602.64583</v>
      </c>
      <c r="B738" s="1">
        <f>IFERROR(__xludf.DUMMYFUNCTION("""COMPUTED_VALUE"""),180.0)</f>
        <v>180</v>
      </c>
      <c r="C738" s="1">
        <f>IFERROR(__xludf.DUMMYFUNCTION("""COMPUTED_VALUE"""),181.7)</f>
        <v>181.7</v>
      </c>
      <c r="D738" s="1">
        <f>IFERROR(__xludf.DUMMYFUNCTION("""COMPUTED_VALUE"""),177.85)</f>
        <v>177.85</v>
      </c>
      <c r="E738" s="1">
        <f>IFERROR(__xludf.DUMMYFUNCTION("""COMPUTED_VALUE"""),180.0)</f>
        <v>180</v>
      </c>
      <c r="F738" s="1">
        <f>IFERROR(__xludf.DUMMYFUNCTION("""COMPUTED_VALUE"""),954852.0)</f>
        <v>954852</v>
      </c>
    </row>
    <row r="739">
      <c r="A739" s="2">
        <f>IFERROR(__xludf.DUMMYFUNCTION("""COMPUTED_VALUE"""),37603.645833333336)</f>
        <v>37603.64583</v>
      </c>
      <c r="B739" s="1">
        <f>IFERROR(__xludf.DUMMYFUNCTION("""COMPUTED_VALUE"""),185.0)</f>
        <v>185</v>
      </c>
      <c r="C739" s="1">
        <f>IFERROR(__xludf.DUMMYFUNCTION("""COMPUTED_VALUE"""),185.0)</f>
        <v>185</v>
      </c>
      <c r="D739" s="1">
        <f>IFERROR(__xludf.DUMMYFUNCTION("""COMPUTED_VALUE"""),179.05)</f>
        <v>179.05</v>
      </c>
      <c r="E739" s="1">
        <f>IFERROR(__xludf.DUMMYFUNCTION("""COMPUTED_VALUE"""),180.15)</f>
        <v>180.15</v>
      </c>
      <c r="F739" s="1">
        <f>IFERROR(__xludf.DUMMYFUNCTION("""COMPUTED_VALUE"""),857626.0)</f>
        <v>857626</v>
      </c>
    </row>
    <row r="740">
      <c r="A740" s="2">
        <f>IFERROR(__xludf.DUMMYFUNCTION("""COMPUTED_VALUE"""),37606.645833333336)</f>
        <v>37606.64583</v>
      </c>
      <c r="B740" s="1">
        <f>IFERROR(__xludf.DUMMYFUNCTION("""COMPUTED_VALUE"""),180.0)</f>
        <v>180</v>
      </c>
      <c r="C740" s="1">
        <f>IFERROR(__xludf.DUMMYFUNCTION("""COMPUTED_VALUE"""),182.95)</f>
        <v>182.95</v>
      </c>
      <c r="D740" s="1">
        <f>IFERROR(__xludf.DUMMYFUNCTION("""COMPUTED_VALUE"""),178.1)</f>
        <v>178.1</v>
      </c>
      <c r="E740" s="1">
        <f>IFERROR(__xludf.DUMMYFUNCTION("""COMPUTED_VALUE"""),180.05)</f>
        <v>180.05</v>
      </c>
      <c r="F740" s="1">
        <f>IFERROR(__xludf.DUMMYFUNCTION("""COMPUTED_VALUE"""),1085169.0)</f>
        <v>1085169</v>
      </c>
    </row>
    <row r="741">
      <c r="A741" s="2">
        <f>IFERROR(__xludf.DUMMYFUNCTION("""COMPUTED_VALUE"""),37607.645833333336)</f>
        <v>37607.64583</v>
      </c>
      <c r="B741" s="1">
        <f>IFERROR(__xludf.DUMMYFUNCTION("""COMPUTED_VALUE"""),180.5)</f>
        <v>180.5</v>
      </c>
      <c r="C741" s="1">
        <f>IFERROR(__xludf.DUMMYFUNCTION("""COMPUTED_VALUE"""),180.8)</f>
        <v>180.8</v>
      </c>
      <c r="D741" s="1">
        <f>IFERROR(__xludf.DUMMYFUNCTION("""COMPUTED_VALUE"""),178.7)</f>
        <v>178.7</v>
      </c>
      <c r="E741" s="1">
        <f>IFERROR(__xludf.DUMMYFUNCTION("""COMPUTED_VALUE"""),180.1)</f>
        <v>180.1</v>
      </c>
      <c r="F741" s="1">
        <f>IFERROR(__xludf.DUMMYFUNCTION("""COMPUTED_VALUE"""),819184.0)</f>
        <v>819184</v>
      </c>
    </row>
    <row r="742">
      <c r="A742" s="2">
        <f>IFERROR(__xludf.DUMMYFUNCTION("""COMPUTED_VALUE"""),37608.645833333336)</f>
        <v>37608.64583</v>
      </c>
      <c r="B742" s="1">
        <f>IFERROR(__xludf.DUMMYFUNCTION("""COMPUTED_VALUE"""),179.75)</f>
        <v>179.75</v>
      </c>
      <c r="C742" s="1">
        <f>IFERROR(__xludf.DUMMYFUNCTION("""COMPUTED_VALUE"""),182.7)</f>
        <v>182.7</v>
      </c>
      <c r="D742" s="1">
        <f>IFERROR(__xludf.DUMMYFUNCTION("""COMPUTED_VALUE"""),178.1)</f>
        <v>178.1</v>
      </c>
      <c r="E742" s="1">
        <f>IFERROR(__xludf.DUMMYFUNCTION("""COMPUTED_VALUE"""),180.4)</f>
        <v>180.4</v>
      </c>
      <c r="F742" s="1">
        <f>IFERROR(__xludf.DUMMYFUNCTION("""COMPUTED_VALUE"""),1493212.0)</f>
        <v>1493212</v>
      </c>
    </row>
    <row r="743">
      <c r="A743" s="2">
        <f>IFERROR(__xludf.DUMMYFUNCTION("""COMPUTED_VALUE"""),37609.645833333336)</f>
        <v>37609.64583</v>
      </c>
      <c r="B743" s="1">
        <f>IFERROR(__xludf.DUMMYFUNCTION("""COMPUTED_VALUE"""),180.0)</f>
        <v>180</v>
      </c>
      <c r="C743" s="1">
        <f>IFERROR(__xludf.DUMMYFUNCTION("""COMPUTED_VALUE"""),182.7)</f>
        <v>182.7</v>
      </c>
      <c r="D743" s="1">
        <f>IFERROR(__xludf.DUMMYFUNCTION("""COMPUTED_VALUE"""),179.3)</f>
        <v>179.3</v>
      </c>
      <c r="E743" s="1">
        <f>IFERROR(__xludf.DUMMYFUNCTION("""COMPUTED_VALUE"""),181.8)</f>
        <v>181.8</v>
      </c>
      <c r="F743" s="1">
        <f>IFERROR(__xludf.DUMMYFUNCTION("""COMPUTED_VALUE"""),964377.0)</f>
        <v>964377</v>
      </c>
    </row>
    <row r="744">
      <c r="A744" s="2">
        <f>IFERROR(__xludf.DUMMYFUNCTION("""COMPUTED_VALUE"""),37610.645833333336)</f>
        <v>37610.64583</v>
      </c>
      <c r="B744" s="1">
        <f>IFERROR(__xludf.DUMMYFUNCTION("""COMPUTED_VALUE"""),183.4)</f>
        <v>183.4</v>
      </c>
      <c r="C744" s="1">
        <f>IFERROR(__xludf.DUMMYFUNCTION("""COMPUTED_VALUE"""),184.4)</f>
        <v>184.4</v>
      </c>
      <c r="D744" s="1">
        <f>IFERROR(__xludf.DUMMYFUNCTION("""COMPUTED_VALUE"""),181.7)</f>
        <v>181.7</v>
      </c>
      <c r="E744" s="1">
        <f>IFERROR(__xludf.DUMMYFUNCTION("""COMPUTED_VALUE"""),183.2)</f>
        <v>183.2</v>
      </c>
      <c r="F744" s="1">
        <f>IFERROR(__xludf.DUMMYFUNCTION("""COMPUTED_VALUE"""),944005.0)</f>
        <v>944005</v>
      </c>
    </row>
    <row r="745">
      <c r="A745" s="2">
        <f>IFERROR(__xludf.DUMMYFUNCTION("""COMPUTED_VALUE"""),37613.645833333336)</f>
        <v>37613.64583</v>
      </c>
      <c r="B745" s="1">
        <f>IFERROR(__xludf.DUMMYFUNCTION("""COMPUTED_VALUE"""),183.2)</f>
        <v>183.2</v>
      </c>
      <c r="C745" s="1">
        <f>IFERROR(__xludf.DUMMYFUNCTION("""COMPUTED_VALUE"""),183.2)</f>
        <v>183.2</v>
      </c>
      <c r="D745" s="1">
        <f>IFERROR(__xludf.DUMMYFUNCTION("""COMPUTED_VALUE"""),179.2)</f>
        <v>179.2</v>
      </c>
      <c r="E745" s="1">
        <f>IFERROR(__xludf.DUMMYFUNCTION("""COMPUTED_VALUE"""),180.05)</f>
        <v>180.05</v>
      </c>
      <c r="F745" s="1">
        <f>IFERROR(__xludf.DUMMYFUNCTION("""COMPUTED_VALUE"""),572031.0)</f>
        <v>572031</v>
      </c>
    </row>
    <row r="746">
      <c r="A746" s="2">
        <f>IFERROR(__xludf.DUMMYFUNCTION("""COMPUTED_VALUE"""),37614.645833333336)</f>
        <v>37614.64583</v>
      </c>
      <c r="B746" s="1">
        <f>IFERROR(__xludf.DUMMYFUNCTION("""COMPUTED_VALUE"""),180.0)</f>
        <v>180</v>
      </c>
      <c r="C746" s="1">
        <f>IFERROR(__xludf.DUMMYFUNCTION("""COMPUTED_VALUE"""),184.8)</f>
        <v>184.8</v>
      </c>
      <c r="D746" s="1">
        <f>IFERROR(__xludf.DUMMYFUNCTION("""COMPUTED_VALUE"""),179.05)</f>
        <v>179.05</v>
      </c>
      <c r="E746" s="1">
        <f>IFERROR(__xludf.DUMMYFUNCTION("""COMPUTED_VALUE"""),183.1)</f>
        <v>183.1</v>
      </c>
      <c r="F746" s="1">
        <f>IFERROR(__xludf.DUMMYFUNCTION("""COMPUTED_VALUE"""),800550.0)</f>
        <v>800550</v>
      </c>
    </row>
    <row r="747">
      <c r="A747" s="2">
        <f>IFERROR(__xludf.DUMMYFUNCTION("""COMPUTED_VALUE"""),37616.645833333336)</f>
        <v>37616.64583</v>
      </c>
      <c r="B747" s="1">
        <f>IFERROR(__xludf.DUMMYFUNCTION("""COMPUTED_VALUE"""),181.5)</f>
        <v>181.5</v>
      </c>
      <c r="C747" s="1">
        <f>IFERROR(__xludf.DUMMYFUNCTION("""COMPUTED_VALUE"""),185.25)</f>
        <v>185.25</v>
      </c>
      <c r="D747" s="1">
        <f>IFERROR(__xludf.DUMMYFUNCTION("""COMPUTED_VALUE"""),181.25)</f>
        <v>181.25</v>
      </c>
      <c r="E747" s="1">
        <f>IFERROR(__xludf.DUMMYFUNCTION("""COMPUTED_VALUE"""),184.35)</f>
        <v>184.35</v>
      </c>
      <c r="F747" s="1">
        <f>IFERROR(__xludf.DUMMYFUNCTION("""COMPUTED_VALUE"""),1361763.0)</f>
        <v>1361763</v>
      </c>
    </row>
    <row r="748">
      <c r="A748" s="2">
        <f>IFERROR(__xludf.DUMMYFUNCTION("""COMPUTED_VALUE"""),37617.645833333336)</f>
        <v>37617.64583</v>
      </c>
      <c r="B748" s="1">
        <f>IFERROR(__xludf.DUMMYFUNCTION("""COMPUTED_VALUE"""),183.9)</f>
        <v>183.9</v>
      </c>
      <c r="C748" s="1">
        <f>IFERROR(__xludf.DUMMYFUNCTION("""COMPUTED_VALUE"""),183.9)</f>
        <v>183.9</v>
      </c>
      <c r="D748" s="1">
        <f>IFERROR(__xludf.DUMMYFUNCTION("""COMPUTED_VALUE"""),182.0)</f>
        <v>182</v>
      </c>
      <c r="E748" s="1">
        <f>IFERROR(__xludf.DUMMYFUNCTION("""COMPUTED_VALUE"""),182.6)</f>
        <v>182.6</v>
      </c>
      <c r="F748" s="1">
        <f>IFERROR(__xludf.DUMMYFUNCTION("""COMPUTED_VALUE"""),431276.0)</f>
        <v>431276</v>
      </c>
    </row>
    <row r="749">
      <c r="A749" s="2">
        <f>IFERROR(__xludf.DUMMYFUNCTION("""COMPUTED_VALUE"""),37620.645833333336)</f>
        <v>37620.64583</v>
      </c>
      <c r="B749" s="1">
        <f>IFERROR(__xludf.DUMMYFUNCTION("""COMPUTED_VALUE"""),180.5)</f>
        <v>180.5</v>
      </c>
      <c r="C749" s="1">
        <f>IFERROR(__xludf.DUMMYFUNCTION("""COMPUTED_VALUE"""),183.0)</f>
        <v>183</v>
      </c>
      <c r="D749" s="1">
        <f>IFERROR(__xludf.DUMMYFUNCTION("""COMPUTED_VALUE"""),180.5)</f>
        <v>180.5</v>
      </c>
      <c r="E749" s="1">
        <f>IFERROR(__xludf.DUMMYFUNCTION("""COMPUTED_VALUE"""),182.0)</f>
        <v>182</v>
      </c>
      <c r="F749" s="1">
        <f>IFERROR(__xludf.DUMMYFUNCTION("""COMPUTED_VALUE"""),376188.0)</f>
        <v>376188</v>
      </c>
    </row>
    <row r="750">
      <c r="A750" s="2">
        <f>IFERROR(__xludf.DUMMYFUNCTION("""COMPUTED_VALUE"""),37621.645833333336)</f>
        <v>37621.64583</v>
      </c>
      <c r="B750" s="1">
        <f>IFERROR(__xludf.DUMMYFUNCTION("""COMPUTED_VALUE"""),182.1)</f>
        <v>182.1</v>
      </c>
      <c r="C750" s="1">
        <f>IFERROR(__xludf.DUMMYFUNCTION("""COMPUTED_VALUE"""),183.6)</f>
        <v>183.6</v>
      </c>
      <c r="D750" s="1">
        <f>IFERROR(__xludf.DUMMYFUNCTION("""COMPUTED_VALUE"""),181.3)</f>
        <v>181.3</v>
      </c>
      <c r="E750" s="1">
        <f>IFERROR(__xludf.DUMMYFUNCTION("""COMPUTED_VALUE"""),181.7)</f>
        <v>181.7</v>
      </c>
      <c r="F750" s="1">
        <f>IFERROR(__xludf.DUMMYFUNCTION("""COMPUTED_VALUE"""),436841.0)</f>
        <v>436841</v>
      </c>
    </row>
    <row r="751">
      <c r="A751" s="2">
        <f>IFERROR(__xludf.DUMMYFUNCTION("""COMPUTED_VALUE"""),37622.645833333336)</f>
        <v>37622.64583</v>
      </c>
      <c r="B751" s="1">
        <f>IFERROR(__xludf.DUMMYFUNCTION("""COMPUTED_VALUE"""),182.0)</f>
        <v>182</v>
      </c>
      <c r="C751" s="1">
        <f>IFERROR(__xludf.DUMMYFUNCTION("""COMPUTED_VALUE"""),182.4)</f>
        <v>182.4</v>
      </c>
      <c r="D751" s="1">
        <f>IFERROR(__xludf.DUMMYFUNCTION("""COMPUTED_VALUE"""),181.25)</f>
        <v>181.25</v>
      </c>
      <c r="E751" s="1">
        <f>IFERROR(__xludf.DUMMYFUNCTION("""COMPUTED_VALUE"""),181.8)</f>
        <v>181.8</v>
      </c>
      <c r="F751" s="1">
        <f>IFERROR(__xludf.DUMMYFUNCTION("""COMPUTED_VALUE"""),255763.0)</f>
        <v>255763</v>
      </c>
    </row>
    <row r="752">
      <c r="A752" s="2">
        <f>IFERROR(__xludf.DUMMYFUNCTION("""COMPUTED_VALUE"""),37623.645833333336)</f>
        <v>37623.64583</v>
      </c>
      <c r="B752" s="1">
        <f>IFERROR(__xludf.DUMMYFUNCTION("""COMPUTED_VALUE"""),182.0)</f>
        <v>182</v>
      </c>
      <c r="C752" s="1">
        <f>IFERROR(__xludf.DUMMYFUNCTION("""COMPUTED_VALUE"""),182.5)</f>
        <v>182.5</v>
      </c>
      <c r="D752" s="1">
        <f>IFERROR(__xludf.DUMMYFUNCTION("""COMPUTED_VALUE"""),179.15)</f>
        <v>179.15</v>
      </c>
      <c r="E752" s="1">
        <f>IFERROR(__xludf.DUMMYFUNCTION("""COMPUTED_VALUE"""),179.65)</f>
        <v>179.65</v>
      </c>
      <c r="F752" s="1">
        <f>IFERROR(__xludf.DUMMYFUNCTION("""COMPUTED_VALUE"""),534470.0)</f>
        <v>534470</v>
      </c>
    </row>
    <row r="753">
      <c r="A753" s="2">
        <f>IFERROR(__xludf.DUMMYFUNCTION("""COMPUTED_VALUE"""),37624.645833333336)</f>
        <v>37624.64583</v>
      </c>
      <c r="B753" s="1">
        <f>IFERROR(__xludf.DUMMYFUNCTION("""COMPUTED_VALUE"""),174.4)</f>
        <v>174.4</v>
      </c>
      <c r="C753" s="1">
        <f>IFERROR(__xludf.DUMMYFUNCTION("""COMPUTED_VALUE"""),180.25)</f>
        <v>180.25</v>
      </c>
      <c r="D753" s="1">
        <f>IFERROR(__xludf.DUMMYFUNCTION("""COMPUTED_VALUE"""),174.4)</f>
        <v>174.4</v>
      </c>
      <c r="E753" s="1">
        <f>IFERROR(__xludf.DUMMYFUNCTION("""COMPUTED_VALUE"""),179.95)</f>
        <v>179.95</v>
      </c>
      <c r="F753" s="1">
        <f>IFERROR(__xludf.DUMMYFUNCTION("""COMPUTED_VALUE"""),930081.0)</f>
        <v>930081</v>
      </c>
    </row>
    <row r="754">
      <c r="A754" s="2">
        <f>IFERROR(__xludf.DUMMYFUNCTION("""COMPUTED_VALUE"""),37627.645833333336)</f>
        <v>37627.64583</v>
      </c>
      <c r="B754" s="1">
        <f>IFERROR(__xludf.DUMMYFUNCTION("""COMPUTED_VALUE"""),181.15)</f>
        <v>181.15</v>
      </c>
      <c r="C754" s="1">
        <f>IFERROR(__xludf.DUMMYFUNCTION("""COMPUTED_VALUE"""),181.15)</f>
        <v>181.15</v>
      </c>
      <c r="D754" s="1">
        <f>IFERROR(__xludf.DUMMYFUNCTION("""COMPUTED_VALUE"""),177.7)</f>
        <v>177.7</v>
      </c>
      <c r="E754" s="1">
        <f>IFERROR(__xludf.DUMMYFUNCTION("""COMPUTED_VALUE"""),179.4)</f>
        <v>179.4</v>
      </c>
      <c r="F754" s="1">
        <f>IFERROR(__xludf.DUMMYFUNCTION("""COMPUTED_VALUE"""),1853183.0)</f>
        <v>1853183</v>
      </c>
    </row>
    <row r="755">
      <c r="A755" s="2">
        <f>IFERROR(__xludf.DUMMYFUNCTION("""COMPUTED_VALUE"""),37628.645833333336)</f>
        <v>37628.64583</v>
      </c>
      <c r="B755" s="1">
        <f>IFERROR(__xludf.DUMMYFUNCTION("""COMPUTED_VALUE"""),179.1)</f>
        <v>179.1</v>
      </c>
      <c r="C755" s="1">
        <f>IFERROR(__xludf.DUMMYFUNCTION("""COMPUTED_VALUE"""),179.5)</f>
        <v>179.5</v>
      </c>
      <c r="D755" s="1">
        <f>IFERROR(__xludf.DUMMYFUNCTION("""COMPUTED_VALUE"""),176.3)</f>
        <v>176.3</v>
      </c>
      <c r="E755" s="1">
        <f>IFERROR(__xludf.DUMMYFUNCTION("""COMPUTED_VALUE"""),177.7)</f>
        <v>177.7</v>
      </c>
      <c r="F755" s="1">
        <f>IFERROR(__xludf.DUMMYFUNCTION("""COMPUTED_VALUE"""),1498879.0)</f>
        <v>1498879</v>
      </c>
    </row>
    <row r="756">
      <c r="A756" s="2">
        <f>IFERROR(__xludf.DUMMYFUNCTION("""COMPUTED_VALUE"""),37629.645833333336)</f>
        <v>37629.64583</v>
      </c>
      <c r="B756" s="1">
        <f>IFERROR(__xludf.DUMMYFUNCTION("""COMPUTED_VALUE"""),179.9)</f>
        <v>179.9</v>
      </c>
      <c r="C756" s="1">
        <f>IFERROR(__xludf.DUMMYFUNCTION("""COMPUTED_VALUE"""),179.9)</f>
        <v>179.9</v>
      </c>
      <c r="D756" s="1">
        <f>IFERROR(__xludf.DUMMYFUNCTION("""COMPUTED_VALUE"""),176.8)</f>
        <v>176.8</v>
      </c>
      <c r="E756" s="1">
        <f>IFERROR(__xludf.DUMMYFUNCTION("""COMPUTED_VALUE"""),177.8)</f>
        <v>177.8</v>
      </c>
      <c r="F756" s="1">
        <f>IFERROR(__xludf.DUMMYFUNCTION("""COMPUTED_VALUE"""),1309607.0)</f>
        <v>1309607</v>
      </c>
    </row>
    <row r="757">
      <c r="A757" s="2">
        <f>IFERROR(__xludf.DUMMYFUNCTION("""COMPUTED_VALUE"""),37630.645833333336)</f>
        <v>37630.64583</v>
      </c>
      <c r="B757" s="1">
        <f>IFERROR(__xludf.DUMMYFUNCTION("""COMPUTED_VALUE"""),178.9)</f>
        <v>178.9</v>
      </c>
      <c r="C757" s="1">
        <f>IFERROR(__xludf.DUMMYFUNCTION("""COMPUTED_VALUE"""),180.85)</f>
        <v>180.85</v>
      </c>
      <c r="D757" s="1">
        <f>IFERROR(__xludf.DUMMYFUNCTION("""COMPUTED_VALUE"""),178.0)</f>
        <v>178</v>
      </c>
      <c r="E757" s="1">
        <f>IFERROR(__xludf.DUMMYFUNCTION("""COMPUTED_VALUE"""),180.1)</f>
        <v>180.1</v>
      </c>
      <c r="F757" s="1">
        <f>IFERROR(__xludf.DUMMYFUNCTION("""COMPUTED_VALUE"""),701836.0)</f>
        <v>701836</v>
      </c>
    </row>
    <row r="758">
      <c r="A758" s="2">
        <f>IFERROR(__xludf.DUMMYFUNCTION("""COMPUTED_VALUE"""),37631.645833333336)</f>
        <v>37631.64583</v>
      </c>
      <c r="B758" s="1">
        <f>IFERROR(__xludf.DUMMYFUNCTION("""COMPUTED_VALUE"""),180.3)</f>
        <v>180.3</v>
      </c>
      <c r="C758" s="1">
        <f>IFERROR(__xludf.DUMMYFUNCTION("""COMPUTED_VALUE"""),183.0)</f>
        <v>183</v>
      </c>
      <c r="D758" s="1">
        <f>IFERROR(__xludf.DUMMYFUNCTION("""COMPUTED_VALUE"""),177.0)</f>
        <v>177</v>
      </c>
      <c r="E758" s="1">
        <f>IFERROR(__xludf.DUMMYFUNCTION("""COMPUTED_VALUE"""),180.3)</f>
        <v>180.3</v>
      </c>
      <c r="F758" s="1">
        <f>IFERROR(__xludf.DUMMYFUNCTION("""COMPUTED_VALUE"""),679370.0)</f>
        <v>679370</v>
      </c>
    </row>
    <row r="759">
      <c r="A759" s="2">
        <f>IFERROR(__xludf.DUMMYFUNCTION("""COMPUTED_VALUE"""),37634.645833333336)</f>
        <v>37634.64583</v>
      </c>
      <c r="B759" s="1">
        <f>IFERROR(__xludf.DUMMYFUNCTION("""COMPUTED_VALUE"""),180.5)</f>
        <v>180.5</v>
      </c>
      <c r="C759" s="1">
        <f>IFERROR(__xludf.DUMMYFUNCTION("""COMPUTED_VALUE"""),182.2)</f>
        <v>182.2</v>
      </c>
      <c r="D759" s="1">
        <f>IFERROR(__xludf.DUMMYFUNCTION("""COMPUTED_VALUE"""),179.9)</f>
        <v>179.9</v>
      </c>
      <c r="E759" s="1">
        <f>IFERROR(__xludf.DUMMYFUNCTION("""COMPUTED_VALUE"""),180.5)</f>
        <v>180.5</v>
      </c>
      <c r="F759" s="1">
        <f>IFERROR(__xludf.DUMMYFUNCTION("""COMPUTED_VALUE"""),582113.0)</f>
        <v>582113</v>
      </c>
    </row>
    <row r="760">
      <c r="A760" s="2">
        <f>IFERROR(__xludf.DUMMYFUNCTION("""COMPUTED_VALUE"""),37635.645833333336)</f>
        <v>37635.64583</v>
      </c>
      <c r="B760" s="1">
        <f>IFERROR(__xludf.DUMMYFUNCTION("""COMPUTED_VALUE"""),179.5)</f>
        <v>179.5</v>
      </c>
      <c r="C760" s="1">
        <f>IFERROR(__xludf.DUMMYFUNCTION("""COMPUTED_VALUE"""),181.0)</f>
        <v>181</v>
      </c>
      <c r="D760" s="1">
        <f>IFERROR(__xludf.DUMMYFUNCTION("""COMPUTED_VALUE"""),179.1)</f>
        <v>179.1</v>
      </c>
      <c r="E760" s="1">
        <f>IFERROR(__xludf.DUMMYFUNCTION("""COMPUTED_VALUE"""),180.5)</f>
        <v>180.5</v>
      </c>
      <c r="F760" s="1">
        <f>IFERROR(__xludf.DUMMYFUNCTION("""COMPUTED_VALUE"""),503867.0)</f>
        <v>503867</v>
      </c>
    </row>
    <row r="761">
      <c r="A761" s="2">
        <f>IFERROR(__xludf.DUMMYFUNCTION("""COMPUTED_VALUE"""),37636.645833333336)</f>
        <v>37636.64583</v>
      </c>
      <c r="B761" s="1">
        <f>IFERROR(__xludf.DUMMYFUNCTION("""COMPUTED_VALUE"""),180.0)</f>
        <v>180</v>
      </c>
      <c r="C761" s="1">
        <f>IFERROR(__xludf.DUMMYFUNCTION("""COMPUTED_VALUE"""),180.0)</f>
        <v>180</v>
      </c>
      <c r="D761" s="1">
        <f>IFERROR(__xludf.DUMMYFUNCTION("""COMPUTED_VALUE"""),178.8)</f>
        <v>178.8</v>
      </c>
      <c r="E761" s="1">
        <f>IFERROR(__xludf.DUMMYFUNCTION("""COMPUTED_VALUE"""),179.7)</f>
        <v>179.7</v>
      </c>
      <c r="F761" s="1">
        <f>IFERROR(__xludf.DUMMYFUNCTION("""COMPUTED_VALUE"""),1132488.0)</f>
        <v>1132488</v>
      </c>
    </row>
    <row r="762">
      <c r="A762" s="2">
        <f>IFERROR(__xludf.DUMMYFUNCTION("""COMPUTED_VALUE"""),37637.645833333336)</f>
        <v>37637.64583</v>
      </c>
      <c r="B762" s="1">
        <f>IFERROR(__xludf.DUMMYFUNCTION("""COMPUTED_VALUE"""),179.3)</f>
        <v>179.3</v>
      </c>
      <c r="C762" s="1">
        <f>IFERROR(__xludf.DUMMYFUNCTION("""COMPUTED_VALUE"""),180.0)</f>
        <v>180</v>
      </c>
      <c r="D762" s="1">
        <f>IFERROR(__xludf.DUMMYFUNCTION("""COMPUTED_VALUE"""),177.9)</f>
        <v>177.9</v>
      </c>
      <c r="E762" s="1">
        <f>IFERROR(__xludf.DUMMYFUNCTION("""COMPUTED_VALUE"""),179.35)</f>
        <v>179.35</v>
      </c>
      <c r="F762" s="1">
        <f>IFERROR(__xludf.DUMMYFUNCTION("""COMPUTED_VALUE"""),727453.0)</f>
        <v>727453</v>
      </c>
    </row>
    <row r="763">
      <c r="A763" s="2">
        <f>IFERROR(__xludf.DUMMYFUNCTION("""COMPUTED_VALUE"""),37638.645833333336)</f>
        <v>37638.64583</v>
      </c>
      <c r="B763" s="1">
        <f>IFERROR(__xludf.DUMMYFUNCTION("""COMPUTED_VALUE"""),179.5)</f>
        <v>179.5</v>
      </c>
      <c r="C763" s="1">
        <f>IFERROR(__xludf.DUMMYFUNCTION("""COMPUTED_VALUE"""),179.55)</f>
        <v>179.55</v>
      </c>
      <c r="D763" s="1">
        <f>IFERROR(__xludf.DUMMYFUNCTION("""COMPUTED_VALUE"""),177.7)</f>
        <v>177.7</v>
      </c>
      <c r="E763" s="1">
        <f>IFERROR(__xludf.DUMMYFUNCTION("""COMPUTED_VALUE"""),178.4)</f>
        <v>178.4</v>
      </c>
      <c r="F763" s="1">
        <f>IFERROR(__xludf.DUMMYFUNCTION("""COMPUTED_VALUE"""),760755.0)</f>
        <v>760755</v>
      </c>
    </row>
    <row r="764">
      <c r="A764" s="2">
        <f>IFERROR(__xludf.DUMMYFUNCTION("""COMPUTED_VALUE"""),37641.645833333336)</f>
        <v>37641.64583</v>
      </c>
      <c r="B764" s="1">
        <f>IFERROR(__xludf.DUMMYFUNCTION("""COMPUTED_VALUE"""),177.8)</f>
        <v>177.8</v>
      </c>
      <c r="C764" s="1">
        <f>IFERROR(__xludf.DUMMYFUNCTION("""COMPUTED_VALUE"""),178.0)</f>
        <v>178</v>
      </c>
      <c r="D764" s="1">
        <f>IFERROR(__xludf.DUMMYFUNCTION("""COMPUTED_VALUE"""),175.8)</f>
        <v>175.8</v>
      </c>
      <c r="E764" s="1">
        <f>IFERROR(__xludf.DUMMYFUNCTION("""COMPUTED_VALUE"""),177.65)</f>
        <v>177.65</v>
      </c>
      <c r="F764" s="1">
        <f>IFERROR(__xludf.DUMMYFUNCTION("""COMPUTED_VALUE"""),793547.0)</f>
        <v>793547</v>
      </c>
    </row>
    <row r="765">
      <c r="A765" s="2">
        <f>IFERROR(__xludf.DUMMYFUNCTION("""COMPUTED_VALUE"""),37642.645833333336)</f>
        <v>37642.64583</v>
      </c>
      <c r="B765" s="1">
        <f>IFERROR(__xludf.DUMMYFUNCTION("""COMPUTED_VALUE"""),178.0)</f>
        <v>178</v>
      </c>
      <c r="C765" s="1">
        <f>IFERROR(__xludf.DUMMYFUNCTION("""COMPUTED_VALUE"""),179.1)</f>
        <v>179.1</v>
      </c>
      <c r="D765" s="1">
        <f>IFERROR(__xludf.DUMMYFUNCTION("""COMPUTED_VALUE"""),176.15)</f>
        <v>176.15</v>
      </c>
      <c r="E765" s="1">
        <f>IFERROR(__xludf.DUMMYFUNCTION("""COMPUTED_VALUE"""),178.55)</f>
        <v>178.55</v>
      </c>
      <c r="F765" s="1">
        <f>IFERROR(__xludf.DUMMYFUNCTION("""COMPUTED_VALUE"""),288790.0)</f>
        <v>288790</v>
      </c>
    </row>
    <row r="766">
      <c r="A766" s="2">
        <f>IFERROR(__xludf.DUMMYFUNCTION("""COMPUTED_VALUE"""),37643.645833333336)</f>
        <v>37643.64583</v>
      </c>
      <c r="B766" s="1">
        <f>IFERROR(__xludf.DUMMYFUNCTION("""COMPUTED_VALUE"""),178.0)</f>
        <v>178</v>
      </c>
      <c r="C766" s="1">
        <f>IFERROR(__xludf.DUMMYFUNCTION("""COMPUTED_VALUE"""),180.25)</f>
        <v>180.25</v>
      </c>
      <c r="D766" s="1">
        <f>IFERROR(__xludf.DUMMYFUNCTION("""COMPUTED_VALUE"""),177.75)</f>
        <v>177.75</v>
      </c>
      <c r="E766" s="1">
        <f>IFERROR(__xludf.DUMMYFUNCTION("""COMPUTED_VALUE"""),179.4)</f>
        <v>179.4</v>
      </c>
      <c r="F766" s="1">
        <f>IFERROR(__xludf.DUMMYFUNCTION("""COMPUTED_VALUE"""),620512.0)</f>
        <v>620512</v>
      </c>
    </row>
    <row r="767">
      <c r="A767" s="2">
        <f>IFERROR(__xludf.DUMMYFUNCTION("""COMPUTED_VALUE"""),37644.645833333336)</f>
        <v>37644.64583</v>
      </c>
      <c r="B767" s="1">
        <f>IFERROR(__xludf.DUMMYFUNCTION("""COMPUTED_VALUE"""),181.0)</f>
        <v>181</v>
      </c>
      <c r="C767" s="1">
        <f>IFERROR(__xludf.DUMMYFUNCTION("""COMPUTED_VALUE"""),181.0)</f>
        <v>181</v>
      </c>
      <c r="D767" s="1">
        <f>IFERROR(__xludf.DUMMYFUNCTION("""COMPUTED_VALUE"""),179.5)</f>
        <v>179.5</v>
      </c>
      <c r="E767" s="1">
        <f>IFERROR(__xludf.DUMMYFUNCTION("""COMPUTED_VALUE"""),179.9)</f>
        <v>179.9</v>
      </c>
      <c r="F767" s="1">
        <f>IFERROR(__xludf.DUMMYFUNCTION("""COMPUTED_VALUE"""),404923.0)</f>
        <v>404923</v>
      </c>
    </row>
    <row r="768">
      <c r="A768" s="2">
        <f>IFERROR(__xludf.DUMMYFUNCTION("""COMPUTED_VALUE"""),37645.645833333336)</f>
        <v>37645.64583</v>
      </c>
      <c r="B768" s="1">
        <f>IFERROR(__xludf.DUMMYFUNCTION("""COMPUTED_VALUE"""),181.0)</f>
        <v>181</v>
      </c>
      <c r="C768" s="1">
        <f>IFERROR(__xludf.DUMMYFUNCTION("""COMPUTED_VALUE"""),181.0)</f>
        <v>181</v>
      </c>
      <c r="D768" s="1">
        <f>IFERROR(__xludf.DUMMYFUNCTION("""COMPUTED_VALUE"""),178.4)</f>
        <v>178.4</v>
      </c>
      <c r="E768" s="1">
        <f>IFERROR(__xludf.DUMMYFUNCTION("""COMPUTED_VALUE"""),179.75)</f>
        <v>179.75</v>
      </c>
      <c r="F768" s="1">
        <f>IFERROR(__xludf.DUMMYFUNCTION("""COMPUTED_VALUE"""),660703.0)</f>
        <v>660703</v>
      </c>
    </row>
    <row r="769">
      <c r="A769" s="2">
        <f>IFERROR(__xludf.DUMMYFUNCTION("""COMPUTED_VALUE"""),37648.645833333336)</f>
        <v>37648.64583</v>
      </c>
      <c r="B769" s="1">
        <f>IFERROR(__xludf.DUMMYFUNCTION("""COMPUTED_VALUE"""),180.0)</f>
        <v>180</v>
      </c>
      <c r="C769" s="1">
        <f>IFERROR(__xludf.DUMMYFUNCTION("""COMPUTED_VALUE"""),180.8)</f>
        <v>180.8</v>
      </c>
      <c r="D769" s="1">
        <f>IFERROR(__xludf.DUMMYFUNCTION("""COMPUTED_VALUE"""),177.5)</f>
        <v>177.5</v>
      </c>
      <c r="E769" s="1">
        <f>IFERROR(__xludf.DUMMYFUNCTION("""COMPUTED_VALUE"""),178.95)</f>
        <v>178.95</v>
      </c>
      <c r="F769" s="1">
        <f>IFERROR(__xludf.DUMMYFUNCTION("""COMPUTED_VALUE"""),1196369.0)</f>
        <v>1196369</v>
      </c>
    </row>
    <row r="770">
      <c r="A770" s="2">
        <f>IFERROR(__xludf.DUMMYFUNCTION("""COMPUTED_VALUE"""),37649.645833333336)</f>
        <v>37649.64583</v>
      </c>
      <c r="B770" s="1">
        <f>IFERROR(__xludf.DUMMYFUNCTION("""COMPUTED_VALUE"""),178.3)</f>
        <v>178.3</v>
      </c>
      <c r="C770" s="1">
        <f>IFERROR(__xludf.DUMMYFUNCTION("""COMPUTED_VALUE"""),178.55)</f>
        <v>178.55</v>
      </c>
      <c r="D770" s="1">
        <f>IFERROR(__xludf.DUMMYFUNCTION("""COMPUTED_VALUE"""),172.5)</f>
        <v>172.5</v>
      </c>
      <c r="E770" s="1">
        <f>IFERROR(__xludf.DUMMYFUNCTION("""COMPUTED_VALUE"""),176.55)</f>
        <v>176.55</v>
      </c>
      <c r="F770" s="1">
        <f>IFERROR(__xludf.DUMMYFUNCTION("""COMPUTED_VALUE"""),1028295.0)</f>
        <v>1028295</v>
      </c>
    </row>
    <row r="771">
      <c r="A771" s="2">
        <f>IFERROR(__xludf.DUMMYFUNCTION("""COMPUTED_VALUE"""),37650.645833333336)</f>
        <v>37650.64583</v>
      </c>
      <c r="B771" s="1">
        <f>IFERROR(__xludf.DUMMYFUNCTION("""COMPUTED_VALUE"""),176.75)</f>
        <v>176.75</v>
      </c>
      <c r="C771" s="1">
        <f>IFERROR(__xludf.DUMMYFUNCTION("""COMPUTED_VALUE"""),176.75)</f>
        <v>176.75</v>
      </c>
      <c r="D771" s="1">
        <f>IFERROR(__xludf.DUMMYFUNCTION("""COMPUTED_VALUE"""),169.5)</f>
        <v>169.5</v>
      </c>
      <c r="E771" s="1">
        <f>IFERROR(__xludf.DUMMYFUNCTION("""COMPUTED_VALUE"""),172.35)</f>
        <v>172.35</v>
      </c>
      <c r="F771" s="1">
        <f>IFERROR(__xludf.DUMMYFUNCTION("""COMPUTED_VALUE"""),2432382.0)</f>
        <v>2432382</v>
      </c>
    </row>
    <row r="772">
      <c r="A772" s="2">
        <f>IFERROR(__xludf.DUMMYFUNCTION("""COMPUTED_VALUE"""),37651.645833333336)</f>
        <v>37651.64583</v>
      </c>
      <c r="B772" s="1">
        <f>IFERROR(__xludf.DUMMYFUNCTION("""COMPUTED_VALUE"""),173.05)</f>
        <v>173.05</v>
      </c>
      <c r="C772" s="1">
        <f>IFERROR(__xludf.DUMMYFUNCTION("""COMPUTED_VALUE"""),174.5)</f>
        <v>174.5</v>
      </c>
      <c r="D772" s="1">
        <f>IFERROR(__xludf.DUMMYFUNCTION("""COMPUTED_VALUE"""),170.0)</f>
        <v>170</v>
      </c>
      <c r="E772" s="1">
        <f>IFERROR(__xludf.DUMMYFUNCTION("""COMPUTED_VALUE"""),170.8)</f>
        <v>170.8</v>
      </c>
      <c r="F772" s="1">
        <f>IFERROR(__xludf.DUMMYFUNCTION("""COMPUTED_VALUE"""),1224206.0)</f>
        <v>1224206</v>
      </c>
    </row>
    <row r="773">
      <c r="A773" s="2">
        <f>IFERROR(__xludf.DUMMYFUNCTION("""COMPUTED_VALUE"""),37652.645833333336)</f>
        <v>37652.64583</v>
      </c>
      <c r="B773" s="1">
        <f>IFERROR(__xludf.DUMMYFUNCTION("""COMPUTED_VALUE"""),170.05)</f>
        <v>170.05</v>
      </c>
      <c r="C773" s="1">
        <f>IFERROR(__xludf.DUMMYFUNCTION("""COMPUTED_VALUE"""),173.15)</f>
        <v>173.15</v>
      </c>
      <c r="D773" s="1">
        <f>IFERROR(__xludf.DUMMYFUNCTION("""COMPUTED_VALUE"""),170.0)</f>
        <v>170</v>
      </c>
      <c r="E773" s="1">
        <f>IFERROR(__xludf.DUMMYFUNCTION("""COMPUTED_VALUE"""),171.15)</f>
        <v>171.15</v>
      </c>
      <c r="F773" s="1">
        <f>IFERROR(__xludf.DUMMYFUNCTION("""COMPUTED_VALUE"""),513112.0)</f>
        <v>513112</v>
      </c>
    </row>
    <row r="774">
      <c r="A774" s="2">
        <f>IFERROR(__xludf.DUMMYFUNCTION("""COMPUTED_VALUE"""),37655.645833333336)</f>
        <v>37655.64583</v>
      </c>
      <c r="B774" s="1">
        <f>IFERROR(__xludf.DUMMYFUNCTION("""COMPUTED_VALUE"""),171.0)</f>
        <v>171</v>
      </c>
      <c r="C774" s="1">
        <f>IFERROR(__xludf.DUMMYFUNCTION("""COMPUTED_VALUE"""),171.8)</f>
        <v>171.8</v>
      </c>
      <c r="D774" s="1">
        <f>IFERROR(__xludf.DUMMYFUNCTION("""COMPUTED_VALUE"""),167.65)</f>
        <v>167.65</v>
      </c>
      <c r="E774" s="1">
        <f>IFERROR(__xludf.DUMMYFUNCTION("""COMPUTED_VALUE"""),168.45)</f>
        <v>168.45</v>
      </c>
      <c r="F774" s="1">
        <f>IFERROR(__xludf.DUMMYFUNCTION("""COMPUTED_VALUE"""),827482.0)</f>
        <v>827482</v>
      </c>
    </row>
    <row r="775">
      <c r="A775" s="2">
        <f>IFERROR(__xludf.DUMMYFUNCTION("""COMPUTED_VALUE"""),37656.645833333336)</f>
        <v>37656.64583</v>
      </c>
      <c r="B775" s="1">
        <f>IFERROR(__xludf.DUMMYFUNCTION("""COMPUTED_VALUE"""),167.85)</f>
        <v>167.85</v>
      </c>
      <c r="C775" s="1">
        <f>IFERROR(__xludf.DUMMYFUNCTION("""COMPUTED_VALUE"""),167.85)</f>
        <v>167.85</v>
      </c>
      <c r="D775" s="1">
        <f>IFERROR(__xludf.DUMMYFUNCTION("""COMPUTED_VALUE"""),165.0)</f>
        <v>165</v>
      </c>
      <c r="E775" s="1">
        <f>IFERROR(__xludf.DUMMYFUNCTION("""COMPUTED_VALUE"""),165.55)</f>
        <v>165.55</v>
      </c>
      <c r="F775" s="1">
        <f>IFERROR(__xludf.DUMMYFUNCTION("""COMPUTED_VALUE"""),1622989.0)</f>
        <v>1622989</v>
      </c>
    </row>
    <row r="776">
      <c r="A776" s="2">
        <f>IFERROR(__xludf.DUMMYFUNCTION("""COMPUTED_VALUE"""),37657.645833333336)</f>
        <v>37657.64583</v>
      </c>
      <c r="B776" s="1">
        <f>IFERROR(__xludf.DUMMYFUNCTION("""COMPUTED_VALUE"""),165.0)</f>
        <v>165</v>
      </c>
      <c r="C776" s="1">
        <f>IFERROR(__xludf.DUMMYFUNCTION("""COMPUTED_VALUE"""),166.95)</f>
        <v>166.95</v>
      </c>
      <c r="D776" s="1">
        <f>IFERROR(__xludf.DUMMYFUNCTION("""COMPUTED_VALUE"""),162.6)</f>
        <v>162.6</v>
      </c>
      <c r="E776" s="1">
        <f>IFERROR(__xludf.DUMMYFUNCTION("""COMPUTED_VALUE"""),163.15)</f>
        <v>163.15</v>
      </c>
      <c r="F776" s="1">
        <f>IFERROR(__xludf.DUMMYFUNCTION("""COMPUTED_VALUE"""),1207570.0)</f>
        <v>1207570</v>
      </c>
    </row>
    <row r="777">
      <c r="A777" s="2">
        <f>IFERROR(__xludf.DUMMYFUNCTION("""COMPUTED_VALUE"""),37658.645833333336)</f>
        <v>37658.64583</v>
      </c>
      <c r="B777" s="1">
        <f>IFERROR(__xludf.DUMMYFUNCTION("""COMPUTED_VALUE"""),163.5)</f>
        <v>163.5</v>
      </c>
      <c r="C777" s="1">
        <f>IFERROR(__xludf.DUMMYFUNCTION("""COMPUTED_VALUE"""),168.6)</f>
        <v>168.6</v>
      </c>
      <c r="D777" s="1">
        <f>IFERROR(__xludf.DUMMYFUNCTION("""COMPUTED_VALUE"""),163.5)</f>
        <v>163.5</v>
      </c>
      <c r="E777" s="1">
        <f>IFERROR(__xludf.DUMMYFUNCTION("""COMPUTED_VALUE"""),167.85)</f>
        <v>167.85</v>
      </c>
      <c r="F777" s="1">
        <f>IFERROR(__xludf.DUMMYFUNCTION("""COMPUTED_VALUE"""),1256192.0)</f>
        <v>1256192</v>
      </c>
    </row>
    <row r="778">
      <c r="A778" s="2">
        <f>IFERROR(__xludf.DUMMYFUNCTION("""COMPUTED_VALUE"""),37659.645833333336)</f>
        <v>37659.64583</v>
      </c>
      <c r="B778" s="1">
        <f>IFERROR(__xludf.DUMMYFUNCTION("""COMPUTED_VALUE"""),168.5)</f>
        <v>168.5</v>
      </c>
      <c r="C778" s="1">
        <f>IFERROR(__xludf.DUMMYFUNCTION("""COMPUTED_VALUE"""),169.3)</f>
        <v>169.3</v>
      </c>
      <c r="D778" s="1">
        <f>IFERROR(__xludf.DUMMYFUNCTION("""COMPUTED_VALUE"""),165.9)</f>
        <v>165.9</v>
      </c>
      <c r="E778" s="1">
        <f>IFERROR(__xludf.DUMMYFUNCTION("""COMPUTED_VALUE"""),167.05)</f>
        <v>167.05</v>
      </c>
      <c r="F778" s="1">
        <f>IFERROR(__xludf.DUMMYFUNCTION("""COMPUTED_VALUE"""),733125.0)</f>
        <v>733125</v>
      </c>
    </row>
    <row r="779">
      <c r="A779" s="2">
        <f>IFERROR(__xludf.DUMMYFUNCTION("""COMPUTED_VALUE"""),37662.645833333336)</f>
        <v>37662.64583</v>
      </c>
      <c r="B779" s="1">
        <f>IFERROR(__xludf.DUMMYFUNCTION("""COMPUTED_VALUE"""),169.0)</f>
        <v>169</v>
      </c>
      <c r="C779" s="1">
        <f>IFERROR(__xludf.DUMMYFUNCTION("""COMPUTED_VALUE"""),169.0)</f>
        <v>169</v>
      </c>
      <c r="D779" s="1">
        <f>IFERROR(__xludf.DUMMYFUNCTION("""COMPUTED_VALUE"""),166.35)</f>
        <v>166.35</v>
      </c>
      <c r="E779" s="1">
        <f>IFERROR(__xludf.DUMMYFUNCTION("""COMPUTED_VALUE"""),167.3)</f>
        <v>167.3</v>
      </c>
      <c r="F779" s="1">
        <f>IFERROR(__xludf.DUMMYFUNCTION("""COMPUTED_VALUE"""),556519.0)</f>
        <v>556519</v>
      </c>
    </row>
    <row r="780">
      <c r="A780" s="2">
        <f>IFERROR(__xludf.DUMMYFUNCTION("""COMPUTED_VALUE"""),37663.645833333336)</f>
        <v>37663.64583</v>
      </c>
      <c r="B780" s="1">
        <f>IFERROR(__xludf.DUMMYFUNCTION("""COMPUTED_VALUE"""),168.1)</f>
        <v>168.1</v>
      </c>
      <c r="C780" s="1">
        <f>IFERROR(__xludf.DUMMYFUNCTION("""COMPUTED_VALUE"""),169.9)</f>
        <v>169.9</v>
      </c>
      <c r="D780" s="1">
        <f>IFERROR(__xludf.DUMMYFUNCTION("""COMPUTED_VALUE"""),167.2)</f>
        <v>167.2</v>
      </c>
      <c r="E780" s="1">
        <f>IFERROR(__xludf.DUMMYFUNCTION("""COMPUTED_VALUE"""),169.45)</f>
        <v>169.45</v>
      </c>
      <c r="F780" s="1">
        <f>IFERROR(__xludf.DUMMYFUNCTION("""COMPUTED_VALUE"""),650051.0)</f>
        <v>650051</v>
      </c>
    </row>
    <row r="781">
      <c r="A781" s="2">
        <f>IFERROR(__xludf.DUMMYFUNCTION("""COMPUTED_VALUE"""),37664.645833333336)</f>
        <v>37664.64583</v>
      </c>
      <c r="B781" s="1">
        <f>IFERROR(__xludf.DUMMYFUNCTION("""COMPUTED_VALUE"""),169.5)</f>
        <v>169.5</v>
      </c>
      <c r="C781" s="1">
        <f>IFERROR(__xludf.DUMMYFUNCTION("""COMPUTED_VALUE"""),169.5)</f>
        <v>169.5</v>
      </c>
      <c r="D781" s="1">
        <f>IFERROR(__xludf.DUMMYFUNCTION("""COMPUTED_VALUE"""),167.25)</f>
        <v>167.25</v>
      </c>
      <c r="E781" s="1">
        <f>IFERROR(__xludf.DUMMYFUNCTION("""COMPUTED_VALUE"""),167.65)</f>
        <v>167.65</v>
      </c>
      <c r="F781" s="1">
        <f>IFERROR(__xludf.DUMMYFUNCTION("""COMPUTED_VALUE"""),235094.0)</f>
        <v>235094</v>
      </c>
    </row>
    <row r="782">
      <c r="A782" s="2">
        <f>IFERROR(__xludf.DUMMYFUNCTION("""COMPUTED_VALUE"""),37666.645833333336)</f>
        <v>37666.64583</v>
      </c>
      <c r="B782" s="1">
        <f>IFERROR(__xludf.DUMMYFUNCTION("""COMPUTED_VALUE"""),168.0)</f>
        <v>168</v>
      </c>
      <c r="C782" s="1">
        <f>IFERROR(__xludf.DUMMYFUNCTION("""COMPUTED_VALUE"""),169.0)</f>
        <v>169</v>
      </c>
      <c r="D782" s="1">
        <f>IFERROR(__xludf.DUMMYFUNCTION("""COMPUTED_VALUE"""),162.15)</f>
        <v>162.15</v>
      </c>
      <c r="E782" s="1">
        <f>IFERROR(__xludf.DUMMYFUNCTION("""COMPUTED_VALUE"""),163.0)</f>
        <v>163</v>
      </c>
      <c r="F782" s="1">
        <f>IFERROR(__xludf.DUMMYFUNCTION("""COMPUTED_VALUE"""),740315.0)</f>
        <v>740315</v>
      </c>
    </row>
    <row r="783">
      <c r="A783" s="2">
        <f>IFERROR(__xludf.DUMMYFUNCTION("""COMPUTED_VALUE"""),37669.645833333336)</f>
        <v>37669.64583</v>
      </c>
      <c r="B783" s="1">
        <f>IFERROR(__xludf.DUMMYFUNCTION("""COMPUTED_VALUE"""),165.9)</f>
        <v>165.9</v>
      </c>
      <c r="C783" s="1">
        <f>IFERROR(__xludf.DUMMYFUNCTION("""COMPUTED_VALUE"""),166.55)</f>
        <v>166.55</v>
      </c>
      <c r="D783" s="1">
        <f>IFERROR(__xludf.DUMMYFUNCTION("""COMPUTED_VALUE"""),163.35)</f>
        <v>163.35</v>
      </c>
      <c r="E783" s="1">
        <f>IFERROR(__xludf.DUMMYFUNCTION("""COMPUTED_VALUE"""),165.05)</f>
        <v>165.05</v>
      </c>
      <c r="F783" s="1">
        <f>IFERROR(__xludf.DUMMYFUNCTION("""COMPUTED_VALUE"""),1026218.0)</f>
        <v>1026218</v>
      </c>
    </row>
    <row r="784">
      <c r="A784" s="2">
        <f>IFERROR(__xludf.DUMMYFUNCTION("""COMPUTED_VALUE"""),37670.645833333336)</f>
        <v>37670.64583</v>
      </c>
      <c r="B784" s="1">
        <f>IFERROR(__xludf.DUMMYFUNCTION("""COMPUTED_VALUE"""),165.9)</f>
        <v>165.9</v>
      </c>
      <c r="C784" s="1">
        <f>IFERROR(__xludf.DUMMYFUNCTION("""COMPUTED_VALUE"""),168.0)</f>
        <v>168</v>
      </c>
      <c r="D784" s="1">
        <f>IFERROR(__xludf.DUMMYFUNCTION("""COMPUTED_VALUE"""),165.05)</f>
        <v>165.05</v>
      </c>
      <c r="E784" s="1">
        <f>IFERROR(__xludf.DUMMYFUNCTION("""COMPUTED_VALUE"""),167.6)</f>
        <v>167.6</v>
      </c>
      <c r="F784" s="1">
        <f>IFERROR(__xludf.DUMMYFUNCTION("""COMPUTED_VALUE"""),586723.0)</f>
        <v>586723</v>
      </c>
    </row>
    <row r="785">
      <c r="A785" s="2">
        <f>IFERROR(__xludf.DUMMYFUNCTION("""COMPUTED_VALUE"""),37671.645833333336)</f>
        <v>37671.64583</v>
      </c>
      <c r="B785" s="1">
        <f>IFERROR(__xludf.DUMMYFUNCTION("""COMPUTED_VALUE"""),168.25)</f>
        <v>168.25</v>
      </c>
      <c r="C785" s="1">
        <f>IFERROR(__xludf.DUMMYFUNCTION("""COMPUTED_VALUE"""),171.0)</f>
        <v>171</v>
      </c>
      <c r="D785" s="1">
        <f>IFERROR(__xludf.DUMMYFUNCTION("""COMPUTED_VALUE"""),167.65)</f>
        <v>167.65</v>
      </c>
      <c r="E785" s="1">
        <f>IFERROR(__xludf.DUMMYFUNCTION("""COMPUTED_VALUE"""),169.75)</f>
        <v>169.75</v>
      </c>
      <c r="F785" s="1">
        <f>IFERROR(__xludf.DUMMYFUNCTION("""COMPUTED_VALUE"""),1213943.0)</f>
        <v>1213943</v>
      </c>
    </row>
    <row r="786">
      <c r="A786" s="2">
        <f>IFERROR(__xludf.DUMMYFUNCTION("""COMPUTED_VALUE"""),37672.645833333336)</f>
        <v>37672.64583</v>
      </c>
      <c r="B786" s="1">
        <f>IFERROR(__xludf.DUMMYFUNCTION("""COMPUTED_VALUE"""),180.0)</f>
        <v>180</v>
      </c>
      <c r="C786" s="1">
        <f>IFERROR(__xludf.DUMMYFUNCTION("""COMPUTED_VALUE"""),180.0)</f>
        <v>180</v>
      </c>
      <c r="D786" s="1">
        <f>IFERROR(__xludf.DUMMYFUNCTION("""COMPUTED_VALUE"""),169.4)</f>
        <v>169.4</v>
      </c>
      <c r="E786" s="1">
        <f>IFERROR(__xludf.DUMMYFUNCTION("""COMPUTED_VALUE"""),171.9)</f>
        <v>171.9</v>
      </c>
      <c r="F786" s="1">
        <f>IFERROR(__xludf.DUMMYFUNCTION("""COMPUTED_VALUE"""),1053565.0)</f>
        <v>1053565</v>
      </c>
    </row>
    <row r="787">
      <c r="A787" s="2">
        <f>IFERROR(__xludf.DUMMYFUNCTION("""COMPUTED_VALUE"""),37673.645833333336)</f>
        <v>37673.64583</v>
      </c>
      <c r="B787" s="1">
        <f>IFERROR(__xludf.DUMMYFUNCTION("""COMPUTED_VALUE"""),172.0)</f>
        <v>172</v>
      </c>
      <c r="C787" s="1">
        <f>IFERROR(__xludf.DUMMYFUNCTION("""COMPUTED_VALUE"""),172.5)</f>
        <v>172.5</v>
      </c>
      <c r="D787" s="1">
        <f>IFERROR(__xludf.DUMMYFUNCTION("""COMPUTED_VALUE"""),170.35)</f>
        <v>170.35</v>
      </c>
      <c r="E787" s="1">
        <f>IFERROR(__xludf.DUMMYFUNCTION("""COMPUTED_VALUE"""),171.45)</f>
        <v>171.45</v>
      </c>
      <c r="F787" s="1">
        <f>IFERROR(__xludf.DUMMYFUNCTION("""COMPUTED_VALUE"""),809247.0)</f>
        <v>809247</v>
      </c>
    </row>
    <row r="788">
      <c r="A788" s="2">
        <f>IFERROR(__xludf.DUMMYFUNCTION("""COMPUTED_VALUE"""),37676.645833333336)</f>
        <v>37676.64583</v>
      </c>
      <c r="B788" s="1">
        <f>IFERROR(__xludf.DUMMYFUNCTION("""COMPUTED_VALUE"""),172.1)</f>
        <v>172.1</v>
      </c>
      <c r="C788" s="1">
        <f>IFERROR(__xludf.DUMMYFUNCTION("""COMPUTED_VALUE"""),174.35)</f>
        <v>174.35</v>
      </c>
      <c r="D788" s="1">
        <f>IFERROR(__xludf.DUMMYFUNCTION("""COMPUTED_VALUE"""),170.25)</f>
        <v>170.25</v>
      </c>
      <c r="E788" s="1">
        <f>IFERROR(__xludf.DUMMYFUNCTION("""COMPUTED_VALUE"""),172.45)</f>
        <v>172.45</v>
      </c>
      <c r="F788" s="1">
        <f>IFERROR(__xludf.DUMMYFUNCTION("""COMPUTED_VALUE"""),1200832.0)</f>
        <v>1200832</v>
      </c>
    </row>
    <row r="789">
      <c r="A789" s="2">
        <f>IFERROR(__xludf.DUMMYFUNCTION("""COMPUTED_VALUE"""),37677.645833333336)</f>
        <v>37677.64583</v>
      </c>
      <c r="B789" s="1">
        <f>IFERROR(__xludf.DUMMYFUNCTION("""COMPUTED_VALUE"""),174.95)</f>
        <v>174.95</v>
      </c>
      <c r="C789" s="1">
        <f>IFERROR(__xludf.DUMMYFUNCTION("""COMPUTED_VALUE"""),174.95)</f>
        <v>174.95</v>
      </c>
      <c r="D789" s="1">
        <f>IFERROR(__xludf.DUMMYFUNCTION("""COMPUTED_VALUE"""),169.3)</f>
        <v>169.3</v>
      </c>
      <c r="E789" s="1">
        <f>IFERROR(__xludf.DUMMYFUNCTION("""COMPUTED_VALUE"""),170.25)</f>
        <v>170.25</v>
      </c>
      <c r="F789" s="1">
        <f>IFERROR(__xludf.DUMMYFUNCTION("""COMPUTED_VALUE"""),796895.0)</f>
        <v>796895</v>
      </c>
    </row>
    <row r="790">
      <c r="A790" s="2">
        <f>IFERROR(__xludf.DUMMYFUNCTION("""COMPUTED_VALUE"""),37678.645833333336)</f>
        <v>37678.64583</v>
      </c>
      <c r="B790" s="1">
        <f>IFERROR(__xludf.DUMMYFUNCTION("""COMPUTED_VALUE"""),171.1)</f>
        <v>171.1</v>
      </c>
      <c r="C790" s="1">
        <f>IFERROR(__xludf.DUMMYFUNCTION("""COMPUTED_VALUE"""),171.1)</f>
        <v>171.1</v>
      </c>
      <c r="D790" s="1">
        <f>IFERROR(__xludf.DUMMYFUNCTION("""COMPUTED_VALUE"""),168.05)</f>
        <v>168.05</v>
      </c>
      <c r="E790" s="1">
        <f>IFERROR(__xludf.DUMMYFUNCTION("""COMPUTED_VALUE"""),169.6)</f>
        <v>169.6</v>
      </c>
      <c r="F790" s="1">
        <f>IFERROR(__xludf.DUMMYFUNCTION("""COMPUTED_VALUE"""),795857.0)</f>
        <v>795857</v>
      </c>
    </row>
    <row r="791">
      <c r="A791" s="2">
        <f>IFERROR(__xludf.DUMMYFUNCTION("""COMPUTED_VALUE"""),37679.645833333336)</f>
        <v>37679.64583</v>
      </c>
      <c r="B791" s="1">
        <f>IFERROR(__xludf.DUMMYFUNCTION("""COMPUTED_VALUE"""),170.4)</f>
        <v>170.4</v>
      </c>
      <c r="C791" s="1">
        <f>IFERROR(__xludf.DUMMYFUNCTION("""COMPUTED_VALUE"""),170.9)</f>
        <v>170.9</v>
      </c>
      <c r="D791" s="1">
        <f>IFERROR(__xludf.DUMMYFUNCTION("""COMPUTED_VALUE"""),168.15)</f>
        <v>168.15</v>
      </c>
      <c r="E791" s="1">
        <f>IFERROR(__xludf.DUMMYFUNCTION("""COMPUTED_VALUE"""),169.8)</f>
        <v>169.8</v>
      </c>
      <c r="F791" s="1">
        <f>IFERROR(__xludf.DUMMYFUNCTION("""COMPUTED_VALUE"""),1304738.0)</f>
        <v>1304738</v>
      </c>
    </row>
    <row r="792">
      <c r="A792" s="2">
        <f>IFERROR(__xludf.DUMMYFUNCTION("""COMPUTED_VALUE"""),37680.645833333336)</f>
        <v>37680.64583</v>
      </c>
      <c r="B792" s="1">
        <f>IFERROR(__xludf.DUMMYFUNCTION("""COMPUTED_VALUE"""),171.0)</f>
        <v>171</v>
      </c>
      <c r="C792" s="1">
        <f>IFERROR(__xludf.DUMMYFUNCTION("""COMPUTED_VALUE"""),172.95)</f>
        <v>172.95</v>
      </c>
      <c r="D792" s="1">
        <f>IFERROR(__xludf.DUMMYFUNCTION("""COMPUTED_VALUE"""),166.1)</f>
        <v>166.1</v>
      </c>
      <c r="E792" s="1">
        <f>IFERROR(__xludf.DUMMYFUNCTION("""COMPUTED_VALUE"""),169.35)</f>
        <v>169.35</v>
      </c>
      <c r="F792" s="1">
        <f>IFERROR(__xludf.DUMMYFUNCTION("""COMPUTED_VALUE"""),1727737.0)</f>
        <v>1727737</v>
      </c>
    </row>
    <row r="793">
      <c r="A793" s="2">
        <f>IFERROR(__xludf.DUMMYFUNCTION("""COMPUTED_VALUE"""),37683.645833333336)</f>
        <v>37683.64583</v>
      </c>
      <c r="B793" s="1">
        <f>IFERROR(__xludf.DUMMYFUNCTION("""COMPUTED_VALUE"""),169.0)</f>
        <v>169</v>
      </c>
      <c r="C793" s="1">
        <f>IFERROR(__xludf.DUMMYFUNCTION("""COMPUTED_VALUE"""),170.0)</f>
        <v>170</v>
      </c>
      <c r="D793" s="1">
        <f>IFERROR(__xludf.DUMMYFUNCTION("""COMPUTED_VALUE"""),166.8)</f>
        <v>166.8</v>
      </c>
      <c r="E793" s="1">
        <f>IFERROR(__xludf.DUMMYFUNCTION("""COMPUTED_VALUE"""),168.25)</f>
        <v>168.25</v>
      </c>
      <c r="F793" s="1">
        <f>IFERROR(__xludf.DUMMYFUNCTION("""COMPUTED_VALUE"""),724194.0)</f>
        <v>724194</v>
      </c>
    </row>
    <row r="794">
      <c r="A794" s="2">
        <f>IFERROR(__xludf.DUMMYFUNCTION("""COMPUTED_VALUE"""),37684.645833333336)</f>
        <v>37684.64583</v>
      </c>
      <c r="B794" s="1">
        <f>IFERROR(__xludf.DUMMYFUNCTION("""COMPUTED_VALUE"""),168.05)</f>
        <v>168.05</v>
      </c>
      <c r="C794" s="1">
        <f>IFERROR(__xludf.DUMMYFUNCTION("""COMPUTED_VALUE"""),169.0)</f>
        <v>169</v>
      </c>
      <c r="D794" s="1">
        <f>IFERROR(__xludf.DUMMYFUNCTION("""COMPUTED_VALUE"""),167.4)</f>
        <v>167.4</v>
      </c>
      <c r="E794" s="1">
        <f>IFERROR(__xludf.DUMMYFUNCTION("""COMPUTED_VALUE"""),168.45)</f>
        <v>168.45</v>
      </c>
      <c r="F794" s="1">
        <f>IFERROR(__xludf.DUMMYFUNCTION("""COMPUTED_VALUE"""),393142.0)</f>
        <v>393142</v>
      </c>
    </row>
    <row r="795">
      <c r="A795" s="2">
        <f>IFERROR(__xludf.DUMMYFUNCTION("""COMPUTED_VALUE"""),37685.645833333336)</f>
        <v>37685.64583</v>
      </c>
      <c r="B795" s="1">
        <f>IFERROR(__xludf.DUMMYFUNCTION("""COMPUTED_VALUE"""),166.0)</f>
        <v>166</v>
      </c>
      <c r="C795" s="1">
        <f>IFERROR(__xludf.DUMMYFUNCTION("""COMPUTED_VALUE"""),169.0)</f>
        <v>169</v>
      </c>
      <c r="D795" s="1">
        <f>IFERROR(__xludf.DUMMYFUNCTION("""COMPUTED_VALUE"""),164.75)</f>
        <v>164.75</v>
      </c>
      <c r="E795" s="1">
        <f>IFERROR(__xludf.DUMMYFUNCTION("""COMPUTED_VALUE"""),166.25)</f>
        <v>166.25</v>
      </c>
      <c r="F795" s="1">
        <f>IFERROR(__xludf.DUMMYFUNCTION("""COMPUTED_VALUE"""),927062.0)</f>
        <v>927062</v>
      </c>
    </row>
    <row r="796">
      <c r="A796" s="2">
        <f>IFERROR(__xludf.DUMMYFUNCTION("""COMPUTED_VALUE"""),37686.645833333336)</f>
        <v>37686.64583</v>
      </c>
      <c r="B796" s="1">
        <f>IFERROR(__xludf.DUMMYFUNCTION("""COMPUTED_VALUE"""),166.0)</f>
        <v>166</v>
      </c>
      <c r="C796" s="1">
        <f>IFERROR(__xludf.DUMMYFUNCTION("""COMPUTED_VALUE"""),166.65)</f>
        <v>166.65</v>
      </c>
      <c r="D796" s="1">
        <f>IFERROR(__xludf.DUMMYFUNCTION("""COMPUTED_VALUE"""),165.2)</f>
        <v>165.2</v>
      </c>
      <c r="E796" s="1">
        <f>IFERROR(__xludf.DUMMYFUNCTION("""COMPUTED_VALUE"""),166.2)</f>
        <v>166.2</v>
      </c>
      <c r="F796" s="1">
        <f>IFERROR(__xludf.DUMMYFUNCTION("""COMPUTED_VALUE"""),327408.0)</f>
        <v>327408</v>
      </c>
    </row>
    <row r="797">
      <c r="A797" s="2">
        <f>IFERROR(__xludf.DUMMYFUNCTION("""COMPUTED_VALUE"""),37687.645833333336)</f>
        <v>37687.64583</v>
      </c>
      <c r="B797" s="1">
        <f>IFERROR(__xludf.DUMMYFUNCTION("""COMPUTED_VALUE"""),165.0)</f>
        <v>165</v>
      </c>
      <c r="C797" s="1">
        <f>IFERROR(__xludf.DUMMYFUNCTION("""COMPUTED_VALUE"""),166.0)</f>
        <v>166</v>
      </c>
      <c r="D797" s="1">
        <f>IFERROR(__xludf.DUMMYFUNCTION("""COMPUTED_VALUE"""),163.5)</f>
        <v>163.5</v>
      </c>
      <c r="E797" s="1">
        <f>IFERROR(__xludf.DUMMYFUNCTION("""COMPUTED_VALUE"""),164.25)</f>
        <v>164.25</v>
      </c>
      <c r="F797" s="1">
        <f>IFERROR(__xludf.DUMMYFUNCTION("""COMPUTED_VALUE"""),879264.0)</f>
        <v>879264</v>
      </c>
    </row>
    <row r="798">
      <c r="A798" s="2">
        <f>IFERROR(__xludf.DUMMYFUNCTION("""COMPUTED_VALUE"""),37690.645833333336)</f>
        <v>37690.64583</v>
      </c>
      <c r="B798" s="1">
        <f>IFERROR(__xludf.DUMMYFUNCTION("""COMPUTED_VALUE"""),165.6)</f>
        <v>165.6</v>
      </c>
      <c r="C798" s="1">
        <f>IFERROR(__xludf.DUMMYFUNCTION("""COMPUTED_VALUE"""),165.6)</f>
        <v>165.6</v>
      </c>
      <c r="D798" s="1">
        <f>IFERROR(__xludf.DUMMYFUNCTION("""COMPUTED_VALUE"""),160.85)</f>
        <v>160.85</v>
      </c>
      <c r="E798" s="1">
        <f>IFERROR(__xludf.DUMMYFUNCTION("""COMPUTED_VALUE"""),161.35)</f>
        <v>161.35</v>
      </c>
      <c r="F798" s="1">
        <f>IFERROR(__xludf.DUMMYFUNCTION("""COMPUTED_VALUE"""),1033985.0)</f>
        <v>1033985</v>
      </c>
    </row>
    <row r="799">
      <c r="A799" s="2">
        <f>IFERROR(__xludf.DUMMYFUNCTION("""COMPUTED_VALUE"""),37691.645833333336)</f>
        <v>37691.64583</v>
      </c>
      <c r="B799" s="1">
        <f>IFERROR(__xludf.DUMMYFUNCTION("""COMPUTED_VALUE"""),160.85)</f>
        <v>160.85</v>
      </c>
      <c r="C799" s="1">
        <f>IFERROR(__xludf.DUMMYFUNCTION("""COMPUTED_VALUE"""),178.9)</f>
        <v>178.9</v>
      </c>
      <c r="D799" s="1">
        <f>IFERROR(__xludf.DUMMYFUNCTION("""COMPUTED_VALUE"""),159.35)</f>
        <v>159.35</v>
      </c>
      <c r="E799" s="1">
        <f>IFERROR(__xludf.DUMMYFUNCTION("""COMPUTED_VALUE"""),160.5)</f>
        <v>160.5</v>
      </c>
      <c r="F799" s="1">
        <f>IFERROR(__xludf.DUMMYFUNCTION("""COMPUTED_VALUE"""),1095774.0)</f>
        <v>1095774</v>
      </c>
    </row>
    <row r="800">
      <c r="A800" s="2">
        <f>IFERROR(__xludf.DUMMYFUNCTION("""COMPUTED_VALUE"""),37692.645833333336)</f>
        <v>37692.64583</v>
      </c>
      <c r="B800" s="1">
        <f>IFERROR(__xludf.DUMMYFUNCTION("""COMPUTED_VALUE"""),160.75)</f>
        <v>160.75</v>
      </c>
      <c r="C800" s="1">
        <f>IFERROR(__xludf.DUMMYFUNCTION("""COMPUTED_VALUE"""),160.75)</f>
        <v>160.75</v>
      </c>
      <c r="D800" s="1">
        <f>IFERROR(__xludf.DUMMYFUNCTION("""COMPUTED_VALUE"""),157.75)</f>
        <v>157.75</v>
      </c>
      <c r="E800" s="1">
        <f>IFERROR(__xludf.DUMMYFUNCTION("""COMPUTED_VALUE"""),158.4)</f>
        <v>158.4</v>
      </c>
      <c r="F800" s="1">
        <f>IFERROR(__xludf.DUMMYFUNCTION("""COMPUTED_VALUE"""),806935.0)</f>
        <v>806935</v>
      </c>
    </row>
    <row r="801">
      <c r="A801" s="2">
        <f>IFERROR(__xludf.DUMMYFUNCTION("""COMPUTED_VALUE"""),37693.645833333336)</f>
        <v>37693.64583</v>
      </c>
      <c r="B801" s="1">
        <f>IFERROR(__xludf.DUMMYFUNCTION("""COMPUTED_VALUE"""),158.0)</f>
        <v>158</v>
      </c>
      <c r="C801" s="1">
        <f>IFERROR(__xludf.DUMMYFUNCTION("""COMPUTED_VALUE"""),160.15)</f>
        <v>160.15</v>
      </c>
      <c r="D801" s="1">
        <f>IFERROR(__xludf.DUMMYFUNCTION("""COMPUTED_VALUE"""),157.5)</f>
        <v>157.5</v>
      </c>
      <c r="E801" s="1">
        <f>IFERROR(__xludf.DUMMYFUNCTION("""COMPUTED_VALUE"""),159.3)</f>
        <v>159.3</v>
      </c>
      <c r="F801" s="1">
        <f>IFERROR(__xludf.DUMMYFUNCTION("""COMPUTED_VALUE"""),1204811.0)</f>
        <v>1204811</v>
      </c>
    </row>
    <row r="802">
      <c r="A802" s="2">
        <f>IFERROR(__xludf.DUMMYFUNCTION("""COMPUTED_VALUE"""),37697.645833333336)</f>
        <v>37697.64583</v>
      </c>
      <c r="B802" s="1">
        <f>IFERROR(__xludf.DUMMYFUNCTION("""COMPUTED_VALUE"""),159.5)</f>
        <v>159.5</v>
      </c>
      <c r="C802" s="1">
        <f>IFERROR(__xludf.DUMMYFUNCTION("""COMPUTED_VALUE"""),159.5)</f>
        <v>159.5</v>
      </c>
      <c r="D802" s="1">
        <f>IFERROR(__xludf.DUMMYFUNCTION("""COMPUTED_VALUE"""),153.5)</f>
        <v>153.5</v>
      </c>
      <c r="E802" s="1">
        <f>IFERROR(__xludf.DUMMYFUNCTION("""COMPUTED_VALUE"""),155.7)</f>
        <v>155.7</v>
      </c>
      <c r="F802" s="1">
        <f>IFERROR(__xludf.DUMMYFUNCTION("""COMPUTED_VALUE"""),1182038.0)</f>
        <v>1182038</v>
      </c>
    </row>
    <row r="803">
      <c r="A803" s="2">
        <f>IFERROR(__xludf.DUMMYFUNCTION("""COMPUTED_VALUE"""),37699.645833333336)</f>
        <v>37699.64583</v>
      </c>
      <c r="B803" s="1">
        <f>IFERROR(__xludf.DUMMYFUNCTION("""COMPUTED_VALUE"""),156.5)</f>
        <v>156.5</v>
      </c>
      <c r="C803" s="1">
        <f>IFERROR(__xludf.DUMMYFUNCTION("""COMPUTED_VALUE"""),159.85)</f>
        <v>159.85</v>
      </c>
      <c r="D803" s="1">
        <f>IFERROR(__xludf.DUMMYFUNCTION("""COMPUTED_VALUE"""),155.3)</f>
        <v>155.3</v>
      </c>
      <c r="E803" s="1">
        <f>IFERROR(__xludf.DUMMYFUNCTION("""COMPUTED_VALUE"""),157.5)</f>
        <v>157.5</v>
      </c>
      <c r="F803" s="1">
        <f>IFERROR(__xludf.DUMMYFUNCTION("""COMPUTED_VALUE"""),839646.0)</f>
        <v>839646</v>
      </c>
    </row>
    <row r="804">
      <c r="A804" s="2">
        <f>IFERROR(__xludf.DUMMYFUNCTION("""COMPUTED_VALUE"""),37700.645833333336)</f>
        <v>37700.64583</v>
      </c>
      <c r="B804" s="1">
        <f>IFERROR(__xludf.DUMMYFUNCTION("""COMPUTED_VALUE"""),158.0)</f>
        <v>158</v>
      </c>
      <c r="C804" s="1">
        <f>IFERROR(__xludf.DUMMYFUNCTION("""COMPUTED_VALUE"""),161.15)</f>
        <v>161.15</v>
      </c>
      <c r="D804" s="1">
        <f>IFERROR(__xludf.DUMMYFUNCTION("""COMPUTED_VALUE"""),157.0)</f>
        <v>157</v>
      </c>
      <c r="E804" s="1">
        <f>IFERROR(__xludf.DUMMYFUNCTION("""COMPUTED_VALUE"""),160.55)</f>
        <v>160.55</v>
      </c>
      <c r="F804" s="1">
        <f>IFERROR(__xludf.DUMMYFUNCTION("""COMPUTED_VALUE"""),1072599.0)</f>
        <v>1072599</v>
      </c>
    </row>
    <row r="805">
      <c r="A805" s="2">
        <f>IFERROR(__xludf.DUMMYFUNCTION("""COMPUTED_VALUE"""),37701.645833333336)</f>
        <v>37701.64583</v>
      </c>
      <c r="B805" s="1">
        <f>IFERROR(__xludf.DUMMYFUNCTION("""COMPUTED_VALUE"""),161.0)</f>
        <v>161</v>
      </c>
      <c r="C805" s="1">
        <f>IFERROR(__xludf.DUMMYFUNCTION("""COMPUTED_VALUE"""),162.9)</f>
        <v>162.9</v>
      </c>
      <c r="D805" s="1">
        <f>IFERROR(__xludf.DUMMYFUNCTION("""COMPUTED_VALUE"""),160.25)</f>
        <v>160.25</v>
      </c>
      <c r="E805" s="1">
        <f>IFERROR(__xludf.DUMMYFUNCTION("""COMPUTED_VALUE"""),162.05)</f>
        <v>162.05</v>
      </c>
      <c r="F805" s="1">
        <f>IFERROR(__xludf.DUMMYFUNCTION("""COMPUTED_VALUE"""),1357929.0)</f>
        <v>1357929</v>
      </c>
    </row>
    <row r="806">
      <c r="A806" s="2">
        <f>IFERROR(__xludf.DUMMYFUNCTION("""COMPUTED_VALUE"""),37704.645833333336)</f>
        <v>37704.64583</v>
      </c>
      <c r="B806" s="1">
        <f>IFERROR(__xludf.DUMMYFUNCTION("""COMPUTED_VALUE"""),162.05)</f>
        <v>162.05</v>
      </c>
      <c r="C806" s="1">
        <f>IFERROR(__xludf.DUMMYFUNCTION("""COMPUTED_VALUE"""),163.0)</f>
        <v>163</v>
      </c>
      <c r="D806" s="1">
        <f>IFERROR(__xludf.DUMMYFUNCTION("""COMPUTED_VALUE"""),155.05)</f>
        <v>155.05</v>
      </c>
      <c r="E806" s="1">
        <f>IFERROR(__xludf.DUMMYFUNCTION("""COMPUTED_VALUE"""),155.4)</f>
        <v>155.4</v>
      </c>
      <c r="F806" s="1">
        <f>IFERROR(__xludf.DUMMYFUNCTION("""COMPUTED_VALUE"""),1430553.0)</f>
        <v>1430553</v>
      </c>
    </row>
    <row r="807">
      <c r="A807" s="2">
        <f>IFERROR(__xludf.DUMMYFUNCTION("""COMPUTED_VALUE"""),37705.645833333336)</f>
        <v>37705.64583</v>
      </c>
      <c r="B807" s="1">
        <f>IFERROR(__xludf.DUMMYFUNCTION("""COMPUTED_VALUE"""),154.9)</f>
        <v>154.9</v>
      </c>
      <c r="C807" s="1">
        <f>IFERROR(__xludf.DUMMYFUNCTION("""COMPUTED_VALUE"""),156.7)</f>
        <v>156.7</v>
      </c>
      <c r="D807" s="1">
        <f>IFERROR(__xludf.DUMMYFUNCTION("""COMPUTED_VALUE"""),152.5)</f>
        <v>152.5</v>
      </c>
      <c r="E807" s="1">
        <f>IFERROR(__xludf.DUMMYFUNCTION("""COMPUTED_VALUE"""),155.9)</f>
        <v>155.9</v>
      </c>
      <c r="F807" s="1">
        <f>IFERROR(__xludf.DUMMYFUNCTION("""COMPUTED_VALUE"""),1059222.0)</f>
        <v>1059222</v>
      </c>
    </row>
    <row r="808">
      <c r="A808" s="2">
        <f>IFERROR(__xludf.DUMMYFUNCTION("""COMPUTED_VALUE"""),37706.645833333336)</f>
        <v>37706.64583</v>
      </c>
      <c r="B808" s="1">
        <f>IFERROR(__xludf.DUMMYFUNCTION("""COMPUTED_VALUE"""),156.0)</f>
        <v>156</v>
      </c>
      <c r="C808" s="1">
        <f>IFERROR(__xludf.DUMMYFUNCTION("""COMPUTED_VALUE"""),157.5)</f>
        <v>157.5</v>
      </c>
      <c r="D808" s="1">
        <f>IFERROR(__xludf.DUMMYFUNCTION("""COMPUTED_VALUE"""),153.1)</f>
        <v>153.1</v>
      </c>
      <c r="E808" s="1">
        <f>IFERROR(__xludf.DUMMYFUNCTION("""COMPUTED_VALUE"""),156.95)</f>
        <v>156.95</v>
      </c>
      <c r="F808" s="1">
        <f>IFERROR(__xludf.DUMMYFUNCTION("""COMPUTED_VALUE"""),754543.0)</f>
        <v>754543</v>
      </c>
    </row>
    <row r="809">
      <c r="A809" s="2">
        <f>IFERROR(__xludf.DUMMYFUNCTION("""COMPUTED_VALUE"""),37707.645833333336)</f>
        <v>37707.64583</v>
      </c>
      <c r="B809" s="1">
        <f>IFERROR(__xludf.DUMMYFUNCTION("""COMPUTED_VALUE"""),157.5)</f>
        <v>157.5</v>
      </c>
      <c r="C809" s="1">
        <f>IFERROR(__xludf.DUMMYFUNCTION("""COMPUTED_VALUE"""),158.3)</f>
        <v>158.3</v>
      </c>
      <c r="D809" s="1">
        <f>IFERROR(__xludf.DUMMYFUNCTION("""COMPUTED_VALUE"""),152.15)</f>
        <v>152.15</v>
      </c>
      <c r="E809" s="1">
        <f>IFERROR(__xludf.DUMMYFUNCTION("""COMPUTED_VALUE"""),153.4)</f>
        <v>153.4</v>
      </c>
      <c r="F809" s="1">
        <f>IFERROR(__xludf.DUMMYFUNCTION("""COMPUTED_VALUE"""),1702253.0)</f>
        <v>1702253</v>
      </c>
    </row>
    <row r="810">
      <c r="A810" s="2">
        <f>IFERROR(__xludf.DUMMYFUNCTION("""COMPUTED_VALUE"""),37708.645833333336)</f>
        <v>37708.64583</v>
      </c>
      <c r="B810" s="1">
        <f>IFERROR(__xludf.DUMMYFUNCTION("""COMPUTED_VALUE"""),154.5)</f>
        <v>154.5</v>
      </c>
      <c r="C810" s="1">
        <f>IFERROR(__xludf.DUMMYFUNCTION("""COMPUTED_VALUE"""),154.7)</f>
        <v>154.7</v>
      </c>
      <c r="D810" s="1">
        <f>IFERROR(__xludf.DUMMYFUNCTION("""COMPUTED_VALUE"""),151.05)</f>
        <v>151.05</v>
      </c>
      <c r="E810" s="1">
        <f>IFERROR(__xludf.DUMMYFUNCTION("""COMPUTED_VALUE"""),152.5)</f>
        <v>152.5</v>
      </c>
      <c r="F810" s="1">
        <f>IFERROR(__xludf.DUMMYFUNCTION("""COMPUTED_VALUE"""),952593.0)</f>
        <v>952593</v>
      </c>
    </row>
    <row r="811">
      <c r="A811" s="2">
        <f>IFERROR(__xludf.DUMMYFUNCTION("""COMPUTED_VALUE"""),37711.645833333336)</f>
        <v>37711.64583</v>
      </c>
      <c r="B811" s="1">
        <f>IFERROR(__xludf.DUMMYFUNCTION("""COMPUTED_VALUE"""),151.9)</f>
        <v>151.9</v>
      </c>
      <c r="C811" s="1">
        <f>IFERROR(__xludf.DUMMYFUNCTION("""COMPUTED_VALUE"""),156.0)</f>
        <v>156</v>
      </c>
      <c r="D811" s="1">
        <f>IFERROR(__xludf.DUMMYFUNCTION("""COMPUTED_VALUE"""),146.25)</f>
        <v>146.25</v>
      </c>
      <c r="E811" s="1">
        <f>IFERROR(__xludf.DUMMYFUNCTION("""COMPUTED_VALUE"""),148.35)</f>
        <v>148.35</v>
      </c>
      <c r="F811" s="1">
        <f>IFERROR(__xludf.DUMMYFUNCTION("""COMPUTED_VALUE"""),1702209.0)</f>
        <v>1702209</v>
      </c>
    </row>
    <row r="812">
      <c r="A812" s="2">
        <f>IFERROR(__xludf.DUMMYFUNCTION("""COMPUTED_VALUE"""),37712.645833333336)</f>
        <v>37712.64583</v>
      </c>
      <c r="B812" s="1">
        <f>IFERROR(__xludf.DUMMYFUNCTION("""COMPUTED_VALUE"""),146.0)</f>
        <v>146</v>
      </c>
      <c r="C812" s="1">
        <f>IFERROR(__xludf.DUMMYFUNCTION("""COMPUTED_VALUE"""),150.5)</f>
        <v>150.5</v>
      </c>
      <c r="D812" s="1">
        <f>IFERROR(__xludf.DUMMYFUNCTION("""COMPUTED_VALUE"""),146.0)</f>
        <v>146</v>
      </c>
      <c r="E812" s="1">
        <f>IFERROR(__xludf.DUMMYFUNCTION("""COMPUTED_VALUE"""),149.15)</f>
        <v>149.15</v>
      </c>
      <c r="F812" s="1">
        <f>IFERROR(__xludf.DUMMYFUNCTION("""COMPUTED_VALUE"""),845077.0)</f>
        <v>845077</v>
      </c>
    </row>
    <row r="813">
      <c r="A813" s="2">
        <f>IFERROR(__xludf.DUMMYFUNCTION("""COMPUTED_VALUE"""),37713.645833333336)</f>
        <v>37713.64583</v>
      </c>
      <c r="B813" s="1">
        <f>IFERROR(__xludf.DUMMYFUNCTION("""COMPUTED_VALUE"""),150.0)</f>
        <v>150</v>
      </c>
      <c r="C813" s="1">
        <f>IFERROR(__xludf.DUMMYFUNCTION("""COMPUTED_VALUE"""),155.5)</f>
        <v>155.5</v>
      </c>
      <c r="D813" s="1">
        <f>IFERROR(__xludf.DUMMYFUNCTION("""COMPUTED_VALUE"""),148.8)</f>
        <v>148.8</v>
      </c>
      <c r="E813" s="1">
        <f>IFERROR(__xludf.DUMMYFUNCTION("""COMPUTED_VALUE"""),154.75)</f>
        <v>154.75</v>
      </c>
      <c r="F813" s="1">
        <f>IFERROR(__xludf.DUMMYFUNCTION("""COMPUTED_VALUE"""),1089877.0)</f>
        <v>1089877</v>
      </c>
    </row>
    <row r="814">
      <c r="A814" s="2">
        <f>IFERROR(__xludf.DUMMYFUNCTION("""COMPUTED_VALUE"""),37714.645833333336)</f>
        <v>37714.64583</v>
      </c>
      <c r="B814" s="1">
        <f>IFERROR(__xludf.DUMMYFUNCTION("""COMPUTED_VALUE"""),155.0)</f>
        <v>155</v>
      </c>
      <c r="C814" s="1">
        <f>IFERROR(__xludf.DUMMYFUNCTION("""COMPUTED_VALUE"""),155.9)</f>
        <v>155.9</v>
      </c>
      <c r="D814" s="1">
        <f>IFERROR(__xludf.DUMMYFUNCTION("""COMPUTED_VALUE"""),153.5)</f>
        <v>153.5</v>
      </c>
      <c r="E814" s="1">
        <f>IFERROR(__xludf.DUMMYFUNCTION("""COMPUTED_VALUE"""),154.85)</f>
        <v>154.85</v>
      </c>
      <c r="F814" s="1">
        <f>IFERROR(__xludf.DUMMYFUNCTION("""COMPUTED_VALUE"""),1036642.0)</f>
        <v>1036642</v>
      </c>
    </row>
    <row r="815">
      <c r="A815" s="2">
        <f>IFERROR(__xludf.DUMMYFUNCTION("""COMPUTED_VALUE"""),37715.645833333336)</f>
        <v>37715.64583</v>
      </c>
      <c r="B815" s="1">
        <f>IFERROR(__xludf.DUMMYFUNCTION("""COMPUTED_VALUE"""),151.6)</f>
        <v>151.6</v>
      </c>
      <c r="C815" s="1">
        <f>IFERROR(__xludf.DUMMYFUNCTION("""COMPUTED_VALUE"""),152.9)</f>
        <v>152.9</v>
      </c>
      <c r="D815" s="1">
        <f>IFERROR(__xludf.DUMMYFUNCTION("""COMPUTED_VALUE"""),149.25)</f>
        <v>149.25</v>
      </c>
      <c r="E815" s="1">
        <f>IFERROR(__xludf.DUMMYFUNCTION("""COMPUTED_VALUE"""),150.75)</f>
        <v>150.75</v>
      </c>
      <c r="F815" s="1">
        <f>IFERROR(__xludf.DUMMYFUNCTION("""COMPUTED_VALUE"""),1243113.0)</f>
        <v>1243113</v>
      </c>
    </row>
    <row r="816">
      <c r="A816" s="2">
        <f>IFERROR(__xludf.DUMMYFUNCTION("""COMPUTED_VALUE"""),37718.645833333336)</f>
        <v>37718.64583</v>
      </c>
      <c r="B816" s="1">
        <f>IFERROR(__xludf.DUMMYFUNCTION("""COMPUTED_VALUE"""),151.95)</f>
        <v>151.95</v>
      </c>
      <c r="C816" s="1">
        <f>IFERROR(__xludf.DUMMYFUNCTION("""COMPUTED_VALUE"""),153.4)</f>
        <v>153.4</v>
      </c>
      <c r="D816" s="1">
        <f>IFERROR(__xludf.DUMMYFUNCTION("""COMPUTED_VALUE"""),150.1)</f>
        <v>150.1</v>
      </c>
      <c r="E816" s="1">
        <f>IFERROR(__xludf.DUMMYFUNCTION("""COMPUTED_VALUE"""),152.5)</f>
        <v>152.5</v>
      </c>
      <c r="F816" s="1">
        <f>IFERROR(__xludf.DUMMYFUNCTION("""COMPUTED_VALUE"""),817793.0)</f>
        <v>817793</v>
      </c>
    </row>
    <row r="817">
      <c r="A817" s="2">
        <f>IFERROR(__xludf.DUMMYFUNCTION("""COMPUTED_VALUE"""),37719.645833333336)</f>
        <v>37719.64583</v>
      </c>
      <c r="B817" s="1">
        <f>IFERROR(__xludf.DUMMYFUNCTION("""COMPUTED_VALUE"""),150.1)</f>
        <v>150.1</v>
      </c>
      <c r="C817" s="1">
        <f>IFERROR(__xludf.DUMMYFUNCTION("""COMPUTED_VALUE"""),152.45)</f>
        <v>152.45</v>
      </c>
      <c r="D817" s="1">
        <f>IFERROR(__xludf.DUMMYFUNCTION("""COMPUTED_VALUE"""),146.75)</f>
        <v>146.75</v>
      </c>
      <c r="E817" s="1">
        <f>IFERROR(__xludf.DUMMYFUNCTION("""COMPUTED_VALUE"""),147.9)</f>
        <v>147.9</v>
      </c>
      <c r="F817" s="1">
        <f>IFERROR(__xludf.DUMMYFUNCTION("""COMPUTED_VALUE"""),2173912.0)</f>
        <v>2173912</v>
      </c>
    </row>
    <row r="818">
      <c r="A818" s="2">
        <f>IFERROR(__xludf.DUMMYFUNCTION("""COMPUTED_VALUE"""),37720.645833333336)</f>
        <v>37720.64583</v>
      </c>
      <c r="B818" s="1">
        <f>IFERROR(__xludf.DUMMYFUNCTION("""COMPUTED_VALUE"""),148.5)</f>
        <v>148.5</v>
      </c>
      <c r="C818" s="1">
        <f>IFERROR(__xludf.DUMMYFUNCTION("""COMPUTED_VALUE"""),148.5)</f>
        <v>148.5</v>
      </c>
      <c r="D818" s="1">
        <f>IFERROR(__xludf.DUMMYFUNCTION("""COMPUTED_VALUE"""),143.55)</f>
        <v>143.55</v>
      </c>
      <c r="E818" s="1">
        <f>IFERROR(__xludf.DUMMYFUNCTION("""COMPUTED_VALUE"""),144.0)</f>
        <v>144</v>
      </c>
      <c r="F818" s="1">
        <f>IFERROR(__xludf.DUMMYFUNCTION("""COMPUTED_VALUE"""),1395645.0)</f>
        <v>1395645</v>
      </c>
    </row>
    <row r="819">
      <c r="A819" s="2">
        <f>IFERROR(__xludf.DUMMYFUNCTION("""COMPUTED_VALUE"""),37721.645833333336)</f>
        <v>37721.64583</v>
      </c>
      <c r="B819" s="1">
        <f>IFERROR(__xludf.DUMMYFUNCTION("""COMPUTED_VALUE"""),144.0)</f>
        <v>144</v>
      </c>
      <c r="C819" s="1">
        <f>IFERROR(__xludf.DUMMYFUNCTION("""COMPUTED_VALUE"""),147.5)</f>
        <v>147.5</v>
      </c>
      <c r="D819" s="1">
        <f>IFERROR(__xludf.DUMMYFUNCTION("""COMPUTED_VALUE"""),143.1)</f>
        <v>143.1</v>
      </c>
      <c r="E819" s="1">
        <f>IFERROR(__xludf.DUMMYFUNCTION("""COMPUTED_VALUE"""),144.15)</f>
        <v>144.15</v>
      </c>
      <c r="F819" s="1">
        <f>IFERROR(__xludf.DUMMYFUNCTION("""COMPUTED_VALUE"""),2773458.0)</f>
        <v>2773458</v>
      </c>
    </row>
    <row r="820">
      <c r="A820" s="2">
        <f>IFERROR(__xludf.DUMMYFUNCTION("""COMPUTED_VALUE"""),37722.645833333336)</f>
        <v>37722.64583</v>
      </c>
      <c r="B820" s="1">
        <f>IFERROR(__xludf.DUMMYFUNCTION("""COMPUTED_VALUE"""),144.4)</f>
        <v>144.4</v>
      </c>
      <c r="C820" s="1">
        <f>IFERROR(__xludf.DUMMYFUNCTION("""COMPUTED_VALUE"""),147.3)</f>
        <v>147.3</v>
      </c>
      <c r="D820" s="1">
        <f>IFERROR(__xludf.DUMMYFUNCTION("""COMPUTED_VALUE"""),141.5)</f>
        <v>141.5</v>
      </c>
      <c r="E820" s="1">
        <f>IFERROR(__xludf.DUMMYFUNCTION("""COMPUTED_VALUE"""),142.4)</f>
        <v>142.4</v>
      </c>
      <c r="F820" s="1">
        <f>IFERROR(__xludf.DUMMYFUNCTION("""COMPUTED_VALUE"""),1369071.0)</f>
        <v>1369071</v>
      </c>
    </row>
    <row r="821">
      <c r="A821" s="2">
        <f>IFERROR(__xludf.DUMMYFUNCTION("""COMPUTED_VALUE"""),37726.645833333336)</f>
        <v>37726.64583</v>
      </c>
      <c r="B821" s="1">
        <f>IFERROR(__xludf.DUMMYFUNCTION("""COMPUTED_VALUE"""),143.7)</f>
        <v>143.7</v>
      </c>
      <c r="C821" s="1">
        <f>IFERROR(__xludf.DUMMYFUNCTION("""COMPUTED_VALUE"""),144.0)</f>
        <v>144</v>
      </c>
      <c r="D821" s="1">
        <f>IFERROR(__xludf.DUMMYFUNCTION("""COMPUTED_VALUE"""),138.6)</f>
        <v>138.6</v>
      </c>
      <c r="E821" s="1">
        <f>IFERROR(__xludf.DUMMYFUNCTION("""COMPUTED_VALUE"""),141.4)</f>
        <v>141.4</v>
      </c>
      <c r="F821" s="1">
        <f>IFERROR(__xludf.DUMMYFUNCTION("""COMPUTED_VALUE"""),2036077.0)</f>
        <v>2036077</v>
      </c>
    </row>
    <row r="822">
      <c r="A822" s="2">
        <f>IFERROR(__xludf.DUMMYFUNCTION("""COMPUTED_VALUE"""),37727.645833333336)</f>
        <v>37727.64583</v>
      </c>
      <c r="B822" s="1">
        <f>IFERROR(__xludf.DUMMYFUNCTION("""COMPUTED_VALUE"""),142.5)</f>
        <v>142.5</v>
      </c>
      <c r="C822" s="1">
        <f>IFERROR(__xludf.DUMMYFUNCTION("""COMPUTED_VALUE"""),148.45)</f>
        <v>148.45</v>
      </c>
      <c r="D822" s="1">
        <f>IFERROR(__xludf.DUMMYFUNCTION("""COMPUTED_VALUE"""),139.6)</f>
        <v>139.6</v>
      </c>
      <c r="E822" s="1">
        <f>IFERROR(__xludf.DUMMYFUNCTION("""COMPUTED_VALUE"""),147.7)</f>
        <v>147.7</v>
      </c>
      <c r="F822" s="1">
        <f>IFERROR(__xludf.DUMMYFUNCTION("""COMPUTED_VALUE"""),7647942.0)</f>
        <v>7647942</v>
      </c>
    </row>
    <row r="823">
      <c r="A823" s="2">
        <f>IFERROR(__xludf.DUMMYFUNCTION("""COMPUTED_VALUE"""),37728.645833333336)</f>
        <v>37728.64583</v>
      </c>
      <c r="B823" s="1">
        <f>IFERROR(__xludf.DUMMYFUNCTION("""COMPUTED_VALUE"""),146.5)</f>
        <v>146.5</v>
      </c>
      <c r="C823" s="1">
        <f>IFERROR(__xludf.DUMMYFUNCTION("""COMPUTED_VALUE"""),146.5)</f>
        <v>146.5</v>
      </c>
      <c r="D823" s="1">
        <f>IFERROR(__xludf.DUMMYFUNCTION("""COMPUTED_VALUE"""),141.55)</f>
        <v>141.55</v>
      </c>
      <c r="E823" s="1">
        <f>IFERROR(__xludf.DUMMYFUNCTION("""COMPUTED_VALUE"""),142.45)</f>
        <v>142.45</v>
      </c>
      <c r="F823" s="1">
        <f>IFERROR(__xludf.DUMMYFUNCTION("""COMPUTED_VALUE"""),1795929.0)</f>
        <v>1795929</v>
      </c>
    </row>
    <row r="824">
      <c r="A824" s="2">
        <f>IFERROR(__xludf.DUMMYFUNCTION("""COMPUTED_VALUE"""),37732.645833333336)</f>
        <v>37732.64583</v>
      </c>
      <c r="B824" s="1">
        <f>IFERROR(__xludf.DUMMYFUNCTION("""COMPUTED_VALUE"""),143.5)</f>
        <v>143.5</v>
      </c>
      <c r="C824" s="1">
        <f>IFERROR(__xludf.DUMMYFUNCTION("""COMPUTED_VALUE"""),144.95)</f>
        <v>144.95</v>
      </c>
      <c r="D824" s="1">
        <f>IFERROR(__xludf.DUMMYFUNCTION("""COMPUTED_VALUE"""),143.35)</f>
        <v>143.35</v>
      </c>
      <c r="E824" s="1">
        <f>IFERROR(__xludf.DUMMYFUNCTION("""COMPUTED_VALUE"""),144.5)</f>
        <v>144.5</v>
      </c>
      <c r="F824" s="1">
        <f>IFERROR(__xludf.DUMMYFUNCTION("""COMPUTED_VALUE"""),1130829.0)</f>
        <v>1130829</v>
      </c>
    </row>
    <row r="825">
      <c r="A825" s="2">
        <f>IFERROR(__xludf.DUMMYFUNCTION("""COMPUTED_VALUE"""),37733.645833333336)</f>
        <v>37733.64583</v>
      </c>
      <c r="B825" s="1">
        <f>IFERROR(__xludf.DUMMYFUNCTION("""COMPUTED_VALUE"""),144.0)</f>
        <v>144</v>
      </c>
      <c r="C825" s="1">
        <f>IFERROR(__xludf.DUMMYFUNCTION("""COMPUTED_VALUE"""),144.95)</f>
        <v>144.95</v>
      </c>
      <c r="D825" s="1">
        <f>IFERROR(__xludf.DUMMYFUNCTION("""COMPUTED_VALUE"""),143.1)</f>
        <v>143.1</v>
      </c>
      <c r="E825" s="1">
        <f>IFERROR(__xludf.DUMMYFUNCTION("""COMPUTED_VALUE"""),143.95)</f>
        <v>143.95</v>
      </c>
      <c r="F825" s="1">
        <f>IFERROR(__xludf.DUMMYFUNCTION("""COMPUTED_VALUE"""),801237.0)</f>
        <v>801237</v>
      </c>
    </row>
    <row r="826">
      <c r="A826" s="2">
        <f>IFERROR(__xludf.DUMMYFUNCTION("""COMPUTED_VALUE"""),37734.645833333336)</f>
        <v>37734.64583</v>
      </c>
      <c r="B826" s="1">
        <f>IFERROR(__xludf.DUMMYFUNCTION("""COMPUTED_VALUE"""),144.9)</f>
        <v>144.9</v>
      </c>
      <c r="C826" s="1">
        <f>IFERROR(__xludf.DUMMYFUNCTION("""COMPUTED_VALUE"""),144.9)</f>
        <v>144.9</v>
      </c>
      <c r="D826" s="1">
        <f>IFERROR(__xludf.DUMMYFUNCTION("""COMPUTED_VALUE"""),139.5)</f>
        <v>139.5</v>
      </c>
      <c r="E826" s="1">
        <f>IFERROR(__xludf.DUMMYFUNCTION("""COMPUTED_VALUE"""),140.7)</f>
        <v>140.7</v>
      </c>
      <c r="F826" s="1">
        <f>IFERROR(__xludf.DUMMYFUNCTION("""COMPUTED_VALUE"""),1116284.0)</f>
        <v>1116284</v>
      </c>
    </row>
    <row r="827">
      <c r="A827" s="2">
        <f>IFERROR(__xludf.DUMMYFUNCTION("""COMPUTED_VALUE"""),37735.645833333336)</f>
        <v>37735.64583</v>
      </c>
      <c r="B827" s="1">
        <f>IFERROR(__xludf.DUMMYFUNCTION("""COMPUTED_VALUE"""),141.0)</f>
        <v>141</v>
      </c>
      <c r="C827" s="1">
        <f>IFERROR(__xludf.DUMMYFUNCTION("""COMPUTED_VALUE"""),141.0)</f>
        <v>141</v>
      </c>
      <c r="D827" s="1">
        <f>IFERROR(__xludf.DUMMYFUNCTION("""COMPUTED_VALUE"""),135.15)</f>
        <v>135.15</v>
      </c>
      <c r="E827" s="1">
        <f>IFERROR(__xludf.DUMMYFUNCTION("""COMPUTED_VALUE"""),135.7)</f>
        <v>135.7</v>
      </c>
      <c r="F827" s="1">
        <f>IFERROR(__xludf.DUMMYFUNCTION("""COMPUTED_VALUE"""),3415643.0)</f>
        <v>3415643</v>
      </c>
    </row>
    <row r="828">
      <c r="A828" s="2">
        <f>IFERROR(__xludf.DUMMYFUNCTION("""COMPUTED_VALUE"""),37736.645833333336)</f>
        <v>37736.64583</v>
      </c>
      <c r="B828" s="1">
        <f>IFERROR(__xludf.DUMMYFUNCTION("""COMPUTED_VALUE"""),136.1)</f>
        <v>136.1</v>
      </c>
      <c r="C828" s="1">
        <f>IFERROR(__xludf.DUMMYFUNCTION("""COMPUTED_VALUE"""),137.8)</f>
        <v>137.8</v>
      </c>
      <c r="D828" s="1">
        <f>IFERROR(__xludf.DUMMYFUNCTION("""COMPUTED_VALUE"""),135.15)</f>
        <v>135.15</v>
      </c>
      <c r="E828" s="1">
        <f>IFERROR(__xludf.DUMMYFUNCTION("""COMPUTED_VALUE"""),135.9)</f>
        <v>135.9</v>
      </c>
      <c r="F828" s="1">
        <f>IFERROR(__xludf.DUMMYFUNCTION("""COMPUTED_VALUE"""),1955617.0)</f>
        <v>1955617</v>
      </c>
    </row>
    <row r="829">
      <c r="A829" s="2">
        <f>IFERROR(__xludf.DUMMYFUNCTION("""COMPUTED_VALUE"""),37739.645833333336)</f>
        <v>37739.64583</v>
      </c>
      <c r="B829" s="1">
        <f>IFERROR(__xludf.DUMMYFUNCTION("""COMPUTED_VALUE"""),136.7)</f>
        <v>136.7</v>
      </c>
      <c r="C829" s="1">
        <f>IFERROR(__xludf.DUMMYFUNCTION("""COMPUTED_VALUE"""),140.0)</f>
        <v>140</v>
      </c>
      <c r="D829" s="1">
        <f>IFERROR(__xludf.DUMMYFUNCTION("""COMPUTED_VALUE"""),136.35)</f>
        <v>136.35</v>
      </c>
      <c r="E829" s="1">
        <f>IFERROR(__xludf.DUMMYFUNCTION("""COMPUTED_VALUE"""),139.45)</f>
        <v>139.45</v>
      </c>
      <c r="F829" s="1">
        <f>IFERROR(__xludf.DUMMYFUNCTION("""COMPUTED_VALUE"""),1483982.0)</f>
        <v>1483982</v>
      </c>
    </row>
    <row r="830">
      <c r="A830" s="2">
        <f>IFERROR(__xludf.DUMMYFUNCTION("""COMPUTED_VALUE"""),37740.645833333336)</f>
        <v>37740.64583</v>
      </c>
      <c r="B830" s="1">
        <f>IFERROR(__xludf.DUMMYFUNCTION("""COMPUTED_VALUE"""),140.1)</f>
        <v>140.1</v>
      </c>
      <c r="C830" s="1">
        <f>IFERROR(__xludf.DUMMYFUNCTION("""COMPUTED_VALUE"""),141.25)</f>
        <v>141.25</v>
      </c>
      <c r="D830" s="1">
        <f>IFERROR(__xludf.DUMMYFUNCTION("""COMPUTED_VALUE"""),139.05)</f>
        <v>139.05</v>
      </c>
      <c r="E830" s="1">
        <f>IFERROR(__xludf.DUMMYFUNCTION("""COMPUTED_VALUE"""),140.35)</f>
        <v>140.35</v>
      </c>
      <c r="F830" s="1">
        <f>IFERROR(__xludf.DUMMYFUNCTION("""COMPUTED_VALUE"""),1190492.0)</f>
        <v>1190492</v>
      </c>
    </row>
    <row r="831">
      <c r="A831" s="2">
        <f>IFERROR(__xludf.DUMMYFUNCTION("""COMPUTED_VALUE"""),37741.645833333336)</f>
        <v>37741.64583</v>
      </c>
      <c r="B831" s="1">
        <f>IFERROR(__xludf.DUMMYFUNCTION("""COMPUTED_VALUE"""),140.9)</f>
        <v>140.9</v>
      </c>
      <c r="C831" s="1">
        <f>IFERROR(__xludf.DUMMYFUNCTION("""COMPUTED_VALUE"""),145.0)</f>
        <v>145</v>
      </c>
      <c r="D831" s="1">
        <f>IFERROR(__xludf.DUMMYFUNCTION("""COMPUTED_VALUE"""),140.0)</f>
        <v>140</v>
      </c>
      <c r="E831" s="1">
        <f>IFERROR(__xludf.DUMMYFUNCTION("""COMPUTED_VALUE"""),144.05)</f>
        <v>144.05</v>
      </c>
      <c r="F831" s="1">
        <f>IFERROR(__xludf.DUMMYFUNCTION("""COMPUTED_VALUE"""),2446129.0)</f>
        <v>2446129</v>
      </c>
    </row>
    <row r="832">
      <c r="A832" s="2">
        <f>IFERROR(__xludf.DUMMYFUNCTION("""COMPUTED_VALUE"""),37743.645833333336)</f>
        <v>37743.64583</v>
      </c>
      <c r="B832" s="1">
        <f>IFERROR(__xludf.DUMMYFUNCTION("""COMPUTED_VALUE"""),144.05)</f>
        <v>144.05</v>
      </c>
      <c r="C832" s="1">
        <f>IFERROR(__xludf.DUMMYFUNCTION("""COMPUTED_VALUE"""),144.05)</f>
        <v>144.05</v>
      </c>
      <c r="D832" s="1">
        <f>IFERROR(__xludf.DUMMYFUNCTION("""COMPUTED_VALUE"""),136.1)</f>
        <v>136.1</v>
      </c>
      <c r="E832" s="1">
        <f>IFERROR(__xludf.DUMMYFUNCTION("""COMPUTED_VALUE"""),138.1)</f>
        <v>138.1</v>
      </c>
      <c r="F832" s="1">
        <f>IFERROR(__xludf.DUMMYFUNCTION("""COMPUTED_VALUE"""),3463796.0)</f>
        <v>3463796</v>
      </c>
    </row>
    <row r="833">
      <c r="A833" s="2">
        <f>IFERROR(__xludf.DUMMYFUNCTION("""COMPUTED_VALUE"""),37746.645833333336)</f>
        <v>37746.64583</v>
      </c>
      <c r="B833" s="1">
        <f>IFERROR(__xludf.DUMMYFUNCTION("""COMPUTED_VALUE"""),139.95)</f>
        <v>139.95</v>
      </c>
      <c r="C833" s="1">
        <f>IFERROR(__xludf.DUMMYFUNCTION("""COMPUTED_VALUE"""),140.0)</f>
        <v>140</v>
      </c>
      <c r="D833" s="1">
        <f>IFERROR(__xludf.DUMMYFUNCTION("""COMPUTED_VALUE"""),136.7)</f>
        <v>136.7</v>
      </c>
      <c r="E833" s="1">
        <f>IFERROR(__xludf.DUMMYFUNCTION("""COMPUTED_VALUE"""),137.6)</f>
        <v>137.6</v>
      </c>
      <c r="F833" s="1">
        <f>IFERROR(__xludf.DUMMYFUNCTION("""COMPUTED_VALUE"""),1340736.0)</f>
        <v>1340736</v>
      </c>
    </row>
    <row r="834">
      <c r="A834" s="2">
        <f>IFERROR(__xludf.DUMMYFUNCTION("""COMPUTED_VALUE"""),37747.645833333336)</f>
        <v>37747.64583</v>
      </c>
      <c r="B834" s="1">
        <f>IFERROR(__xludf.DUMMYFUNCTION("""COMPUTED_VALUE"""),137.3)</f>
        <v>137.3</v>
      </c>
      <c r="C834" s="1">
        <f>IFERROR(__xludf.DUMMYFUNCTION("""COMPUTED_VALUE"""),139.0)</f>
        <v>139</v>
      </c>
      <c r="D834" s="1">
        <f>IFERROR(__xludf.DUMMYFUNCTION("""COMPUTED_VALUE"""),136.65)</f>
        <v>136.65</v>
      </c>
      <c r="E834" s="1">
        <f>IFERROR(__xludf.DUMMYFUNCTION("""COMPUTED_VALUE"""),137.35)</f>
        <v>137.35</v>
      </c>
      <c r="F834" s="1">
        <f>IFERROR(__xludf.DUMMYFUNCTION("""COMPUTED_VALUE"""),1784864.0)</f>
        <v>1784864</v>
      </c>
    </row>
    <row r="835">
      <c r="A835" s="2">
        <f>IFERROR(__xludf.DUMMYFUNCTION("""COMPUTED_VALUE"""),37748.645833333336)</f>
        <v>37748.64583</v>
      </c>
      <c r="B835" s="1">
        <f>IFERROR(__xludf.DUMMYFUNCTION("""COMPUTED_VALUE"""),137.8)</f>
        <v>137.8</v>
      </c>
      <c r="C835" s="1">
        <f>IFERROR(__xludf.DUMMYFUNCTION("""COMPUTED_VALUE"""),140.85)</f>
        <v>140.85</v>
      </c>
      <c r="D835" s="1">
        <f>IFERROR(__xludf.DUMMYFUNCTION("""COMPUTED_VALUE"""),137.4)</f>
        <v>137.4</v>
      </c>
      <c r="E835" s="1">
        <f>IFERROR(__xludf.DUMMYFUNCTION("""COMPUTED_VALUE"""),138.1)</f>
        <v>138.1</v>
      </c>
      <c r="F835" s="1">
        <f>IFERROR(__xludf.DUMMYFUNCTION("""COMPUTED_VALUE"""),1774695.0)</f>
        <v>1774695</v>
      </c>
    </row>
    <row r="836">
      <c r="A836" s="2">
        <f>IFERROR(__xludf.DUMMYFUNCTION("""COMPUTED_VALUE"""),37749.645833333336)</f>
        <v>37749.64583</v>
      </c>
      <c r="B836" s="1">
        <f>IFERROR(__xludf.DUMMYFUNCTION("""COMPUTED_VALUE"""),138.0)</f>
        <v>138</v>
      </c>
      <c r="C836" s="1">
        <f>IFERROR(__xludf.DUMMYFUNCTION("""COMPUTED_VALUE"""),139.7)</f>
        <v>139.7</v>
      </c>
      <c r="D836" s="1">
        <f>IFERROR(__xludf.DUMMYFUNCTION("""COMPUTED_VALUE"""),137.4)</f>
        <v>137.4</v>
      </c>
      <c r="E836" s="1">
        <f>IFERROR(__xludf.DUMMYFUNCTION("""COMPUTED_VALUE"""),138.4)</f>
        <v>138.4</v>
      </c>
      <c r="F836" s="1">
        <f>IFERROR(__xludf.DUMMYFUNCTION("""COMPUTED_VALUE"""),1080043.0)</f>
        <v>1080043</v>
      </c>
    </row>
    <row r="837">
      <c r="A837" s="2">
        <f>IFERROR(__xludf.DUMMYFUNCTION("""COMPUTED_VALUE"""),37750.645833333336)</f>
        <v>37750.64583</v>
      </c>
      <c r="B837" s="1">
        <f>IFERROR(__xludf.DUMMYFUNCTION("""COMPUTED_VALUE"""),139.0)</f>
        <v>139</v>
      </c>
      <c r="C837" s="1">
        <f>IFERROR(__xludf.DUMMYFUNCTION("""COMPUTED_VALUE"""),139.45)</f>
        <v>139.45</v>
      </c>
      <c r="D837" s="1">
        <f>IFERROR(__xludf.DUMMYFUNCTION("""COMPUTED_VALUE"""),137.55)</f>
        <v>137.55</v>
      </c>
      <c r="E837" s="1">
        <f>IFERROR(__xludf.DUMMYFUNCTION("""COMPUTED_VALUE"""),137.9)</f>
        <v>137.9</v>
      </c>
      <c r="F837" s="1">
        <f>IFERROR(__xludf.DUMMYFUNCTION("""COMPUTED_VALUE"""),562237.0)</f>
        <v>562237</v>
      </c>
    </row>
    <row r="838">
      <c r="A838" s="2">
        <f>IFERROR(__xludf.DUMMYFUNCTION("""COMPUTED_VALUE"""),37753.645833333336)</f>
        <v>37753.64583</v>
      </c>
      <c r="B838" s="1">
        <f>IFERROR(__xludf.DUMMYFUNCTION("""COMPUTED_VALUE"""),138.0)</f>
        <v>138</v>
      </c>
      <c r="C838" s="1">
        <f>IFERROR(__xludf.DUMMYFUNCTION("""COMPUTED_VALUE"""),139.0)</f>
        <v>139</v>
      </c>
      <c r="D838" s="1">
        <f>IFERROR(__xludf.DUMMYFUNCTION("""COMPUTED_VALUE"""),137.5)</f>
        <v>137.5</v>
      </c>
      <c r="E838" s="1">
        <f>IFERROR(__xludf.DUMMYFUNCTION("""COMPUTED_VALUE"""),137.7)</f>
        <v>137.7</v>
      </c>
      <c r="F838" s="1">
        <f>IFERROR(__xludf.DUMMYFUNCTION("""COMPUTED_VALUE"""),757532.0)</f>
        <v>757532</v>
      </c>
    </row>
    <row r="839">
      <c r="A839" s="2">
        <f>IFERROR(__xludf.DUMMYFUNCTION("""COMPUTED_VALUE"""),37754.645833333336)</f>
        <v>37754.64583</v>
      </c>
      <c r="B839" s="1">
        <f>IFERROR(__xludf.DUMMYFUNCTION("""COMPUTED_VALUE"""),138.0)</f>
        <v>138</v>
      </c>
      <c r="C839" s="1">
        <f>IFERROR(__xludf.DUMMYFUNCTION("""COMPUTED_VALUE"""),141.0)</f>
        <v>141</v>
      </c>
      <c r="D839" s="1">
        <f>IFERROR(__xludf.DUMMYFUNCTION("""COMPUTED_VALUE"""),138.0)</f>
        <v>138</v>
      </c>
      <c r="E839" s="1">
        <f>IFERROR(__xludf.DUMMYFUNCTION("""COMPUTED_VALUE"""),140.6)</f>
        <v>140.6</v>
      </c>
      <c r="F839" s="1">
        <f>IFERROR(__xludf.DUMMYFUNCTION("""COMPUTED_VALUE"""),1149966.0)</f>
        <v>1149966</v>
      </c>
    </row>
    <row r="840">
      <c r="A840" s="2">
        <f>IFERROR(__xludf.DUMMYFUNCTION("""COMPUTED_VALUE"""),37755.645833333336)</f>
        <v>37755.64583</v>
      </c>
      <c r="B840" s="1">
        <f>IFERROR(__xludf.DUMMYFUNCTION("""COMPUTED_VALUE"""),141.45)</f>
        <v>141.45</v>
      </c>
      <c r="C840" s="1">
        <f>IFERROR(__xludf.DUMMYFUNCTION("""COMPUTED_VALUE"""),147.5)</f>
        <v>147.5</v>
      </c>
      <c r="D840" s="1">
        <f>IFERROR(__xludf.DUMMYFUNCTION("""COMPUTED_VALUE"""),141.0)</f>
        <v>141</v>
      </c>
      <c r="E840" s="1">
        <f>IFERROR(__xludf.DUMMYFUNCTION("""COMPUTED_VALUE"""),146.85)</f>
        <v>146.85</v>
      </c>
      <c r="F840" s="1">
        <f>IFERROR(__xludf.DUMMYFUNCTION("""COMPUTED_VALUE"""),2390779.0)</f>
        <v>2390779</v>
      </c>
    </row>
    <row r="841">
      <c r="A841" s="2">
        <f>IFERROR(__xludf.DUMMYFUNCTION("""COMPUTED_VALUE"""),37756.645833333336)</f>
        <v>37756.64583</v>
      </c>
      <c r="B841" s="1">
        <f>IFERROR(__xludf.DUMMYFUNCTION("""COMPUTED_VALUE"""),147.0)</f>
        <v>147</v>
      </c>
      <c r="C841" s="1">
        <f>IFERROR(__xludf.DUMMYFUNCTION("""COMPUTED_VALUE"""),148.25)</f>
        <v>148.25</v>
      </c>
      <c r="D841" s="1">
        <f>IFERROR(__xludf.DUMMYFUNCTION("""COMPUTED_VALUE"""),144.3)</f>
        <v>144.3</v>
      </c>
      <c r="E841" s="1">
        <f>IFERROR(__xludf.DUMMYFUNCTION("""COMPUTED_VALUE"""),145.25)</f>
        <v>145.25</v>
      </c>
      <c r="F841" s="1">
        <f>IFERROR(__xludf.DUMMYFUNCTION("""COMPUTED_VALUE"""),1183956.0)</f>
        <v>1183956</v>
      </c>
    </row>
    <row r="842">
      <c r="A842" s="2">
        <f>IFERROR(__xludf.DUMMYFUNCTION("""COMPUTED_VALUE"""),37757.645833333336)</f>
        <v>37757.64583</v>
      </c>
      <c r="B842" s="1">
        <f>IFERROR(__xludf.DUMMYFUNCTION("""COMPUTED_VALUE"""),146.2)</f>
        <v>146.2</v>
      </c>
      <c r="C842" s="1">
        <f>IFERROR(__xludf.DUMMYFUNCTION("""COMPUTED_VALUE"""),146.75)</f>
        <v>146.75</v>
      </c>
      <c r="D842" s="1">
        <f>IFERROR(__xludf.DUMMYFUNCTION("""COMPUTED_VALUE"""),144.05)</f>
        <v>144.05</v>
      </c>
      <c r="E842" s="1">
        <f>IFERROR(__xludf.DUMMYFUNCTION("""COMPUTED_VALUE"""),146.25)</f>
        <v>146.25</v>
      </c>
      <c r="F842" s="1">
        <f>IFERROR(__xludf.DUMMYFUNCTION("""COMPUTED_VALUE"""),1619325.0)</f>
        <v>1619325</v>
      </c>
    </row>
    <row r="843">
      <c r="A843" s="2">
        <f>IFERROR(__xludf.DUMMYFUNCTION("""COMPUTED_VALUE"""),37760.645833333336)</f>
        <v>37760.64583</v>
      </c>
      <c r="B843" s="1">
        <f>IFERROR(__xludf.DUMMYFUNCTION("""COMPUTED_VALUE"""),144.5)</f>
        <v>144.5</v>
      </c>
      <c r="C843" s="1">
        <f>IFERROR(__xludf.DUMMYFUNCTION("""COMPUTED_VALUE"""),149.8)</f>
        <v>149.8</v>
      </c>
      <c r="D843" s="1">
        <f>IFERROR(__xludf.DUMMYFUNCTION("""COMPUTED_VALUE"""),144.5)</f>
        <v>144.5</v>
      </c>
      <c r="E843" s="1">
        <f>IFERROR(__xludf.DUMMYFUNCTION("""COMPUTED_VALUE"""),148.2)</f>
        <v>148.2</v>
      </c>
      <c r="F843" s="1">
        <f>IFERROR(__xludf.DUMMYFUNCTION("""COMPUTED_VALUE"""),2224232.0)</f>
        <v>2224232</v>
      </c>
    </row>
    <row r="844">
      <c r="A844" s="2">
        <f>IFERROR(__xludf.DUMMYFUNCTION("""COMPUTED_VALUE"""),37761.645833333336)</f>
        <v>37761.64583</v>
      </c>
      <c r="B844" s="1">
        <f>IFERROR(__xludf.DUMMYFUNCTION("""COMPUTED_VALUE"""),148.45)</f>
        <v>148.45</v>
      </c>
      <c r="C844" s="1">
        <f>IFERROR(__xludf.DUMMYFUNCTION("""COMPUTED_VALUE"""),148.9)</f>
        <v>148.9</v>
      </c>
      <c r="D844" s="1">
        <f>IFERROR(__xludf.DUMMYFUNCTION("""COMPUTED_VALUE"""),145.8)</f>
        <v>145.8</v>
      </c>
      <c r="E844" s="1">
        <f>IFERROR(__xludf.DUMMYFUNCTION("""COMPUTED_VALUE"""),148.2)</f>
        <v>148.2</v>
      </c>
      <c r="F844" s="1">
        <f>IFERROR(__xludf.DUMMYFUNCTION("""COMPUTED_VALUE"""),934652.0)</f>
        <v>934652</v>
      </c>
    </row>
    <row r="845">
      <c r="A845" s="2">
        <f>IFERROR(__xludf.DUMMYFUNCTION("""COMPUTED_VALUE"""),37762.645833333336)</f>
        <v>37762.64583</v>
      </c>
      <c r="B845" s="1">
        <f>IFERROR(__xludf.DUMMYFUNCTION("""COMPUTED_VALUE"""),149.0)</f>
        <v>149</v>
      </c>
      <c r="C845" s="1">
        <f>IFERROR(__xludf.DUMMYFUNCTION("""COMPUTED_VALUE"""),151.45)</f>
        <v>151.45</v>
      </c>
      <c r="D845" s="1">
        <f>IFERROR(__xludf.DUMMYFUNCTION("""COMPUTED_VALUE"""),147.15)</f>
        <v>147.15</v>
      </c>
      <c r="E845" s="1">
        <f>IFERROR(__xludf.DUMMYFUNCTION("""COMPUTED_VALUE"""),148.05)</f>
        <v>148.05</v>
      </c>
      <c r="F845" s="1">
        <f>IFERROR(__xludf.DUMMYFUNCTION("""COMPUTED_VALUE"""),1708532.0)</f>
        <v>1708532</v>
      </c>
    </row>
    <row r="846">
      <c r="A846" s="2">
        <f>IFERROR(__xludf.DUMMYFUNCTION("""COMPUTED_VALUE"""),37763.645833333336)</f>
        <v>37763.64583</v>
      </c>
      <c r="B846" s="1">
        <f>IFERROR(__xludf.DUMMYFUNCTION("""COMPUTED_VALUE"""),147.5)</f>
        <v>147.5</v>
      </c>
      <c r="C846" s="1">
        <f>IFERROR(__xludf.DUMMYFUNCTION("""COMPUTED_VALUE"""),148.05)</f>
        <v>148.05</v>
      </c>
      <c r="D846" s="1">
        <f>IFERROR(__xludf.DUMMYFUNCTION("""COMPUTED_VALUE"""),146.4)</f>
        <v>146.4</v>
      </c>
      <c r="E846" s="1">
        <f>IFERROR(__xludf.DUMMYFUNCTION("""COMPUTED_VALUE"""),146.95)</f>
        <v>146.95</v>
      </c>
      <c r="F846" s="1">
        <f>IFERROR(__xludf.DUMMYFUNCTION("""COMPUTED_VALUE"""),801115.0)</f>
        <v>801115</v>
      </c>
    </row>
    <row r="847">
      <c r="A847" s="2">
        <f>IFERROR(__xludf.DUMMYFUNCTION("""COMPUTED_VALUE"""),37764.645833333336)</f>
        <v>37764.64583</v>
      </c>
      <c r="B847" s="1">
        <f>IFERROR(__xludf.DUMMYFUNCTION("""COMPUTED_VALUE"""),147.0)</f>
        <v>147</v>
      </c>
      <c r="C847" s="1">
        <f>IFERROR(__xludf.DUMMYFUNCTION("""COMPUTED_VALUE"""),151.0)</f>
        <v>151</v>
      </c>
      <c r="D847" s="1">
        <f>IFERROR(__xludf.DUMMYFUNCTION("""COMPUTED_VALUE"""),146.7)</f>
        <v>146.7</v>
      </c>
      <c r="E847" s="1">
        <f>IFERROR(__xludf.DUMMYFUNCTION("""COMPUTED_VALUE"""),150.6)</f>
        <v>150.6</v>
      </c>
      <c r="F847" s="1">
        <f>IFERROR(__xludf.DUMMYFUNCTION("""COMPUTED_VALUE"""),1122699.0)</f>
        <v>1122699</v>
      </c>
    </row>
    <row r="848">
      <c r="A848" s="2">
        <f>IFERROR(__xludf.DUMMYFUNCTION("""COMPUTED_VALUE"""),37767.645833333336)</f>
        <v>37767.64583</v>
      </c>
      <c r="B848" s="1">
        <f>IFERROR(__xludf.DUMMYFUNCTION("""COMPUTED_VALUE"""),153.4)</f>
        <v>153.4</v>
      </c>
      <c r="C848" s="1">
        <f>IFERROR(__xludf.DUMMYFUNCTION("""COMPUTED_VALUE"""),153.95)</f>
        <v>153.95</v>
      </c>
      <c r="D848" s="1">
        <f>IFERROR(__xludf.DUMMYFUNCTION("""COMPUTED_VALUE"""),151.05)</f>
        <v>151.05</v>
      </c>
      <c r="E848" s="1">
        <f>IFERROR(__xludf.DUMMYFUNCTION("""COMPUTED_VALUE"""),153.3)</f>
        <v>153.3</v>
      </c>
      <c r="F848" s="1">
        <f>IFERROR(__xludf.DUMMYFUNCTION("""COMPUTED_VALUE"""),942338.0)</f>
        <v>942338</v>
      </c>
    </row>
    <row r="849">
      <c r="A849" s="2">
        <f>IFERROR(__xludf.DUMMYFUNCTION("""COMPUTED_VALUE"""),37768.645833333336)</f>
        <v>37768.64583</v>
      </c>
      <c r="B849" s="1">
        <f>IFERROR(__xludf.DUMMYFUNCTION("""COMPUTED_VALUE"""),154.5)</f>
        <v>154.5</v>
      </c>
      <c r="C849" s="1">
        <f>IFERROR(__xludf.DUMMYFUNCTION("""COMPUTED_VALUE"""),154.75)</f>
        <v>154.75</v>
      </c>
      <c r="D849" s="1">
        <f>IFERROR(__xludf.DUMMYFUNCTION("""COMPUTED_VALUE"""),152.1)</f>
        <v>152.1</v>
      </c>
      <c r="E849" s="1">
        <f>IFERROR(__xludf.DUMMYFUNCTION("""COMPUTED_VALUE"""),153.2)</f>
        <v>153.2</v>
      </c>
      <c r="F849" s="1">
        <f>IFERROR(__xludf.DUMMYFUNCTION("""COMPUTED_VALUE"""),880723.0)</f>
        <v>880723</v>
      </c>
    </row>
    <row r="850">
      <c r="A850" s="2">
        <f>IFERROR(__xludf.DUMMYFUNCTION("""COMPUTED_VALUE"""),37769.645833333336)</f>
        <v>37769.64583</v>
      </c>
      <c r="B850" s="1">
        <f>IFERROR(__xludf.DUMMYFUNCTION("""COMPUTED_VALUE"""),153.45)</f>
        <v>153.45</v>
      </c>
      <c r="C850" s="1">
        <f>IFERROR(__xludf.DUMMYFUNCTION("""COMPUTED_VALUE"""),156.4)</f>
        <v>156.4</v>
      </c>
      <c r="D850" s="1">
        <f>IFERROR(__xludf.DUMMYFUNCTION("""COMPUTED_VALUE"""),151.2)</f>
        <v>151.2</v>
      </c>
      <c r="E850" s="1">
        <f>IFERROR(__xludf.DUMMYFUNCTION("""COMPUTED_VALUE"""),155.95)</f>
        <v>155.95</v>
      </c>
      <c r="F850" s="1">
        <f>IFERROR(__xludf.DUMMYFUNCTION("""COMPUTED_VALUE"""),848202.0)</f>
        <v>848202</v>
      </c>
    </row>
    <row r="851">
      <c r="A851" s="2">
        <f>IFERROR(__xludf.DUMMYFUNCTION("""COMPUTED_VALUE"""),37770.645833333336)</f>
        <v>37770.64583</v>
      </c>
      <c r="B851" s="1">
        <f>IFERROR(__xludf.DUMMYFUNCTION("""COMPUTED_VALUE"""),156.0)</f>
        <v>156</v>
      </c>
      <c r="C851" s="1">
        <f>IFERROR(__xludf.DUMMYFUNCTION("""COMPUTED_VALUE"""),159.55)</f>
        <v>159.55</v>
      </c>
      <c r="D851" s="1">
        <f>IFERROR(__xludf.DUMMYFUNCTION("""COMPUTED_VALUE"""),154.4)</f>
        <v>154.4</v>
      </c>
      <c r="E851" s="1">
        <f>IFERROR(__xludf.DUMMYFUNCTION("""COMPUTED_VALUE"""),157.9)</f>
        <v>157.9</v>
      </c>
      <c r="F851" s="1">
        <f>IFERROR(__xludf.DUMMYFUNCTION("""COMPUTED_VALUE"""),1366081.0)</f>
        <v>1366081</v>
      </c>
    </row>
    <row r="852">
      <c r="A852" s="2">
        <f>IFERROR(__xludf.DUMMYFUNCTION("""COMPUTED_VALUE"""),37771.645833333336)</f>
        <v>37771.64583</v>
      </c>
      <c r="B852" s="1">
        <f>IFERROR(__xludf.DUMMYFUNCTION("""COMPUTED_VALUE"""),154.0)</f>
        <v>154</v>
      </c>
      <c r="C852" s="1">
        <f>IFERROR(__xludf.DUMMYFUNCTION("""COMPUTED_VALUE"""),158.0)</f>
        <v>158</v>
      </c>
      <c r="D852" s="1">
        <f>IFERROR(__xludf.DUMMYFUNCTION("""COMPUTED_VALUE"""),145.85)</f>
        <v>145.85</v>
      </c>
      <c r="E852" s="1">
        <f>IFERROR(__xludf.DUMMYFUNCTION("""COMPUTED_VALUE"""),157.4)</f>
        <v>157.4</v>
      </c>
      <c r="F852" s="1">
        <f>IFERROR(__xludf.DUMMYFUNCTION("""COMPUTED_VALUE"""),1213142.0)</f>
        <v>1213142</v>
      </c>
    </row>
    <row r="853">
      <c r="A853" s="2">
        <f>IFERROR(__xludf.DUMMYFUNCTION("""COMPUTED_VALUE"""),37774.645833333336)</f>
        <v>37774.64583</v>
      </c>
      <c r="B853" s="1">
        <f>IFERROR(__xludf.DUMMYFUNCTION("""COMPUTED_VALUE"""),155.8)</f>
        <v>155.8</v>
      </c>
      <c r="C853" s="1">
        <f>IFERROR(__xludf.DUMMYFUNCTION("""COMPUTED_VALUE"""),159.25)</f>
        <v>159.25</v>
      </c>
      <c r="D853" s="1">
        <f>IFERROR(__xludf.DUMMYFUNCTION("""COMPUTED_VALUE"""),155.8)</f>
        <v>155.8</v>
      </c>
      <c r="E853" s="1">
        <f>IFERROR(__xludf.DUMMYFUNCTION("""COMPUTED_VALUE"""),158.45)</f>
        <v>158.45</v>
      </c>
      <c r="F853" s="1">
        <f>IFERROR(__xludf.DUMMYFUNCTION("""COMPUTED_VALUE"""),1176282.0)</f>
        <v>1176282</v>
      </c>
    </row>
    <row r="854">
      <c r="A854" s="2">
        <f>IFERROR(__xludf.DUMMYFUNCTION("""COMPUTED_VALUE"""),37775.645833333336)</f>
        <v>37775.64583</v>
      </c>
      <c r="B854" s="1">
        <f>IFERROR(__xludf.DUMMYFUNCTION("""COMPUTED_VALUE"""),157.5)</f>
        <v>157.5</v>
      </c>
      <c r="C854" s="1">
        <f>IFERROR(__xludf.DUMMYFUNCTION("""COMPUTED_VALUE"""),158.0)</f>
        <v>158</v>
      </c>
      <c r="D854" s="1">
        <f>IFERROR(__xludf.DUMMYFUNCTION("""COMPUTED_VALUE"""),155.0)</f>
        <v>155</v>
      </c>
      <c r="E854" s="1">
        <f>IFERROR(__xludf.DUMMYFUNCTION("""COMPUTED_VALUE"""),156.6)</f>
        <v>156.6</v>
      </c>
      <c r="F854" s="1">
        <f>IFERROR(__xludf.DUMMYFUNCTION("""COMPUTED_VALUE"""),1480655.0)</f>
        <v>1480655</v>
      </c>
    </row>
    <row r="855">
      <c r="A855" s="2">
        <f>IFERROR(__xludf.DUMMYFUNCTION("""COMPUTED_VALUE"""),37776.645833333336)</f>
        <v>37776.64583</v>
      </c>
      <c r="B855" s="1">
        <f>IFERROR(__xludf.DUMMYFUNCTION("""COMPUTED_VALUE"""),155.5)</f>
        <v>155.5</v>
      </c>
      <c r="C855" s="1">
        <f>IFERROR(__xludf.DUMMYFUNCTION("""COMPUTED_VALUE"""),158.0)</f>
        <v>158</v>
      </c>
      <c r="D855" s="1">
        <f>IFERROR(__xludf.DUMMYFUNCTION("""COMPUTED_VALUE"""),154.25)</f>
        <v>154.25</v>
      </c>
      <c r="E855" s="1">
        <f>IFERROR(__xludf.DUMMYFUNCTION("""COMPUTED_VALUE"""),157.1)</f>
        <v>157.1</v>
      </c>
      <c r="F855" s="1">
        <f>IFERROR(__xludf.DUMMYFUNCTION("""COMPUTED_VALUE"""),657616.0)</f>
        <v>657616</v>
      </c>
    </row>
    <row r="856">
      <c r="A856" s="2">
        <f>IFERROR(__xludf.DUMMYFUNCTION("""COMPUTED_VALUE"""),37777.645833333336)</f>
        <v>37777.64583</v>
      </c>
      <c r="B856" s="1">
        <f>IFERROR(__xludf.DUMMYFUNCTION("""COMPUTED_VALUE"""),156.05)</f>
        <v>156.05</v>
      </c>
      <c r="C856" s="1">
        <f>IFERROR(__xludf.DUMMYFUNCTION("""COMPUTED_VALUE"""),161.7)</f>
        <v>161.7</v>
      </c>
      <c r="D856" s="1">
        <f>IFERROR(__xludf.DUMMYFUNCTION("""COMPUTED_VALUE"""),156.05)</f>
        <v>156.05</v>
      </c>
      <c r="E856" s="1">
        <f>IFERROR(__xludf.DUMMYFUNCTION("""COMPUTED_VALUE"""),160.7)</f>
        <v>160.7</v>
      </c>
      <c r="F856" s="1">
        <f>IFERROR(__xludf.DUMMYFUNCTION("""COMPUTED_VALUE"""),1821605.0)</f>
        <v>1821605</v>
      </c>
    </row>
    <row r="857">
      <c r="A857" s="2">
        <f>IFERROR(__xludf.DUMMYFUNCTION("""COMPUTED_VALUE"""),37778.645833333336)</f>
        <v>37778.64583</v>
      </c>
      <c r="B857" s="1">
        <f>IFERROR(__xludf.DUMMYFUNCTION("""COMPUTED_VALUE"""),160.95)</f>
        <v>160.95</v>
      </c>
      <c r="C857" s="1">
        <f>IFERROR(__xludf.DUMMYFUNCTION("""COMPUTED_VALUE"""),163.0)</f>
        <v>163</v>
      </c>
      <c r="D857" s="1">
        <f>IFERROR(__xludf.DUMMYFUNCTION("""COMPUTED_VALUE"""),159.5)</f>
        <v>159.5</v>
      </c>
      <c r="E857" s="1">
        <f>IFERROR(__xludf.DUMMYFUNCTION("""COMPUTED_VALUE"""),162.3)</f>
        <v>162.3</v>
      </c>
      <c r="F857" s="1">
        <f>IFERROR(__xludf.DUMMYFUNCTION("""COMPUTED_VALUE"""),1183519.0)</f>
        <v>1183519</v>
      </c>
    </row>
    <row r="858">
      <c r="A858" s="2">
        <f>IFERROR(__xludf.DUMMYFUNCTION("""COMPUTED_VALUE"""),37781.645833333336)</f>
        <v>37781.64583</v>
      </c>
      <c r="B858" s="1">
        <f>IFERROR(__xludf.DUMMYFUNCTION("""COMPUTED_VALUE"""),163.0)</f>
        <v>163</v>
      </c>
      <c r="C858" s="1">
        <f>IFERROR(__xludf.DUMMYFUNCTION("""COMPUTED_VALUE"""),176.0)</f>
        <v>176</v>
      </c>
      <c r="D858" s="1">
        <f>IFERROR(__xludf.DUMMYFUNCTION("""COMPUTED_VALUE"""),162.0)</f>
        <v>162</v>
      </c>
      <c r="E858" s="1">
        <f>IFERROR(__xludf.DUMMYFUNCTION("""COMPUTED_VALUE"""),169.7)</f>
        <v>169.7</v>
      </c>
      <c r="F858" s="1">
        <f>IFERROR(__xludf.DUMMYFUNCTION("""COMPUTED_VALUE"""),1761083.0)</f>
        <v>1761083</v>
      </c>
    </row>
    <row r="859">
      <c r="A859" s="2">
        <f>IFERROR(__xludf.DUMMYFUNCTION("""COMPUTED_VALUE"""),37782.645833333336)</f>
        <v>37782.64583</v>
      </c>
      <c r="B859" s="1">
        <f>IFERROR(__xludf.DUMMYFUNCTION("""COMPUTED_VALUE"""),169.25)</f>
        <v>169.25</v>
      </c>
      <c r="C859" s="1">
        <f>IFERROR(__xludf.DUMMYFUNCTION("""COMPUTED_VALUE"""),169.95)</f>
        <v>169.95</v>
      </c>
      <c r="D859" s="1">
        <f>IFERROR(__xludf.DUMMYFUNCTION("""COMPUTED_VALUE"""),166.7)</f>
        <v>166.7</v>
      </c>
      <c r="E859" s="1">
        <f>IFERROR(__xludf.DUMMYFUNCTION("""COMPUTED_VALUE"""),169.0)</f>
        <v>169</v>
      </c>
      <c r="F859" s="1">
        <f>IFERROR(__xludf.DUMMYFUNCTION("""COMPUTED_VALUE"""),2674696.0)</f>
        <v>2674696</v>
      </c>
    </row>
    <row r="860">
      <c r="A860" s="2">
        <f>IFERROR(__xludf.DUMMYFUNCTION("""COMPUTED_VALUE"""),37783.645833333336)</f>
        <v>37783.64583</v>
      </c>
      <c r="B860" s="1">
        <f>IFERROR(__xludf.DUMMYFUNCTION("""COMPUTED_VALUE"""),169.5)</f>
        <v>169.5</v>
      </c>
      <c r="C860" s="1">
        <f>IFERROR(__xludf.DUMMYFUNCTION("""COMPUTED_VALUE"""),171.25)</f>
        <v>171.25</v>
      </c>
      <c r="D860" s="1">
        <f>IFERROR(__xludf.DUMMYFUNCTION("""COMPUTED_VALUE"""),168.15)</f>
        <v>168.15</v>
      </c>
      <c r="E860" s="1">
        <f>IFERROR(__xludf.DUMMYFUNCTION("""COMPUTED_VALUE"""),169.9)</f>
        <v>169.9</v>
      </c>
      <c r="F860" s="1">
        <f>IFERROR(__xludf.DUMMYFUNCTION("""COMPUTED_VALUE"""),2092569.0)</f>
        <v>2092569</v>
      </c>
    </row>
    <row r="861">
      <c r="A861" s="2">
        <f>IFERROR(__xludf.DUMMYFUNCTION("""COMPUTED_VALUE"""),37784.645833333336)</f>
        <v>37784.64583</v>
      </c>
      <c r="B861" s="1">
        <f>IFERROR(__xludf.DUMMYFUNCTION("""COMPUTED_VALUE"""),168.0)</f>
        <v>168</v>
      </c>
      <c r="C861" s="1">
        <f>IFERROR(__xludf.DUMMYFUNCTION("""COMPUTED_VALUE"""),171.4)</f>
        <v>171.4</v>
      </c>
      <c r="D861" s="1">
        <f>IFERROR(__xludf.DUMMYFUNCTION("""COMPUTED_VALUE"""),168.0)</f>
        <v>168</v>
      </c>
      <c r="E861" s="1">
        <f>IFERROR(__xludf.DUMMYFUNCTION("""COMPUTED_VALUE"""),170.45)</f>
        <v>170.45</v>
      </c>
      <c r="F861" s="1">
        <f>IFERROR(__xludf.DUMMYFUNCTION("""COMPUTED_VALUE"""),631490.0)</f>
        <v>631490</v>
      </c>
    </row>
    <row r="862">
      <c r="A862" s="2">
        <f>IFERROR(__xludf.DUMMYFUNCTION("""COMPUTED_VALUE"""),37785.645833333336)</f>
        <v>37785.64583</v>
      </c>
      <c r="B862" s="1">
        <f>IFERROR(__xludf.DUMMYFUNCTION("""COMPUTED_VALUE"""),170.0)</f>
        <v>170</v>
      </c>
      <c r="C862" s="1">
        <f>IFERROR(__xludf.DUMMYFUNCTION("""COMPUTED_VALUE"""),171.0)</f>
        <v>171</v>
      </c>
      <c r="D862" s="1">
        <f>IFERROR(__xludf.DUMMYFUNCTION("""COMPUTED_VALUE"""),168.6)</f>
        <v>168.6</v>
      </c>
      <c r="E862" s="1">
        <f>IFERROR(__xludf.DUMMYFUNCTION("""COMPUTED_VALUE"""),170.3)</f>
        <v>170.3</v>
      </c>
      <c r="F862" s="1">
        <f>IFERROR(__xludf.DUMMYFUNCTION("""COMPUTED_VALUE"""),1711654.0)</f>
        <v>1711654</v>
      </c>
    </row>
    <row r="863">
      <c r="A863" s="2">
        <f>IFERROR(__xludf.DUMMYFUNCTION("""COMPUTED_VALUE"""),37788.645833333336)</f>
        <v>37788.64583</v>
      </c>
      <c r="B863" s="1">
        <f>IFERROR(__xludf.DUMMYFUNCTION("""COMPUTED_VALUE"""),171.0)</f>
        <v>171</v>
      </c>
      <c r="C863" s="1">
        <f>IFERROR(__xludf.DUMMYFUNCTION("""COMPUTED_VALUE"""),172.5)</f>
        <v>172.5</v>
      </c>
      <c r="D863" s="1">
        <f>IFERROR(__xludf.DUMMYFUNCTION("""COMPUTED_VALUE"""),163.0)</f>
        <v>163</v>
      </c>
      <c r="E863" s="1">
        <f>IFERROR(__xludf.DUMMYFUNCTION("""COMPUTED_VALUE"""),166.45)</f>
        <v>166.45</v>
      </c>
      <c r="F863" s="1">
        <f>IFERROR(__xludf.DUMMYFUNCTION("""COMPUTED_VALUE"""),2416511.0)</f>
        <v>2416511</v>
      </c>
    </row>
    <row r="864">
      <c r="A864" s="2">
        <f>IFERROR(__xludf.DUMMYFUNCTION("""COMPUTED_VALUE"""),37789.645833333336)</f>
        <v>37789.64583</v>
      </c>
      <c r="B864" s="1">
        <f>IFERROR(__xludf.DUMMYFUNCTION("""COMPUTED_VALUE"""),168.0)</f>
        <v>168</v>
      </c>
      <c r="C864" s="1">
        <f>IFERROR(__xludf.DUMMYFUNCTION("""COMPUTED_VALUE"""),170.45)</f>
        <v>170.45</v>
      </c>
      <c r="D864" s="1">
        <f>IFERROR(__xludf.DUMMYFUNCTION("""COMPUTED_VALUE"""),166.5)</f>
        <v>166.5</v>
      </c>
      <c r="E864" s="1">
        <f>IFERROR(__xludf.DUMMYFUNCTION("""COMPUTED_VALUE"""),169.9)</f>
        <v>169.9</v>
      </c>
      <c r="F864" s="1">
        <f>IFERROR(__xludf.DUMMYFUNCTION("""COMPUTED_VALUE"""),2201740.0)</f>
        <v>2201740</v>
      </c>
    </row>
    <row r="865">
      <c r="A865" s="2">
        <f>IFERROR(__xludf.DUMMYFUNCTION("""COMPUTED_VALUE"""),37790.645833333336)</f>
        <v>37790.64583</v>
      </c>
      <c r="B865" s="1">
        <f>IFERROR(__xludf.DUMMYFUNCTION("""COMPUTED_VALUE"""),167.2)</f>
        <v>167.2</v>
      </c>
      <c r="C865" s="1">
        <f>IFERROR(__xludf.DUMMYFUNCTION("""COMPUTED_VALUE"""),171.0)</f>
        <v>171</v>
      </c>
      <c r="D865" s="1">
        <f>IFERROR(__xludf.DUMMYFUNCTION("""COMPUTED_VALUE"""),167.2)</f>
        <v>167.2</v>
      </c>
      <c r="E865" s="1">
        <f>IFERROR(__xludf.DUMMYFUNCTION("""COMPUTED_VALUE"""),170.0)</f>
        <v>170</v>
      </c>
      <c r="F865" s="1">
        <f>IFERROR(__xludf.DUMMYFUNCTION("""COMPUTED_VALUE"""),1047673.0)</f>
        <v>1047673</v>
      </c>
    </row>
    <row r="866">
      <c r="A866" s="2">
        <f>IFERROR(__xludf.DUMMYFUNCTION("""COMPUTED_VALUE"""),37791.645833333336)</f>
        <v>37791.64583</v>
      </c>
      <c r="B866" s="1">
        <f>IFERROR(__xludf.DUMMYFUNCTION("""COMPUTED_VALUE"""),169.5)</f>
        <v>169.5</v>
      </c>
      <c r="C866" s="1">
        <f>IFERROR(__xludf.DUMMYFUNCTION("""COMPUTED_VALUE"""),170.8)</f>
        <v>170.8</v>
      </c>
      <c r="D866" s="1">
        <f>IFERROR(__xludf.DUMMYFUNCTION("""COMPUTED_VALUE"""),168.35)</f>
        <v>168.35</v>
      </c>
      <c r="E866" s="1">
        <f>IFERROR(__xludf.DUMMYFUNCTION("""COMPUTED_VALUE"""),170.0)</f>
        <v>170</v>
      </c>
      <c r="F866" s="1">
        <f>IFERROR(__xludf.DUMMYFUNCTION("""COMPUTED_VALUE"""),1680972.0)</f>
        <v>1680972</v>
      </c>
    </row>
    <row r="867">
      <c r="A867" s="2">
        <f>IFERROR(__xludf.DUMMYFUNCTION("""COMPUTED_VALUE"""),37792.645833333336)</f>
        <v>37792.64583</v>
      </c>
      <c r="B867" s="1">
        <f>IFERROR(__xludf.DUMMYFUNCTION("""COMPUTED_VALUE"""),163.0)</f>
        <v>163</v>
      </c>
      <c r="C867" s="1">
        <f>IFERROR(__xludf.DUMMYFUNCTION("""COMPUTED_VALUE"""),171.9)</f>
        <v>171.9</v>
      </c>
      <c r="D867" s="1">
        <f>IFERROR(__xludf.DUMMYFUNCTION("""COMPUTED_VALUE"""),160.8)</f>
        <v>160.8</v>
      </c>
      <c r="E867" s="1">
        <f>IFERROR(__xludf.DUMMYFUNCTION("""COMPUTED_VALUE"""),171.1)</f>
        <v>171.1</v>
      </c>
      <c r="F867" s="1">
        <f>IFERROR(__xludf.DUMMYFUNCTION("""COMPUTED_VALUE"""),2937391.0)</f>
        <v>2937391</v>
      </c>
    </row>
    <row r="868">
      <c r="A868" s="2">
        <f>IFERROR(__xludf.DUMMYFUNCTION("""COMPUTED_VALUE"""),37795.645833333336)</f>
        <v>37795.64583</v>
      </c>
      <c r="B868" s="1">
        <f>IFERROR(__xludf.DUMMYFUNCTION("""COMPUTED_VALUE"""),170.0)</f>
        <v>170</v>
      </c>
      <c r="C868" s="1">
        <f>IFERROR(__xludf.DUMMYFUNCTION("""COMPUTED_VALUE"""),171.9)</f>
        <v>171.9</v>
      </c>
      <c r="D868" s="1">
        <f>IFERROR(__xludf.DUMMYFUNCTION("""COMPUTED_VALUE"""),168.05)</f>
        <v>168.05</v>
      </c>
      <c r="E868" s="1">
        <f>IFERROR(__xludf.DUMMYFUNCTION("""COMPUTED_VALUE"""),170.4)</f>
        <v>170.4</v>
      </c>
      <c r="F868" s="1">
        <f>IFERROR(__xludf.DUMMYFUNCTION("""COMPUTED_VALUE"""),570895.0)</f>
        <v>570895</v>
      </c>
    </row>
    <row r="869">
      <c r="A869" s="2">
        <f>IFERROR(__xludf.DUMMYFUNCTION("""COMPUTED_VALUE"""),37796.645833333336)</f>
        <v>37796.64583</v>
      </c>
      <c r="B869" s="1">
        <f>IFERROR(__xludf.DUMMYFUNCTION("""COMPUTED_VALUE"""),160.0)</f>
        <v>160</v>
      </c>
      <c r="C869" s="1">
        <f>IFERROR(__xludf.DUMMYFUNCTION("""COMPUTED_VALUE"""),174.2)</f>
        <v>174.2</v>
      </c>
      <c r="D869" s="1">
        <f>IFERROR(__xludf.DUMMYFUNCTION("""COMPUTED_VALUE"""),160.0)</f>
        <v>160</v>
      </c>
      <c r="E869" s="1">
        <f>IFERROR(__xludf.DUMMYFUNCTION("""COMPUTED_VALUE"""),173.2)</f>
        <v>173.2</v>
      </c>
      <c r="F869" s="1">
        <f>IFERROR(__xludf.DUMMYFUNCTION("""COMPUTED_VALUE"""),2129929.0)</f>
        <v>2129929</v>
      </c>
    </row>
    <row r="870">
      <c r="A870" s="2">
        <f>IFERROR(__xludf.DUMMYFUNCTION("""COMPUTED_VALUE"""),37797.645833333336)</f>
        <v>37797.64583</v>
      </c>
      <c r="B870" s="1">
        <f>IFERROR(__xludf.DUMMYFUNCTION("""COMPUTED_VALUE"""),170.5)</f>
        <v>170.5</v>
      </c>
      <c r="C870" s="1">
        <f>IFERROR(__xludf.DUMMYFUNCTION("""COMPUTED_VALUE"""),176.75)</f>
        <v>176.75</v>
      </c>
      <c r="D870" s="1">
        <f>IFERROR(__xludf.DUMMYFUNCTION("""COMPUTED_VALUE"""),170.5)</f>
        <v>170.5</v>
      </c>
      <c r="E870" s="1">
        <f>IFERROR(__xludf.DUMMYFUNCTION("""COMPUTED_VALUE"""),176.0)</f>
        <v>176</v>
      </c>
      <c r="F870" s="1">
        <f>IFERROR(__xludf.DUMMYFUNCTION("""COMPUTED_VALUE"""),1896614.0)</f>
        <v>1896614</v>
      </c>
    </row>
    <row r="871">
      <c r="A871" s="2">
        <f>IFERROR(__xludf.DUMMYFUNCTION("""COMPUTED_VALUE"""),37798.645833333336)</f>
        <v>37798.64583</v>
      </c>
      <c r="B871" s="1">
        <f>IFERROR(__xludf.DUMMYFUNCTION("""COMPUTED_VALUE"""),177.0)</f>
        <v>177</v>
      </c>
      <c r="C871" s="1">
        <f>IFERROR(__xludf.DUMMYFUNCTION("""COMPUTED_VALUE"""),181.6)</f>
        <v>181.6</v>
      </c>
      <c r="D871" s="1">
        <f>IFERROR(__xludf.DUMMYFUNCTION("""COMPUTED_VALUE"""),175.0)</f>
        <v>175</v>
      </c>
      <c r="E871" s="1">
        <f>IFERROR(__xludf.DUMMYFUNCTION("""COMPUTED_VALUE"""),178.3)</f>
        <v>178.3</v>
      </c>
      <c r="F871" s="1">
        <f>IFERROR(__xludf.DUMMYFUNCTION("""COMPUTED_VALUE"""),4096551.0)</f>
        <v>4096551</v>
      </c>
    </row>
    <row r="872">
      <c r="A872" s="2">
        <f>IFERROR(__xludf.DUMMYFUNCTION("""COMPUTED_VALUE"""),37799.645833333336)</f>
        <v>37799.64583</v>
      </c>
      <c r="B872" s="1">
        <f>IFERROR(__xludf.DUMMYFUNCTION("""COMPUTED_VALUE"""),177.15)</f>
        <v>177.15</v>
      </c>
      <c r="C872" s="1">
        <f>IFERROR(__xludf.DUMMYFUNCTION("""COMPUTED_VALUE"""),178.3)</f>
        <v>178.3</v>
      </c>
      <c r="D872" s="1">
        <f>IFERROR(__xludf.DUMMYFUNCTION("""COMPUTED_VALUE"""),173.5)</f>
        <v>173.5</v>
      </c>
      <c r="E872" s="1">
        <f>IFERROR(__xludf.DUMMYFUNCTION("""COMPUTED_VALUE"""),175.0)</f>
        <v>175</v>
      </c>
      <c r="F872" s="1">
        <f>IFERROR(__xludf.DUMMYFUNCTION("""COMPUTED_VALUE"""),1818263.0)</f>
        <v>1818263</v>
      </c>
    </row>
    <row r="873">
      <c r="A873" s="2">
        <f>IFERROR(__xludf.DUMMYFUNCTION("""COMPUTED_VALUE"""),37802.645833333336)</f>
        <v>37802.64583</v>
      </c>
      <c r="B873" s="1">
        <f>IFERROR(__xludf.DUMMYFUNCTION("""COMPUTED_VALUE"""),175.6)</f>
        <v>175.6</v>
      </c>
      <c r="C873" s="1">
        <f>IFERROR(__xludf.DUMMYFUNCTION("""COMPUTED_VALUE"""),179.0)</f>
        <v>179</v>
      </c>
      <c r="D873" s="1">
        <f>IFERROR(__xludf.DUMMYFUNCTION("""COMPUTED_VALUE"""),174.1)</f>
        <v>174.1</v>
      </c>
      <c r="E873" s="1">
        <f>IFERROR(__xludf.DUMMYFUNCTION("""COMPUTED_VALUE"""),177.9)</f>
        <v>177.9</v>
      </c>
      <c r="F873" s="1">
        <f>IFERROR(__xludf.DUMMYFUNCTION("""COMPUTED_VALUE"""),1547700.0)</f>
        <v>1547700</v>
      </c>
    </row>
    <row r="874">
      <c r="A874" s="2">
        <f>IFERROR(__xludf.DUMMYFUNCTION("""COMPUTED_VALUE"""),37803.645833333336)</f>
        <v>37803.64583</v>
      </c>
      <c r="B874" s="1">
        <f>IFERROR(__xludf.DUMMYFUNCTION("""COMPUTED_VALUE"""),177.95)</f>
        <v>177.95</v>
      </c>
      <c r="C874" s="1">
        <f>IFERROR(__xludf.DUMMYFUNCTION("""COMPUTED_VALUE"""),178.85)</f>
        <v>178.85</v>
      </c>
      <c r="D874" s="1">
        <f>IFERROR(__xludf.DUMMYFUNCTION("""COMPUTED_VALUE"""),175.75)</f>
        <v>175.75</v>
      </c>
      <c r="E874" s="1">
        <f>IFERROR(__xludf.DUMMYFUNCTION("""COMPUTED_VALUE"""),177.85)</f>
        <v>177.85</v>
      </c>
      <c r="F874" s="1">
        <f>IFERROR(__xludf.DUMMYFUNCTION("""COMPUTED_VALUE"""),1933485.0)</f>
        <v>1933485</v>
      </c>
    </row>
    <row r="875">
      <c r="A875" s="2">
        <f>IFERROR(__xludf.DUMMYFUNCTION("""COMPUTED_VALUE"""),37804.645833333336)</f>
        <v>37804.64583</v>
      </c>
      <c r="B875" s="1">
        <f>IFERROR(__xludf.DUMMYFUNCTION("""COMPUTED_VALUE"""),178.25)</f>
        <v>178.25</v>
      </c>
      <c r="C875" s="1">
        <f>IFERROR(__xludf.DUMMYFUNCTION("""COMPUTED_VALUE"""),179.3)</f>
        <v>179.3</v>
      </c>
      <c r="D875" s="1">
        <f>IFERROR(__xludf.DUMMYFUNCTION("""COMPUTED_VALUE"""),176.05)</f>
        <v>176.05</v>
      </c>
      <c r="E875" s="1">
        <f>IFERROR(__xludf.DUMMYFUNCTION("""COMPUTED_VALUE"""),177.3)</f>
        <v>177.3</v>
      </c>
      <c r="F875" s="1">
        <f>IFERROR(__xludf.DUMMYFUNCTION("""COMPUTED_VALUE"""),1087433.0)</f>
        <v>1087433</v>
      </c>
    </row>
    <row r="876">
      <c r="A876" s="2">
        <f>IFERROR(__xludf.DUMMYFUNCTION("""COMPUTED_VALUE"""),37805.645833333336)</f>
        <v>37805.64583</v>
      </c>
      <c r="B876" s="1">
        <f>IFERROR(__xludf.DUMMYFUNCTION("""COMPUTED_VALUE"""),177.5)</f>
        <v>177.5</v>
      </c>
      <c r="C876" s="1">
        <f>IFERROR(__xludf.DUMMYFUNCTION("""COMPUTED_VALUE"""),179.65)</f>
        <v>179.65</v>
      </c>
      <c r="D876" s="1">
        <f>IFERROR(__xludf.DUMMYFUNCTION("""COMPUTED_VALUE"""),177.0)</f>
        <v>177</v>
      </c>
      <c r="E876" s="1">
        <f>IFERROR(__xludf.DUMMYFUNCTION("""COMPUTED_VALUE"""),179.0)</f>
        <v>179</v>
      </c>
      <c r="F876" s="1">
        <f>IFERROR(__xludf.DUMMYFUNCTION("""COMPUTED_VALUE"""),1406083.0)</f>
        <v>1406083</v>
      </c>
    </row>
    <row r="877">
      <c r="A877" s="2">
        <f>IFERROR(__xludf.DUMMYFUNCTION("""COMPUTED_VALUE"""),37806.645833333336)</f>
        <v>37806.64583</v>
      </c>
      <c r="B877" s="1">
        <f>IFERROR(__xludf.DUMMYFUNCTION("""COMPUTED_VALUE"""),178.95)</f>
        <v>178.95</v>
      </c>
      <c r="C877" s="1">
        <f>IFERROR(__xludf.DUMMYFUNCTION("""COMPUTED_VALUE"""),178.95)</f>
        <v>178.95</v>
      </c>
      <c r="D877" s="1">
        <f>IFERROR(__xludf.DUMMYFUNCTION("""COMPUTED_VALUE"""),170.75)</f>
        <v>170.75</v>
      </c>
      <c r="E877" s="1">
        <f>IFERROR(__xludf.DUMMYFUNCTION("""COMPUTED_VALUE"""),171.6)</f>
        <v>171.6</v>
      </c>
      <c r="F877" s="1">
        <f>IFERROR(__xludf.DUMMYFUNCTION("""COMPUTED_VALUE"""),1701423.0)</f>
        <v>1701423</v>
      </c>
    </row>
    <row r="878">
      <c r="A878" s="2">
        <f>IFERROR(__xludf.DUMMYFUNCTION("""COMPUTED_VALUE"""),37809.645833333336)</f>
        <v>37809.64583</v>
      </c>
      <c r="B878" s="1">
        <f>IFERROR(__xludf.DUMMYFUNCTION("""COMPUTED_VALUE"""),173.25)</f>
        <v>173.25</v>
      </c>
      <c r="C878" s="1">
        <f>IFERROR(__xludf.DUMMYFUNCTION("""COMPUTED_VALUE"""),173.25)</f>
        <v>173.25</v>
      </c>
      <c r="D878" s="1">
        <f>IFERROR(__xludf.DUMMYFUNCTION("""COMPUTED_VALUE"""),167.5)</f>
        <v>167.5</v>
      </c>
      <c r="E878" s="1">
        <f>IFERROR(__xludf.DUMMYFUNCTION("""COMPUTED_VALUE"""),168.3)</f>
        <v>168.3</v>
      </c>
      <c r="F878" s="1">
        <f>IFERROR(__xludf.DUMMYFUNCTION("""COMPUTED_VALUE"""),1775142.0)</f>
        <v>1775142</v>
      </c>
    </row>
    <row r="879">
      <c r="A879" s="2">
        <f>IFERROR(__xludf.DUMMYFUNCTION("""COMPUTED_VALUE"""),37810.645833333336)</f>
        <v>37810.64583</v>
      </c>
      <c r="B879" s="1">
        <f>IFERROR(__xludf.DUMMYFUNCTION("""COMPUTED_VALUE"""),170.7)</f>
        <v>170.7</v>
      </c>
      <c r="C879" s="1">
        <f>IFERROR(__xludf.DUMMYFUNCTION("""COMPUTED_VALUE"""),171.5)</f>
        <v>171.5</v>
      </c>
      <c r="D879" s="1">
        <f>IFERROR(__xludf.DUMMYFUNCTION("""COMPUTED_VALUE"""),168.35)</f>
        <v>168.35</v>
      </c>
      <c r="E879" s="1">
        <f>IFERROR(__xludf.DUMMYFUNCTION("""COMPUTED_VALUE"""),168.9)</f>
        <v>168.9</v>
      </c>
      <c r="F879" s="1">
        <f>IFERROR(__xludf.DUMMYFUNCTION("""COMPUTED_VALUE"""),1401077.0)</f>
        <v>1401077</v>
      </c>
    </row>
    <row r="880">
      <c r="A880" s="2">
        <f>IFERROR(__xludf.DUMMYFUNCTION("""COMPUTED_VALUE"""),37811.645833333336)</f>
        <v>37811.64583</v>
      </c>
      <c r="B880" s="1">
        <f>IFERROR(__xludf.DUMMYFUNCTION("""COMPUTED_VALUE"""),180.0)</f>
        <v>180</v>
      </c>
      <c r="C880" s="1">
        <f>IFERROR(__xludf.DUMMYFUNCTION("""COMPUTED_VALUE"""),180.0)</f>
        <v>180</v>
      </c>
      <c r="D880" s="1">
        <f>IFERROR(__xludf.DUMMYFUNCTION("""COMPUTED_VALUE"""),165.0)</f>
        <v>165</v>
      </c>
      <c r="E880" s="1">
        <f>IFERROR(__xludf.DUMMYFUNCTION("""COMPUTED_VALUE"""),170.0)</f>
        <v>170</v>
      </c>
      <c r="F880" s="1">
        <f>IFERROR(__xludf.DUMMYFUNCTION("""COMPUTED_VALUE"""),939141.0)</f>
        <v>939141</v>
      </c>
    </row>
    <row r="881">
      <c r="A881" s="2">
        <f>IFERROR(__xludf.DUMMYFUNCTION("""COMPUTED_VALUE"""),37812.645833333336)</f>
        <v>37812.64583</v>
      </c>
      <c r="B881" s="1">
        <f>IFERROR(__xludf.DUMMYFUNCTION("""COMPUTED_VALUE"""),172.0)</f>
        <v>172</v>
      </c>
      <c r="C881" s="1">
        <f>IFERROR(__xludf.DUMMYFUNCTION("""COMPUTED_VALUE"""),172.0)</f>
        <v>172</v>
      </c>
      <c r="D881" s="1">
        <f>IFERROR(__xludf.DUMMYFUNCTION("""COMPUTED_VALUE"""),168.15)</f>
        <v>168.15</v>
      </c>
      <c r="E881" s="1">
        <f>IFERROR(__xludf.DUMMYFUNCTION("""COMPUTED_VALUE"""),169.8)</f>
        <v>169.8</v>
      </c>
      <c r="F881" s="1">
        <f>IFERROR(__xludf.DUMMYFUNCTION("""COMPUTED_VALUE"""),648703.0)</f>
        <v>648703</v>
      </c>
    </row>
    <row r="882">
      <c r="A882" s="2">
        <f>IFERROR(__xludf.DUMMYFUNCTION("""COMPUTED_VALUE"""),37813.645833333336)</f>
        <v>37813.64583</v>
      </c>
      <c r="B882" s="1">
        <f>IFERROR(__xludf.DUMMYFUNCTION("""COMPUTED_VALUE"""),170.0)</f>
        <v>170</v>
      </c>
      <c r="C882" s="1">
        <f>IFERROR(__xludf.DUMMYFUNCTION("""COMPUTED_VALUE"""),172.8)</f>
        <v>172.8</v>
      </c>
      <c r="D882" s="1">
        <f>IFERROR(__xludf.DUMMYFUNCTION("""COMPUTED_VALUE"""),169.0)</f>
        <v>169</v>
      </c>
      <c r="E882" s="1">
        <f>IFERROR(__xludf.DUMMYFUNCTION("""COMPUTED_VALUE"""),171.15)</f>
        <v>171.15</v>
      </c>
      <c r="F882" s="1">
        <f>IFERROR(__xludf.DUMMYFUNCTION("""COMPUTED_VALUE"""),1774779.0)</f>
        <v>1774779</v>
      </c>
    </row>
    <row r="883">
      <c r="A883" s="2">
        <f>IFERROR(__xludf.DUMMYFUNCTION("""COMPUTED_VALUE"""),37816.645833333336)</f>
        <v>37816.64583</v>
      </c>
      <c r="B883" s="1">
        <f>IFERROR(__xludf.DUMMYFUNCTION("""COMPUTED_VALUE"""),170.1)</f>
        <v>170.1</v>
      </c>
      <c r="C883" s="1">
        <f>IFERROR(__xludf.DUMMYFUNCTION("""COMPUTED_VALUE"""),172.4)</f>
        <v>172.4</v>
      </c>
      <c r="D883" s="1">
        <f>IFERROR(__xludf.DUMMYFUNCTION("""COMPUTED_VALUE"""),167.55)</f>
        <v>167.55</v>
      </c>
      <c r="E883" s="1">
        <f>IFERROR(__xludf.DUMMYFUNCTION("""COMPUTED_VALUE"""),168.05)</f>
        <v>168.05</v>
      </c>
      <c r="F883" s="1">
        <f>IFERROR(__xludf.DUMMYFUNCTION("""COMPUTED_VALUE"""),1072752.0)</f>
        <v>1072752</v>
      </c>
    </row>
    <row r="884">
      <c r="A884" s="2">
        <f>IFERROR(__xludf.DUMMYFUNCTION("""COMPUTED_VALUE"""),37817.645833333336)</f>
        <v>37817.64583</v>
      </c>
      <c r="B884" s="1">
        <f>IFERROR(__xludf.DUMMYFUNCTION("""COMPUTED_VALUE"""),168.0)</f>
        <v>168</v>
      </c>
      <c r="C884" s="1">
        <f>IFERROR(__xludf.DUMMYFUNCTION("""COMPUTED_VALUE"""),169.25)</f>
        <v>169.25</v>
      </c>
      <c r="D884" s="1">
        <f>IFERROR(__xludf.DUMMYFUNCTION("""COMPUTED_VALUE"""),165.1)</f>
        <v>165.1</v>
      </c>
      <c r="E884" s="1">
        <f>IFERROR(__xludf.DUMMYFUNCTION("""COMPUTED_VALUE"""),166.2)</f>
        <v>166.2</v>
      </c>
      <c r="F884" s="1">
        <f>IFERROR(__xludf.DUMMYFUNCTION("""COMPUTED_VALUE"""),1087381.0)</f>
        <v>1087381</v>
      </c>
    </row>
    <row r="885">
      <c r="A885" s="2">
        <f>IFERROR(__xludf.DUMMYFUNCTION("""COMPUTED_VALUE"""),37818.645833333336)</f>
        <v>37818.64583</v>
      </c>
      <c r="B885" s="1">
        <f>IFERROR(__xludf.DUMMYFUNCTION("""COMPUTED_VALUE"""),165.6)</f>
        <v>165.6</v>
      </c>
      <c r="C885" s="1">
        <f>IFERROR(__xludf.DUMMYFUNCTION("""COMPUTED_VALUE"""),165.6)</f>
        <v>165.6</v>
      </c>
      <c r="D885" s="1">
        <f>IFERROR(__xludf.DUMMYFUNCTION("""COMPUTED_VALUE"""),162.1)</f>
        <v>162.1</v>
      </c>
      <c r="E885" s="1">
        <f>IFERROR(__xludf.DUMMYFUNCTION("""COMPUTED_VALUE"""),163.45)</f>
        <v>163.45</v>
      </c>
      <c r="F885" s="1">
        <f>IFERROR(__xludf.DUMMYFUNCTION("""COMPUTED_VALUE"""),1675794.0)</f>
        <v>1675794</v>
      </c>
    </row>
    <row r="886">
      <c r="A886" s="2">
        <f>IFERROR(__xludf.DUMMYFUNCTION("""COMPUTED_VALUE"""),37819.645833333336)</f>
        <v>37819.64583</v>
      </c>
      <c r="B886" s="1">
        <f>IFERROR(__xludf.DUMMYFUNCTION("""COMPUTED_VALUE"""),162.6)</f>
        <v>162.6</v>
      </c>
      <c r="C886" s="1">
        <f>IFERROR(__xludf.DUMMYFUNCTION("""COMPUTED_VALUE"""),164.0)</f>
        <v>164</v>
      </c>
      <c r="D886" s="1">
        <f>IFERROR(__xludf.DUMMYFUNCTION("""COMPUTED_VALUE"""),156.0)</f>
        <v>156</v>
      </c>
      <c r="E886" s="1">
        <f>IFERROR(__xludf.DUMMYFUNCTION("""COMPUTED_VALUE"""),158.0)</f>
        <v>158</v>
      </c>
      <c r="F886" s="1">
        <f>IFERROR(__xludf.DUMMYFUNCTION("""COMPUTED_VALUE"""),1982948.0)</f>
        <v>1982948</v>
      </c>
    </row>
    <row r="887">
      <c r="A887" s="2">
        <f>IFERROR(__xludf.DUMMYFUNCTION("""COMPUTED_VALUE"""),37820.645833333336)</f>
        <v>37820.64583</v>
      </c>
      <c r="B887" s="1">
        <f>IFERROR(__xludf.DUMMYFUNCTION("""COMPUTED_VALUE"""),156.9)</f>
        <v>156.9</v>
      </c>
      <c r="C887" s="1">
        <f>IFERROR(__xludf.DUMMYFUNCTION("""COMPUTED_VALUE"""),185.0)</f>
        <v>185</v>
      </c>
      <c r="D887" s="1">
        <f>IFERROR(__xludf.DUMMYFUNCTION("""COMPUTED_VALUE"""),152.05)</f>
        <v>152.05</v>
      </c>
      <c r="E887" s="1">
        <f>IFERROR(__xludf.DUMMYFUNCTION("""COMPUTED_VALUE"""),152.4)</f>
        <v>152.4</v>
      </c>
      <c r="F887" s="1">
        <f>IFERROR(__xludf.DUMMYFUNCTION("""COMPUTED_VALUE"""),2476541.0)</f>
        <v>2476541</v>
      </c>
    </row>
    <row r="888">
      <c r="A888" s="2">
        <f>IFERROR(__xludf.DUMMYFUNCTION("""COMPUTED_VALUE"""),37823.645833333336)</f>
        <v>37823.64583</v>
      </c>
      <c r="B888" s="1">
        <f>IFERROR(__xludf.DUMMYFUNCTION("""COMPUTED_VALUE"""),153.0)</f>
        <v>153</v>
      </c>
      <c r="C888" s="1">
        <f>IFERROR(__xludf.DUMMYFUNCTION("""COMPUTED_VALUE"""),153.7)</f>
        <v>153.7</v>
      </c>
      <c r="D888" s="1">
        <f>IFERROR(__xludf.DUMMYFUNCTION("""COMPUTED_VALUE"""),146.05)</f>
        <v>146.05</v>
      </c>
      <c r="E888" s="1">
        <f>IFERROR(__xludf.DUMMYFUNCTION("""COMPUTED_VALUE"""),146.8)</f>
        <v>146.8</v>
      </c>
      <c r="F888" s="1">
        <f>IFERROR(__xludf.DUMMYFUNCTION("""COMPUTED_VALUE"""),1949181.0)</f>
        <v>1949181</v>
      </c>
    </row>
    <row r="889">
      <c r="A889" s="2">
        <f>IFERROR(__xludf.DUMMYFUNCTION("""COMPUTED_VALUE"""),37824.645833333336)</f>
        <v>37824.64583</v>
      </c>
      <c r="B889" s="1">
        <f>IFERROR(__xludf.DUMMYFUNCTION("""COMPUTED_VALUE"""),146.05)</f>
        <v>146.05</v>
      </c>
      <c r="C889" s="1">
        <f>IFERROR(__xludf.DUMMYFUNCTION("""COMPUTED_VALUE"""),152.45)</f>
        <v>152.45</v>
      </c>
      <c r="D889" s="1">
        <f>IFERROR(__xludf.DUMMYFUNCTION("""COMPUTED_VALUE"""),141.15)</f>
        <v>141.15</v>
      </c>
      <c r="E889" s="1">
        <f>IFERROR(__xludf.DUMMYFUNCTION("""COMPUTED_VALUE"""),151.4)</f>
        <v>151.4</v>
      </c>
      <c r="F889" s="1">
        <f>IFERROR(__xludf.DUMMYFUNCTION("""COMPUTED_VALUE"""),2462692.0)</f>
        <v>2462692</v>
      </c>
    </row>
    <row r="890">
      <c r="A890" s="2">
        <f>IFERROR(__xludf.DUMMYFUNCTION("""COMPUTED_VALUE"""),37825.645833333336)</f>
        <v>37825.64583</v>
      </c>
      <c r="B890" s="1">
        <f>IFERROR(__xludf.DUMMYFUNCTION("""COMPUTED_VALUE"""),151.5)</f>
        <v>151.5</v>
      </c>
      <c r="C890" s="1">
        <f>IFERROR(__xludf.DUMMYFUNCTION("""COMPUTED_VALUE"""),159.45)</f>
        <v>159.45</v>
      </c>
      <c r="D890" s="1">
        <f>IFERROR(__xludf.DUMMYFUNCTION("""COMPUTED_VALUE"""),151.5)</f>
        <v>151.5</v>
      </c>
      <c r="E890" s="1">
        <f>IFERROR(__xludf.DUMMYFUNCTION("""COMPUTED_VALUE"""),158.9)</f>
        <v>158.9</v>
      </c>
      <c r="F890" s="1">
        <f>IFERROR(__xludf.DUMMYFUNCTION("""COMPUTED_VALUE"""),3649362.0)</f>
        <v>3649362</v>
      </c>
    </row>
    <row r="891">
      <c r="A891" s="2">
        <f>IFERROR(__xludf.DUMMYFUNCTION("""COMPUTED_VALUE"""),37826.645833333336)</f>
        <v>37826.64583</v>
      </c>
      <c r="B891" s="1">
        <f>IFERROR(__xludf.DUMMYFUNCTION("""COMPUTED_VALUE"""),159.8)</f>
        <v>159.8</v>
      </c>
      <c r="C891" s="1">
        <f>IFERROR(__xludf.DUMMYFUNCTION("""COMPUTED_VALUE"""),166.9)</f>
        <v>166.9</v>
      </c>
      <c r="D891" s="1">
        <f>IFERROR(__xludf.DUMMYFUNCTION("""COMPUTED_VALUE"""),155.75)</f>
        <v>155.75</v>
      </c>
      <c r="E891" s="1">
        <f>IFERROR(__xludf.DUMMYFUNCTION("""COMPUTED_VALUE"""),164.2)</f>
        <v>164.2</v>
      </c>
      <c r="F891" s="1">
        <f>IFERROR(__xludf.DUMMYFUNCTION("""COMPUTED_VALUE"""),2414153.0)</f>
        <v>2414153</v>
      </c>
    </row>
    <row r="892">
      <c r="A892" s="2">
        <f>IFERROR(__xludf.DUMMYFUNCTION("""COMPUTED_VALUE"""),37827.645833333336)</f>
        <v>37827.64583</v>
      </c>
      <c r="B892" s="1">
        <f>IFERROR(__xludf.DUMMYFUNCTION("""COMPUTED_VALUE"""),164.0)</f>
        <v>164</v>
      </c>
      <c r="C892" s="1">
        <f>IFERROR(__xludf.DUMMYFUNCTION("""COMPUTED_VALUE"""),170.0)</f>
        <v>170</v>
      </c>
      <c r="D892" s="1">
        <f>IFERROR(__xludf.DUMMYFUNCTION("""COMPUTED_VALUE"""),163.2)</f>
        <v>163.2</v>
      </c>
      <c r="E892" s="1">
        <f>IFERROR(__xludf.DUMMYFUNCTION("""COMPUTED_VALUE"""),169.6)</f>
        <v>169.6</v>
      </c>
      <c r="F892" s="1">
        <f>IFERROR(__xludf.DUMMYFUNCTION("""COMPUTED_VALUE"""),2498028.0)</f>
        <v>2498028</v>
      </c>
    </row>
    <row r="893">
      <c r="A893" s="2">
        <f>IFERROR(__xludf.DUMMYFUNCTION("""COMPUTED_VALUE"""),37830.645833333336)</f>
        <v>37830.64583</v>
      </c>
      <c r="B893" s="1">
        <f>IFERROR(__xludf.DUMMYFUNCTION("""COMPUTED_VALUE"""),170.0)</f>
        <v>170</v>
      </c>
      <c r="C893" s="1">
        <f>IFERROR(__xludf.DUMMYFUNCTION("""COMPUTED_VALUE"""),171.3)</f>
        <v>171.3</v>
      </c>
      <c r="D893" s="1">
        <f>IFERROR(__xludf.DUMMYFUNCTION("""COMPUTED_VALUE"""),165.55)</f>
        <v>165.55</v>
      </c>
      <c r="E893" s="1">
        <f>IFERROR(__xludf.DUMMYFUNCTION("""COMPUTED_VALUE"""),167.0)</f>
        <v>167</v>
      </c>
      <c r="F893" s="1">
        <f>IFERROR(__xludf.DUMMYFUNCTION("""COMPUTED_VALUE"""),2221220.0)</f>
        <v>2221220</v>
      </c>
    </row>
    <row r="894">
      <c r="A894" s="2">
        <f>IFERROR(__xludf.DUMMYFUNCTION("""COMPUTED_VALUE"""),37831.645833333336)</f>
        <v>37831.64583</v>
      </c>
      <c r="B894" s="1">
        <f>IFERROR(__xludf.DUMMYFUNCTION("""COMPUTED_VALUE"""),167.0)</f>
        <v>167</v>
      </c>
      <c r="C894" s="1">
        <f>IFERROR(__xludf.DUMMYFUNCTION("""COMPUTED_VALUE"""),171.1)</f>
        <v>171.1</v>
      </c>
      <c r="D894" s="1">
        <f>IFERROR(__xludf.DUMMYFUNCTION("""COMPUTED_VALUE"""),164.0)</f>
        <v>164</v>
      </c>
      <c r="E894" s="1">
        <f>IFERROR(__xludf.DUMMYFUNCTION("""COMPUTED_VALUE"""),169.95)</f>
        <v>169.95</v>
      </c>
      <c r="F894" s="1">
        <f>IFERROR(__xludf.DUMMYFUNCTION("""COMPUTED_VALUE"""),2028213.0)</f>
        <v>2028213</v>
      </c>
    </row>
    <row r="895">
      <c r="A895" s="2">
        <f>IFERROR(__xludf.DUMMYFUNCTION("""COMPUTED_VALUE"""),37832.645833333336)</f>
        <v>37832.64583</v>
      </c>
      <c r="B895" s="1">
        <f>IFERROR(__xludf.DUMMYFUNCTION("""COMPUTED_VALUE"""),171.65)</f>
        <v>171.65</v>
      </c>
      <c r="C895" s="1">
        <f>IFERROR(__xludf.DUMMYFUNCTION("""COMPUTED_VALUE"""),171.95)</f>
        <v>171.95</v>
      </c>
      <c r="D895" s="1">
        <f>IFERROR(__xludf.DUMMYFUNCTION("""COMPUTED_VALUE"""),166.25)</f>
        <v>166.25</v>
      </c>
      <c r="E895" s="1">
        <f>IFERROR(__xludf.DUMMYFUNCTION("""COMPUTED_VALUE"""),168.45)</f>
        <v>168.45</v>
      </c>
      <c r="F895" s="1">
        <f>IFERROR(__xludf.DUMMYFUNCTION("""COMPUTED_VALUE"""),1410579.0)</f>
        <v>1410579</v>
      </c>
    </row>
    <row r="896">
      <c r="A896" s="2">
        <f>IFERROR(__xludf.DUMMYFUNCTION("""COMPUTED_VALUE"""),37833.645833333336)</f>
        <v>37833.64583</v>
      </c>
      <c r="B896" s="1">
        <f>IFERROR(__xludf.DUMMYFUNCTION("""COMPUTED_VALUE"""),169.95)</f>
        <v>169.95</v>
      </c>
      <c r="C896" s="1">
        <f>IFERROR(__xludf.DUMMYFUNCTION("""COMPUTED_VALUE"""),174.7)</f>
        <v>174.7</v>
      </c>
      <c r="D896" s="1">
        <f>IFERROR(__xludf.DUMMYFUNCTION("""COMPUTED_VALUE"""),165.25)</f>
        <v>165.25</v>
      </c>
      <c r="E896" s="1">
        <f>IFERROR(__xludf.DUMMYFUNCTION("""COMPUTED_VALUE"""),170.55)</f>
        <v>170.55</v>
      </c>
      <c r="F896" s="1">
        <f>IFERROR(__xludf.DUMMYFUNCTION("""COMPUTED_VALUE"""),7527262.0)</f>
        <v>7527262</v>
      </c>
    </row>
    <row r="897">
      <c r="A897" s="2">
        <f>IFERROR(__xludf.DUMMYFUNCTION("""COMPUTED_VALUE"""),37834.645833333336)</f>
        <v>37834.64583</v>
      </c>
      <c r="B897" s="1">
        <f>IFERROR(__xludf.DUMMYFUNCTION("""COMPUTED_VALUE"""),171.5)</f>
        <v>171.5</v>
      </c>
      <c r="C897" s="1">
        <f>IFERROR(__xludf.DUMMYFUNCTION("""COMPUTED_VALUE"""),173.4)</f>
        <v>173.4</v>
      </c>
      <c r="D897" s="1">
        <f>IFERROR(__xludf.DUMMYFUNCTION("""COMPUTED_VALUE"""),167.05)</f>
        <v>167.05</v>
      </c>
      <c r="E897" s="1">
        <f>IFERROR(__xludf.DUMMYFUNCTION("""COMPUTED_VALUE"""),168.45)</f>
        <v>168.45</v>
      </c>
      <c r="F897" s="1">
        <f>IFERROR(__xludf.DUMMYFUNCTION("""COMPUTED_VALUE"""),2684538.0)</f>
        <v>2684538</v>
      </c>
    </row>
    <row r="898">
      <c r="A898" s="2">
        <f>IFERROR(__xludf.DUMMYFUNCTION("""COMPUTED_VALUE"""),37837.645833333336)</f>
        <v>37837.64583</v>
      </c>
      <c r="B898" s="1">
        <f>IFERROR(__xludf.DUMMYFUNCTION("""COMPUTED_VALUE"""),167.9)</f>
        <v>167.9</v>
      </c>
      <c r="C898" s="1">
        <f>IFERROR(__xludf.DUMMYFUNCTION("""COMPUTED_VALUE"""),169.15)</f>
        <v>169.15</v>
      </c>
      <c r="D898" s="1">
        <f>IFERROR(__xludf.DUMMYFUNCTION("""COMPUTED_VALUE"""),166.1)</f>
        <v>166.1</v>
      </c>
      <c r="E898" s="1">
        <f>IFERROR(__xludf.DUMMYFUNCTION("""COMPUTED_VALUE"""),166.95)</f>
        <v>166.95</v>
      </c>
      <c r="F898" s="1">
        <f>IFERROR(__xludf.DUMMYFUNCTION("""COMPUTED_VALUE"""),2308633.0)</f>
        <v>2308633</v>
      </c>
    </row>
    <row r="899">
      <c r="A899" s="2">
        <f>IFERROR(__xludf.DUMMYFUNCTION("""COMPUTED_VALUE"""),37838.645833333336)</f>
        <v>37838.64583</v>
      </c>
      <c r="B899" s="1">
        <f>IFERROR(__xludf.DUMMYFUNCTION("""COMPUTED_VALUE"""),168.5)</f>
        <v>168.5</v>
      </c>
      <c r="C899" s="1">
        <f>IFERROR(__xludf.DUMMYFUNCTION("""COMPUTED_VALUE"""),169.5)</f>
        <v>169.5</v>
      </c>
      <c r="D899" s="1">
        <f>IFERROR(__xludf.DUMMYFUNCTION("""COMPUTED_VALUE"""),162.0)</f>
        <v>162</v>
      </c>
      <c r="E899" s="1">
        <f>IFERROR(__xludf.DUMMYFUNCTION("""COMPUTED_VALUE"""),163.0)</f>
        <v>163</v>
      </c>
      <c r="F899" s="1">
        <f>IFERROR(__xludf.DUMMYFUNCTION("""COMPUTED_VALUE"""),1975871.0)</f>
        <v>1975871</v>
      </c>
    </row>
    <row r="900">
      <c r="A900" s="2">
        <f>IFERROR(__xludf.DUMMYFUNCTION("""COMPUTED_VALUE"""),37839.645833333336)</f>
        <v>37839.64583</v>
      </c>
      <c r="B900" s="1">
        <f>IFERROR(__xludf.DUMMYFUNCTION("""COMPUTED_VALUE"""),162.0)</f>
        <v>162</v>
      </c>
      <c r="C900" s="1">
        <f>IFERROR(__xludf.DUMMYFUNCTION("""COMPUTED_VALUE"""),164.6)</f>
        <v>164.6</v>
      </c>
      <c r="D900" s="1">
        <f>IFERROR(__xludf.DUMMYFUNCTION("""COMPUTED_VALUE"""),160.0)</f>
        <v>160</v>
      </c>
      <c r="E900" s="1">
        <f>IFERROR(__xludf.DUMMYFUNCTION("""COMPUTED_VALUE"""),160.55)</f>
        <v>160.55</v>
      </c>
      <c r="F900" s="1">
        <f>IFERROR(__xludf.DUMMYFUNCTION("""COMPUTED_VALUE"""),2385613.0)</f>
        <v>2385613</v>
      </c>
    </row>
    <row r="901">
      <c r="A901" s="2">
        <f>IFERROR(__xludf.DUMMYFUNCTION("""COMPUTED_VALUE"""),37840.645833333336)</f>
        <v>37840.64583</v>
      </c>
      <c r="B901" s="1">
        <f>IFERROR(__xludf.DUMMYFUNCTION("""COMPUTED_VALUE"""),160.95)</f>
        <v>160.95</v>
      </c>
      <c r="C901" s="1">
        <f>IFERROR(__xludf.DUMMYFUNCTION("""COMPUTED_VALUE"""),166.6)</f>
        <v>166.6</v>
      </c>
      <c r="D901" s="1">
        <f>IFERROR(__xludf.DUMMYFUNCTION("""COMPUTED_VALUE"""),156.75)</f>
        <v>156.75</v>
      </c>
      <c r="E901" s="1">
        <f>IFERROR(__xludf.DUMMYFUNCTION("""COMPUTED_VALUE"""),165.8)</f>
        <v>165.8</v>
      </c>
      <c r="F901" s="1">
        <f>IFERROR(__xludf.DUMMYFUNCTION("""COMPUTED_VALUE"""),5939594.0)</f>
        <v>5939594</v>
      </c>
    </row>
    <row r="902">
      <c r="A902" s="2">
        <f>IFERROR(__xludf.DUMMYFUNCTION("""COMPUTED_VALUE"""),37841.645833333336)</f>
        <v>37841.64583</v>
      </c>
      <c r="B902" s="1">
        <f>IFERROR(__xludf.DUMMYFUNCTION("""COMPUTED_VALUE"""),170.0)</f>
        <v>170</v>
      </c>
      <c r="C902" s="1">
        <f>IFERROR(__xludf.DUMMYFUNCTION("""COMPUTED_VALUE"""),170.0)</f>
        <v>170</v>
      </c>
      <c r="D902" s="1">
        <f>IFERROR(__xludf.DUMMYFUNCTION("""COMPUTED_VALUE"""),165.5)</f>
        <v>165.5</v>
      </c>
      <c r="E902" s="1">
        <f>IFERROR(__xludf.DUMMYFUNCTION("""COMPUTED_VALUE"""),168.15)</f>
        <v>168.15</v>
      </c>
      <c r="F902" s="1">
        <f>IFERROR(__xludf.DUMMYFUNCTION("""COMPUTED_VALUE"""),3146074.0)</f>
        <v>3146074</v>
      </c>
    </row>
    <row r="903">
      <c r="A903" s="2">
        <f>IFERROR(__xludf.DUMMYFUNCTION("""COMPUTED_VALUE"""),37844.645833333336)</f>
        <v>37844.64583</v>
      </c>
      <c r="B903" s="1">
        <f>IFERROR(__xludf.DUMMYFUNCTION("""COMPUTED_VALUE"""),167.2)</f>
        <v>167.2</v>
      </c>
      <c r="C903" s="1">
        <f>IFERROR(__xludf.DUMMYFUNCTION("""COMPUTED_VALUE"""),171.95)</f>
        <v>171.95</v>
      </c>
      <c r="D903" s="1">
        <f>IFERROR(__xludf.DUMMYFUNCTION("""COMPUTED_VALUE"""),167.2)</f>
        <v>167.2</v>
      </c>
      <c r="E903" s="1">
        <f>IFERROR(__xludf.DUMMYFUNCTION("""COMPUTED_VALUE"""),171.05)</f>
        <v>171.05</v>
      </c>
      <c r="F903" s="1">
        <f>IFERROR(__xludf.DUMMYFUNCTION("""COMPUTED_VALUE"""),2752403.0)</f>
        <v>2752403</v>
      </c>
    </row>
    <row r="904">
      <c r="A904" s="2">
        <f>IFERROR(__xludf.DUMMYFUNCTION("""COMPUTED_VALUE"""),37845.645833333336)</f>
        <v>37845.64583</v>
      </c>
      <c r="B904" s="1">
        <f>IFERROR(__xludf.DUMMYFUNCTION("""COMPUTED_VALUE"""),172.9)</f>
        <v>172.9</v>
      </c>
      <c r="C904" s="1">
        <f>IFERROR(__xludf.DUMMYFUNCTION("""COMPUTED_VALUE"""),174.2)</f>
        <v>174.2</v>
      </c>
      <c r="D904" s="1">
        <f>IFERROR(__xludf.DUMMYFUNCTION("""COMPUTED_VALUE"""),170.6)</f>
        <v>170.6</v>
      </c>
      <c r="E904" s="1">
        <f>IFERROR(__xludf.DUMMYFUNCTION("""COMPUTED_VALUE"""),172.05)</f>
        <v>172.05</v>
      </c>
      <c r="F904" s="1">
        <f>IFERROR(__xludf.DUMMYFUNCTION("""COMPUTED_VALUE"""),2301427.0)</f>
        <v>2301427</v>
      </c>
    </row>
    <row r="905">
      <c r="A905" s="2">
        <f>IFERROR(__xludf.DUMMYFUNCTION("""COMPUTED_VALUE"""),37846.645833333336)</f>
        <v>37846.64583</v>
      </c>
      <c r="B905" s="1">
        <f>IFERROR(__xludf.DUMMYFUNCTION("""COMPUTED_VALUE"""),173.05)</f>
        <v>173.05</v>
      </c>
      <c r="C905" s="1">
        <f>IFERROR(__xludf.DUMMYFUNCTION("""COMPUTED_VALUE"""),177.65)</f>
        <v>177.65</v>
      </c>
      <c r="D905" s="1">
        <f>IFERROR(__xludf.DUMMYFUNCTION("""COMPUTED_VALUE"""),172.6)</f>
        <v>172.6</v>
      </c>
      <c r="E905" s="1">
        <f>IFERROR(__xludf.DUMMYFUNCTION("""COMPUTED_VALUE"""),175.7)</f>
        <v>175.7</v>
      </c>
      <c r="F905" s="1">
        <f>IFERROR(__xludf.DUMMYFUNCTION("""COMPUTED_VALUE"""),3179112.0)</f>
        <v>3179112</v>
      </c>
    </row>
    <row r="906">
      <c r="A906" s="2">
        <f>IFERROR(__xludf.DUMMYFUNCTION("""COMPUTED_VALUE"""),37847.645833333336)</f>
        <v>37847.64583</v>
      </c>
      <c r="B906" s="1">
        <f>IFERROR(__xludf.DUMMYFUNCTION("""COMPUTED_VALUE"""),176.0)</f>
        <v>176</v>
      </c>
      <c r="C906" s="1">
        <f>IFERROR(__xludf.DUMMYFUNCTION("""COMPUTED_VALUE"""),179.8)</f>
        <v>179.8</v>
      </c>
      <c r="D906" s="1">
        <f>IFERROR(__xludf.DUMMYFUNCTION("""COMPUTED_VALUE"""),174.05)</f>
        <v>174.05</v>
      </c>
      <c r="E906" s="1">
        <f>IFERROR(__xludf.DUMMYFUNCTION("""COMPUTED_VALUE"""),177.65)</f>
        <v>177.65</v>
      </c>
      <c r="F906" s="1">
        <f>IFERROR(__xludf.DUMMYFUNCTION("""COMPUTED_VALUE"""),3815182.0)</f>
        <v>3815182</v>
      </c>
    </row>
    <row r="907">
      <c r="A907" s="2">
        <f>IFERROR(__xludf.DUMMYFUNCTION("""COMPUTED_VALUE"""),37851.645833333336)</f>
        <v>37851.64583</v>
      </c>
      <c r="B907" s="1">
        <f>IFERROR(__xludf.DUMMYFUNCTION("""COMPUTED_VALUE"""),179.1)</f>
        <v>179.1</v>
      </c>
      <c r="C907" s="1">
        <f>IFERROR(__xludf.DUMMYFUNCTION("""COMPUTED_VALUE"""),194.7)</f>
        <v>194.7</v>
      </c>
      <c r="D907" s="1">
        <f>IFERROR(__xludf.DUMMYFUNCTION("""COMPUTED_VALUE"""),179.1)</f>
        <v>179.1</v>
      </c>
      <c r="E907" s="1">
        <f>IFERROR(__xludf.DUMMYFUNCTION("""COMPUTED_VALUE"""),181.9)</f>
        <v>181.9</v>
      </c>
      <c r="F907" s="1">
        <f>IFERROR(__xludf.DUMMYFUNCTION("""COMPUTED_VALUE"""),3460511.0)</f>
        <v>3460511</v>
      </c>
    </row>
    <row r="908">
      <c r="A908" s="2">
        <f>IFERROR(__xludf.DUMMYFUNCTION("""COMPUTED_VALUE"""),37852.645833333336)</f>
        <v>37852.64583</v>
      </c>
      <c r="B908" s="1">
        <f>IFERROR(__xludf.DUMMYFUNCTION("""COMPUTED_VALUE"""),183.55)</f>
        <v>183.55</v>
      </c>
      <c r="C908" s="1">
        <f>IFERROR(__xludf.DUMMYFUNCTION("""COMPUTED_VALUE"""),189.1)</f>
        <v>189.1</v>
      </c>
      <c r="D908" s="1">
        <f>IFERROR(__xludf.DUMMYFUNCTION("""COMPUTED_VALUE"""),182.7)</f>
        <v>182.7</v>
      </c>
      <c r="E908" s="1">
        <f>IFERROR(__xludf.DUMMYFUNCTION("""COMPUTED_VALUE"""),188.05)</f>
        <v>188.05</v>
      </c>
      <c r="F908" s="1">
        <f>IFERROR(__xludf.DUMMYFUNCTION("""COMPUTED_VALUE"""),4504663.0)</f>
        <v>4504663</v>
      </c>
    </row>
    <row r="909">
      <c r="A909" s="2">
        <f>IFERROR(__xludf.DUMMYFUNCTION("""COMPUTED_VALUE"""),37853.645833333336)</f>
        <v>37853.64583</v>
      </c>
      <c r="B909" s="1">
        <f>IFERROR(__xludf.DUMMYFUNCTION("""COMPUTED_VALUE"""),189.6)</f>
        <v>189.6</v>
      </c>
      <c r="C909" s="1">
        <f>IFERROR(__xludf.DUMMYFUNCTION("""COMPUTED_VALUE"""),194.0)</f>
        <v>194</v>
      </c>
      <c r="D909" s="1">
        <f>IFERROR(__xludf.DUMMYFUNCTION("""COMPUTED_VALUE"""),189.5)</f>
        <v>189.5</v>
      </c>
      <c r="E909" s="1">
        <f>IFERROR(__xludf.DUMMYFUNCTION("""COMPUTED_VALUE"""),193.15)</f>
        <v>193.15</v>
      </c>
      <c r="F909" s="1">
        <f>IFERROR(__xludf.DUMMYFUNCTION("""COMPUTED_VALUE"""),4653761.0)</f>
        <v>4653761</v>
      </c>
    </row>
    <row r="910">
      <c r="A910" s="2">
        <f>IFERROR(__xludf.DUMMYFUNCTION("""COMPUTED_VALUE"""),37854.645833333336)</f>
        <v>37854.64583</v>
      </c>
      <c r="B910" s="1">
        <f>IFERROR(__xludf.DUMMYFUNCTION("""COMPUTED_VALUE"""),194.0)</f>
        <v>194</v>
      </c>
      <c r="C910" s="1">
        <f>IFERROR(__xludf.DUMMYFUNCTION("""COMPUTED_VALUE"""),194.25)</f>
        <v>194.25</v>
      </c>
      <c r="D910" s="1">
        <f>IFERROR(__xludf.DUMMYFUNCTION("""COMPUTED_VALUE"""),187.4)</f>
        <v>187.4</v>
      </c>
      <c r="E910" s="1">
        <f>IFERROR(__xludf.DUMMYFUNCTION("""COMPUTED_VALUE"""),189.55)</f>
        <v>189.55</v>
      </c>
      <c r="F910" s="1">
        <f>IFERROR(__xludf.DUMMYFUNCTION("""COMPUTED_VALUE"""),2996678.0)</f>
        <v>2996678</v>
      </c>
    </row>
    <row r="911">
      <c r="A911" s="2">
        <f>IFERROR(__xludf.DUMMYFUNCTION("""COMPUTED_VALUE"""),37855.645833333336)</f>
        <v>37855.64583</v>
      </c>
      <c r="B911" s="1">
        <f>IFERROR(__xludf.DUMMYFUNCTION("""COMPUTED_VALUE"""),191.4)</f>
        <v>191.4</v>
      </c>
      <c r="C911" s="1">
        <f>IFERROR(__xludf.DUMMYFUNCTION("""COMPUTED_VALUE"""),191.4)</f>
        <v>191.4</v>
      </c>
      <c r="D911" s="1">
        <f>IFERROR(__xludf.DUMMYFUNCTION("""COMPUTED_VALUE"""),185.0)</f>
        <v>185</v>
      </c>
      <c r="E911" s="1">
        <f>IFERROR(__xludf.DUMMYFUNCTION("""COMPUTED_VALUE"""),186.6)</f>
        <v>186.6</v>
      </c>
      <c r="F911" s="1">
        <f>IFERROR(__xludf.DUMMYFUNCTION("""COMPUTED_VALUE"""),1578100.0)</f>
        <v>1578100</v>
      </c>
    </row>
    <row r="912">
      <c r="A912" s="2">
        <f>IFERROR(__xludf.DUMMYFUNCTION("""COMPUTED_VALUE"""),37858.645833333336)</f>
        <v>37858.64583</v>
      </c>
      <c r="B912" s="1">
        <f>IFERROR(__xludf.DUMMYFUNCTION("""COMPUTED_VALUE"""),189.5)</f>
        <v>189.5</v>
      </c>
      <c r="C912" s="1">
        <f>IFERROR(__xludf.DUMMYFUNCTION("""COMPUTED_VALUE"""),192.0)</f>
        <v>192</v>
      </c>
      <c r="D912" s="1">
        <f>IFERROR(__xludf.DUMMYFUNCTION("""COMPUTED_VALUE"""),178.2)</f>
        <v>178.2</v>
      </c>
      <c r="E912" s="1">
        <f>IFERROR(__xludf.DUMMYFUNCTION("""COMPUTED_VALUE"""),180.9)</f>
        <v>180.9</v>
      </c>
      <c r="F912" s="1">
        <f>IFERROR(__xludf.DUMMYFUNCTION("""COMPUTED_VALUE"""),3049642.0)</f>
        <v>3049642</v>
      </c>
    </row>
    <row r="913">
      <c r="A913" s="2">
        <f>IFERROR(__xludf.DUMMYFUNCTION("""COMPUTED_VALUE"""),37859.645833333336)</f>
        <v>37859.64583</v>
      </c>
      <c r="B913" s="1">
        <f>IFERROR(__xludf.DUMMYFUNCTION("""COMPUTED_VALUE"""),181.7)</f>
        <v>181.7</v>
      </c>
      <c r="C913" s="1">
        <f>IFERROR(__xludf.DUMMYFUNCTION("""COMPUTED_VALUE"""),189.6)</f>
        <v>189.6</v>
      </c>
      <c r="D913" s="1">
        <f>IFERROR(__xludf.DUMMYFUNCTION("""COMPUTED_VALUE"""),181.0)</f>
        <v>181</v>
      </c>
      <c r="E913" s="1">
        <f>IFERROR(__xludf.DUMMYFUNCTION("""COMPUTED_VALUE"""),188.5)</f>
        <v>188.5</v>
      </c>
      <c r="F913" s="1">
        <f>IFERROR(__xludf.DUMMYFUNCTION("""COMPUTED_VALUE"""),2935884.0)</f>
        <v>2935884</v>
      </c>
    </row>
    <row r="914">
      <c r="A914" s="2">
        <f>IFERROR(__xludf.DUMMYFUNCTION("""COMPUTED_VALUE"""),37860.645833333336)</f>
        <v>37860.64583</v>
      </c>
      <c r="B914" s="1">
        <f>IFERROR(__xludf.DUMMYFUNCTION("""COMPUTED_VALUE"""),190.6)</f>
        <v>190.6</v>
      </c>
      <c r="C914" s="1">
        <f>IFERROR(__xludf.DUMMYFUNCTION("""COMPUTED_VALUE"""),192.75)</f>
        <v>192.75</v>
      </c>
      <c r="D914" s="1">
        <f>IFERROR(__xludf.DUMMYFUNCTION("""COMPUTED_VALUE"""),188.25)</f>
        <v>188.25</v>
      </c>
      <c r="E914" s="1">
        <f>IFERROR(__xludf.DUMMYFUNCTION("""COMPUTED_VALUE"""),190.5)</f>
        <v>190.5</v>
      </c>
      <c r="F914" s="1">
        <f>IFERROR(__xludf.DUMMYFUNCTION("""COMPUTED_VALUE"""),2715919.0)</f>
        <v>2715919</v>
      </c>
    </row>
    <row r="915">
      <c r="A915" s="2">
        <f>IFERROR(__xludf.DUMMYFUNCTION("""COMPUTED_VALUE"""),37861.645833333336)</f>
        <v>37861.64583</v>
      </c>
      <c r="B915" s="1">
        <f>IFERROR(__xludf.DUMMYFUNCTION("""COMPUTED_VALUE"""),190.5)</f>
        <v>190.5</v>
      </c>
      <c r="C915" s="1">
        <f>IFERROR(__xludf.DUMMYFUNCTION("""COMPUTED_VALUE"""),191.5)</f>
        <v>191.5</v>
      </c>
      <c r="D915" s="1">
        <f>IFERROR(__xludf.DUMMYFUNCTION("""COMPUTED_VALUE"""),185.3)</f>
        <v>185.3</v>
      </c>
      <c r="E915" s="1">
        <f>IFERROR(__xludf.DUMMYFUNCTION("""COMPUTED_VALUE"""),187.0)</f>
        <v>187</v>
      </c>
      <c r="F915" s="1">
        <f>IFERROR(__xludf.DUMMYFUNCTION("""COMPUTED_VALUE"""),1854474.0)</f>
        <v>1854474</v>
      </c>
    </row>
    <row r="916">
      <c r="A916" s="2">
        <f>IFERROR(__xludf.DUMMYFUNCTION("""COMPUTED_VALUE"""),37862.645833333336)</f>
        <v>37862.64583</v>
      </c>
      <c r="B916" s="1">
        <f>IFERROR(__xludf.DUMMYFUNCTION("""COMPUTED_VALUE"""),188.15)</f>
        <v>188.15</v>
      </c>
      <c r="C916" s="1">
        <f>IFERROR(__xludf.DUMMYFUNCTION("""COMPUTED_VALUE"""),189.85)</f>
        <v>189.85</v>
      </c>
      <c r="D916" s="1">
        <f>IFERROR(__xludf.DUMMYFUNCTION("""COMPUTED_VALUE"""),183.9)</f>
        <v>183.9</v>
      </c>
      <c r="E916" s="1">
        <f>IFERROR(__xludf.DUMMYFUNCTION("""COMPUTED_VALUE"""),185.6)</f>
        <v>185.6</v>
      </c>
      <c r="F916" s="1">
        <f>IFERROR(__xludf.DUMMYFUNCTION("""COMPUTED_VALUE"""),2863667.0)</f>
        <v>2863667</v>
      </c>
    </row>
    <row r="917">
      <c r="A917" s="2">
        <f>IFERROR(__xludf.DUMMYFUNCTION("""COMPUTED_VALUE"""),37865.645833333336)</f>
        <v>37865.64583</v>
      </c>
      <c r="B917" s="1">
        <f>IFERROR(__xludf.DUMMYFUNCTION("""COMPUTED_VALUE"""),192.0)</f>
        <v>192</v>
      </c>
      <c r="C917" s="1">
        <f>IFERROR(__xludf.DUMMYFUNCTION("""COMPUTED_VALUE"""),192.0)</f>
        <v>192</v>
      </c>
      <c r="D917" s="1">
        <f>IFERROR(__xludf.DUMMYFUNCTION("""COMPUTED_VALUE"""),185.15)</f>
        <v>185.15</v>
      </c>
      <c r="E917" s="1">
        <f>IFERROR(__xludf.DUMMYFUNCTION("""COMPUTED_VALUE"""),189.4)</f>
        <v>189.4</v>
      </c>
      <c r="F917" s="1">
        <f>IFERROR(__xludf.DUMMYFUNCTION("""COMPUTED_VALUE"""),2305153.0)</f>
        <v>2305153</v>
      </c>
    </row>
    <row r="918">
      <c r="A918" s="2">
        <f>IFERROR(__xludf.DUMMYFUNCTION("""COMPUTED_VALUE"""),37866.645833333336)</f>
        <v>37866.64583</v>
      </c>
      <c r="B918" s="1">
        <f>IFERROR(__xludf.DUMMYFUNCTION("""COMPUTED_VALUE"""),192.4)</f>
        <v>192.4</v>
      </c>
      <c r="C918" s="1">
        <f>IFERROR(__xludf.DUMMYFUNCTION("""COMPUTED_VALUE"""),193.8)</f>
        <v>193.8</v>
      </c>
      <c r="D918" s="1">
        <f>IFERROR(__xludf.DUMMYFUNCTION("""COMPUTED_VALUE"""),188.5)</f>
        <v>188.5</v>
      </c>
      <c r="E918" s="1">
        <f>IFERROR(__xludf.DUMMYFUNCTION("""COMPUTED_VALUE"""),192.5)</f>
        <v>192.5</v>
      </c>
      <c r="F918" s="1">
        <f>IFERROR(__xludf.DUMMYFUNCTION("""COMPUTED_VALUE"""),2852044.0)</f>
        <v>2852044</v>
      </c>
    </row>
    <row r="919">
      <c r="A919" s="2">
        <f>IFERROR(__xludf.DUMMYFUNCTION("""COMPUTED_VALUE"""),37867.645833333336)</f>
        <v>37867.64583</v>
      </c>
      <c r="B919" s="1">
        <f>IFERROR(__xludf.DUMMYFUNCTION("""COMPUTED_VALUE"""),189.0)</f>
        <v>189</v>
      </c>
      <c r="C919" s="1">
        <f>IFERROR(__xludf.DUMMYFUNCTION("""COMPUTED_VALUE"""),190.0)</f>
        <v>190</v>
      </c>
      <c r="D919" s="1">
        <f>IFERROR(__xludf.DUMMYFUNCTION("""COMPUTED_VALUE"""),185.5)</f>
        <v>185.5</v>
      </c>
      <c r="E919" s="1">
        <f>IFERROR(__xludf.DUMMYFUNCTION("""COMPUTED_VALUE"""),186.25)</f>
        <v>186.25</v>
      </c>
      <c r="F919" s="1">
        <f>IFERROR(__xludf.DUMMYFUNCTION("""COMPUTED_VALUE"""),2037674.0)</f>
        <v>2037674</v>
      </c>
    </row>
    <row r="920">
      <c r="A920" s="2">
        <f>IFERROR(__xludf.DUMMYFUNCTION("""COMPUTED_VALUE"""),37868.645833333336)</f>
        <v>37868.64583</v>
      </c>
      <c r="B920" s="1">
        <f>IFERROR(__xludf.DUMMYFUNCTION("""COMPUTED_VALUE"""),186.5)</f>
        <v>186.5</v>
      </c>
      <c r="C920" s="1">
        <f>IFERROR(__xludf.DUMMYFUNCTION("""COMPUTED_VALUE"""),189.2)</f>
        <v>189.2</v>
      </c>
      <c r="D920" s="1">
        <f>IFERROR(__xludf.DUMMYFUNCTION("""COMPUTED_VALUE"""),182.15)</f>
        <v>182.15</v>
      </c>
      <c r="E920" s="1">
        <f>IFERROR(__xludf.DUMMYFUNCTION("""COMPUTED_VALUE"""),187.2)</f>
        <v>187.2</v>
      </c>
      <c r="F920" s="1">
        <f>IFERROR(__xludf.DUMMYFUNCTION("""COMPUTED_VALUE"""),2711141.0)</f>
        <v>2711141</v>
      </c>
    </row>
    <row r="921">
      <c r="A921" s="2">
        <f>IFERROR(__xludf.DUMMYFUNCTION("""COMPUTED_VALUE"""),37869.645833333336)</f>
        <v>37869.64583</v>
      </c>
      <c r="B921" s="1">
        <f>IFERROR(__xludf.DUMMYFUNCTION("""COMPUTED_VALUE"""),187.9)</f>
        <v>187.9</v>
      </c>
      <c r="C921" s="1">
        <f>IFERROR(__xludf.DUMMYFUNCTION("""COMPUTED_VALUE"""),196.8)</f>
        <v>196.8</v>
      </c>
      <c r="D921" s="1">
        <f>IFERROR(__xludf.DUMMYFUNCTION("""COMPUTED_VALUE"""),187.5)</f>
        <v>187.5</v>
      </c>
      <c r="E921" s="1">
        <f>IFERROR(__xludf.DUMMYFUNCTION("""COMPUTED_VALUE"""),194.0)</f>
        <v>194</v>
      </c>
      <c r="F921" s="1">
        <f>IFERROR(__xludf.DUMMYFUNCTION("""COMPUTED_VALUE"""),6597965.0)</f>
        <v>6597965</v>
      </c>
    </row>
    <row r="922">
      <c r="A922" s="2">
        <f>IFERROR(__xludf.DUMMYFUNCTION("""COMPUTED_VALUE"""),37872.645833333336)</f>
        <v>37872.64583</v>
      </c>
      <c r="B922" s="1">
        <f>IFERROR(__xludf.DUMMYFUNCTION("""COMPUTED_VALUE"""),197.85)</f>
        <v>197.85</v>
      </c>
      <c r="C922" s="1">
        <f>IFERROR(__xludf.DUMMYFUNCTION("""COMPUTED_VALUE"""),198.0)</f>
        <v>198</v>
      </c>
      <c r="D922" s="1">
        <f>IFERROR(__xludf.DUMMYFUNCTION("""COMPUTED_VALUE"""),194.15)</f>
        <v>194.15</v>
      </c>
      <c r="E922" s="1">
        <f>IFERROR(__xludf.DUMMYFUNCTION("""COMPUTED_VALUE"""),194.95)</f>
        <v>194.95</v>
      </c>
      <c r="F922" s="1">
        <f>IFERROR(__xludf.DUMMYFUNCTION("""COMPUTED_VALUE"""),3258416.0)</f>
        <v>3258416</v>
      </c>
    </row>
    <row r="923">
      <c r="A923" s="2">
        <f>IFERROR(__xludf.DUMMYFUNCTION("""COMPUTED_VALUE"""),37873.645833333336)</f>
        <v>37873.64583</v>
      </c>
      <c r="B923" s="1">
        <f>IFERROR(__xludf.DUMMYFUNCTION("""COMPUTED_VALUE"""),196.5)</f>
        <v>196.5</v>
      </c>
      <c r="C923" s="1">
        <f>IFERROR(__xludf.DUMMYFUNCTION("""COMPUTED_VALUE"""),198.0)</f>
        <v>198</v>
      </c>
      <c r="D923" s="1">
        <f>IFERROR(__xludf.DUMMYFUNCTION("""COMPUTED_VALUE"""),188.0)</f>
        <v>188</v>
      </c>
      <c r="E923" s="1">
        <f>IFERROR(__xludf.DUMMYFUNCTION("""COMPUTED_VALUE"""),190.65)</f>
        <v>190.65</v>
      </c>
      <c r="F923" s="1">
        <f>IFERROR(__xludf.DUMMYFUNCTION("""COMPUTED_VALUE"""),2551880.0)</f>
        <v>2551880</v>
      </c>
    </row>
    <row r="924">
      <c r="A924" s="2">
        <f>IFERROR(__xludf.DUMMYFUNCTION("""COMPUTED_VALUE"""),37874.645833333336)</f>
        <v>37874.64583</v>
      </c>
      <c r="B924" s="1">
        <f>IFERROR(__xludf.DUMMYFUNCTION("""COMPUTED_VALUE"""),190.0)</f>
        <v>190</v>
      </c>
      <c r="C924" s="1">
        <f>IFERROR(__xludf.DUMMYFUNCTION("""COMPUTED_VALUE"""),194.45)</f>
        <v>194.45</v>
      </c>
      <c r="D924" s="1">
        <f>IFERROR(__xludf.DUMMYFUNCTION("""COMPUTED_VALUE"""),188.2)</f>
        <v>188.2</v>
      </c>
      <c r="E924" s="1">
        <f>IFERROR(__xludf.DUMMYFUNCTION("""COMPUTED_VALUE"""),193.45)</f>
        <v>193.45</v>
      </c>
      <c r="F924" s="1">
        <f>IFERROR(__xludf.DUMMYFUNCTION("""COMPUTED_VALUE"""),1831610.0)</f>
        <v>1831610</v>
      </c>
    </row>
    <row r="925">
      <c r="A925" s="2">
        <f>IFERROR(__xludf.DUMMYFUNCTION("""COMPUTED_VALUE"""),37875.645833333336)</f>
        <v>37875.64583</v>
      </c>
      <c r="B925" s="1">
        <f>IFERROR(__xludf.DUMMYFUNCTION("""COMPUTED_VALUE"""),194.0)</f>
        <v>194</v>
      </c>
      <c r="C925" s="1">
        <f>IFERROR(__xludf.DUMMYFUNCTION("""COMPUTED_VALUE"""),194.0)</f>
        <v>194</v>
      </c>
      <c r="D925" s="1">
        <f>IFERROR(__xludf.DUMMYFUNCTION("""COMPUTED_VALUE"""),188.05)</f>
        <v>188.05</v>
      </c>
      <c r="E925" s="1">
        <f>IFERROR(__xludf.DUMMYFUNCTION("""COMPUTED_VALUE"""),188.95)</f>
        <v>188.95</v>
      </c>
      <c r="F925" s="1">
        <f>IFERROR(__xludf.DUMMYFUNCTION("""COMPUTED_VALUE"""),1965159.0)</f>
        <v>1965159</v>
      </c>
    </row>
    <row r="926">
      <c r="A926" s="2">
        <f>IFERROR(__xludf.DUMMYFUNCTION("""COMPUTED_VALUE"""),37876.645833333336)</f>
        <v>37876.64583</v>
      </c>
      <c r="B926" s="1">
        <f>IFERROR(__xludf.DUMMYFUNCTION("""COMPUTED_VALUE"""),190.0)</f>
        <v>190</v>
      </c>
      <c r="C926" s="1">
        <f>IFERROR(__xludf.DUMMYFUNCTION("""COMPUTED_VALUE"""),190.8)</f>
        <v>190.8</v>
      </c>
      <c r="D926" s="1">
        <f>IFERROR(__xludf.DUMMYFUNCTION("""COMPUTED_VALUE"""),184.1)</f>
        <v>184.1</v>
      </c>
      <c r="E926" s="1">
        <f>IFERROR(__xludf.DUMMYFUNCTION("""COMPUTED_VALUE"""),184.75)</f>
        <v>184.75</v>
      </c>
      <c r="F926" s="1">
        <f>IFERROR(__xludf.DUMMYFUNCTION("""COMPUTED_VALUE"""),2442791.0)</f>
        <v>2442791</v>
      </c>
    </row>
    <row r="927">
      <c r="A927" s="2">
        <f>IFERROR(__xludf.DUMMYFUNCTION("""COMPUTED_VALUE"""),37879.645833333336)</f>
        <v>37879.64583</v>
      </c>
      <c r="B927" s="1">
        <f>IFERROR(__xludf.DUMMYFUNCTION("""COMPUTED_VALUE"""),180.15)</f>
        <v>180.15</v>
      </c>
      <c r="C927" s="1">
        <f>IFERROR(__xludf.DUMMYFUNCTION("""COMPUTED_VALUE"""),186.9)</f>
        <v>186.9</v>
      </c>
      <c r="D927" s="1">
        <f>IFERROR(__xludf.DUMMYFUNCTION("""COMPUTED_VALUE"""),180.1)</f>
        <v>180.1</v>
      </c>
      <c r="E927" s="1">
        <f>IFERROR(__xludf.DUMMYFUNCTION("""COMPUTED_VALUE"""),183.95)</f>
        <v>183.95</v>
      </c>
      <c r="F927" s="1">
        <f>IFERROR(__xludf.DUMMYFUNCTION("""COMPUTED_VALUE"""),2054314.0)</f>
        <v>2054314</v>
      </c>
    </row>
    <row r="928">
      <c r="A928" s="2">
        <f>IFERROR(__xludf.DUMMYFUNCTION("""COMPUTED_VALUE"""),37880.645833333336)</f>
        <v>37880.64583</v>
      </c>
      <c r="B928" s="1">
        <f>IFERROR(__xludf.DUMMYFUNCTION("""COMPUTED_VALUE"""),184.0)</f>
        <v>184</v>
      </c>
      <c r="C928" s="1">
        <f>IFERROR(__xludf.DUMMYFUNCTION("""COMPUTED_VALUE"""),189.75)</f>
        <v>189.75</v>
      </c>
      <c r="D928" s="1">
        <f>IFERROR(__xludf.DUMMYFUNCTION("""COMPUTED_VALUE"""),182.0)</f>
        <v>182</v>
      </c>
      <c r="E928" s="1">
        <f>IFERROR(__xludf.DUMMYFUNCTION("""COMPUTED_VALUE"""),187.35)</f>
        <v>187.35</v>
      </c>
      <c r="F928" s="1">
        <f>IFERROR(__xludf.DUMMYFUNCTION("""COMPUTED_VALUE"""),3042829.0)</f>
        <v>3042829</v>
      </c>
    </row>
    <row r="929">
      <c r="A929" s="2">
        <f>IFERROR(__xludf.DUMMYFUNCTION("""COMPUTED_VALUE"""),37881.645833333336)</f>
        <v>37881.64583</v>
      </c>
      <c r="B929" s="1">
        <f>IFERROR(__xludf.DUMMYFUNCTION("""COMPUTED_VALUE"""),189.7)</f>
        <v>189.7</v>
      </c>
      <c r="C929" s="1">
        <f>IFERROR(__xludf.DUMMYFUNCTION("""COMPUTED_VALUE"""),190.95)</f>
        <v>190.95</v>
      </c>
      <c r="D929" s="1">
        <f>IFERROR(__xludf.DUMMYFUNCTION("""COMPUTED_VALUE"""),184.1)</f>
        <v>184.1</v>
      </c>
      <c r="E929" s="1">
        <f>IFERROR(__xludf.DUMMYFUNCTION("""COMPUTED_VALUE"""),184.95)</f>
        <v>184.95</v>
      </c>
      <c r="F929" s="1">
        <f>IFERROR(__xludf.DUMMYFUNCTION("""COMPUTED_VALUE"""),1630462.0)</f>
        <v>1630462</v>
      </c>
    </row>
    <row r="930">
      <c r="A930" s="2">
        <f>IFERROR(__xludf.DUMMYFUNCTION("""COMPUTED_VALUE"""),37882.645833333336)</f>
        <v>37882.64583</v>
      </c>
      <c r="B930" s="1">
        <f>IFERROR(__xludf.DUMMYFUNCTION("""COMPUTED_VALUE"""),185.0)</f>
        <v>185</v>
      </c>
      <c r="C930" s="1">
        <f>IFERROR(__xludf.DUMMYFUNCTION("""COMPUTED_VALUE"""),185.5)</f>
        <v>185.5</v>
      </c>
      <c r="D930" s="1">
        <f>IFERROR(__xludf.DUMMYFUNCTION("""COMPUTED_VALUE"""),177.0)</f>
        <v>177</v>
      </c>
      <c r="E930" s="1">
        <f>IFERROR(__xludf.DUMMYFUNCTION("""COMPUTED_VALUE"""),178.4)</f>
        <v>178.4</v>
      </c>
      <c r="F930" s="1">
        <f>IFERROR(__xludf.DUMMYFUNCTION("""COMPUTED_VALUE"""),2156131.0)</f>
        <v>2156131</v>
      </c>
    </row>
    <row r="931">
      <c r="A931" s="2">
        <f>IFERROR(__xludf.DUMMYFUNCTION("""COMPUTED_VALUE"""),37883.645833333336)</f>
        <v>37883.64583</v>
      </c>
      <c r="B931" s="1">
        <f>IFERROR(__xludf.DUMMYFUNCTION("""COMPUTED_VALUE"""),179.4)</f>
        <v>179.4</v>
      </c>
      <c r="C931" s="1">
        <f>IFERROR(__xludf.DUMMYFUNCTION("""COMPUTED_VALUE"""),182.5)</f>
        <v>182.5</v>
      </c>
      <c r="D931" s="1">
        <f>IFERROR(__xludf.DUMMYFUNCTION("""COMPUTED_VALUE"""),177.0)</f>
        <v>177</v>
      </c>
      <c r="E931" s="1">
        <f>IFERROR(__xludf.DUMMYFUNCTION("""COMPUTED_VALUE"""),180.8)</f>
        <v>180.8</v>
      </c>
      <c r="F931" s="1">
        <f>IFERROR(__xludf.DUMMYFUNCTION("""COMPUTED_VALUE"""),2586216.0)</f>
        <v>2586216</v>
      </c>
    </row>
    <row r="932">
      <c r="A932" s="2">
        <f>IFERROR(__xludf.DUMMYFUNCTION("""COMPUTED_VALUE"""),37886.645833333336)</f>
        <v>37886.64583</v>
      </c>
      <c r="B932" s="1">
        <f>IFERROR(__xludf.DUMMYFUNCTION("""COMPUTED_VALUE"""),181.9)</f>
        <v>181.9</v>
      </c>
      <c r="C932" s="1">
        <f>IFERROR(__xludf.DUMMYFUNCTION("""COMPUTED_VALUE"""),183.5)</f>
        <v>183.5</v>
      </c>
      <c r="D932" s="1">
        <f>IFERROR(__xludf.DUMMYFUNCTION("""COMPUTED_VALUE"""),173.5)</f>
        <v>173.5</v>
      </c>
      <c r="E932" s="1">
        <f>IFERROR(__xludf.DUMMYFUNCTION("""COMPUTED_VALUE"""),174.3)</f>
        <v>174.3</v>
      </c>
      <c r="F932" s="1">
        <f>IFERROR(__xludf.DUMMYFUNCTION("""COMPUTED_VALUE"""),3847635.0)</f>
        <v>3847635</v>
      </c>
    </row>
    <row r="933">
      <c r="A933" s="2">
        <f>IFERROR(__xludf.DUMMYFUNCTION("""COMPUTED_VALUE"""),37887.645833333336)</f>
        <v>37887.64583</v>
      </c>
      <c r="B933" s="1">
        <f>IFERROR(__xludf.DUMMYFUNCTION("""COMPUTED_VALUE"""),174.1)</f>
        <v>174.1</v>
      </c>
      <c r="C933" s="1">
        <f>IFERROR(__xludf.DUMMYFUNCTION("""COMPUTED_VALUE"""),181.7)</f>
        <v>181.7</v>
      </c>
      <c r="D933" s="1">
        <f>IFERROR(__xludf.DUMMYFUNCTION("""COMPUTED_VALUE"""),172.9)</f>
        <v>172.9</v>
      </c>
      <c r="E933" s="1">
        <f>IFERROR(__xludf.DUMMYFUNCTION("""COMPUTED_VALUE"""),180.55)</f>
        <v>180.55</v>
      </c>
      <c r="F933" s="1">
        <f>IFERROR(__xludf.DUMMYFUNCTION("""COMPUTED_VALUE"""),1886703.0)</f>
        <v>1886703</v>
      </c>
    </row>
    <row r="934">
      <c r="A934" s="2">
        <f>IFERROR(__xludf.DUMMYFUNCTION("""COMPUTED_VALUE"""),37888.645833333336)</f>
        <v>37888.64583</v>
      </c>
      <c r="B934" s="1">
        <f>IFERROR(__xludf.DUMMYFUNCTION("""COMPUTED_VALUE"""),181.15)</f>
        <v>181.15</v>
      </c>
      <c r="C934" s="1">
        <f>IFERROR(__xludf.DUMMYFUNCTION("""COMPUTED_VALUE"""),186.0)</f>
        <v>186</v>
      </c>
      <c r="D934" s="1">
        <f>IFERROR(__xludf.DUMMYFUNCTION("""COMPUTED_VALUE"""),178.0)</f>
        <v>178</v>
      </c>
      <c r="E934" s="1">
        <f>IFERROR(__xludf.DUMMYFUNCTION("""COMPUTED_VALUE"""),184.9)</f>
        <v>184.9</v>
      </c>
      <c r="F934" s="1">
        <f>IFERROR(__xludf.DUMMYFUNCTION("""COMPUTED_VALUE"""),2200090.0)</f>
        <v>2200090</v>
      </c>
    </row>
    <row r="935">
      <c r="A935" s="2">
        <f>IFERROR(__xludf.DUMMYFUNCTION("""COMPUTED_VALUE"""),37889.645833333336)</f>
        <v>37889.64583</v>
      </c>
      <c r="B935" s="1">
        <f>IFERROR(__xludf.DUMMYFUNCTION("""COMPUTED_VALUE"""),183.0)</f>
        <v>183</v>
      </c>
      <c r="C935" s="1">
        <f>IFERROR(__xludf.DUMMYFUNCTION("""COMPUTED_VALUE"""),183.9)</f>
        <v>183.9</v>
      </c>
      <c r="D935" s="1">
        <f>IFERROR(__xludf.DUMMYFUNCTION("""COMPUTED_VALUE"""),178.1)</f>
        <v>178.1</v>
      </c>
      <c r="E935" s="1">
        <f>IFERROR(__xludf.DUMMYFUNCTION("""COMPUTED_VALUE"""),179.45)</f>
        <v>179.45</v>
      </c>
      <c r="F935" s="1">
        <f>IFERROR(__xludf.DUMMYFUNCTION("""COMPUTED_VALUE"""),1595250.0)</f>
        <v>1595250</v>
      </c>
    </row>
    <row r="936">
      <c r="A936" s="2">
        <f>IFERROR(__xludf.DUMMYFUNCTION("""COMPUTED_VALUE"""),37890.645833333336)</f>
        <v>37890.64583</v>
      </c>
      <c r="B936" s="1">
        <f>IFERROR(__xludf.DUMMYFUNCTION("""COMPUTED_VALUE"""),183.05)</f>
        <v>183.05</v>
      </c>
      <c r="C936" s="1">
        <f>IFERROR(__xludf.DUMMYFUNCTION("""COMPUTED_VALUE"""),183.05)</f>
        <v>183.05</v>
      </c>
      <c r="D936" s="1">
        <f>IFERROR(__xludf.DUMMYFUNCTION("""COMPUTED_VALUE"""),178.05)</f>
        <v>178.05</v>
      </c>
      <c r="E936" s="1">
        <f>IFERROR(__xludf.DUMMYFUNCTION("""COMPUTED_VALUE"""),182.2)</f>
        <v>182.2</v>
      </c>
      <c r="F936" s="1">
        <f>IFERROR(__xludf.DUMMYFUNCTION("""COMPUTED_VALUE"""),1288348.0)</f>
        <v>1288348</v>
      </c>
    </row>
    <row r="937">
      <c r="A937" s="2">
        <f>IFERROR(__xludf.DUMMYFUNCTION("""COMPUTED_VALUE"""),37893.645833333336)</f>
        <v>37893.64583</v>
      </c>
      <c r="B937" s="1">
        <f>IFERROR(__xludf.DUMMYFUNCTION("""COMPUTED_VALUE"""),182.9)</f>
        <v>182.9</v>
      </c>
      <c r="C937" s="1">
        <f>IFERROR(__xludf.DUMMYFUNCTION("""COMPUTED_VALUE"""),184.0)</f>
        <v>184</v>
      </c>
      <c r="D937" s="1">
        <f>IFERROR(__xludf.DUMMYFUNCTION("""COMPUTED_VALUE"""),179.15)</f>
        <v>179.15</v>
      </c>
      <c r="E937" s="1">
        <f>IFERROR(__xludf.DUMMYFUNCTION("""COMPUTED_VALUE"""),179.75)</f>
        <v>179.75</v>
      </c>
      <c r="F937" s="1">
        <f>IFERROR(__xludf.DUMMYFUNCTION("""COMPUTED_VALUE"""),1339977.0)</f>
        <v>1339977</v>
      </c>
    </row>
    <row r="938">
      <c r="A938" s="2">
        <f>IFERROR(__xludf.DUMMYFUNCTION("""COMPUTED_VALUE"""),37894.645833333336)</f>
        <v>37894.64583</v>
      </c>
      <c r="B938" s="1">
        <f>IFERROR(__xludf.DUMMYFUNCTION("""COMPUTED_VALUE"""),181.0)</f>
        <v>181</v>
      </c>
      <c r="C938" s="1">
        <f>IFERROR(__xludf.DUMMYFUNCTION("""COMPUTED_VALUE"""),184.4)</f>
        <v>184.4</v>
      </c>
      <c r="D938" s="1">
        <f>IFERROR(__xludf.DUMMYFUNCTION("""COMPUTED_VALUE"""),179.0)</f>
        <v>179</v>
      </c>
      <c r="E938" s="1">
        <f>IFERROR(__xludf.DUMMYFUNCTION("""COMPUTED_VALUE"""),183.75)</f>
        <v>183.75</v>
      </c>
      <c r="F938" s="1">
        <f>IFERROR(__xludf.DUMMYFUNCTION("""COMPUTED_VALUE"""),2050731.0)</f>
        <v>2050731</v>
      </c>
    </row>
    <row r="939">
      <c r="A939" s="2">
        <f>IFERROR(__xludf.DUMMYFUNCTION("""COMPUTED_VALUE"""),37895.645833333336)</f>
        <v>37895.64583</v>
      </c>
      <c r="B939" s="1">
        <f>IFERROR(__xludf.DUMMYFUNCTION("""COMPUTED_VALUE"""),184.0)</f>
        <v>184</v>
      </c>
      <c r="C939" s="1">
        <f>IFERROR(__xludf.DUMMYFUNCTION("""COMPUTED_VALUE"""),185.6)</f>
        <v>185.6</v>
      </c>
      <c r="D939" s="1">
        <f>IFERROR(__xludf.DUMMYFUNCTION("""COMPUTED_VALUE"""),181.0)</f>
        <v>181</v>
      </c>
      <c r="E939" s="1">
        <f>IFERROR(__xludf.DUMMYFUNCTION("""COMPUTED_VALUE"""),184.35)</f>
        <v>184.35</v>
      </c>
      <c r="F939" s="1">
        <f>IFERROR(__xludf.DUMMYFUNCTION("""COMPUTED_VALUE"""),1653383.0)</f>
        <v>1653383</v>
      </c>
    </row>
    <row r="940">
      <c r="A940" s="2">
        <f>IFERROR(__xludf.DUMMYFUNCTION("""COMPUTED_VALUE"""),37897.645833333336)</f>
        <v>37897.64583</v>
      </c>
      <c r="B940" s="1">
        <f>IFERROR(__xludf.DUMMYFUNCTION("""COMPUTED_VALUE"""),185.0)</f>
        <v>185</v>
      </c>
      <c r="C940" s="1">
        <f>IFERROR(__xludf.DUMMYFUNCTION("""COMPUTED_VALUE"""),191.9)</f>
        <v>191.9</v>
      </c>
      <c r="D940" s="1">
        <f>IFERROR(__xludf.DUMMYFUNCTION("""COMPUTED_VALUE"""),185.0)</f>
        <v>185</v>
      </c>
      <c r="E940" s="1">
        <f>IFERROR(__xludf.DUMMYFUNCTION("""COMPUTED_VALUE"""),190.9)</f>
        <v>190.9</v>
      </c>
      <c r="F940" s="1">
        <f>IFERROR(__xludf.DUMMYFUNCTION("""COMPUTED_VALUE"""),3661481.0)</f>
        <v>3661481</v>
      </c>
    </row>
    <row r="941">
      <c r="A941" s="2">
        <f>IFERROR(__xludf.DUMMYFUNCTION("""COMPUTED_VALUE"""),37900.645833333336)</f>
        <v>37900.64583</v>
      </c>
      <c r="B941" s="1">
        <f>IFERROR(__xludf.DUMMYFUNCTION("""COMPUTED_VALUE"""),192.0)</f>
        <v>192</v>
      </c>
      <c r="C941" s="1">
        <f>IFERROR(__xludf.DUMMYFUNCTION("""COMPUTED_VALUE"""),193.1)</f>
        <v>193.1</v>
      </c>
      <c r="D941" s="1">
        <f>IFERROR(__xludf.DUMMYFUNCTION("""COMPUTED_VALUE"""),189.8)</f>
        <v>189.8</v>
      </c>
      <c r="E941" s="1">
        <f>IFERROR(__xludf.DUMMYFUNCTION("""COMPUTED_VALUE"""),191.55)</f>
        <v>191.55</v>
      </c>
      <c r="F941" s="1">
        <f>IFERROR(__xludf.DUMMYFUNCTION("""COMPUTED_VALUE"""),1661035.0)</f>
        <v>1661035</v>
      </c>
    </row>
    <row r="942">
      <c r="A942" s="2">
        <f>IFERROR(__xludf.DUMMYFUNCTION("""COMPUTED_VALUE"""),37901.645833333336)</f>
        <v>37901.64583</v>
      </c>
      <c r="B942" s="1">
        <f>IFERROR(__xludf.DUMMYFUNCTION("""COMPUTED_VALUE"""),191.2)</f>
        <v>191.2</v>
      </c>
      <c r="C942" s="1">
        <f>IFERROR(__xludf.DUMMYFUNCTION("""COMPUTED_VALUE"""),192.35)</f>
        <v>192.35</v>
      </c>
      <c r="D942" s="1">
        <f>IFERROR(__xludf.DUMMYFUNCTION("""COMPUTED_VALUE"""),189.0)</f>
        <v>189</v>
      </c>
      <c r="E942" s="1">
        <f>IFERROR(__xludf.DUMMYFUNCTION("""COMPUTED_VALUE"""),189.95)</f>
        <v>189.95</v>
      </c>
      <c r="F942" s="1">
        <f>IFERROR(__xludf.DUMMYFUNCTION("""COMPUTED_VALUE"""),1783036.0)</f>
        <v>1783036</v>
      </c>
    </row>
    <row r="943">
      <c r="A943" s="2">
        <f>IFERROR(__xludf.DUMMYFUNCTION("""COMPUTED_VALUE"""),37902.645833333336)</f>
        <v>37902.64583</v>
      </c>
      <c r="B943" s="1">
        <f>IFERROR(__xludf.DUMMYFUNCTION("""COMPUTED_VALUE"""),191.0)</f>
        <v>191</v>
      </c>
      <c r="C943" s="1">
        <f>IFERROR(__xludf.DUMMYFUNCTION("""COMPUTED_VALUE"""),191.9)</f>
        <v>191.9</v>
      </c>
      <c r="D943" s="1">
        <f>IFERROR(__xludf.DUMMYFUNCTION("""COMPUTED_VALUE"""),185.05)</f>
        <v>185.05</v>
      </c>
      <c r="E943" s="1">
        <f>IFERROR(__xludf.DUMMYFUNCTION("""COMPUTED_VALUE"""),186.25)</f>
        <v>186.25</v>
      </c>
      <c r="F943" s="1">
        <f>IFERROR(__xludf.DUMMYFUNCTION("""COMPUTED_VALUE"""),1714710.0)</f>
        <v>1714710</v>
      </c>
    </row>
    <row r="944">
      <c r="A944" s="2">
        <f>IFERROR(__xludf.DUMMYFUNCTION("""COMPUTED_VALUE"""),37903.645833333336)</f>
        <v>37903.64583</v>
      </c>
      <c r="B944" s="1">
        <f>IFERROR(__xludf.DUMMYFUNCTION("""COMPUTED_VALUE"""),188.65)</f>
        <v>188.65</v>
      </c>
      <c r="C944" s="1">
        <f>IFERROR(__xludf.DUMMYFUNCTION("""COMPUTED_VALUE"""),189.8)</f>
        <v>189.8</v>
      </c>
      <c r="D944" s="1">
        <f>IFERROR(__xludf.DUMMYFUNCTION("""COMPUTED_VALUE"""),187.05)</f>
        <v>187.05</v>
      </c>
      <c r="E944" s="1">
        <f>IFERROR(__xludf.DUMMYFUNCTION("""COMPUTED_VALUE"""),188.75)</f>
        <v>188.75</v>
      </c>
      <c r="F944" s="1">
        <f>IFERROR(__xludf.DUMMYFUNCTION("""COMPUTED_VALUE"""),1640616.0)</f>
        <v>1640616</v>
      </c>
    </row>
    <row r="945">
      <c r="A945" s="2">
        <f>IFERROR(__xludf.DUMMYFUNCTION("""COMPUTED_VALUE"""),37904.645833333336)</f>
        <v>37904.64583</v>
      </c>
      <c r="B945" s="1">
        <f>IFERROR(__xludf.DUMMYFUNCTION("""COMPUTED_VALUE"""),190.5)</f>
        <v>190.5</v>
      </c>
      <c r="C945" s="1">
        <f>IFERROR(__xludf.DUMMYFUNCTION("""COMPUTED_VALUE"""),191.6)</f>
        <v>191.6</v>
      </c>
      <c r="D945" s="1">
        <f>IFERROR(__xludf.DUMMYFUNCTION("""COMPUTED_VALUE"""),187.25)</f>
        <v>187.25</v>
      </c>
      <c r="E945" s="1">
        <f>IFERROR(__xludf.DUMMYFUNCTION("""COMPUTED_VALUE"""),189.05)</f>
        <v>189.05</v>
      </c>
      <c r="F945" s="1">
        <f>IFERROR(__xludf.DUMMYFUNCTION("""COMPUTED_VALUE"""),1369497.0)</f>
        <v>1369497</v>
      </c>
    </row>
    <row r="946">
      <c r="A946" s="2">
        <f>IFERROR(__xludf.DUMMYFUNCTION("""COMPUTED_VALUE"""),37907.645833333336)</f>
        <v>37907.64583</v>
      </c>
      <c r="B946" s="1">
        <f>IFERROR(__xludf.DUMMYFUNCTION("""COMPUTED_VALUE"""),190.8)</f>
        <v>190.8</v>
      </c>
      <c r="C946" s="1">
        <f>IFERROR(__xludf.DUMMYFUNCTION("""COMPUTED_VALUE"""),192.0)</f>
        <v>192</v>
      </c>
      <c r="D946" s="1">
        <f>IFERROR(__xludf.DUMMYFUNCTION("""COMPUTED_VALUE"""),187.5)</f>
        <v>187.5</v>
      </c>
      <c r="E946" s="1">
        <f>IFERROR(__xludf.DUMMYFUNCTION("""COMPUTED_VALUE"""),189.25)</f>
        <v>189.25</v>
      </c>
      <c r="F946" s="1">
        <f>IFERROR(__xludf.DUMMYFUNCTION("""COMPUTED_VALUE"""),2498509.0)</f>
        <v>2498509</v>
      </c>
    </row>
    <row r="947">
      <c r="A947" s="2">
        <f>IFERROR(__xludf.DUMMYFUNCTION("""COMPUTED_VALUE"""),37908.645833333336)</f>
        <v>37908.64583</v>
      </c>
      <c r="B947" s="1">
        <f>IFERROR(__xludf.DUMMYFUNCTION("""COMPUTED_VALUE"""),191.85)</f>
        <v>191.85</v>
      </c>
      <c r="C947" s="1">
        <f>IFERROR(__xludf.DUMMYFUNCTION("""COMPUTED_VALUE"""),194.9)</f>
        <v>194.9</v>
      </c>
      <c r="D947" s="1">
        <f>IFERROR(__xludf.DUMMYFUNCTION("""COMPUTED_VALUE"""),186.05)</f>
        <v>186.05</v>
      </c>
      <c r="E947" s="1">
        <f>IFERROR(__xludf.DUMMYFUNCTION("""COMPUTED_VALUE"""),187.45)</f>
        <v>187.45</v>
      </c>
      <c r="F947" s="1">
        <f>IFERROR(__xludf.DUMMYFUNCTION("""COMPUTED_VALUE"""),3982995.0)</f>
        <v>3982995</v>
      </c>
    </row>
    <row r="948">
      <c r="A948" s="2">
        <f>IFERROR(__xludf.DUMMYFUNCTION("""COMPUTED_VALUE"""),37909.645833333336)</f>
        <v>37909.64583</v>
      </c>
      <c r="B948" s="1">
        <f>IFERROR(__xludf.DUMMYFUNCTION("""COMPUTED_VALUE"""),187.0)</f>
        <v>187</v>
      </c>
      <c r="C948" s="1">
        <f>IFERROR(__xludf.DUMMYFUNCTION("""COMPUTED_VALUE"""),191.0)</f>
        <v>191</v>
      </c>
      <c r="D948" s="1">
        <f>IFERROR(__xludf.DUMMYFUNCTION("""COMPUTED_VALUE"""),184.8)</f>
        <v>184.8</v>
      </c>
      <c r="E948" s="1">
        <f>IFERROR(__xludf.DUMMYFUNCTION("""COMPUTED_VALUE"""),189.85)</f>
        <v>189.85</v>
      </c>
      <c r="F948" s="1">
        <f>IFERROR(__xludf.DUMMYFUNCTION("""COMPUTED_VALUE"""),2343954.0)</f>
        <v>2343954</v>
      </c>
    </row>
    <row r="949">
      <c r="A949" s="2">
        <f>IFERROR(__xludf.DUMMYFUNCTION("""COMPUTED_VALUE"""),37910.645833333336)</f>
        <v>37910.64583</v>
      </c>
      <c r="B949" s="1">
        <f>IFERROR(__xludf.DUMMYFUNCTION("""COMPUTED_VALUE"""),192.5)</f>
        <v>192.5</v>
      </c>
      <c r="C949" s="1">
        <f>IFERROR(__xludf.DUMMYFUNCTION("""COMPUTED_VALUE"""),194.1)</f>
        <v>194.1</v>
      </c>
      <c r="D949" s="1">
        <f>IFERROR(__xludf.DUMMYFUNCTION("""COMPUTED_VALUE"""),188.1)</f>
        <v>188.1</v>
      </c>
      <c r="E949" s="1">
        <f>IFERROR(__xludf.DUMMYFUNCTION("""COMPUTED_VALUE"""),191.25)</f>
        <v>191.25</v>
      </c>
      <c r="F949" s="1">
        <f>IFERROR(__xludf.DUMMYFUNCTION("""COMPUTED_VALUE"""),2251783.0)</f>
        <v>2251783</v>
      </c>
    </row>
    <row r="950">
      <c r="A950" s="2">
        <f>IFERROR(__xludf.DUMMYFUNCTION("""COMPUTED_VALUE"""),37911.645833333336)</f>
        <v>37911.64583</v>
      </c>
      <c r="B950" s="1">
        <f>IFERROR(__xludf.DUMMYFUNCTION("""COMPUTED_VALUE"""),190.45)</f>
        <v>190.45</v>
      </c>
      <c r="C950" s="1">
        <f>IFERROR(__xludf.DUMMYFUNCTION("""COMPUTED_VALUE"""),196.45)</f>
        <v>196.45</v>
      </c>
      <c r="D950" s="1">
        <f>IFERROR(__xludf.DUMMYFUNCTION("""COMPUTED_VALUE"""),184.6)</f>
        <v>184.6</v>
      </c>
      <c r="E950" s="1">
        <f>IFERROR(__xludf.DUMMYFUNCTION("""COMPUTED_VALUE"""),195.25)</f>
        <v>195.25</v>
      </c>
      <c r="F950" s="1">
        <f>IFERROR(__xludf.DUMMYFUNCTION("""COMPUTED_VALUE"""),4181168.0)</f>
        <v>4181168</v>
      </c>
    </row>
    <row r="951">
      <c r="A951" s="2">
        <f>IFERROR(__xludf.DUMMYFUNCTION("""COMPUTED_VALUE"""),37914.645833333336)</f>
        <v>37914.64583</v>
      </c>
      <c r="B951" s="1">
        <f>IFERROR(__xludf.DUMMYFUNCTION("""COMPUTED_VALUE"""),197.0)</f>
        <v>197</v>
      </c>
      <c r="C951" s="1">
        <f>IFERROR(__xludf.DUMMYFUNCTION("""COMPUTED_VALUE"""),199.4)</f>
        <v>199.4</v>
      </c>
      <c r="D951" s="1">
        <f>IFERROR(__xludf.DUMMYFUNCTION("""COMPUTED_VALUE"""),194.0)</f>
        <v>194</v>
      </c>
      <c r="E951" s="1">
        <f>IFERROR(__xludf.DUMMYFUNCTION("""COMPUTED_VALUE"""),194.9)</f>
        <v>194.9</v>
      </c>
      <c r="F951" s="1">
        <f>IFERROR(__xludf.DUMMYFUNCTION("""COMPUTED_VALUE"""),2693872.0)</f>
        <v>2693872</v>
      </c>
    </row>
    <row r="952">
      <c r="A952" s="2">
        <f>IFERROR(__xludf.DUMMYFUNCTION("""COMPUTED_VALUE"""),37915.645833333336)</f>
        <v>37915.64583</v>
      </c>
      <c r="B952" s="1">
        <f>IFERROR(__xludf.DUMMYFUNCTION("""COMPUTED_VALUE"""),195.0)</f>
        <v>195</v>
      </c>
      <c r="C952" s="1">
        <f>IFERROR(__xludf.DUMMYFUNCTION("""COMPUTED_VALUE"""),196.65)</f>
        <v>196.65</v>
      </c>
      <c r="D952" s="1">
        <f>IFERROR(__xludf.DUMMYFUNCTION("""COMPUTED_VALUE"""),187.75)</f>
        <v>187.75</v>
      </c>
      <c r="E952" s="1">
        <f>IFERROR(__xludf.DUMMYFUNCTION("""COMPUTED_VALUE"""),188.75)</f>
        <v>188.75</v>
      </c>
      <c r="F952" s="1">
        <f>IFERROR(__xludf.DUMMYFUNCTION("""COMPUTED_VALUE"""),2155104.0)</f>
        <v>2155104</v>
      </c>
    </row>
    <row r="953">
      <c r="A953" s="2">
        <f>IFERROR(__xludf.DUMMYFUNCTION("""COMPUTED_VALUE"""),37916.645833333336)</f>
        <v>37916.64583</v>
      </c>
      <c r="B953" s="1">
        <f>IFERROR(__xludf.DUMMYFUNCTION("""COMPUTED_VALUE"""),189.8)</f>
        <v>189.8</v>
      </c>
      <c r="C953" s="1">
        <f>IFERROR(__xludf.DUMMYFUNCTION("""COMPUTED_VALUE"""),190.0)</f>
        <v>190</v>
      </c>
      <c r="D953" s="1">
        <f>IFERROR(__xludf.DUMMYFUNCTION("""COMPUTED_VALUE"""),185.0)</f>
        <v>185</v>
      </c>
      <c r="E953" s="1">
        <f>IFERROR(__xludf.DUMMYFUNCTION("""COMPUTED_VALUE"""),185.9)</f>
        <v>185.9</v>
      </c>
      <c r="F953" s="1">
        <f>IFERROR(__xludf.DUMMYFUNCTION("""COMPUTED_VALUE"""),1923119.0)</f>
        <v>1923119</v>
      </c>
    </row>
    <row r="954">
      <c r="A954" s="2">
        <f>IFERROR(__xludf.DUMMYFUNCTION("""COMPUTED_VALUE"""),37917.645833333336)</f>
        <v>37917.64583</v>
      </c>
      <c r="B954" s="1">
        <f>IFERROR(__xludf.DUMMYFUNCTION("""COMPUTED_VALUE"""),185.5)</f>
        <v>185.5</v>
      </c>
      <c r="C954" s="1">
        <f>IFERROR(__xludf.DUMMYFUNCTION("""COMPUTED_VALUE"""),186.5)</f>
        <v>186.5</v>
      </c>
      <c r="D954" s="1">
        <f>IFERROR(__xludf.DUMMYFUNCTION("""COMPUTED_VALUE"""),182.0)</f>
        <v>182</v>
      </c>
      <c r="E954" s="1">
        <f>IFERROR(__xludf.DUMMYFUNCTION("""COMPUTED_VALUE"""),182.65)</f>
        <v>182.65</v>
      </c>
      <c r="F954" s="1">
        <f>IFERROR(__xludf.DUMMYFUNCTION("""COMPUTED_VALUE"""),1467056.0)</f>
        <v>1467056</v>
      </c>
    </row>
    <row r="955">
      <c r="A955" s="2">
        <f>IFERROR(__xludf.DUMMYFUNCTION("""COMPUTED_VALUE"""),37918.645833333336)</f>
        <v>37918.64583</v>
      </c>
      <c r="B955" s="1">
        <f>IFERROR(__xludf.DUMMYFUNCTION("""COMPUTED_VALUE"""),183.0)</f>
        <v>183</v>
      </c>
      <c r="C955" s="1">
        <f>IFERROR(__xludf.DUMMYFUNCTION("""COMPUTED_VALUE"""),188.2)</f>
        <v>188.2</v>
      </c>
      <c r="D955" s="1">
        <f>IFERROR(__xludf.DUMMYFUNCTION("""COMPUTED_VALUE"""),182.3)</f>
        <v>182.3</v>
      </c>
      <c r="E955" s="1">
        <f>IFERROR(__xludf.DUMMYFUNCTION("""COMPUTED_VALUE"""),187.3)</f>
        <v>187.3</v>
      </c>
      <c r="F955" s="1">
        <f>IFERROR(__xludf.DUMMYFUNCTION("""COMPUTED_VALUE"""),1751106.0)</f>
        <v>1751106</v>
      </c>
    </row>
    <row r="956">
      <c r="A956" s="2">
        <f>IFERROR(__xludf.DUMMYFUNCTION("""COMPUTED_VALUE"""),37921.645833333336)</f>
        <v>37921.64583</v>
      </c>
      <c r="B956" s="1">
        <f>IFERROR(__xludf.DUMMYFUNCTION("""COMPUTED_VALUE"""),187.85)</f>
        <v>187.85</v>
      </c>
      <c r="C956" s="1">
        <f>IFERROR(__xludf.DUMMYFUNCTION("""COMPUTED_VALUE"""),187.85)</f>
        <v>187.85</v>
      </c>
      <c r="D956" s="1">
        <f>IFERROR(__xludf.DUMMYFUNCTION("""COMPUTED_VALUE"""),180.0)</f>
        <v>180</v>
      </c>
      <c r="E956" s="1">
        <f>IFERROR(__xludf.DUMMYFUNCTION("""COMPUTED_VALUE"""),180.55)</f>
        <v>180.55</v>
      </c>
      <c r="F956" s="1">
        <f>IFERROR(__xludf.DUMMYFUNCTION("""COMPUTED_VALUE"""),2171154.0)</f>
        <v>2171154</v>
      </c>
    </row>
    <row r="957">
      <c r="A957" s="2">
        <f>IFERROR(__xludf.DUMMYFUNCTION("""COMPUTED_VALUE"""),37922.645833333336)</f>
        <v>37922.64583</v>
      </c>
      <c r="B957" s="1">
        <f>IFERROR(__xludf.DUMMYFUNCTION("""COMPUTED_VALUE"""),181.0)</f>
        <v>181</v>
      </c>
      <c r="C957" s="1">
        <f>IFERROR(__xludf.DUMMYFUNCTION("""COMPUTED_VALUE"""),181.4)</f>
        <v>181.4</v>
      </c>
      <c r="D957" s="1">
        <f>IFERROR(__xludf.DUMMYFUNCTION("""COMPUTED_VALUE"""),174.5)</f>
        <v>174.5</v>
      </c>
      <c r="E957" s="1">
        <f>IFERROR(__xludf.DUMMYFUNCTION("""COMPUTED_VALUE"""),175.15)</f>
        <v>175.15</v>
      </c>
      <c r="F957" s="1">
        <f>IFERROR(__xludf.DUMMYFUNCTION("""COMPUTED_VALUE"""),3241034.0)</f>
        <v>3241034</v>
      </c>
    </row>
    <row r="958">
      <c r="A958" s="2">
        <f>IFERROR(__xludf.DUMMYFUNCTION("""COMPUTED_VALUE"""),37923.645833333336)</f>
        <v>37923.64583</v>
      </c>
      <c r="B958" s="1">
        <f>IFERROR(__xludf.DUMMYFUNCTION("""COMPUTED_VALUE"""),176.9)</f>
        <v>176.9</v>
      </c>
      <c r="C958" s="1">
        <f>IFERROR(__xludf.DUMMYFUNCTION("""COMPUTED_VALUE"""),178.1)</f>
        <v>178.1</v>
      </c>
      <c r="D958" s="1">
        <f>IFERROR(__xludf.DUMMYFUNCTION("""COMPUTED_VALUE"""),174.1)</f>
        <v>174.1</v>
      </c>
      <c r="E958" s="1">
        <f>IFERROR(__xludf.DUMMYFUNCTION("""COMPUTED_VALUE"""),176.75)</f>
        <v>176.75</v>
      </c>
      <c r="F958" s="1">
        <f>IFERROR(__xludf.DUMMYFUNCTION("""COMPUTED_VALUE"""),2669955.0)</f>
        <v>2669955</v>
      </c>
    </row>
    <row r="959">
      <c r="A959" s="2">
        <f>IFERROR(__xludf.DUMMYFUNCTION("""COMPUTED_VALUE"""),37924.645833333336)</f>
        <v>37924.64583</v>
      </c>
      <c r="B959" s="1">
        <f>IFERROR(__xludf.DUMMYFUNCTION("""COMPUTED_VALUE"""),177.9)</f>
        <v>177.9</v>
      </c>
      <c r="C959" s="1">
        <f>IFERROR(__xludf.DUMMYFUNCTION("""COMPUTED_VALUE"""),180.3)</f>
        <v>180.3</v>
      </c>
      <c r="D959" s="1">
        <f>IFERROR(__xludf.DUMMYFUNCTION("""COMPUTED_VALUE"""),173.55)</f>
        <v>173.55</v>
      </c>
      <c r="E959" s="1">
        <f>IFERROR(__xludf.DUMMYFUNCTION("""COMPUTED_VALUE"""),175.0)</f>
        <v>175</v>
      </c>
      <c r="F959" s="1">
        <f>IFERROR(__xludf.DUMMYFUNCTION("""COMPUTED_VALUE"""),5161246.0)</f>
        <v>5161246</v>
      </c>
    </row>
    <row r="960">
      <c r="A960" s="2">
        <f>IFERROR(__xludf.DUMMYFUNCTION("""COMPUTED_VALUE"""),37925.645833333336)</f>
        <v>37925.64583</v>
      </c>
      <c r="B960" s="1">
        <f>IFERROR(__xludf.DUMMYFUNCTION("""COMPUTED_VALUE"""),176.15)</f>
        <v>176.15</v>
      </c>
      <c r="C960" s="1">
        <f>IFERROR(__xludf.DUMMYFUNCTION("""COMPUTED_VALUE"""),177.75)</f>
        <v>177.75</v>
      </c>
      <c r="D960" s="1">
        <f>IFERROR(__xludf.DUMMYFUNCTION("""COMPUTED_VALUE"""),173.0)</f>
        <v>173</v>
      </c>
      <c r="E960" s="1">
        <f>IFERROR(__xludf.DUMMYFUNCTION("""COMPUTED_VALUE"""),174.35)</f>
        <v>174.35</v>
      </c>
      <c r="F960" s="1">
        <f>IFERROR(__xludf.DUMMYFUNCTION("""COMPUTED_VALUE"""),3863880.0)</f>
        <v>3863880</v>
      </c>
    </row>
    <row r="961">
      <c r="A961" s="2">
        <f>IFERROR(__xludf.DUMMYFUNCTION("""COMPUTED_VALUE"""),37928.645833333336)</f>
        <v>37928.64583</v>
      </c>
      <c r="B961" s="1">
        <f>IFERROR(__xludf.DUMMYFUNCTION("""COMPUTED_VALUE"""),179.8)</f>
        <v>179.8</v>
      </c>
      <c r="C961" s="1">
        <f>IFERROR(__xludf.DUMMYFUNCTION("""COMPUTED_VALUE"""),183.0)</f>
        <v>183</v>
      </c>
      <c r="D961" s="1">
        <f>IFERROR(__xludf.DUMMYFUNCTION("""COMPUTED_VALUE"""),174.8)</f>
        <v>174.8</v>
      </c>
      <c r="E961" s="1">
        <f>IFERROR(__xludf.DUMMYFUNCTION("""COMPUTED_VALUE"""),182.2)</f>
        <v>182.2</v>
      </c>
      <c r="F961" s="1">
        <f>IFERROR(__xludf.DUMMYFUNCTION("""COMPUTED_VALUE"""),5725435.0)</f>
        <v>5725435</v>
      </c>
    </row>
    <row r="962">
      <c r="A962" s="2">
        <f>IFERROR(__xludf.DUMMYFUNCTION("""COMPUTED_VALUE"""),37929.645833333336)</f>
        <v>37929.64583</v>
      </c>
      <c r="B962" s="1">
        <f>IFERROR(__xludf.DUMMYFUNCTION("""COMPUTED_VALUE"""),184.7)</f>
        <v>184.7</v>
      </c>
      <c r="C962" s="1">
        <f>IFERROR(__xludf.DUMMYFUNCTION("""COMPUTED_VALUE"""),187.25)</f>
        <v>187.25</v>
      </c>
      <c r="D962" s="1">
        <f>IFERROR(__xludf.DUMMYFUNCTION("""COMPUTED_VALUE"""),183.0)</f>
        <v>183</v>
      </c>
      <c r="E962" s="1">
        <f>IFERROR(__xludf.DUMMYFUNCTION("""COMPUTED_VALUE"""),185.75)</f>
        <v>185.75</v>
      </c>
      <c r="F962" s="1">
        <f>IFERROR(__xludf.DUMMYFUNCTION("""COMPUTED_VALUE"""),5276384.0)</f>
        <v>5276384</v>
      </c>
    </row>
    <row r="963">
      <c r="A963" s="2">
        <f>IFERROR(__xludf.DUMMYFUNCTION("""COMPUTED_VALUE"""),37930.645833333336)</f>
        <v>37930.64583</v>
      </c>
      <c r="B963" s="1">
        <f>IFERROR(__xludf.DUMMYFUNCTION("""COMPUTED_VALUE"""),186.7)</f>
        <v>186.7</v>
      </c>
      <c r="C963" s="1">
        <f>IFERROR(__xludf.DUMMYFUNCTION("""COMPUTED_VALUE"""),186.9)</f>
        <v>186.9</v>
      </c>
      <c r="D963" s="1">
        <f>IFERROR(__xludf.DUMMYFUNCTION("""COMPUTED_VALUE"""),181.5)</f>
        <v>181.5</v>
      </c>
      <c r="E963" s="1">
        <f>IFERROR(__xludf.DUMMYFUNCTION("""COMPUTED_VALUE"""),182.55)</f>
        <v>182.55</v>
      </c>
      <c r="F963" s="1">
        <f>IFERROR(__xludf.DUMMYFUNCTION("""COMPUTED_VALUE"""),2149627.0)</f>
        <v>2149627</v>
      </c>
    </row>
    <row r="964">
      <c r="A964" s="2">
        <f>IFERROR(__xludf.DUMMYFUNCTION("""COMPUTED_VALUE"""),37931.645833333336)</f>
        <v>37931.64583</v>
      </c>
      <c r="B964" s="1">
        <f>IFERROR(__xludf.DUMMYFUNCTION("""COMPUTED_VALUE"""),184.4)</f>
        <v>184.4</v>
      </c>
      <c r="C964" s="1">
        <f>IFERROR(__xludf.DUMMYFUNCTION("""COMPUTED_VALUE"""),184.4)</f>
        <v>184.4</v>
      </c>
      <c r="D964" s="1">
        <f>IFERROR(__xludf.DUMMYFUNCTION("""COMPUTED_VALUE"""),180.7)</f>
        <v>180.7</v>
      </c>
      <c r="E964" s="1">
        <f>IFERROR(__xludf.DUMMYFUNCTION("""COMPUTED_VALUE"""),182.95)</f>
        <v>182.95</v>
      </c>
      <c r="F964" s="1">
        <f>IFERROR(__xludf.DUMMYFUNCTION("""COMPUTED_VALUE"""),1904518.0)</f>
        <v>1904518</v>
      </c>
    </row>
    <row r="965">
      <c r="A965" s="2">
        <f>IFERROR(__xludf.DUMMYFUNCTION("""COMPUTED_VALUE"""),37932.645833333336)</f>
        <v>37932.64583</v>
      </c>
      <c r="B965" s="1">
        <f>IFERROR(__xludf.DUMMYFUNCTION("""COMPUTED_VALUE"""),182.1)</f>
        <v>182.1</v>
      </c>
      <c r="C965" s="1">
        <f>IFERROR(__xludf.DUMMYFUNCTION("""COMPUTED_VALUE"""),183.5)</f>
        <v>183.5</v>
      </c>
      <c r="D965" s="1">
        <f>IFERROR(__xludf.DUMMYFUNCTION("""COMPUTED_VALUE"""),180.3)</f>
        <v>180.3</v>
      </c>
      <c r="E965" s="1">
        <f>IFERROR(__xludf.DUMMYFUNCTION("""COMPUTED_VALUE"""),180.85)</f>
        <v>180.85</v>
      </c>
      <c r="F965" s="1">
        <f>IFERROR(__xludf.DUMMYFUNCTION("""COMPUTED_VALUE"""),1369622.0)</f>
        <v>1369622</v>
      </c>
    </row>
    <row r="966">
      <c r="A966" s="2">
        <f>IFERROR(__xludf.DUMMYFUNCTION("""COMPUTED_VALUE"""),37935.645833333336)</f>
        <v>37935.64583</v>
      </c>
      <c r="B966" s="1">
        <f>IFERROR(__xludf.DUMMYFUNCTION("""COMPUTED_VALUE"""),182.5)</f>
        <v>182.5</v>
      </c>
      <c r="C966" s="1">
        <f>IFERROR(__xludf.DUMMYFUNCTION("""COMPUTED_VALUE"""),184.9)</f>
        <v>184.9</v>
      </c>
      <c r="D966" s="1">
        <f>IFERROR(__xludf.DUMMYFUNCTION("""COMPUTED_VALUE"""),178.0)</f>
        <v>178</v>
      </c>
      <c r="E966" s="1">
        <f>IFERROR(__xludf.DUMMYFUNCTION("""COMPUTED_VALUE"""),182.85)</f>
        <v>182.85</v>
      </c>
      <c r="F966" s="1">
        <f>IFERROR(__xludf.DUMMYFUNCTION("""COMPUTED_VALUE"""),1439206.0)</f>
        <v>1439206</v>
      </c>
    </row>
    <row r="967">
      <c r="A967" s="2">
        <f>IFERROR(__xludf.DUMMYFUNCTION("""COMPUTED_VALUE"""),37936.645833333336)</f>
        <v>37936.64583</v>
      </c>
      <c r="B967" s="1">
        <f>IFERROR(__xludf.DUMMYFUNCTION("""COMPUTED_VALUE"""),183.8)</f>
        <v>183.8</v>
      </c>
      <c r="C967" s="1">
        <f>IFERROR(__xludf.DUMMYFUNCTION("""COMPUTED_VALUE"""),183.8)</f>
        <v>183.8</v>
      </c>
      <c r="D967" s="1">
        <f>IFERROR(__xludf.DUMMYFUNCTION("""COMPUTED_VALUE"""),180.3)</f>
        <v>180.3</v>
      </c>
      <c r="E967" s="1">
        <f>IFERROR(__xludf.DUMMYFUNCTION("""COMPUTED_VALUE"""),182.3)</f>
        <v>182.3</v>
      </c>
      <c r="F967" s="1">
        <f>IFERROR(__xludf.DUMMYFUNCTION("""COMPUTED_VALUE"""),1628698.0)</f>
        <v>1628698</v>
      </c>
    </row>
    <row r="968">
      <c r="A968" s="2">
        <f>IFERROR(__xludf.DUMMYFUNCTION("""COMPUTED_VALUE"""),37937.645833333336)</f>
        <v>37937.64583</v>
      </c>
      <c r="B968" s="1">
        <f>IFERROR(__xludf.DUMMYFUNCTION("""COMPUTED_VALUE"""),183.5)</f>
        <v>183.5</v>
      </c>
      <c r="C968" s="1">
        <f>IFERROR(__xludf.DUMMYFUNCTION("""COMPUTED_VALUE"""),183.5)</f>
        <v>183.5</v>
      </c>
      <c r="D968" s="1">
        <f>IFERROR(__xludf.DUMMYFUNCTION("""COMPUTED_VALUE"""),181.05)</f>
        <v>181.05</v>
      </c>
      <c r="E968" s="1">
        <f>IFERROR(__xludf.DUMMYFUNCTION("""COMPUTED_VALUE"""),181.7)</f>
        <v>181.7</v>
      </c>
      <c r="F968" s="1">
        <f>IFERROR(__xludf.DUMMYFUNCTION("""COMPUTED_VALUE"""),1421726.0)</f>
        <v>1421726</v>
      </c>
    </row>
    <row r="969">
      <c r="A969" s="2">
        <f>IFERROR(__xludf.DUMMYFUNCTION("""COMPUTED_VALUE"""),37938.645833333336)</f>
        <v>37938.64583</v>
      </c>
      <c r="B969" s="1">
        <f>IFERROR(__xludf.DUMMYFUNCTION("""COMPUTED_VALUE"""),182.5)</f>
        <v>182.5</v>
      </c>
      <c r="C969" s="1">
        <f>IFERROR(__xludf.DUMMYFUNCTION("""COMPUTED_VALUE"""),183.25)</f>
        <v>183.25</v>
      </c>
      <c r="D969" s="1">
        <f>IFERROR(__xludf.DUMMYFUNCTION("""COMPUTED_VALUE"""),180.5)</f>
        <v>180.5</v>
      </c>
      <c r="E969" s="1">
        <f>IFERROR(__xludf.DUMMYFUNCTION("""COMPUTED_VALUE"""),181.3)</f>
        <v>181.3</v>
      </c>
      <c r="F969" s="1">
        <f>IFERROR(__xludf.DUMMYFUNCTION("""COMPUTED_VALUE"""),1663184.0)</f>
        <v>1663184</v>
      </c>
    </row>
    <row r="970">
      <c r="A970" s="2">
        <f>IFERROR(__xludf.DUMMYFUNCTION("""COMPUTED_VALUE"""),37939.645833333336)</f>
        <v>37939.64583</v>
      </c>
      <c r="B970" s="1">
        <f>IFERROR(__xludf.DUMMYFUNCTION("""COMPUTED_VALUE"""),182.0)</f>
        <v>182</v>
      </c>
      <c r="C970" s="1">
        <f>IFERROR(__xludf.DUMMYFUNCTION("""COMPUTED_VALUE"""),182.8)</f>
        <v>182.8</v>
      </c>
      <c r="D970" s="1">
        <f>IFERROR(__xludf.DUMMYFUNCTION("""COMPUTED_VALUE"""),180.2)</f>
        <v>180.2</v>
      </c>
      <c r="E970" s="1">
        <f>IFERROR(__xludf.DUMMYFUNCTION("""COMPUTED_VALUE"""),181.35)</f>
        <v>181.35</v>
      </c>
      <c r="F970" s="1">
        <f>IFERROR(__xludf.DUMMYFUNCTION("""COMPUTED_VALUE"""),2187466.0)</f>
        <v>2187466</v>
      </c>
    </row>
    <row r="971">
      <c r="A971" s="2">
        <f>IFERROR(__xludf.DUMMYFUNCTION("""COMPUTED_VALUE"""),37942.645833333336)</f>
        <v>37942.64583</v>
      </c>
      <c r="B971" s="1">
        <f>IFERROR(__xludf.DUMMYFUNCTION("""COMPUTED_VALUE"""),182.5)</f>
        <v>182.5</v>
      </c>
      <c r="C971" s="1">
        <f>IFERROR(__xludf.DUMMYFUNCTION("""COMPUTED_VALUE"""),182.95)</f>
        <v>182.95</v>
      </c>
      <c r="D971" s="1">
        <f>IFERROR(__xludf.DUMMYFUNCTION("""COMPUTED_VALUE"""),180.5)</f>
        <v>180.5</v>
      </c>
      <c r="E971" s="1">
        <f>IFERROR(__xludf.DUMMYFUNCTION("""COMPUTED_VALUE"""),182.15)</f>
        <v>182.15</v>
      </c>
      <c r="F971" s="1">
        <f>IFERROR(__xludf.DUMMYFUNCTION("""COMPUTED_VALUE"""),1287176.0)</f>
        <v>1287176</v>
      </c>
    </row>
    <row r="972">
      <c r="A972" s="2">
        <f>IFERROR(__xludf.DUMMYFUNCTION("""COMPUTED_VALUE"""),37943.645833333336)</f>
        <v>37943.64583</v>
      </c>
      <c r="B972" s="1">
        <f>IFERROR(__xludf.DUMMYFUNCTION("""COMPUTED_VALUE"""),182.15)</f>
        <v>182.15</v>
      </c>
      <c r="C972" s="1">
        <f>IFERROR(__xludf.DUMMYFUNCTION("""COMPUTED_VALUE"""),186.25)</f>
        <v>186.25</v>
      </c>
      <c r="D972" s="1">
        <f>IFERROR(__xludf.DUMMYFUNCTION("""COMPUTED_VALUE"""),181.5)</f>
        <v>181.5</v>
      </c>
      <c r="E972" s="1">
        <f>IFERROR(__xludf.DUMMYFUNCTION("""COMPUTED_VALUE"""),183.2)</f>
        <v>183.2</v>
      </c>
      <c r="F972" s="1">
        <f>IFERROR(__xludf.DUMMYFUNCTION("""COMPUTED_VALUE"""),2659781.0)</f>
        <v>2659781</v>
      </c>
    </row>
    <row r="973">
      <c r="A973" s="2">
        <f>IFERROR(__xludf.DUMMYFUNCTION("""COMPUTED_VALUE"""),37944.645833333336)</f>
        <v>37944.64583</v>
      </c>
      <c r="B973" s="1">
        <f>IFERROR(__xludf.DUMMYFUNCTION("""COMPUTED_VALUE"""),183.1)</f>
        <v>183.1</v>
      </c>
      <c r="C973" s="1">
        <f>IFERROR(__xludf.DUMMYFUNCTION("""COMPUTED_VALUE"""),183.1)</f>
        <v>183.1</v>
      </c>
      <c r="D973" s="1">
        <f>IFERROR(__xludf.DUMMYFUNCTION("""COMPUTED_VALUE"""),178.35)</f>
        <v>178.35</v>
      </c>
      <c r="E973" s="1">
        <f>IFERROR(__xludf.DUMMYFUNCTION("""COMPUTED_VALUE"""),179.25)</f>
        <v>179.25</v>
      </c>
      <c r="F973" s="1">
        <f>IFERROR(__xludf.DUMMYFUNCTION("""COMPUTED_VALUE"""),1572645.0)</f>
        <v>1572645</v>
      </c>
    </row>
    <row r="974">
      <c r="A974" s="2">
        <f>IFERROR(__xludf.DUMMYFUNCTION("""COMPUTED_VALUE"""),37945.645833333336)</f>
        <v>37945.64583</v>
      </c>
      <c r="B974" s="1">
        <f>IFERROR(__xludf.DUMMYFUNCTION("""COMPUTED_VALUE"""),179.1)</f>
        <v>179.1</v>
      </c>
      <c r="C974" s="1">
        <f>IFERROR(__xludf.DUMMYFUNCTION("""COMPUTED_VALUE"""),179.75)</f>
        <v>179.75</v>
      </c>
      <c r="D974" s="1">
        <f>IFERROR(__xludf.DUMMYFUNCTION("""COMPUTED_VALUE"""),176.25)</f>
        <v>176.25</v>
      </c>
      <c r="E974" s="1">
        <f>IFERROR(__xludf.DUMMYFUNCTION("""COMPUTED_VALUE"""),176.95)</f>
        <v>176.95</v>
      </c>
      <c r="F974" s="1">
        <f>IFERROR(__xludf.DUMMYFUNCTION("""COMPUTED_VALUE"""),1495164.0)</f>
        <v>1495164</v>
      </c>
    </row>
    <row r="975">
      <c r="A975" s="2">
        <f>IFERROR(__xludf.DUMMYFUNCTION("""COMPUTED_VALUE"""),37946.645833333336)</f>
        <v>37946.64583</v>
      </c>
      <c r="B975" s="1">
        <f>IFERROR(__xludf.DUMMYFUNCTION("""COMPUTED_VALUE"""),177.0)</f>
        <v>177</v>
      </c>
      <c r="C975" s="1">
        <f>IFERROR(__xludf.DUMMYFUNCTION("""COMPUTED_VALUE"""),180.5)</f>
        <v>180.5</v>
      </c>
      <c r="D975" s="1">
        <f>IFERROR(__xludf.DUMMYFUNCTION("""COMPUTED_VALUE"""),175.25)</f>
        <v>175.25</v>
      </c>
      <c r="E975" s="1">
        <f>IFERROR(__xludf.DUMMYFUNCTION("""COMPUTED_VALUE"""),179.8)</f>
        <v>179.8</v>
      </c>
      <c r="F975" s="1">
        <f>IFERROR(__xludf.DUMMYFUNCTION("""COMPUTED_VALUE"""),1661783.0)</f>
        <v>1661783</v>
      </c>
    </row>
    <row r="976">
      <c r="A976" s="2">
        <f>IFERROR(__xludf.DUMMYFUNCTION("""COMPUTED_VALUE"""),37949.645833333336)</f>
        <v>37949.64583</v>
      </c>
      <c r="B976" s="1">
        <f>IFERROR(__xludf.DUMMYFUNCTION("""COMPUTED_VALUE"""),180.0)</f>
        <v>180</v>
      </c>
      <c r="C976" s="1">
        <f>IFERROR(__xludf.DUMMYFUNCTION("""COMPUTED_VALUE"""),180.7)</f>
        <v>180.7</v>
      </c>
      <c r="D976" s="1">
        <f>IFERROR(__xludf.DUMMYFUNCTION("""COMPUTED_VALUE"""),176.05)</f>
        <v>176.05</v>
      </c>
      <c r="E976" s="1">
        <f>IFERROR(__xludf.DUMMYFUNCTION("""COMPUTED_VALUE"""),177.55)</f>
        <v>177.55</v>
      </c>
      <c r="F976" s="1">
        <f>IFERROR(__xludf.DUMMYFUNCTION("""COMPUTED_VALUE"""),1624740.0)</f>
        <v>1624740</v>
      </c>
    </row>
    <row r="977">
      <c r="A977" s="2">
        <f>IFERROR(__xludf.DUMMYFUNCTION("""COMPUTED_VALUE"""),37950.645833333336)</f>
        <v>37950.64583</v>
      </c>
      <c r="B977" s="1">
        <f>IFERROR(__xludf.DUMMYFUNCTION("""COMPUTED_VALUE"""),178.5)</f>
        <v>178.5</v>
      </c>
      <c r="C977" s="1">
        <f>IFERROR(__xludf.DUMMYFUNCTION("""COMPUTED_VALUE"""),180.0)</f>
        <v>180</v>
      </c>
      <c r="D977" s="1">
        <f>IFERROR(__xludf.DUMMYFUNCTION("""COMPUTED_VALUE"""),176.75)</f>
        <v>176.75</v>
      </c>
      <c r="E977" s="1">
        <f>IFERROR(__xludf.DUMMYFUNCTION("""COMPUTED_VALUE"""),179.45)</f>
        <v>179.45</v>
      </c>
      <c r="F977" s="1">
        <f>IFERROR(__xludf.DUMMYFUNCTION("""COMPUTED_VALUE"""),1677163.0)</f>
        <v>1677163</v>
      </c>
    </row>
    <row r="978">
      <c r="A978" s="2">
        <f>IFERROR(__xludf.DUMMYFUNCTION("""COMPUTED_VALUE"""),37952.645833333336)</f>
        <v>37952.64583</v>
      </c>
      <c r="B978" s="1">
        <f>IFERROR(__xludf.DUMMYFUNCTION("""COMPUTED_VALUE"""),180.0)</f>
        <v>180</v>
      </c>
      <c r="C978" s="1">
        <f>IFERROR(__xludf.DUMMYFUNCTION("""COMPUTED_VALUE"""),180.85)</f>
        <v>180.85</v>
      </c>
      <c r="D978" s="1">
        <f>IFERROR(__xludf.DUMMYFUNCTION("""COMPUTED_VALUE"""),177.7)</f>
        <v>177.7</v>
      </c>
      <c r="E978" s="1">
        <f>IFERROR(__xludf.DUMMYFUNCTION("""COMPUTED_VALUE"""),179.25)</f>
        <v>179.25</v>
      </c>
      <c r="F978" s="1">
        <f>IFERROR(__xludf.DUMMYFUNCTION("""COMPUTED_VALUE"""),2909475.0)</f>
        <v>2909475</v>
      </c>
    </row>
    <row r="979">
      <c r="A979" s="2">
        <f>IFERROR(__xludf.DUMMYFUNCTION("""COMPUTED_VALUE"""),37953.645833333336)</f>
        <v>37953.64583</v>
      </c>
      <c r="B979" s="1">
        <f>IFERROR(__xludf.DUMMYFUNCTION("""COMPUTED_VALUE"""),179.0)</f>
        <v>179</v>
      </c>
      <c r="C979" s="1">
        <f>IFERROR(__xludf.DUMMYFUNCTION("""COMPUTED_VALUE"""),179.8)</f>
        <v>179.8</v>
      </c>
      <c r="D979" s="1">
        <f>IFERROR(__xludf.DUMMYFUNCTION("""COMPUTED_VALUE"""),175.7)</f>
        <v>175.7</v>
      </c>
      <c r="E979" s="1">
        <f>IFERROR(__xludf.DUMMYFUNCTION("""COMPUTED_VALUE"""),178.25)</f>
        <v>178.25</v>
      </c>
      <c r="F979" s="1">
        <f>IFERROR(__xludf.DUMMYFUNCTION("""COMPUTED_VALUE"""),1682985.0)</f>
        <v>1682985</v>
      </c>
    </row>
    <row r="980">
      <c r="A980" s="2">
        <f>IFERROR(__xludf.DUMMYFUNCTION("""COMPUTED_VALUE"""),37956.645833333336)</f>
        <v>37956.64583</v>
      </c>
      <c r="B980" s="1">
        <f>IFERROR(__xludf.DUMMYFUNCTION("""COMPUTED_VALUE"""),179.4)</f>
        <v>179.4</v>
      </c>
      <c r="C980" s="1">
        <f>IFERROR(__xludf.DUMMYFUNCTION("""COMPUTED_VALUE"""),180.5)</f>
        <v>180.5</v>
      </c>
      <c r="D980" s="1">
        <f>IFERROR(__xludf.DUMMYFUNCTION("""COMPUTED_VALUE"""),178.0)</f>
        <v>178</v>
      </c>
      <c r="E980" s="1">
        <f>IFERROR(__xludf.DUMMYFUNCTION("""COMPUTED_VALUE"""),179.15)</f>
        <v>179.15</v>
      </c>
      <c r="F980" s="1">
        <f>IFERROR(__xludf.DUMMYFUNCTION("""COMPUTED_VALUE"""),2146227.0)</f>
        <v>2146227</v>
      </c>
    </row>
    <row r="981">
      <c r="A981" s="2">
        <f>IFERROR(__xludf.DUMMYFUNCTION("""COMPUTED_VALUE"""),37957.645833333336)</f>
        <v>37957.64583</v>
      </c>
      <c r="B981" s="1">
        <f>IFERROR(__xludf.DUMMYFUNCTION("""COMPUTED_VALUE"""),180.0)</f>
        <v>180</v>
      </c>
      <c r="C981" s="1">
        <f>IFERROR(__xludf.DUMMYFUNCTION("""COMPUTED_VALUE"""),181.45)</f>
        <v>181.45</v>
      </c>
      <c r="D981" s="1">
        <f>IFERROR(__xludf.DUMMYFUNCTION("""COMPUTED_VALUE"""),177.75)</f>
        <v>177.75</v>
      </c>
      <c r="E981" s="1">
        <f>IFERROR(__xludf.DUMMYFUNCTION("""COMPUTED_VALUE"""),178.35)</f>
        <v>178.35</v>
      </c>
      <c r="F981" s="1">
        <f>IFERROR(__xludf.DUMMYFUNCTION("""COMPUTED_VALUE"""),2060678.0)</f>
        <v>2060678</v>
      </c>
    </row>
    <row r="982">
      <c r="A982" s="2">
        <f>IFERROR(__xludf.DUMMYFUNCTION("""COMPUTED_VALUE"""),37958.645833333336)</f>
        <v>37958.64583</v>
      </c>
      <c r="B982" s="1">
        <f>IFERROR(__xludf.DUMMYFUNCTION("""COMPUTED_VALUE"""),179.0)</f>
        <v>179</v>
      </c>
      <c r="C982" s="1">
        <f>IFERROR(__xludf.DUMMYFUNCTION("""COMPUTED_VALUE"""),180.25)</f>
        <v>180.25</v>
      </c>
      <c r="D982" s="1">
        <f>IFERROR(__xludf.DUMMYFUNCTION("""COMPUTED_VALUE"""),178.05)</f>
        <v>178.05</v>
      </c>
      <c r="E982" s="1">
        <f>IFERROR(__xludf.DUMMYFUNCTION("""COMPUTED_VALUE"""),178.85)</f>
        <v>178.85</v>
      </c>
      <c r="F982" s="1">
        <f>IFERROR(__xludf.DUMMYFUNCTION("""COMPUTED_VALUE"""),2199273.0)</f>
        <v>2199273</v>
      </c>
    </row>
    <row r="983">
      <c r="A983" s="2">
        <f>IFERROR(__xludf.DUMMYFUNCTION("""COMPUTED_VALUE"""),37959.645833333336)</f>
        <v>37959.64583</v>
      </c>
      <c r="B983" s="1">
        <f>IFERROR(__xludf.DUMMYFUNCTION("""COMPUTED_VALUE"""),179.5)</f>
        <v>179.5</v>
      </c>
      <c r="C983" s="1">
        <f>IFERROR(__xludf.DUMMYFUNCTION("""COMPUTED_VALUE"""),182.5)</f>
        <v>182.5</v>
      </c>
      <c r="D983" s="1">
        <f>IFERROR(__xludf.DUMMYFUNCTION("""COMPUTED_VALUE"""),178.0)</f>
        <v>178</v>
      </c>
      <c r="E983" s="1">
        <f>IFERROR(__xludf.DUMMYFUNCTION("""COMPUTED_VALUE"""),180.95)</f>
        <v>180.95</v>
      </c>
      <c r="F983" s="1">
        <f>IFERROR(__xludf.DUMMYFUNCTION("""COMPUTED_VALUE"""),3542028.0)</f>
        <v>3542028</v>
      </c>
    </row>
    <row r="984">
      <c r="A984" s="2">
        <f>IFERROR(__xludf.DUMMYFUNCTION("""COMPUTED_VALUE"""),37960.645833333336)</f>
        <v>37960.64583</v>
      </c>
      <c r="B984" s="1">
        <f>IFERROR(__xludf.DUMMYFUNCTION("""COMPUTED_VALUE"""),183.0)</f>
        <v>183</v>
      </c>
      <c r="C984" s="1">
        <f>IFERROR(__xludf.DUMMYFUNCTION("""COMPUTED_VALUE"""),188.5)</f>
        <v>188.5</v>
      </c>
      <c r="D984" s="1">
        <f>IFERROR(__xludf.DUMMYFUNCTION("""COMPUTED_VALUE"""),183.0)</f>
        <v>183</v>
      </c>
      <c r="E984" s="1">
        <f>IFERROR(__xludf.DUMMYFUNCTION("""COMPUTED_VALUE"""),187.0)</f>
        <v>187</v>
      </c>
      <c r="F984" s="1">
        <f>IFERROR(__xludf.DUMMYFUNCTION("""COMPUTED_VALUE"""),6339603.0)</f>
        <v>6339603</v>
      </c>
    </row>
    <row r="985">
      <c r="A985" s="2">
        <f>IFERROR(__xludf.DUMMYFUNCTION("""COMPUTED_VALUE"""),37963.645833333336)</f>
        <v>37963.64583</v>
      </c>
      <c r="B985" s="1">
        <f>IFERROR(__xludf.DUMMYFUNCTION("""COMPUTED_VALUE"""),188.0)</f>
        <v>188</v>
      </c>
      <c r="C985" s="1">
        <f>IFERROR(__xludf.DUMMYFUNCTION("""COMPUTED_VALUE"""),192.35)</f>
        <v>192.35</v>
      </c>
      <c r="D985" s="1">
        <f>IFERROR(__xludf.DUMMYFUNCTION("""COMPUTED_VALUE"""),187.5)</f>
        <v>187.5</v>
      </c>
      <c r="E985" s="1">
        <f>IFERROR(__xludf.DUMMYFUNCTION("""COMPUTED_VALUE"""),187.9)</f>
        <v>187.9</v>
      </c>
      <c r="F985" s="1">
        <f>IFERROR(__xludf.DUMMYFUNCTION("""COMPUTED_VALUE"""),3922366.0)</f>
        <v>3922366</v>
      </c>
    </row>
    <row r="986">
      <c r="A986" s="2">
        <f>IFERROR(__xludf.DUMMYFUNCTION("""COMPUTED_VALUE"""),37964.645833333336)</f>
        <v>37964.64583</v>
      </c>
      <c r="B986" s="1">
        <f>IFERROR(__xludf.DUMMYFUNCTION("""COMPUTED_VALUE"""),189.5)</f>
        <v>189.5</v>
      </c>
      <c r="C986" s="1">
        <f>IFERROR(__xludf.DUMMYFUNCTION("""COMPUTED_VALUE"""),189.5)</f>
        <v>189.5</v>
      </c>
      <c r="D986" s="1">
        <f>IFERROR(__xludf.DUMMYFUNCTION("""COMPUTED_VALUE"""),186.15)</f>
        <v>186.15</v>
      </c>
      <c r="E986" s="1">
        <f>IFERROR(__xludf.DUMMYFUNCTION("""COMPUTED_VALUE"""),187.35)</f>
        <v>187.35</v>
      </c>
      <c r="F986" s="1">
        <f>IFERROR(__xludf.DUMMYFUNCTION("""COMPUTED_VALUE"""),2343303.0)</f>
        <v>2343303</v>
      </c>
    </row>
    <row r="987">
      <c r="A987" s="2">
        <f>IFERROR(__xludf.DUMMYFUNCTION("""COMPUTED_VALUE"""),37965.645833333336)</f>
        <v>37965.64583</v>
      </c>
      <c r="B987" s="1">
        <f>IFERROR(__xludf.DUMMYFUNCTION("""COMPUTED_VALUE"""),187.8)</f>
        <v>187.8</v>
      </c>
      <c r="C987" s="1">
        <f>IFERROR(__xludf.DUMMYFUNCTION("""COMPUTED_VALUE"""),191.0)</f>
        <v>191</v>
      </c>
      <c r="D987" s="1">
        <f>IFERROR(__xludf.DUMMYFUNCTION("""COMPUTED_VALUE"""),187.0)</f>
        <v>187</v>
      </c>
      <c r="E987" s="1">
        <f>IFERROR(__xludf.DUMMYFUNCTION("""COMPUTED_VALUE"""),188.25)</f>
        <v>188.25</v>
      </c>
      <c r="F987" s="1">
        <f>IFERROR(__xludf.DUMMYFUNCTION("""COMPUTED_VALUE"""),2867629.0)</f>
        <v>2867629</v>
      </c>
    </row>
    <row r="988">
      <c r="A988" s="2">
        <f>IFERROR(__xludf.DUMMYFUNCTION("""COMPUTED_VALUE"""),37966.645833333336)</f>
        <v>37966.64583</v>
      </c>
      <c r="B988" s="1">
        <f>IFERROR(__xludf.DUMMYFUNCTION("""COMPUTED_VALUE"""),189.0)</f>
        <v>189</v>
      </c>
      <c r="C988" s="1">
        <f>IFERROR(__xludf.DUMMYFUNCTION("""COMPUTED_VALUE"""),189.85)</f>
        <v>189.85</v>
      </c>
      <c r="D988" s="1">
        <f>IFERROR(__xludf.DUMMYFUNCTION("""COMPUTED_VALUE"""),185.5)</f>
        <v>185.5</v>
      </c>
      <c r="E988" s="1">
        <f>IFERROR(__xludf.DUMMYFUNCTION("""COMPUTED_VALUE"""),186.85)</f>
        <v>186.85</v>
      </c>
      <c r="F988" s="1">
        <f>IFERROR(__xludf.DUMMYFUNCTION("""COMPUTED_VALUE"""),3128390.0)</f>
        <v>3128390</v>
      </c>
    </row>
    <row r="989">
      <c r="A989" s="2">
        <f>IFERROR(__xludf.DUMMYFUNCTION("""COMPUTED_VALUE"""),37967.645833333336)</f>
        <v>37967.64583</v>
      </c>
      <c r="B989" s="1">
        <f>IFERROR(__xludf.DUMMYFUNCTION("""COMPUTED_VALUE"""),188.5)</f>
        <v>188.5</v>
      </c>
      <c r="C989" s="1">
        <f>IFERROR(__xludf.DUMMYFUNCTION("""COMPUTED_VALUE"""),189.0)</f>
        <v>189</v>
      </c>
      <c r="D989" s="1">
        <f>IFERROR(__xludf.DUMMYFUNCTION("""COMPUTED_VALUE"""),186.2)</f>
        <v>186.2</v>
      </c>
      <c r="E989" s="1">
        <f>IFERROR(__xludf.DUMMYFUNCTION("""COMPUTED_VALUE"""),186.95)</f>
        <v>186.95</v>
      </c>
      <c r="F989" s="1">
        <f>IFERROR(__xludf.DUMMYFUNCTION("""COMPUTED_VALUE"""),2443715.0)</f>
        <v>2443715</v>
      </c>
    </row>
    <row r="990">
      <c r="A990" s="2">
        <f>IFERROR(__xludf.DUMMYFUNCTION("""COMPUTED_VALUE"""),37970.645833333336)</f>
        <v>37970.64583</v>
      </c>
      <c r="B990" s="1">
        <f>IFERROR(__xludf.DUMMYFUNCTION("""COMPUTED_VALUE"""),189.0)</f>
        <v>189</v>
      </c>
      <c r="C990" s="1">
        <f>IFERROR(__xludf.DUMMYFUNCTION("""COMPUTED_VALUE"""),193.9)</f>
        <v>193.9</v>
      </c>
      <c r="D990" s="1">
        <f>IFERROR(__xludf.DUMMYFUNCTION("""COMPUTED_VALUE"""),187.0)</f>
        <v>187</v>
      </c>
      <c r="E990" s="1">
        <f>IFERROR(__xludf.DUMMYFUNCTION("""COMPUTED_VALUE"""),192.4)</f>
        <v>192.4</v>
      </c>
      <c r="F990" s="1">
        <f>IFERROR(__xludf.DUMMYFUNCTION("""COMPUTED_VALUE"""),2673701.0)</f>
        <v>2673701</v>
      </c>
    </row>
    <row r="991">
      <c r="A991" s="2">
        <f>IFERROR(__xludf.DUMMYFUNCTION("""COMPUTED_VALUE"""),37971.645833333336)</f>
        <v>37971.64583</v>
      </c>
      <c r="B991" s="1">
        <f>IFERROR(__xludf.DUMMYFUNCTION("""COMPUTED_VALUE"""),193.4)</f>
        <v>193.4</v>
      </c>
      <c r="C991" s="1">
        <f>IFERROR(__xludf.DUMMYFUNCTION("""COMPUTED_VALUE"""),200.9)</f>
        <v>200.9</v>
      </c>
      <c r="D991" s="1">
        <f>IFERROR(__xludf.DUMMYFUNCTION("""COMPUTED_VALUE"""),193.0)</f>
        <v>193</v>
      </c>
      <c r="E991" s="1">
        <f>IFERROR(__xludf.DUMMYFUNCTION("""COMPUTED_VALUE"""),199.9)</f>
        <v>199.9</v>
      </c>
      <c r="F991" s="1">
        <f>IFERROR(__xludf.DUMMYFUNCTION("""COMPUTED_VALUE"""),7612706.0)</f>
        <v>7612706</v>
      </c>
    </row>
    <row r="992">
      <c r="A992" s="2">
        <f>IFERROR(__xludf.DUMMYFUNCTION("""COMPUTED_VALUE"""),37972.645833333336)</f>
        <v>37972.64583</v>
      </c>
      <c r="B992" s="1">
        <f>IFERROR(__xludf.DUMMYFUNCTION("""COMPUTED_VALUE"""),200.35)</f>
        <v>200.35</v>
      </c>
      <c r="C992" s="1">
        <f>IFERROR(__xludf.DUMMYFUNCTION("""COMPUTED_VALUE"""),203.6)</f>
        <v>203.6</v>
      </c>
      <c r="D992" s="1">
        <f>IFERROR(__xludf.DUMMYFUNCTION("""COMPUTED_VALUE"""),199.2)</f>
        <v>199.2</v>
      </c>
      <c r="E992" s="1">
        <f>IFERROR(__xludf.DUMMYFUNCTION("""COMPUTED_VALUE"""),199.95)</f>
        <v>199.95</v>
      </c>
      <c r="F992" s="1">
        <f>IFERROR(__xludf.DUMMYFUNCTION("""COMPUTED_VALUE"""),5848689.0)</f>
        <v>5848689</v>
      </c>
    </row>
    <row r="993">
      <c r="A993" s="2">
        <f>IFERROR(__xludf.DUMMYFUNCTION("""COMPUTED_VALUE"""),37973.645833333336)</f>
        <v>37973.64583</v>
      </c>
      <c r="B993" s="1">
        <f>IFERROR(__xludf.DUMMYFUNCTION("""COMPUTED_VALUE"""),199.1)</f>
        <v>199.1</v>
      </c>
      <c r="C993" s="1">
        <f>IFERROR(__xludf.DUMMYFUNCTION("""COMPUTED_VALUE"""),201.0)</f>
        <v>201</v>
      </c>
      <c r="D993" s="1">
        <f>IFERROR(__xludf.DUMMYFUNCTION("""COMPUTED_VALUE"""),197.5)</f>
        <v>197.5</v>
      </c>
      <c r="E993" s="1">
        <f>IFERROR(__xludf.DUMMYFUNCTION("""COMPUTED_VALUE"""),198.75)</f>
        <v>198.75</v>
      </c>
      <c r="F993" s="1">
        <f>IFERROR(__xludf.DUMMYFUNCTION("""COMPUTED_VALUE"""),2005213.0)</f>
        <v>2005213</v>
      </c>
    </row>
    <row r="994">
      <c r="A994" s="2">
        <f>IFERROR(__xludf.DUMMYFUNCTION("""COMPUTED_VALUE"""),37974.645833333336)</f>
        <v>37974.64583</v>
      </c>
      <c r="B994" s="1">
        <f>IFERROR(__xludf.DUMMYFUNCTION("""COMPUTED_VALUE"""),199.5)</f>
        <v>199.5</v>
      </c>
      <c r="C994" s="1">
        <f>IFERROR(__xludf.DUMMYFUNCTION("""COMPUTED_VALUE"""),201.5)</f>
        <v>201.5</v>
      </c>
      <c r="D994" s="1">
        <f>IFERROR(__xludf.DUMMYFUNCTION("""COMPUTED_VALUE"""),198.75)</f>
        <v>198.75</v>
      </c>
      <c r="E994" s="1">
        <f>IFERROR(__xludf.DUMMYFUNCTION("""COMPUTED_VALUE"""),200.5)</f>
        <v>200.5</v>
      </c>
      <c r="F994" s="1">
        <f>IFERROR(__xludf.DUMMYFUNCTION("""COMPUTED_VALUE"""),2761188.0)</f>
        <v>2761188</v>
      </c>
    </row>
    <row r="995">
      <c r="A995" s="2">
        <f>IFERROR(__xludf.DUMMYFUNCTION("""COMPUTED_VALUE"""),37977.645833333336)</f>
        <v>37977.64583</v>
      </c>
      <c r="B995" s="1">
        <f>IFERROR(__xludf.DUMMYFUNCTION("""COMPUTED_VALUE"""),202.5)</f>
        <v>202.5</v>
      </c>
      <c r="C995" s="1">
        <f>IFERROR(__xludf.DUMMYFUNCTION("""COMPUTED_VALUE"""),203.7)</f>
        <v>203.7</v>
      </c>
      <c r="D995" s="1">
        <f>IFERROR(__xludf.DUMMYFUNCTION("""COMPUTED_VALUE"""),199.3)</f>
        <v>199.3</v>
      </c>
      <c r="E995" s="1">
        <f>IFERROR(__xludf.DUMMYFUNCTION("""COMPUTED_VALUE"""),199.75)</f>
        <v>199.75</v>
      </c>
      <c r="F995" s="1">
        <f>IFERROR(__xludf.DUMMYFUNCTION("""COMPUTED_VALUE"""),2551111.0)</f>
        <v>2551111</v>
      </c>
    </row>
    <row r="996">
      <c r="A996" s="2">
        <f>IFERROR(__xludf.DUMMYFUNCTION("""COMPUTED_VALUE"""),37978.645833333336)</f>
        <v>37978.64583</v>
      </c>
      <c r="B996" s="1">
        <f>IFERROR(__xludf.DUMMYFUNCTION("""COMPUTED_VALUE"""),201.4)</f>
        <v>201.4</v>
      </c>
      <c r="C996" s="1">
        <f>IFERROR(__xludf.DUMMYFUNCTION("""COMPUTED_VALUE"""),201.7)</f>
        <v>201.7</v>
      </c>
      <c r="D996" s="1">
        <f>IFERROR(__xludf.DUMMYFUNCTION("""COMPUTED_VALUE"""),199.65)</f>
        <v>199.65</v>
      </c>
      <c r="E996" s="1">
        <f>IFERROR(__xludf.DUMMYFUNCTION("""COMPUTED_VALUE"""),199.85)</f>
        <v>199.85</v>
      </c>
      <c r="F996" s="1">
        <f>IFERROR(__xludf.DUMMYFUNCTION("""COMPUTED_VALUE"""),2139596.0)</f>
        <v>2139596</v>
      </c>
    </row>
    <row r="997">
      <c r="A997" s="2">
        <f>IFERROR(__xludf.DUMMYFUNCTION("""COMPUTED_VALUE"""),37979.645833333336)</f>
        <v>37979.64583</v>
      </c>
      <c r="B997" s="1">
        <f>IFERROR(__xludf.DUMMYFUNCTION("""COMPUTED_VALUE"""),200.5)</f>
        <v>200.5</v>
      </c>
      <c r="C997" s="1">
        <f>IFERROR(__xludf.DUMMYFUNCTION("""COMPUTED_VALUE"""),202.0)</f>
        <v>202</v>
      </c>
      <c r="D997" s="1">
        <f>IFERROR(__xludf.DUMMYFUNCTION("""COMPUTED_VALUE"""),197.15)</f>
        <v>197.15</v>
      </c>
      <c r="E997" s="1">
        <f>IFERROR(__xludf.DUMMYFUNCTION("""COMPUTED_VALUE"""),200.6)</f>
        <v>200.6</v>
      </c>
      <c r="F997" s="1">
        <f>IFERROR(__xludf.DUMMYFUNCTION("""COMPUTED_VALUE"""),3120330.0)</f>
        <v>3120330</v>
      </c>
    </row>
    <row r="998">
      <c r="A998" s="2">
        <f>IFERROR(__xludf.DUMMYFUNCTION("""COMPUTED_VALUE"""),37981.645833333336)</f>
        <v>37981.64583</v>
      </c>
      <c r="B998" s="1">
        <f>IFERROR(__xludf.DUMMYFUNCTION("""COMPUTED_VALUE"""),201.5)</f>
        <v>201.5</v>
      </c>
      <c r="C998" s="1">
        <f>IFERROR(__xludf.DUMMYFUNCTION("""COMPUTED_VALUE"""),203.75)</f>
        <v>203.75</v>
      </c>
      <c r="D998" s="1">
        <f>IFERROR(__xludf.DUMMYFUNCTION("""COMPUTED_VALUE"""),201.0)</f>
        <v>201</v>
      </c>
      <c r="E998" s="1">
        <f>IFERROR(__xludf.DUMMYFUNCTION("""COMPUTED_VALUE"""),202.7)</f>
        <v>202.7</v>
      </c>
      <c r="F998" s="1">
        <f>IFERROR(__xludf.DUMMYFUNCTION("""COMPUTED_VALUE"""),1500856.0)</f>
        <v>1500856</v>
      </c>
    </row>
    <row r="999">
      <c r="A999" s="2">
        <f>IFERROR(__xludf.DUMMYFUNCTION("""COMPUTED_VALUE"""),37984.645833333336)</f>
        <v>37984.64583</v>
      </c>
      <c r="B999" s="1">
        <f>IFERROR(__xludf.DUMMYFUNCTION("""COMPUTED_VALUE"""),204.9)</f>
        <v>204.9</v>
      </c>
      <c r="C999" s="1">
        <f>IFERROR(__xludf.DUMMYFUNCTION("""COMPUTED_VALUE"""),207.35)</f>
        <v>207.35</v>
      </c>
      <c r="D999" s="1">
        <f>IFERROR(__xludf.DUMMYFUNCTION("""COMPUTED_VALUE"""),203.6)</f>
        <v>203.6</v>
      </c>
      <c r="E999" s="1">
        <f>IFERROR(__xludf.DUMMYFUNCTION("""COMPUTED_VALUE"""),206.15)</f>
        <v>206.15</v>
      </c>
      <c r="F999" s="1">
        <f>IFERROR(__xludf.DUMMYFUNCTION("""COMPUTED_VALUE"""),3355394.0)</f>
        <v>3355394</v>
      </c>
    </row>
    <row r="1000">
      <c r="A1000" s="2">
        <f>IFERROR(__xludf.DUMMYFUNCTION("""COMPUTED_VALUE"""),37985.645833333336)</f>
        <v>37985.64583</v>
      </c>
      <c r="B1000" s="1">
        <f>IFERROR(__xludf.DUMMYFUNCTION("""COMPUTED_VALUE"""),208.0)</f>
        <v>208</v>
      </c>
      <c r="C1000" s="1">
        <f>IFERROR(__xludf.DUMMYFUNCTION("""COMPUTED_VALUE"""),210.95)</f>
        <v>210.95</v>
      </c>
      <c r="D1000" s="1">
        <f>IFERROR(__xludf.DUMMYFUNCTION("""COMPUTED_VALUE"""),204.65)</f>
        <v>204.65</v>
      </c>
      <c r="E1000" s="1">
        <f>IFERROR(__xludf.DUMMYFUNCTION("""COMPUTED_VALUE"""),206.45)</f>
        <v>206.45</v>
      </c>
      <c r="F1000" s="1">
        <f>IFERROR(__xludf.DUMMYFUNCTION("""COMPUTED_VALUE"""),4829223.0)</f>
        <v>4829223</v>
      </c>
    </row>
    <row r="1001">
      <c r="A1001" s="2">
        <f>IFERROR(__xludf.DUMMYFUNCTION("""COMPUTED_VALUE"""),37986.645833333336)</f>
        <v>37986.64583</v>
      </c>
      <c r="B1001" s="1">
        <f>IFERROR(__xludf.DUMMYFUNCTION("""COMPUTED_VALUE"""),208.0)</f>
        <v>208</v>
      </c>
      <c r="C1001" s="1">
        <f>IFERROR(__xludf.DUMMYFUNCTION("""COMPUTED_VALUE"""),208.4)</f>
        <v>208.4</v>
      </c>
      <c r="D1001" s="1">
        <f>IFERROR(__xludf.DUMMYFUNCTION("""COMPUTED_VALUE"""),203.0)</f>
        <v>203</v>
      </c>
      <c r="E1001" s="1">
        <f>IFERROR(__xludf.DUMMYFUNCTION("""COMPUTED_VALUE"""),204.45)</f>
        <v>204.45</v>
      </c>
      <c r="F1001" s="1">
        <f>IFERROR(__xludf.DUMMYFUNCTION("""COMPUTED_VALUE"""),3222902.0)</f>
        <v>3222902</v>
      </c>
    </row>
    <row r="1002">
      <c r="A1002" s="2">
        <f>IFERROR(__xludf.DUMMYFUNCTION("""COMPUTED_VALUE"""),37987.645833333336)</f>
        <v>37987.64583</v>
      </c>
      <c r="B1002" s="1">
        <f>IFERROR(__xludf.DUMMYFUNCTION("""COMPUTED_VALUE"""),205.9)</f>
        <v>205.9</v>
      </c>
      <c r="C1002" s="1">
        <f>IFERROR(__xludf.DUMMYFUNCTION("""COMPUTED_VALUE"""),215.5)</f>
        <v>215.5</v>
      </c>
      <c r="D1002" s="1">
        <f>IFERROR(__xludf.DUMMYFUNCTION("""COMPUTED_VALUE"""),205.9)</f>
        <v>205.9</v>
      </c>
      <c r="E1002" s="1">
        <f>IFERROR(__xludf.DUMMYFUNCTION("""COMPUTED_VALUE"""),212.75)</f>
        <v>212.75</v>
      </c>
      <c r="F1002" s="1">
        <f>IFERROR(__xludf.DUMMYFUNCTION("""COMPUTED_VALUE"""),5400168.0)</f>
        <v>5400168</v>
      </c>
    </row>
    <row r="1003">
      <c r="A1003" s="2">
        <f>IFERROR(__xludf.DUMMYFUNCTION("""COMPUTED_VALUE"""),37988.645833333336)</f>
        <v>37988.64583</v>
      </c>
      <c r="B1003" s="1">
        <f>IFERROR(__xludf.DUMMYFUNCTION("""COMPUTED_VALUE"""),215.5)</f>
        <v>215.5</v>
      </c>
      <c r="C1003" s="1">
        <f>IFERROR(__xludf.DUMMYFUNCTION("""COMPUTED_VALUE"""),216.7)</f>
        <v>216.7</v>
      </c>
      <c r="D1003" s="1">
        <f>IFERROR(__xludf.DUMMYFUNCTION("""COMPUTED_VALUE"""),212.1)</f>
        <v>212.1</v>
      </c>
      <c r="E1003" s="1">
        <f>IFERROR(__xludf.DUMMYFUNCTION("""COMPUTED_VALUE"""),215.45)</f>
        <v>215.45</v>
      </c>
      <c r="F1003" s="1">
        <f>IFERROR(__xludf.DUMMYFUNCTION("""COMPUTED_VALUE"""),2859177.0)</f>
        <v>2859177</v>
      </c>
    </row>
    <row r="1004">
      <c r="A1004" s="2">
        <f>IFERROR(__xludf.DUMMYFUNCTION("""COMPUTED_VALUE"""),37991.645833333336)</f>
        <v>37991.64583</v>
      </c>
      <c r="B1004" s="1">
        <f>IFERROR(__xludf.DUMMYFUNCTION("""COMPUTED_VALUE"""),217.7)</f>
        <v>217.7</v>
      </c>
      <c r="C1004" s="1">
        <f>IFERROR(__xludf.DUMMYFUNCTION("""COMPUTED_VALUE"""),218.0)</f>
        <v>218</v>
      </c>
      <c r="D1004" s="1">
        <f>IFERROR(__xludf.DUMMYFUNCTION("""COMPUTED_VALUE"""),211.0)</f>
        <v>211</v>
      </c>
      <c r="E1004" s="1">
        <f>IFERROR(__xludf.DUMMYFUNCTION("""COMPUTED_VALUE"""),214.4)</f>
        <v>214.4</v>
      </c>
      <c r="F1004" s="1">
        <f>IFERROR(__xludf.DUMMYFUNCTION("""COMPUTED_VALUE"""),2075535.0)</f>
        <v>2075535</v>
      </c>
    </row>
    <row r="1005">
      <c r="A1005" s="2">
        <f>IFERROR(__xludf.DUMMYFUNCTION("""COMPUTED_VALUE"""),37992.645833333336)</f>
        <v>37992.64583</v>
      </c>
      <c r="B1005" s="1">
        <f>IFERROR(__xludf.DUMMYFUNCTION("""COMPUTED_VALUE"""),214.3)</f>
        <v>214.3</v>
      </c>
      <c r="C1005" s="1">
        <f>IFERROR(__xludf.DUMMYFUNCTION("""COMPUTED_VALUE"""),218.0)</f>
        <v>218</v>
      </c>
      <c r="D1005" s="1">
        <f>IFERROR(__xludf.DUMMYFUNCTION("""COMPUTED_VALUE"""),212.0)</f>
        <v>212</v>
      </c>
      <c r="E1005" s="1">
        <f>IFERROR(__xludf.DUMMYFUNCTION("""COMPUTED_VALUE"""),213.65)</f>
        <v>213.65</v>
      </c>
      <c r="F1005" s="1">
        <f>IFERROR(__xludf.DUMMYFUNCTION("""COMPUTED_VALUE"""),2971776.0)</f>
        <v>2971776</v>
      </c>
    </row>
    <row r="1006">
      <c r="A1006" s="2">
        <f>IFERROR(__xludf.DUMMYFUNCTION("""COMPUTED_VALUE"""),37993.645833333336)</f>
        <v>37993.64583</v>
      </c>
      <c r="B1006" s="1">
        <f>IFERROR(__xludf.DUMMYFUNCTION("""COMPUTED_VALUE"""),213.7)</f>
        <v>213.7</v>
      </c>
      <c r="C1006" s="1">
        <f>IFERROR(__xludf.DUMMYFUNCTION("""COMPUTED_VALUE"""),213.7)</f>
        <v>213.7</v>
      </c>
      <c r="D1006" s="1">
        <f>IFERROR(__xludf.DUMMYFUNCTION("""COMPUTED_VALUE"""),206.0)</f>
        <v>206</v>
      </c>
      <c r="E1006" s="1">
        <f>IFERROR(__xludf.DUMMYFUNCTION("""COMPUTED_VALUE"""),209.95)</f>
        <v>209.95</v>
      </c>
      <c r="F1006" s="1">
        <f>IFERROR(__xludf.DUMMYFUNCTION("""COMPUTED_VALUE"""),2037340.0)</f>
        <v>2037340</v>
      </c>
    </row>
    <row r="1007">
      <c r="A1007" s="2">
        <f>IFERROR(__xludf.DUMMYFUNCTION("""COMPUTED_VALUE"""),37994.645833333336)</f>
        <v>37994.64583</v>
      </c>
      <c r="B1007" s="1">
        <f>IFERROR(__xludf.DUMMYFUNCTION("""COMPUTED_VALUE"""),209.95)</f>
        <v>209.95</v>
      </c>
      <c r="C1007" s="1">
        <f>IFERROR(__xludf.DUMMYFUNCTION("""COMPUTED_VALUE"""),213.75)</f>
        <v>213.75</v>
      </c>
      <c r="D1007" s="1">
        <f>IFERROR(__xludf.DUMMYFUNCTION("""COMPUTED_VALUE"""),209.55)</f>
        <v>209.55</v>
      </c>
      <c r="E1007" s="1">
        <f>IFERROR(__xludf.DUMMYFUNCTION("""COMPUTED_VALUE"""),210.45)</f>
        <v>210.45</v>
      </c>
      <c r="F1007" s="1">
        <f>IFERROR(__xludf.DUMMYFUNCTION("""COMPUTED_VALUE"""),2921457.0)</f>
        <v>2921457</v>
      </c>
    </row>
    <row r="1008">
      <c r="A1008" s="2">
        <f>IFERROR(__xludf.DUMMYFUNCTION("""COMPUTED_VALUE"""),37995.645833333336)</f>
        <v>37995.64583</v>
      </c>
      <c r="B1008" s="1">
        <f>IFERROR(__xludf.DUMMYFUNCTION("""COMPUTED_VALUE"""),220.0)</f>
        <v>220</v>
      </c>
      <c r="C1008" s="1">
        <f>IFERROR(__xludf.DUMMYFUNCTION("""COMPUTED_VALUE"""),220.0)</f>
        <v>220</v>
      </c>
      <c r="D1008" s="1">
        <f>IFERROR(__xludf.DUMMYFUNCTION("""COMPUTED_VALUE"""),210.0)</f>
        <v>210</v>
      </c>
      <c r="E1008" s="1">
        <f>IFERROR(__xludf.DUMMYFUNCTION("""COMPUTED_VALUE"""),211.95)</f>
        <v>211.95</v>
      </c>
      <c r="F1008" s="1">
        <f>IFERROR(__xludf.DUMMYFUNCTION("""COMPUTED_VALUE"""),4710049.0)</f>
        <v>4710049</v>
      </c>
    </row>
    <row r="1009">
      <c r="A1009" s="2">
        <f>IFERROR(__xludf.DUMMYFUNCTION("""COMPUTED_VALUE"""),37998.645833333336)</f>
        <v>37998.64583</v>
      </c>
      <c r="B1009" s="1">
        <f>IFERROR(__xludf.DUMMYFUNCTION("""COMPUTED_VALUE"""),212.7)</f>
        <v>212.7</v>
      </c>
      <c r="C1009" s="1">
        <f>IFERROR(__xludf.DUMMYFUNCTION("""COMPUTED_VALUE"""),213.6)</f>
        <v>213.6</v>
      </c>
      <c r="D1009" s="1">
        <f>IFERROR(__xludf.DUMMYFUNCTION("""COMPUTED_VALUE"""),206.25)</f>
        <v>206.25</v>
      </c>
      <c r="E1009" s="1">
        <f>IFERROR(__xludf.DUMMYFUNCTION("""COMPUTED_VALUE"""),207.75)</f>
        <v>207.75</v>
      </c>
      <c r="F1009" s="1">
        <f>IFERROR(__xludf.DUMMYFUNCTION("""COMPUTED_VALUE"""),2910860.0)</f>
        <v>2910860</v>
      </c>
    </row>
    <row r="1010">
      <c r="A1010" s="2">
        <f>IFERROR(__xludf.DUMMYFUNCTION("""COMPUTED_VALUE"""),37999.645833333336)</f>
        <v>37999.64583</v>
      </c>
      <c r="B1010" s="1">
        <f>IFERROR(__xludf.DUMMYFUNCTION("""COMPUTED_VALUE"""),209.0)</f>
        <v>209</v>
      </c>
      <c r="C1010" s="1">
        <f>IFERROR(__xludf.DUMMYFUNCTION("""COMPUTED_VALUE"""),210.0)</f>
        <v>210</v>
      </c>
      <c r="D1010" s="1">
        <f>IFERROR(__xludf.DUMMYFUNCTION("""COMPUTED_VALUE"""),204.7)</f>
        <v>204.7</v>
      </c>
      <c r="E1010" s="1">
        <f>IFERROR(__xludf.DUMMYFUNCTION("""COMPUTED_VALUE"""),208.85)</f>
        <v>208.85</v>
      </c>
      <c r="F1010" s="1">
        <f>IFERROR(__xludf.DUMMYFUNCTION("""COMPUTED_VALUE"""),2043740.0)</f>
        <v>2043740</v>
      </c>
    </row>
    <row r="1011">
      <c r="A1011" s="2">
        <f>IFERROR(__xludf.DUMMYFUNCTION("""COMPUTED_VALUE"""),38000.645833333336)</f>
        <v>38000.64583</v>
      </c>
      <c r="B1011" s="1">
        <f>IFERROR(__xludf.DUMMYFUNCTION("""COMPUTED_VALUE"""),245.3)</f>
        <v>245.3</v>
      </c>
      <c r="C1011" s="1">
        <f>IFERROR(__xludf.DUMMYFUNCTION("""COMPUTED_VALUE"""),245.3)</f>
        <v>245.3</v>
      </c>
      <c r="D1011" s="1">
        <f>IFERROR(__xludf.DUMMYFUNCTION("""COMPUTED_VALUE"""),206.2)</f>
        <v>206.2</v>
      </c>
      <c r="E1011" s="1">
        <f>IFERROR(__xludf.DUMMYFUNCTION("""COMPUTED_VALUE"""),207.25)</f>
        <v>207.25</v>
      </c>
      <c r="F1011" s="1">
        <f>IFERROR(__xludf.DUMMYFUNCTION("""COMPUTED_VALUE"""),1909507.0)</f>
        <v>1909507</v>
      </c>
    </row>
    <row r="1012">
      <c r="A1012" s="2">
        <f>IFERROR(__xludf.DUMMYFUNCTION("""COMPUTED_VALUE"""),38001.645833333336)</f>
        <v>38001.64583</v>
      </c>
      <c r="B1012" s="1">
        <f>IFERROR(__xludf.DUMMYFUNCTION("""COMPUTED_VALUE"""),208.8)</f>
        <v>208.8</v>
      </c>
      <c r="C1012" s="1">
        <f>IFERROR(__xludf.DUMMYFUNCTION("""COMPUTED_VALUE"""),211.25)</f>
        <v>211.25</v>
      </c>
      <c r="D1012" s="1">
        <f>IFERROR(__xludf.DUMMYFUNCTION("""COMPUTED_VALUE"""),206.1)</f>
        <v>206.1</v>
      </c>
      <c r="E1012" s="1">
        <f>IFERROR(__xludf.DUMMYFUNCTION("""COMPUTED_VALUE"""),207.95)</f>
        <v>207.95</v>
      </c>
      <c r="F1012" s="1">
        <f>IFERROR(__xludf.DUMMYFUNCTION("""COMPUTED_VALUE"""),3107404.0)</f>
        <v>3107404</v>
      </c>
    </row>
    <row r="1013">
      <c r="A1013" s="2">
        <f>IFERROR(__xludf.DUMMYFUNCTION("""COMPUTED_VALUE"""),38002.645833333336)</f>
        <v>38002.64583</v>
      </c>
      <c r="B1013" s="1">
        <f>IFERROR(__xludf.DUMMYFUNCTION("""COMPUTED_VALUE"""),209.0)</f>
        <v>209</v>
      </c>
      <c r="C1013" s="1">
        <f>IFERROR(__xludf.DUMMYFUNCTION("""COMPUTED_VALUE"""),209.4)</f>
        <v>209.4</v>
      </c>
      <c r="D1013" s="1">
        <f>IFERROR(__xludf.DUMMYFUNCTION("""COMPUTED_VALUE"""),204.0)</f>
        <v>204</v>
      </c>
      <c r="E1013" s="1">
        <f>IFERROR(__xludf.DUMMYFUNCTION("""COMPUTED_VALUE"""),205.65)</f>
        <v>205.65</v>
      </c>
      <c r="F1013" s="1">
        <f>IFERROR(__xludf.DUMMYFUNCTION("""COMPUTED_VALUE"""),2263916.0)</f>
        <v>2263916</v>
      </c>
    </row>
    <row r="1014">
      <c r="A1014" s="2">
        <f>IFERROR(__xludf.DUMMYFUNCTION("""COMPUTED_VALUE"""),38005.645833333336)</f>
        <v>38005.64583</v>
      </c>
      <c r="B1014" s="1">
        <f>IFERROR(__xludf.DUMMYFUNCTION("""COMPUTED_VALUE"""),207.7)</f>
        <v>207.7</v>
      </c>
      <c r="C1014" s="1">
        <f>IFERROR(__xludf.DUMMYFUNCTION("""COMPUTED_VALUE"""),207.7)</f>
        <v>207.7</v>
      </c>
      <c r="D1014" s="1">
        <f>IFERROR(__xludf.DUMMYFUNCTION("""COMPUTED_VALUE"""),201.3)</f>
        <v>201.3</v>
      </c>
      <c r="E1014" s="1">
        <f>IFERROR(__xludf.DUMMYFUNCTION("""COMPUTED_VALUE"""),206.3)</f>
        <v>206.3</v>
      </c>
      <c r="F1014" s="1">
        <f>IFERROR(__xludf.DUMMYFUNCTION("""COMPUTED_VALUE"""),2195309.0)</f>
        <v>2195309</v>
      </c>
    </row>
    <row r="1015">
      <c r="A1015" s="2">
        <f>IFERROR(__xludf.DUMMYFUNCTION("""COMPUTED_VALUE"""),38006.645833333336)</f>
        <v>38006.64583</v>
      </c>
      <c r="B1015" s="1">
        <f>IFERROR(__xludf.DUMMYFUNCTION("""COMPUTED_VALUE"""),207.9)</f>
        <v>207.9</v>
      </c>
      <c r="C1015" s="1">
        <f>IFERROR(__xludf.DUMMYFUNCTION("""COMPUTED_VALUE"""),208.15)</f>
        <v>208.15</v>
      </c>
      <c r="D1015" s="1">
        <f>IFERROR(__xludf.DUMMYFUNCTION("""COMPUTED_VALUE"""),202.65)</f>
        <v>202.65</v>
      </c>
      <c r="E1015" s="1">
        <f>IFERROR(__xludf.DUMMYFUNCTION("""COMPUTED_VALUE"""),204.0)</f>
        <v>204</v>
      </c>
      <c r="F1015" s="1">
        <f>IFERROR(__xludf.DUMMYFUNCTION("""COMPUTED_VALUE"""),1834933.0)</f>
        <v>1834933</v>
      </c>
    </row>
    <row r="1016">
      <c r="A1016" s="2">
        <f>IFERROR(__xludf.DUMMYFUNCTION("""COMPUTED_VALUE"""),38007.645833333336)</f>
        <v>38007.64583</v>
      </c>
      <c r="B1016" s="1">
        <f>IFERROR(__xludf.DUMMYFUNCTION("""COMPUTED_VALUE"""),204.5)</f>
        <v>204.5</v>
      </c>
      <c r="C1016" s="1">
        <f>IFERROR(__xludf.DUMMYFUNCTION("""COMPUTED_VALUE"""),204.5)</f>
        <v>204.5</v>
      </c>
      <c r="D1016" s="1">
        <f>IFERROR(__xludf.DUMMYFUNCTION("""COMPUTED_VALUE"""),199.1)</f>
        <v>199.1</v>
      </c>
      <c r="E1016" s="1">
        <f>IFERROR(__xludf.DUMMYFUNCTION("""COMPUTED_VALUE"""),200.35)</f>
        <v>200.35</v>
      </c>
      <c r="F1016" s="1">
        <f>IFERROR(__xludf.DUMMYFUNCTION("""COMPUTED_VALUE"""),2940648.0)</f>
        <v>2940648</v>
      </c>
    </row>
    <row r="1017">
      <c r="A1017" s="2">
        <f>IFERROR(__xludf.DUMMYFUNCTION("""COMPUTED_VALUE"""),38008.645833333336)</f>
        <v>38008.64583</v>
      </c>
      <c r="B1017" s="1">
        <f>IFERROR(__xludf.DUMMYFUNCTION("""COMPUTED_VALUE"""),200.05)</f>
        <v>200.05</v>
      </c>
      <c r="C1017" s="1">
        <f>IFERROR(__xludf.DUMMYFUNCTION("""COMPUTED_VALUE"""),201.5)</f>
        <v>201.5</v>
      </c>
      <c r="D1017" s="1">
        <f>IFERROR(__xludf.DUMMYFUNCTION("""COMPUTED_VALUE"""),192.0)</f>
        <v>192</v>
      </c>
      <c r="E1017" s="1">
        <f>IFERROR(__xludf.DUMMYFUNCTION("""COMPUTED_VALUE"""),193.35)</f>
        <v>193.35</v>
      </c>
      <c r="F1017" s="1">
        <f>IFERROR(__xludf.DUMMYFUNCTION("""COMPUTED_VALUE"""),3330991.0)</f>
        <v>3330991</v>
      </c>
    </row>
    <row r="1018">
      <c r="A1018" s="2">
        <f>IFERROR(__xludf.DUMMYFUNCTION("""COMPUTED_VALUE"""),38009.645833333336)</f>
        <v>38009.64583</v>
      </c>
      <c r="B1018" s="1">
        <f>IFERROR(__xludf.DUMMYFUNCTION("""COMPUTED_VALUE"""),193.0)</f>
        <v>193</v>
      </c>
      <c r="C1018" s="1">
        <f>IFERROR(__xludf.DUMMYFUNCTION("""COMPUTED_VALUE"""),198.4)</f>
        <v>198.4</v>
      </c>
      <c r="D1018" s="1">
        <f>IFERROR(__xludf.DUMMYFUNCTION("""COMPUTED_VALUE"""),190.0)</f>
        <v>190</v>
      </c>
      <c r="E1018" s="1">
        <f>IFERROR(__xludf.DUMMYFUNCTION("""COMPUTED_VALUE"""),195.2)</f>
        <v>195.2</v>
      </c>
      <c r="F1018" s="1">
        <f>IFERROR(__xludf.DUMMYFUNCTION("""COMPUTED_VALUE"""),3015896.0)</f>
        <v>3015896</v>
      </c>
    </row>
    <row r="1019">
      <c r="A1019" s="2">
        <f>IFERROR(__xludf.DUMMYFUNCTION("""COMPUTED_VALUE"""),38013.645833333336)</f>
        <v>38013.64583</v>
      </c>
      <c r="B1019" s="1">
        <f>IFERROR(__xludf.DUMMYFUNCTION("""COMPUTED_VALUE"""),197.5)</f>
        <v>197.5</v>
      </c>
      <c r="C1019" s="1">
        <f>IFERROR(__xludf.DUMMYFUNCTION("""COMPUTED_VALUE"""),202.0)</f>
        <v>202</v>
      </c>
      <c r="D1019" s="1">
        <f>IFERROR(__xludf.DUMMYFUNCTION("""COMPUTED_VALUE"""),194.25)</f>
        <v>194.25</v>
      </c>
      <c r="E1019" s="1">
        <f>IFERROR(__xludf.DUMMYFUNCTION("""COMPUTED_VALUE"""),201.45)</f>
        <v>201.45</v>
      </c>
      <c r="F1019" s="1">
        <f>IFERROR(__xludf.DUMMYFUNCTION("""COMPUTED_VALUE"""),3012937.0)</f>
        <v>3012937</v>
      </c>
    </row>
    <row r="1020">
      <c r="A1020" s="2">
        <f>IFERROR(__xludf.DUMMYFUNCTION("""COMPUTED_VALUE"""),38014.645833333336)</f>
        <v>38014.64583</v>
      </c>
      <c r="B1020" s="1">
        <f>IFERROR(__xludf.DUMMYFUNCTION("""COMPUTED_VALUE"""),202.0)</f>
        <v>202</v>
      </c>
      <c r="C1020" s="1">
        <f>IFERROR(__xludf.DUMMYFUNCTION("""COMPUTED_VALUE"""),202.4)</f>
        <v>202.4</v>
      </c>
      <c r="D1020" s="1">
        <f>IFERROR(__xludf.DUMMYFUNCTION("""COMPUTED_VALUE"""),190.6)</f>
        <v>190.6</v>
      </c>
      <c r="E1020" s="1">
        <f>IFERROR(__xludf.DUMMYFUNCTION("""COMPUTED_VALUE"""),193.15)</f>
        <v>193.15</v>
      </c>
      <c r="F1020" s="1">
        <f>IFERROR(__xludf.DUMMYFUNCTION("""COMPUTED_VALUE"""),4390234.0)</f>
        <v>4390234</v>
      </c>
    </row>
    <row r="1021">
      <c r="A1021" s="2">
        <f>IFERROR(__xludf.DUMMYFUNCTION("""COMPUTED_VALUE"""),38015.645833333336)</f>
        <v>38015.64583</v>
      </c>
      <c r="B1021" s="1">
        <f>IFERROR(__xludf.DUMMYFUNCTION("""COMPUTED_VALUE"""),190.05)</f>
        <v>190.05</v>
      </c>
      <c r="C1021" s="1">
        <f>IFERROR(__xludf.DUMMYFUNCTION("""COMPUTED_VALUE"""),195.0)</f>
        <v>195</v>
      </c>
      <c r="D1021" s="1">
        <f>IFERROR(__xludf.DUMMYFUNCTION("""COMPUTED_VALUE"""),185.2)</f>
        <v>185.2</v>
      </c>
      <c r="E1021" s="1">
        <f>IFERROR(__xludf.DUMMYFUNCTION("""COMPUTED_VALUE"""),187.9)</f>
        <v>187.9</v>
      </c>
      <c r="F1021" s="1">
        <f>IFERROR(__xludf.DUMMYFUNCTION("""COMPUTED_VALUE"""),4374545.0)</f>
        <v>4374545</v>
      </c>
    </row>
    <row r="1022">
      <c r="A1022" s="2">
        <f>IFERROR(__xludf.DUMMYFUNCTION("""COMPUTED_VALUE"""),38016.645833333336)</f>
        <v>38016.64583</v>
      </c>
      <c r="B1022" s="1">
        <f>IFERROR(__xludf.DUMMYFUNCTION("""COMPUTED_VALUE"""),189.95)</f>
        <v>189.95</v>
      </c>
      <c r="C1022" s="1">
        <f>IFERROR(__xludf.DUMMYFUNCTION("""COMPUTED_VALUE"""),189.95)</f>
        <v>189.95</v>
      </c>
      <c r="D1022" s="1">
        <f>IFERROR(__xludf.DUMMYFUNCTION("""COMPUTED_VALUE"""),186.1)</f>
        <v>186.1</v>
      </c>
      <c r="E1022" s="1">
        <f>IFERROR(__xludf.DUMMYFUNCTION("""COMPUTED_VALUE"""),187.9)</f>
        <v>187.9</v>
      </c>
      <c r="F1022" s="1">
        <f>IFERROR(__xludf.DUMMYFUNCTION("""COMPUTED_VALUE"""),2091956.0)</f>
        <v>2091956</v>
      </c>
    </row>
    <row r="1023">
      <c r="A1023" s="2">
        <f>IFERROR(__xludf.DUMMYFUNCTION("""COMPUTED_VALUE"""),38020.645833333336)</f>
        <v>38020.64583</v>
      </c>
      <c r="B1023" s="1">
        <f>IFERROR(__xludf.DUMMYFUNCTION("""COMPUTED_VALUE"""),189.25)</f>
        <v>189.25</v>
      </c>
      <c r="C1023" s="1">
        <f>IFERROR(__xludf.DUMMYFUNCTION("""COMPUTED_VALUE"""),192.5)</f>
        <v>192.5</v>
      </c>
      <c r="D1023" s="1">
        <f>IFERROR(__xludf.DUMMYFUNCTION("""COMPUTED_VALUE"""),187.25)</f>
        <v>187.25</v>
      </c>
      <c r="E1023" s="1">
        <f>IFERROR(__xludf.DUMMYFUNCTION("""COMPUTED_VALUE"""),190.2)</f>
        <v>190.2</v>
      </c>
      <c r="F1023" s="1">
        <f>IFERROR(__xludf.DUMMYFUNCTION("""COMPUTED_VALUE"""),3375498.0)</f>
        <v>3375498</v>
      </c>
    </row>
    <row r="1024">
      <c r="A1024" s="2">
        <f>IFERROR(__xludf.DUMMYFUNCTION("""COMPUTED_VALUE"""),38021.645833333336)</f>
        <v>38021.64583</v>
      </c>
      <c r="B1024" s="1">
        <f>IFERROR(__xludf.DUMMYFUNCTION("""COMPUTED_VALUE"""),191.0)</f>
        <v>191</v>
      </c>
      <c r="C1024" s="1">
        <f>IFERROR(__xludf.DUMMYFUNCTION("""COMPUTED_VALUE"""),194.0)</f>
        <v>194</v>
      </c>
      <c r="D1024" s="1">
        <f>IFERROR(__xludf.DUMMYFUNCTION("""COMPUTED_VALUE"""),188.65)</f>
        <v>188.65</v>
      </c>
      <c r="E1024" s="1">
        <f>IFERROR(__xludf.DUMMYFUNCTION("""COMPUTED_VALUE"""),193.2)</f>
        <v>193.2</v>
      </c>
      <c r="F1024" s="1">
        <f>IFERROR(__xludf.DUMMYFUNCTION("""COMPUTED_VALUE"""),2231183.0)</f>
        <v>2231183</v>
      </c>
    </row>
    <row r="1025">
      <c r="A1025" s="2">
        <f>IFERROR(__xludf.DUMMYFUNCTION("""COMPUTED_VALUE"""),38022.645833333336)</f>
        <v>38022.64583</v>
      </c>
      <c r="B1025" s="1">
        <f>IFERROR(__xludf.DUMMYFUNCTION("""COMPUTED_VALUE"""),193.2)</f>
        <v>193.2</v>
      </c>
      <c r="C1025" s="1">
        <f>IFERROR(__xludf.DUMMYFUNCTION("""COMPUTED_VALUE"""),195.6)</f>
        <v>195.6</v>
      </c>
      <c r="D1025" s="1">
        <f>IFERROR(__xludf.DUMMYFUNCTION("""COMPUTED_VALUE"""),191.35)</f>
        <v>191.35</v>
      </c>
      <c r="E1025" s="1">
        <f>IFERROR(__xludf.DUMMYFUNCTION("""COMPUTED_VALUE"""),193.65)</f>
        <v>193.65</v>
      </c>
      <c r="F1025" s="1">
        <f>IFERROR(__xludf.DUMMYFUNCTION("""COMPUTED_VALUE"""),2229215.0)</f>
        <v>2229215</v>
      </c>
    </row>
    <row r="1026">
      <c r="A1026" s="2">
        <f>IFERROR(__xludf.DUMMYFUNCTION("""COMPUTED_VALUE"""),38023.645833333336)</f>
        <v>38023.64583</v>
      </c>
      <c r="B1026" s="1">
        <f>IFERROR(__xludf.DUMMYFUNCTION("""COMPUTED_VALUE"""),194.0)</f>
        <v>194</v>
      </c>
      <c r="C1026" s="1">
        <f>IFERROR(__xludf.DUMMYFUNCTION("""COMPUTED_VALUE"""),194.0)</f>
        <v>194</v>
      </c>
      <c r="D1026" s="1">
        <f>IFERROR(__xludf.DUMMYFUNCTION("""COMPUTED_VALUE"""),187.55)</f>
        <v>187.55</v>
      </c>
      <c r="E1026" s="1">
        <f>IFERROR(__xludf.DUMMYFUNCTION("""COMPUTED_VALUE"""),189.5)</f>
        <v>189.5</v>
      </c>
      <c r="F1026" s="1">
        <f>IFERROR(__xludf.DUMMYFUNCTION("""COMPUTED_VALUE"""),3215827.0)</f>
        <v>3215827</v>
      </c>
    </row>
    <row r="1027">
      <c r="A1027" s="2">
        <f>IFERROR(__xludf.DUMMYFUNCTION("""COMPUTED_VALUE"""),38026.645833333336)</f>
        <v>38026.64583</v>
      </c>
      <c r="B1027" s="1">
        <f>IFERROR(__xludf.DUMMYFUNCTION("""COMPUTED_VALUE"""),190.7)</f>
        <v>190.7</v>
      </c>
      <c r="C1027" s="1">
        <f>IFERROR(__xludf.DUMMYFUNCTION("""COMPUTED_VALUE"""),193.3)</f>
        <v>193.3</v>
      </c>
      <c r="D1027" s="1">
        <f>IFERROR(__xludf.DUMMYFUNCTION("""COMPUTED_VALUE"""),190.0)</f>
        <v>190</v>
      </c>
      <c r="E1027" s="1">
        <f>IFERROR(__xludf.DUMMYFUNCTION("""COMPUTED_VALUE"""),193.0)</f>
        <v>193</v>
      </c>
      <c r="F1027" s="1">
        <f>IFERROR(__xludf.DUMMYFUNCTION("""COMPUTED_VALUE"""),1494694.0)</f>
        <v>1494694</v>
      </c>
    </row>
    <row r="1028">
      <c r="A1028" s="2">
        <f>IFERROR(__xludf.DUMMYFUNCTION("""COMPUTED_VALUE"""),38027.645833333336)</f>
        <v>38027.64583</v>
      </c>
      <c r="B1028" s="1">
        <f>IFERROR(__xludf.DUMMYFUNCTION("""COMPUTED_VALUE"""),193.3)</f>
        <v>193.3</v>
      </c>
      <c r="C1028" s="1">
        <f>IFERROR(__xludf.DUMMYFUNCTION("""COMPUTED_VALUE"""),196.0)</f>
        <v>196</v>
      </c>
      <c r="D1028" s="1">
        <f>IFERROR(__xludf.DUMMYFUNCTION("""COMPUTED_VALUE"""),192.5)</f>
        <v>192.5</v>
      </c>
      <c r="E1028" s="1">
        <f>IFERROR(__xludf.DUMMYFUNCTION("""COMPUTED_VALUE"""),194.45)</f>
        <v>194.45</v>
      </c>
      <c r="F1028" s="1">
        <f>IFERROR(__xludf.DUMMYFUNCTION("""COMPUTED_VALUE"""),2144759.0)</f>
        <v>2144759</v>
      </c>
    </row>
    <row r="1029">
      <c r="A1029" s="2">
        <f>IFERROR(__xludf.DUMMYFUNCTION("""COMPUTED_VALUE"""),38028.645833333336)</f>
        <v>38028.64583</v>
      </c>
      <c r="B1029" s="1">
        <f>IFERROR(__xludf.DUMMYFUNCTION("""COMPUTED_VALUE"""),195.0)</f>
        <v>195</v>
      </c>
      <c r="C1029" s="1">
        <f>IFERROR(__xludf.DUMMYFUNCTION("""COMPUTED_VALUE"""),196.75)</f>
        <v>196.75</v>
      </c>
      <c r="D1029" s="1">
        <f>IFERROR(__xludf.DUMMYFUNCTION("""COMPUTED_VALUE"""),193.3)</f>
        <v>193.3</v>
      </c>
      <c r="E1029" s="1">
        <f>IFERROR(__xludf.DUMMYFUNCTION("""COMPUTED_VALUE"""),195.5)</f>
        <v>195.5</v>
      </c>
      <c r="F1029" s="1">
        <f>IFERROR(__xludf.DUMMYFUNCTION("""COMPUTED_VALUE"""),1167665.0)</f>
        <v>1167665</v>
      </c>
    </row>
    <row r="1030">
      <c r="A1030" s="2">
        <f>IFERROR(__xludf.DUMMYFUNCTION("""COMPUTED_VALUE"""),38029.645833333336)</f>
        <v>38029.64583</v>
      </c>
      <c r="B1030" s="1">
        <f>IFERROR(__xludf.DUMMYFUNCTION("""COMPUTED_VALUE"""),196.25)</f>
        <v>196.25</v>
      </c>
      <c r="C1030" s="1">
        <f>IFERROR(__xludf.DUMMYFUNCTION("""COMPUTED_VALUE"""),197.9)</f>
        <v>197.9</v>
      </c>
      <c r="D1030" s="1">
        <f>IFERROR(__xludf.DUMMYFUNCTION("""COMPUTED_VALUE"""),194.6)</f>
        <v>194.6</v>
      </c>
      <c r="E1030" s="1">
        <f>IFERROR(__xludf.DUMMYFUNCTION("""COMPUTED_VALUE"""),197.15)</f>
        <v>197.15</v>
      </c>
      <c r="F1030" s="1">
        <f>IFERROR(__xludf.DUMMYFUNCTION("""COMPUTED_VALUE"""),2077229.0)</f>
        <v>2077229</v>
      </c>
    </row>
    <row r="1031">
      <c r="A1031" s="2">
        <f>IFERROR(__xludf.DUMMYFUNCTION("""COMPUTED_VALUE"""),38030.645833333336)</f>
        <v>38030.64583</v>
      </c>
      <c r="B1031" s="1">
        <f>IFERROR(__xludf.DUMMYFUNCTION("""COMPUTED_VALUE"""),193.75)</f>
        <v>193.75</v>
      </c>
      <c r="C1031" s="1">
        <f>IFERROR(__xludf.DUMMYFUNCTION("""COMPUTED_VALUE"""),204.0)</f>
        <v>204</v>
      </c>
      <c r="D1031" s="1">
        <f>IFERROR(__xludf.DUMMYFUNCTION("""COMPUTED_VALUE"""),193.75)</f>
        <v>193.75</v>
      </c>
      <c r="E1031" s="1">
        <f>IFERROR(__xludf.DUMMYFUNCTION("""COMPUTED_VALUE"""),203.1)</f>
        <v>203.1</v>
      </c>
      <c r="F1031" s="1">
        <f>IFERROR(__xludf.DUMMYFUNCTION("""COMPUTED_VALUE"""),2777055.0)</f>
        <v>2777055</v>
      </c>
    </row>
    <row r="1032">
      <c r="A1032" s="2">
        <f>IFERROR(__xludf.DUMMYFUNCTION("""COMPUTED_VALUE"""),38033.645833333336)</f>
        <v>38033.64583</v>
      </c>
      <c r="B1032" s="1">
        <f>IFERROR(__xludf.DUMMYFUNCTION("""COMPUTED_VALUE"""),204.0)</f>
        <v>204</v>
      </c>
      <c r="C1032" s="1">
        <f>IFERROR(__xludf.DUMMYFUNCTION("""COMPUTED_VALUE"""),205.0)</f>
        <v>205</v>
      </c>
      <c r="D1032" s="1">
        <f>IFERROR(__xludf.DUMMYFUNCTION("""COMPUTED_VALUE"""),198.35)</f>
        <v>198.35</v>
      </c>
      <c r="E1032" s="1">
        <f>IFERROR(__xludf.DUMMYFUNCTION("""COMPUTED_VALUE"""),199.6)</f>
        <v>199.6</v>
      </c>
      <c r="F1032" s="1">
        <f>IFERROR(__xludf.DUMMYFUNCTION("""COMPUTED_VALUE"""),1682242.0)</f>
        <v>1682242</v>
      </c>
    </row>
    <row r="1033">
      <c r="A1033" s="2">
        <f>IFERROR(__xludf.DUMMYFUNCTION("""COMPUTED_VALUE"""),38034.645833333336)</f>
        <v>38034.64583</v>
      </c>
      <c r="B1033" s="1">
        <f>IFERROR(__xludf.DUMMYFUNCTION("""COMPUTED_VALUE"""),198.7)</f>
        <v>198.7</v>
      </c>
      <c r="C1033" s="1">
        <f>IFERROR(__xludf.DUMMYFUNCTION("""COMPUTED_VALUE"""),200.9)</f>
        <v>200.9</v>
      </c>
      <c r="D1033" s="1">
        <f>IFERROR(__xludf.DUMMYFUNCTION("""COMPUTED_VALUE"""),191.35)</f>
        <v>191.35</v>
      </c>
      <c r="E1033" s="1">
        <f>IFERROR(__xludf.DUMMYFUNCTION("""COMPUTED_VALUE"""),192.8)</f>
        <v>192.8</v>
      </c>
      <c r="F1033" s="1">
        <f>IFERROR(__xludf.DUMMYFUNCTION("""COMPUTED_VALUE"""),5203439.0)</f>
        <v>5203439</v>
      </c>
    </row>
    <row r="1034">
      <c r="A1034" s="2">
        <f>IFERROR(__xludf.DUMMYFUNCTION("""COMPUTED_VALUE"""),38035.645833333336)</f>
        <v>38035.64583</v>
      </c>
      <c r="B1034" s="1">
        <f>IFERROR(__xludf.DUMMYFUNCTION("""COMPUTED_VALUE"""),194.0)</f>
        <v>194</v>
      </c>
      <c r="C1034" s="1">
        <f>IFERROR(__xludf.DUMMYFUNCTION("""COMPUTED_VALUE"""),194.0)</f>
        <v>194</v>
      </c>
      <c r="D1034" s="1">
        <f>IFERROR(__xludf.DUMMYFUNCTION("""COMPUTED_VALUE"""),187.2)</f>
        <v>187.2</v>
      </c>
      <c r="E1034" s="1">
        <f>IFERROR(__xludf.DUMMYFUNCTION("""COMPUTED_VALUE"""),187.75)</f>
        <v>187.75</v>
      </c>
      <c r="F1034" s="1">
        <f>IFERROR(__xludf.DUMMYFUNCTION("""COMPUTED_VALUE"""),2198203.0)</f>
        <v>2198203</v>
      </c>
    </row>
    <row r="1035">
      <c r="A1035" s="2">
        <f>IFERROR(__xludf.DUMMYFUNCTION("""COMPUTED_VALUE"""),38036.645833333336)</f>
        <v>38036.64583</v>
      </c>
      <c r="B1035" s="1">
        <f>IFERROR(__xludf.DUMMYFUNCTION("""COMPUTED_VALUE"""),188.0)</f>
        <v>188</v>
      </c>
      <c r="C1035" s="1">
        <f>IFERROR(__xludf.DUMMYFUNCTION("""COMPUTED_VALUE"""),188.85)</f>
        <v>188.85</v>
      </c>
      <c r="D1035" s="1">
        <f>IFERROR(__xludf.DUMMYFUNCTION("""COMPUTED_VALUE"""),181.15)</f>
        <v>181.15</v>
      </c>
      <c r="E1035" s="1">
        <f>IFERROR(__xludf.DUMMYFUNCTION("""COMPUTED_VALUE"""),182.25)</f>
        <v>182.25</v>
      </c>
      <c r="F1035" s="1">
        <f>IFERROR(__xludf.DUMMYFUNCTION("""COMPUTED_VALUE"""),3397698.0)</f>
        <v>3397698</v>
      </c>
    </row>
    <row r="1036">
      <c r="A1036" s="2">
        <f>IFERROR(__xludf.DUMMYFUNCTION("""COMPUTED_VALUE"""),38037.645833333336)</f>
        <v>38037.64583</v>
      </c>
      <c r="B1036" s="1">
        <f>IFERROR(__xludf.DUMMYFUNCTION("""COMPUTED_VALUE"""),182.0)</f>
        <v>182</v>
      </c>
      <c r="C1036" s="1">
        <f>IFERROR(__xludf.DUMMYFUNCTION("""COMPUTED_VALUE"""),183.2)</f>
        <v>183.2</v>
      </c>
      <c r="D1036" s="1">
        <f>IFERROR(__xludf.DUMMYFUNCTION("""COMPUTED_VALUE"""),178.1)</f>
        <v>178.1</v>
      </c>
      <c r="E1036" s="1">
        <f>IFERROR(__xludf.DUMMYFUNCTION("""COMPUTED_VALUE"""),179.1)</f>
        <v>179.1</v>
      </c>
      <c r="F1036" s="1">
        <f>IFERROR(__xludf.DUMMYFUNCTION("""COMPUTED_VALUE"""),3193557.0)</f>
        <v>3193557</v>
      </c>
    </row>
    <row r="1037">
      <c r="A1037" s="2">
        <f>IFERROR(__xludf.DUMMYFUNCTION("""COMPUTED_VALUE"""),38040.645833333336)</f>
        <v>38040.64583</v>
      </c>
      <c r="B1037" s="1">
        <f>IFERROR(__xludf.DUMMYFUNCTION("""COMPUTED_VALUE"""),180.1)</f>
        <v>180.1</v>
      </c>
      <c r="C1037" s="1">
        <f>IFERROR(__xludf.DUMMYFUNCTION("""COMPUTED_VALUE"""),180.35)</f>
        <v>180.35</v>
      </c>
      <c r="D1037" s="1">
        <f>IFERROR(__xludf.DUMMYFUNCTION("""COMPUTED_VALUE"""),173.75)</f>
        <v>173.75</v>
      </c>
      <c r="E1037" s="1">
        <f>IFERROR(__xludf.DUMMYFUNCTION("""COMPUTED_VALUE"""),174.55)</f>
        <v>174.55</v>
      </c>
      <c r="F1037" s="1">
        <f>IFERROR(__xludf.DUMMYFUNCTION("""COMPUTED_VALUE"""),2364084.0)</f>
        <v>2364084</v>
      </c>
    </row>
    <row r="1038">
      <c r="A1038" s="2">
        <f>IFERROR(__xludf.DUMMYFUNCTION("""COMPUTED_VALUE"""),38041.645833333336)</f>
        <v>38041.64583</v>
      </c>
      <c r="B1038" s="1">
        <f>IFERROR(__xludf.DUMMYFUNCTION("""COMPUTED_VALUE"""),174.95)</f>
        <v>174.95</v>
      </c>
      <c r="C1038" s="1">
        <f>IFERROR(__xludf.DUMMYFUNCTION("""COMPUTED_VALUE"""),176.4)</f>
        <v>176.4</v>
      </c>
      <c r="D1038" s="1">
        <f>IFERROR(__xludf.DUMMYFUNCTION("""COMPUTED_VALUE"""),172.1)</f>
        <v>172.1</v>
      </c>
      <c r="E1038" s="1">
        <f>IFERROR(__xludf.DUMMYFUNCTION("""COMPUTED_VALUE"""),175.7)</f>
        <v>175.7</v>
      </c>
      <c r="F1038" s="1">
        <f>IFERROR(__xludf.DUMMYFUNCTION("""COMPUTED_VALUE"""),3358060.0)</f>
        <v>3358060</v>
      </c>
    </row>
    <row r="1039">
      <c r="A1039" s="2">
        <f>IFERROR(__xludf.DUMMYFUNCTION("""COMPUTED_VALUE"""),38042.645833333336)</f>
        <v>38042.64583</v>
      </c>
      <c r="B1039" s="1">
        <f>IFERROR(__xludf.DUMMYFUNCTION("""COMPUTED_VALUE"""),175.95)</f>
        <v>175.95</v>
      </c>
      <c r="C1039" s="1">
        <f>IFERROR(__xludf.DUMMYFUNCTION("""COMPUTED_VALUE"""),176.0)</f>
        <v>176</v>
      </c>
      <c r="D1039" s="1">
        <f>IFERROR(__xludf.DUMMYFUNCTION("""COMPUTED_VALUE"""),170.35)</f>
        <v>170.35</v>
      </c>
      <c r="E1039" s="1">
        <f>IFERROR(__xludf.DUMMYFUNCTION("""COMPUTED_VALUE"""),174.6)</f>
        <v>174.6</v>
      </c>
      <c r="F1039" s="1">
        <f>IFERROR(__xludf.DUMMYFUNCTION("""COMPUTED_VALUE"""),2152527.0)</f>
        <v>2152527</v>
      </c>
    </row>
    <row r="1040">
      <c r="A1040" s="2">
        <f>IFERROR(__xludf.DUMMYFUNCTION("""COMPUTED_VALUE"""),38043.645833333336)</f>
        <v>38043.64583</v>
      </c>
      <c r="B1040" s="1">
        <f>IFERROR(__xludf.DUMMYFUNCTION("""COMPUTED_VALUE"""),174.8)</f>
        <v>174.8</v>
      </c>
      <c r="C1040" s="1">
        <f>IFERROR(__xludf.DUMMYFUNCTION("""COMPUTED_VALUE"""),177.35)</f>
        <v>177.35</v>
      </c>
      <c r="D1040" s="1">
        <f>IFERROR(__xludf.DUMMYFUNCTION("""COMPUTED_VALUE"""),172.05)</f>
        <v>172.05</v>
      </c>
      <c r="E1040" s="1">
        <f>IFERROR(__xludf.DUMMYFUNCTION("""COMPUTED_VALUE"""),173.05)</f>
        <v>173.05</v>
      </c>
      <c r="F1040" s="1">
        <f>IFERROR(__xludf.DUMMYFUNCTION("""COMPUTED_VALUE"""),3792254.0)</f>
        <v>3792254</v>
      </c>
    </row>
    <row r="1041">
      <c r="A1041" s="2">
        <f>IFERROR(__xludf.DUMMYFUNCTION("""COMPUTED_VALUE"""),38044.645833333336)</f>
        <v>38044.64583</v>
      </c>
      <c r="B1041" s="1">
        <f>IFERROR(__xludf.DUMMYFUNCTION("""COMPUTED_VALUE"""),173.75)</f>
        <v>173.75</v>
      </c>
      <c r="C1041" s="1">
        <f>IFERROR(__xludf.DUMMYFUNCTION("""COMPUTED_VALUE"""),174.9)</f>
        <v>174.9</v>
      </c>
      <c r="D1041" s="1">
        <f>IFERROR(__xludf.DUMMYFUNCTION("""COMPUTED_VALUE"""),172.15)</f>
        <v>172.15</v>
      </c>
      <c r="E1041" s="1">
        <f>IFERROR(__xludf.DUMMYFUNCTION("""COMPUTED_VALUE"""),173.95)</f>
        <v>173.95</v>
      </c>
      <c r="F1041" s="1">
        <f>IFERROR(__xludf.DUMMYFUNCTION("""COMPUTED_VALUE"""),1768729.0)</f>
        <v>1768729</v>
      </c>
    </row>
    <row r="1042">
      <c r="A1042" s="2">
        <f>IFERROR(__xludf.DUMMYFUNCTION("""COMPUTED_VALUE"""),38047.645833333336)</f>
        <v>38047.64583</v>
      </c>
      <c r="B1042" s="1">
        <f>IFERROR(__xludf.DUMMYFUNCTION("""COMPUTED_VALUE"""),174.0)</f>
        <v>174</v>
      </c>
      <c r="C1042" s="1">
        <f>IFERROR(__xludf.DUMMYFUNCTION("""COMPUTED_VALUE"""),174.9)</f>
        <v>174.9</v>
      </c>
      <c r="D1042" s="1">
        <f>IFERROR(__xludf.DUMMYFUNCTION("""COMPUTED_VALUE"""),172.1)</f>
        <v>172.1</v>
      </c>
      <c r="E1042" s="1">
        <f>IFERROR(__xludf.DUMMYFUNCTION("""COMPUTED_VALUE"""),174.0)</f>
        <v>174</v>
      </c>
      <c r="F1042" s="1">
        <f>IFERROR(__xludf.DUMMYFUNCTION("""COMPUTED_VALUE"""),2253120.0)</f>
        <v>2253120</v>
      </c>
    </row>
    <row r="1043">
      <c r="A1043" s="2">
        <f>IFERROR(__xludf.DUMMYFUNCTION("""COMPUTED_VALUE"""),38049.645833333336)</f>
        <v>38049.64583</v>
      </c>
      <c r="B1043" s="1">
        <f>IFERROR(__xludf.DUMMYFUNCTION("""COMPUTED_VALUE"""),173.05)</f>
        <v>173.05</v>
      </c>
      <c r="C1043" s="1">
        <f>IFERROR(__xludf.DUMMYFUNCTION("""COMPUTED_VALUE"""),173.45)</f>
        <v>173.45</v>
      </c>
      <c r="D1043" s="1">
        <f>IFERROR(__xludf.DUMMYFUNCTION("""COMPUTED_VALUE"""),164.1)</f>
        <v>164.1</v>
      </c>
      <c r="E1043" s="1">
        <f>IFERROR(__xludf.DUMMYFUNCTION("""COMPUTED_VALUE"""),165.05)</f>
        <v>165.05</v>
      </c>
      <c r="F1043" s="1">
        <f>IFERROR(__xludf.DUMMYFUNCTION("""COMPUTED_VALUE"""),4505449.0)</f>
        <v>4505449</v>
      </c>
    </row>
    <row r="1044">
      <c r="A1044" s="2">
        <f>IFERROR(__xludf.DUMMYFUNCTION("""COMPUTED_VALUE"""),38050.645833333336)</f>
        <v>38050.64583</v>
      </c>
      <c r="B1044" s="1">
        <f>IFERROR(__xludf.DUMMYFUNCTION("""COMPUTED_VALUE"""),163.1)</f>
        <v>163.1</v>
      </c>
      <c r="C1044" s="1">
        <f>IFERROR(__xludf.DUMMYFUNCTION("""COMPUTED_VALUE"""),165.8)</f>
        <v>165.8</v>
      </c>
      <c r="D1044" s="1">
        <f>IFERROR(__xludf.DUMMYFUNCTION("""COMPUTED_VALUE"""),157.5)</f>
        <v>157.5</v>
      </c>
      <c r="E1044" s="1">
        <f>IFERROR(__xludf.DUMMYFUNCTION("""COMPUTED_VALUE"""),158.15)</f>
        <v>158.15</v>
      </c>
      <c r="F1044" s="1">
        <f>IFERROR(__xludf.DUMMYFUNCTION("""COMPUTED_VALUE"""),3857953.0)</f>
        <v>3857953</v>
      </c>
    </row>
    <row r="1045">
      <c r="A1045" s="2">
        <f>IFERROR(__xludf.DUMMYFUNCTION("""COMPUTED_VALUE"""),38051.645833333336)</f>
        <v>38051.64583</v>
      </c>
      <c r="B1045" s="1">
        <f>IFERROR(__xludf.DUMMYFUNCTION("""COMPUTED_VALUE"""),158.0)</f>
        <v>158</v>
      </c>
      <c r="C1045" s="1">
        <f>IFERROR(__xludf.DUMMYFUNCTION("""COMPUTED_VALUE"""),162.65)</f>
        <v>162.65</v>
      </c>
      <c r="D1045" s="1">
        <f>IFERROR(__xludf.DUMMYFUNCTION("""COMPUTED_VALUE"""),156.8)</f>
        <v>156.8</v>
      </c>
      <c r="E1045" s="1">
        <f>IFERROR(__xludf.DUMMYFUNCTION("""COMPUTED_VALUE"""),158.45)</f>
        <v>158.45</v>
      </c>
      <c r="F1045" s="1">
        <f>IFERROR(__xludf.DUMMYFUNCTION("""COMPUTED_VALUE"""),6078019.0)</f>
        <v>6078019</v>
      </c>
    </row>
    <row r="1046">
      <c r="A1046" s="2">
        <f>IFERROR(__xludf.DUMMYFUNCTION("""COMPUTED_VALUE"""),38054.645833333336)</f>
        <v>38054.64583</v>
      </c>
      <c r="B1046" s="1">
        <f>IFERROR(__xludf.DUMMYFUNCTION("""COMPUTED_VALUE"""),159.25)</f>
        <v>159.25</v>
      </c>
      <c r="C1046" s="1">
        <f>IFERROR(__xludf.DUMMYFUNCTION("""COMPUTED_VALUE"""),159.25)</f>
        <v>159.25</v>
      </c>
      <c r="D1046" s="1">
        <f>IFERROR(__xludf.DUMMYFUNCTION("""COMPUTED_VALUE"""),156.0)</f>
        <v>156</v>
      </c>
      <c r="E1046" s="1">
        <f>IFERROR(__xludf.DUMMYFUNCTION("""COMPUTED_VALUE"""),156.7)</f>
        <v>156.7</v>
      </c>
      <c r="F1046" s="1">
        <f>IFERROR(__xludf.DUMMYFUNCTION("""COMPUTED_VALUE"""),4810019.0)</f>
        <v>4810019</v>
      </c>
    </row>
    <row r="1047">
      <c r="A1047" s="2">
        <f>IFERROR(__xludf.DUMMYFUNCTION("""COMPUTED_VALUE"""),38055.645833333336)</f>
        <v>38055.64583</v>
      </c>
      <c r="B1047" s="1">
        <f>IFERROR(__xludf.DUMMYFUNCTION("""COMPUTED_VALUE"""),156.0)</f>
        <v>156</v>
      </c>
      <c r="C1047" s="1">
        <f>IFERROR(__xludf.DUMMYFUNCTION("""COMPUTED_VALUE"""),156.4)</f>
        <v>156.4</v>
      </c>
      <c r="D1047" s="1">
        <f>IFERROR(__xludf.DUMMYFUNCTION("""COMPUTED_VALUE"""),152.5)</f>
        <v>152.5</v>
      </c>
      <c r="E1047" s="1">
        <f>IFERROR(__xludf.DUMMYFUNCTION("""COMPUTED_VALUE"""),154.75)</f>
        <v>154.75</v>
      </c>
      <c r="F1047" s="1">
        <f>IFERROR(__xludf.DUMMYFUNCTION("""COMPUTED_VALUE"""),5683917.0)</f>
        <v>5683917</v>
      </c>
    </row>
    <row r="1048">
      <c r="A1048" s="2">
        <f>IFERROR(__xludf.DUMMYFUNCTION("""COMPUTED_VALUE"""),38056.645833333336)</f>
        <v>38056.64583</v>
      </c>
      <c r="B1048" s="1">
        <f>IFERROR(__xludf.DUMMYFUNCTION("""COMPUTED_VALUE"""),155.0)</f>
        <v>155</v>
      </c>
      <c r="C1048" s="1">
        <f>IFERROR(__xludf.DUMMYFUNCTION("""COMPUTED_VALUE"""),155.5)</f>
        <v>155.5</v>
      </c>
      <c r="D1048" s="1">
        <f>IFERROR(__xludf.DUMMYFUNCTION("""COMPUTED_VALUE"""),148.65)</f>
        <v>148.65</v>
      </c>
      <c r="E1048" s="1">
        <f>IFERROR(__xludf.DUMMYFUNCTION("""COMPUTED_VALUE"""),149.75)</f>
        <v>149.75</v>
      </c>
      <c r="F1048" s="1">
        <f>IFERROR(__xludf.DUMMYFUNCTION("""COMPUTED_VALUE"""),4734385.0)</f>
        <v>4734385</v>
      </c>
    </row>
    <row r="1049">
      <c r="A1049" s="2">
        <f>IFERROR(__xludf.DUMMYFUNCTION("""COMPUTED_VALUE"""),38057.645833333336)</f>
        <v>38057.64583</v>
      </c>
      <c r="B1049" s="1">
        <f>IFERROR(__xludf.DUMMYFUNCTION("""COMPUTED_VALUE"""),151.0)</f>
        <v>151</v>
      </c>
      <c r="C1049" s="1">
        <f>IFERROR(__xludf.DUMMYFUNCTION("""COMPUTED_VALUE"""),157.5)</f>
        <v>157.5</v>
      </c>
      <c r="D1049" s="1">
        <f>IFERROR(__xludf.DUMMYFUNCTION("""COMPUTED_VALUE"""),151.0)</f>
        <v>151</v>
      </c>
      <c r="E1049" s="1">
        <f>IFERROR(__xludf.DUMMYFUNCTION("""COMPUTED_VALUE"""),154.55)</f>
        <v>154.55</v>
      </c>
      <c r="F1049" s="1">
        <f>IFERROR(__xludf.DUMMYFUNCTION("""COMPUTED_VALUE"""),7407871.0)</f>
        <v>7407871</v>
      </c>
    </row>
    <row r="1050">
      <c r="A1050" s="2">
        <f>IFERROR(__xludf.DUMMYFUNCTION("""COMPUTED_VALUE"""),38058.645833333336)</f>
        <v>38058.64583</v>
      </c>
      <c r="B1050" s="1">
        <f>IFERROR(__xludf.DUMMYFUNCTION("""COMPUTED_VALUE"""),152.8)</f>
        <v>152.8</v>
      </c>
      <c r="C1050" s="1">
        <f>IFERROR(__xludf.DUMMYFUNCTION("""COMPUTED_VALUE"""),157.9)</f>
        <v>157.9</v>
      </c>
      <c r="D1050" s="1">
        <f>IFERROR(__xludf.DUMMYFUNCTION("""COMPUTED_VALUE"""),152.6)</f>
        <v>152.6</v>
      </c>
      <c r="E1050" s="1">
        <f>IFERROR(__xludf.DUMMYFUNCTION("""COMPUTED_VALUE"""),156.45)</f>
        <v>156.45</v>
      </c>
      <c r="F1050" s="1">
        <f>IFERROR(__xludf.DUMMYFUNCTION("""COMPUTED_VALUE"""),4975199.0)</f>
        <v>4975199</v>
      </c>
    </row>
    <row r="1051">
      <c r="A1051" s="2">
        <f>IFERROR(__xludf.DUMMYFUNCTION("""COMPUTED_VALUE"""),38061.645833333336)</f>
        <v>38061.64583</v>
      </c>
      <c r="B1051" s="1">
        <f>IFERROR(__xludf.DUMMYFUNCTION("""COMPUTED_VALUE"""),159.0)</f>
        <v>159</v>
      </c>
      <c r="C1051" s="1">
        <f>IFERROR(__xludf.DUMMYFUNCTION("""COMPUTED_VALUE"""),160.7)</f>
        <v>160.7</v>
      </c>
      <c r="D1051" s="1">
        <f>IFERROR(__xludf.DUMMYFUNCTION("""COMPUTED_VALUE"""),153.4)</f>
        <v>153.4</v>
      </c>
      <c r="E1051" s="1">
        <f>IFERROR(__xludf.DUMMYFUNCTION("""COMPUTED_VALUE"""),153.95)</f>
        <v>153.95</v>
      </c>
      <c r="F1051" s="1">
        <f>IFERROR(__xludf.DUMMYFUNCTION("""COMPUTED_VALUE"""),4913134.0)</f>
        <v>4913134</v>
      </c>
    </row>
    <row r="1052">
      <c r="A1052" s="2">
        <f>IFERROR(__xludf.DUMMYFUNCTION("""COMPUTED_VALUE"""),38062.645833333336)</f>
        <v>38062.64583</v>
      </c>
      <c r="B1052" s="1">
        <f>IFERROR(__xludf.DUMMYFUNCTION("""COMPUTED_VALUE"""),153.9)</f>
        <v>153.9</v>
      </c>
      <c r="C1052" s="1">
        <f>IFERROR(__xludf.DUMMYFUNCTION("""COMPUTED_VALUE"""),153.9)</f>
        <v>153.9</v>
      </c>
      <c r="D1052" s="1">
        <f>IFERROR(__xludf.DUMMYFUNCTION("""COMPUTED_VALUE"""),148.5)</f>
        <v>148.5</v>
      </c>
      <c r="E1052" s="1">
        <f>IFERROR(__xludf.DUMMYFUNCTION("""COMPUTED_VALUE"""),150.3)</f>
        <v>150.3</v>
      </c>
      <c r="F1052" s="1">
        <f>IFERROR(__xludf.DUMMYFUNCTION("""COMPUTED_VALUE"""),4487127.0)</f>
        <v>4487127</v>
      </c>
    </row>
    <row r="1053">
      <c r="A1053" s="2">
        <f>IFERROR(__xludf.DUMMYFUNCTION("""COMPUTED_VALUE"""),38063.645833333336)</f>
        <v>38063.64583</v>
      </c>
      <c r="B1053" s="1">
        <f>IFERROR(__xludf.DUMMYFUNCTION("""COMPUTED_VALUE"""),151.4)</f>
        <v>151.4</v>
      </c>
      <c r="C1053" s="1">
        <f>IFERROR(__xludf.DUMMYFUNCTION("""COMPUTED_VALUE"""),151.9)</f>
        <v>151.9</v>
      </c>
      <c r="D1053" s="1">
        <f>IFERROR(__xludf.DUMMYFUNCTION("""COMPUTED_VALUE"""),141.0)</f>
        <v>141</v>
      </c>
      <c r="E1053" s="1">
        <f>IFERROR(__xludf.DUMMYFUNCTION("""COMPUTED_VALUE"""),144.05)</f>
        <v>144.05</v>
      </c>
      <c r="F1053" s="1">
        <f>IFERROR(__xludf.DUMMYFUNCTION("""COMPUTED_VALUE"""),4954914.0)</f>
        <v>4954914</v>
      </c>
    </row>
    <row r="1054">
      <c r="A1054" s="2">
        <f>IFERROR(__xludf.DUMMYFUNCTION("""COMPUTED_VALUE"""),38064.645833333336)</f>
        <v>38064.64583</v>
      </c>
      <c r="B1054" s="1">
        <f>IFERROR(__xludf.DUMMYFUNCTION("""COMPUTED_VALUE"""),144.85)</f>
        <v>144.85</v>
      </c>
      <c r="C1054" s="1">
        <f>IFERROR(__xludf.DUMMYFUNCTION("""COMPUTED_VALUE"""),147.2)</f>
        <v>147.2</v>
      </c>
      <c r="D1054" s="1">
        <f>IFERROR(__xludf.DUMMYFUNCTION("""COMPUTED_VALUE"""),143.1)</f>
        <v>143.1</v>
      </c>
      <c r="E1054" s="1">
        <f>IFERROR(__xludf.DUMMYFUNCTION("""COMPUTED_VALUE"""),145.15)</f>
        <v>145.15</v>
      </c>
      <c r="F1054" s="1">
        <f>IFERROR(__xludf.DUMMYFUNCTION("""COMPUTED_VALUE"""),3238252.0)</f>
        <v>3238252</v>
      </c>
    </row>
    <row r="1055">
      <c r="A1055" s="2">
        <f>IFERROR(__xludf.DUMMYFUNCTION("""COMPUTED_VALUE"""),38065.645833333336)</f>
        <v>38065.64583</v>
      </c>
      <c r="B1055" s="1">
        <f>IFERROR(__xludf.DUMMYFUNCTION("""COMPUTED_VALUE"""),145.1)</f>
        <v>145.1</v>
      </c>
      <c r="C1055" s="1">
        <f>IFERROR(__xludf.DUMMYFUNCTION("""COMPUTED_VALUE"""),150.15)</f>
        <v>150.15</v>
      </c>
      <c r="D1055" s="1">
        <f>IFERROR(__xludf.DUMMYFUNCTION("""COMPUTED_VALUE"""),144.0)</f>
        <v>144</v>
      </c>
      <c r="E1055" s="1">
        <f>IFERROR(__xludf.DUMMYFUNCTION("""COMPUTED_VALUE"""),148.2)</f>
        <v>148.2</v>
      </c>
      <c r="F1055" s="1">
        <f>IFERROR(__xludf.DUMMYFUNCTION("""COMPUTED_VALUE"""),2835923.0)</f>
        <v>2835923</v>
      </c>
    </row>
    <row r="1056">
      <c r="A1056" s="2">
        <f>IFERROR(__xludf.DUMMYFUNCTION("""COMPUTED_VALUE"""),38068.645833333336)</f>
        <v>38068.64583</v>
      </c>
      <c r="B1056" s="1">
        <f>IFERROR(__xludf.DUMMYFUNCTION("""COMPUTED_VALUE"""),149.0)</f>
        <v>149</v>
      </c>
      <c r="C1056" s="1">
        <f>IFERROR(__xludf.DUMMYFUNCTION("""COMPUTED_VALUE"""),150.9)</f>
        <v>150.9</v>
      </c>
      <c r="D1056" s="1">
        <f>IFERROR(__xludf.DUMMYFUNCTION("""COMPUTED_VALUE"""),147.9)</f>
        <v>147.9</v>
      </c>
      <c r="E1056" s="1">
        <f>IFERROR(__xludf.DUMMYFUNCTION("""COMPUTED_VALUE"""),149.8)</f>
        <v>149.8</v>
      </c>
      <c r="F1056" s="1">
        <f>IFERROR(__xludf.DUMMYFUNCTION("""COMPUTED_VALUE"""),3357508.0)</f>
        <v>3357508</v>
      </c>
    </row>
    <row r="1057">
      <c r="A1057" s="2">
        <f>IFERROR(__xludf.DUMMYFUNCTION("""COMPUTED_VALUE"""),38069.645833333336)</f>
        <v>38069.64583</v>
      </c>
      <c r="B1057" s="1">
        <f>IFERROR(__xludf.DUMMYFUNCTION("""COMPUTED_VALUE"""),149.0)</f>
        <v>149</v>
      </c>
      <c r="C1057" s="1">
        <f>IFERROR(__xludf.DUMMYFUNCTION("""COMPUTED_VALUE"""),151.95)</f>
        <v>151.95</v>
      </c>
      <c r="D1057" s="1">
        <f>IFERROR(__xludf.DUMMYFUNCTION("""COMPUTED_VALUE"""),148.25)</f>
        <v>148.25</v>
      </c>
      <c r="E1057" s="1">
        <f>IFERROR(__xludf.DUMMYFUNCTION("""COMPUTED_VALUE"""),150.8)</f>
        <v>150.8</v>
      </c>
      <c r="F1057" s="1">
        <f>IFERROR(__xludf.DUMMYFUNCTION("""COMPUTED_VALUE"""),1472599.0)</f>
        <v>1472599</v>
      </c>
    </row>
    <row r="1058">
      <c r="A1058" s="2">
        <f>IFERROR(__xludf.DUMMYFUNCTION("""COMPUTED_VALUE"""),38070.645833333336)</f>
        <v>38070.64583</v>
      </c>
      <c r="B1058" s="1">
        <f>IFERROR(__xludf.DUMMYFUNCTION("""COMPUTED_VALUE"""),149.35)</f>
        <v>149.35</v>
      </c>
      <c r="C1058" s="1">
        <f>IFERROR(__xludf.DUMMYFUNCTION("""COMPUTED_VALUE"""),151.0)</f>
        <v>151</v>
      </c>
      <c r="D1058" s="1">
        <f>IFERROR(__xludf.DUMMYFUNCTION("""COMPUTED_VALUE"""),145.9)</f>
        <v>145.9</v>
      </c>
      <c r="E1058" s="1">
        <f>IFERROR(__xludf.DUMMYFUNCTION("""COMPUTED_VALUE"""),148.2)</f>
        <v>148.2</v>
      </c>
      <c r="F1058" s="1">
        <f>IFERROR(__xludf.DUMMYFUNCTION("""COMPUTED_VALUE"""),3170069.0)</f>
        <v>3170069</v>
      </c>
    </row>
    <row r="1059">
      <c r="A1059" s="2">
        <f>IFERROR(__xludf.DUMMYFUNCTION("""COMPUTED_VALUE"""),38071.645833333336)</f>
        <v>38071.64583</v>
      </c>
      <c r="B1059" s="1">
        <f>IFERROR(__xludf.DUMMYFUNCTION("""COMPUTED_VALUE"""),149.9)</f>
        <v>149.9</v>
      </c>
      <c r="C1059" s="1">
        <f>IFERROR(__xludf.DUMMYFUNCTION("""COMPUTED_VALUE"""),149.9)</f>
        <v>149.9</v>
      </c>
      <c r="D1059" s="1">
        <f>IFERROR(__xludf.DUMMYFUNCTION("""COMPUTED_VALUE"""),143.4)</f>
        <v>143.4</v>
      </c>
      <c r="E1059" s="1">
        <f>IFERROR(__xludf.DUMMYFUNCTION("""COMPUTED_VALUE"""),144.45)</f>
        <v>144.45</v>
      </c>
      <c r="F1059" s="1">
        <f>IFERROR(__xludf.DUMMYFUNCTION("""COMPUTED_VALUE"""),5199790.0)</f>
        <v>5199790</v>
      </c>
    </row>
    <row r="1060">
      <c r="A1060" s="2">
        <f>IFERROR(__xludf.DUMMYFUNCTION("""COMPUTED_VALUE"""),38072.645833333336)</f>
        <v>38072.64583</v>
      </c>
      <c r="B1060" s="1">
        <f>IFERROR(__xludf.DUMMYFUNCTION("""COMPUTED_VALUE"""),145.5)</f>
        <v>145.5</v>
      </c>
      <c r="C1060" s="1">
        <f>IFERROR(__xludf.DUMMYFUNCTION("""COMPUTED_VALUE"""),149.8)</f>
        <v>149.8</v>
      </c>
      <c r="D1060" s="1">
        <f>IFERROR(__xludf.DUMMYFUNCTION("""COMPUTED_VALUE"""),144.25)</f>
        <v>144.25</v>
      </c>
      <c r="E1060" s="1">
        <f>IFERROR(__xludf.DUMMYFUNCTION("""COMPUTED_VALUE"""),148.25)</f>
        <v>148.25</v>
      </c>
      <c r="F1060" s="1">
        <f>IFERROR(__xludf.DUMMYFUNCTION("""COMPUTED_VALUE"""),2823182.0)</f>
        <v>2823182</v>
      </c>
    </row>
    <row r="1061">
      <c r="A1061" s="2">
        <f>IFERROR(__xludf.DUMMYFUNCTION("""COMPUTED_VALUE"""),38075.645833333336)</f>
        <v>38075.64583</v>
      </c>
      <c r="B1061" s="1">
        <f>IFERROR(__xludf.DUMMYFUNCTION("""COMPUTED_VALUE"""),149.0)</f>
        <v>149</v>
      </c>
      <c r="C1061" s="1">
        <f>IFERROR(__xludf.DUMMYFUNCTION("""COMPUTED_VALUE"""),150.6)</f>
        <v>150.6</v>
      </c>
      <c r="D1061" s="1">
        <f>IFERROR(__xludf.DUMMYFUNCTION("""COMPUTED_VALUE"""),148.0)</f>
        <v>148</v>
      </c>
      <c r="E1061" s="1">
        <f>IFERROR(__xludf.DUMMYFUNCTION("""COMPUTED_VALUE"""),149.6)</f>
        <v>149.6</v>
      </c>
      <c r="F1061" s="1">
        <f>IFERROR(__xludf.DUMMYFUNCTION("""COMPUTED_VALUE"""),1537081.0)</f>
        <v>1537081</v>
      </c>
    </row>
    <row r="1062">
      <c r="A1062" s="2">
        <f>IFERROR(__xludf.DUMMYFUNCTION("""COMPUTED_VALUE"""),38076.645833333336)</f>
        <v>38076.64583</v>
      </c>
      <c r="B1062" s="1">
        <f>IFERROR(__xludf.DUMMYFUNCTION("""COMPUTED_VALUE"""),150.9)</f>
        <v>150.9</v>
      </c>
      <c r="C1062" s="1">
        <f>IFERROR(__xludf.DUMMYFUNCTION("""COMPUTED_VALUE"""),152.0)</f>
        <v>152</v>
      </c>
      <c r="D1062" s="1">
        <f>IFERROR(__xludf.DUMMYFUNCTION("""COMPUTED_VALUE"""),149.65)</f>
        <v>149.65</v>
      </c>
      <c r="E1062" s="1">
        <f>IFERROR(__xludf.DUMMYFUNCTION("""COMPUTED_VALUE"""),150.55)</f>
        <v>150.55</v>
      </c>
      <c r="F1062" s="1">
        <f>IFERROR(__xludf.DUMMYFUNCTION("""COMPUTED_VALUE"""),1598947.0)</f>
        <v>1598947</v>
      </c>
    </row>
    <row r="1063">
      <c r="A1063" s="2">
        <f>IFERROR(__xludf.DUMMYFUNCTION("""COMPUTED_VALUE"""),38077.645833333336)</f>
        <v>38077.64583</v>
      </c>
      <c r="B1063" s="1">
        <f>IFERROR(__xludf.DUMMYFUNCTION("""COMPUTED_VALUE"""),150.1)</f>
        <v>150.1</v>
      </c>
      <c r="C1063" s="1">
        <f>IFERROR(__xludf.DUMMYFUNCTION("""COMPUTED_VALUE"""),155.3)</f>
        <v>155.3</v>
      </c>
      <c r="D1063" s="1">
        <f>IFERROR(__xludf.DUMMYFUNCTION("""COMPUTED_VALUE"""),149.1)</f>
        <v>149.1</v>
      </c>
      <c r="E1063" s="1">
        <f>IFERROR(__xludf.DUMMYFUNCTION("""COMPUTED_VALUE"""),154.4)</f>
        <v>154.4</v>
      </c>
      <c r="F1063" s="1">
        <f>IFERROR(__xludf.DUMMYFUNCTION("""COMPUTED_VALUE"""),3969964.0)</f>
        <v>3969964</v>
      </c>
    </row>
    <row r="1064">
      <c r="A1064" s="2">
        <f>IFERROR(__xludf.DUMMYFUNCTION("""COMPUTED_VALUE"""),38078.645833333336)</f>
        <v>38078.64583</v>
      </c>
      <c r="B1064" s="1">
        <f>IFERROR(__xludf.DUMMYFUNCTION("""COMPUTED_VALUE"""),155.0)</f>
        <v>155</v>
      </c>
      <c r="C1064" s="1">
        <f>IFERROR(__xludf.DUMMYFUNCTION("""COMPUTED_VALUE"""),156.4)</f>
        <v>156.4</v>
      </c>
      <c r="D1064" s="1">
        <f>IFERROR(__xludf.DUMMYFUNCTION("""COMPUTED_VALUE"""),153.3)</f>
        <v>153.3</v>
      </c>
      <c r="E1064" s="1">
        <f>IFERROR(__xludf.DUMMYFUNCTION("""COMPUTED_VALUE"""),154.8)</f>
        <v>154.8</v>
      </c>
      <c r="F1064" s="1">
        <f>IFERROR(__xludf.DUMMYFUNCTION("""COMPUTED_VALUE"""),2670300.0)</f>
        <v>2670300</v>
      </c>
    </row>
    <row r="1065">
      <c r="A1065" s="2">
        <f>IFERROR(__xludf.DUMMYFUNCTION("""COMPUTED_VALUE"""),38079.645833333336)</f>
        <v>38079.64583</v>
      </c>
      <c r="B1065" s="1">
        <f>IFERROR(__xludf.DUMMYFUNCTION("""COMPUTED_VALUE"""),153.3)</f>
        <v>153.3</v>
      </c>
      <c r="C1065" s="1">
        <f>IFERROR(__xludf.DUMMYFUNCTION("""COMPUTED_VALUE"""),158.1)</f>
        <v>158.1</v>
      </c>
      <c r="D1065" s="1">
        <f>IFERROR(__xludf.DUMMYFUNCTION("""COMPUTED_VALUE"""),153.1)</f>
        <v>153.1</v>
      </c>
      <c r="E1065" s="1">
        <f>IFERROR(__xludf.DUMMYFUNCTION("""COMPUTED_VALUE"""),156.25)</f>
        <v>156.25</v>
      </c>
      <c r="F1065" s="1">
        <f>IFERROR(__xludf.DUMMYFUNCTION("""COMPUTED_VALUE"""),1585370.0)</f>
        <v>1585370</v>
      </c>
    </row>
    <row r="1066">
      <c r="A1066" s="2">
        <f>IFERROR(__xludf.DUMMYFUNCTION("""COMPUTED_VALUE"""),38082.645833333336)</f>
        <v>38082.64583</v>
      </c>
      <c r="B1066" s="1">
        <f>IFERROR(__xludf.DUMMYFUNCTION("""COMPUTED_VALUE"""),157.1)</f>
        <v>157.1</v>
      </c>
      <c r="C1066" s="1">
        <f>IFERROR(__xludf.DUMMYFUNCTION("""COMPUTED_VALUE"""),160.3)</f>
        <v>160.3</v>
      </c>
      <c r="D1066" s="1">
        <f>IFERROR(__xludf.DUMMYFUNCTION("""COMPUTED_VALUE"""),156.0)</f>
        <v>156</v>
      </c>
      <c r="E1066" s="1">
        <f>IFERROR(__xludf.DUMMYFUNCTION("""COMPUTED_VALUE"""),157.5)</f>
        <v>157.5</v>
      </c>
      <c r="F1066" s="1">
        <f>IFERROR(__xludf.DUMMYFUNCTION("""COMPUTED_VALUE"""),1472295.0)</f>
        <v>1472295</v>
      </c>
    </row>
    <row r="1067">
      <c r="A1067" s="2">
        <f>IFERROR(__xludf.DUMMYFUNCTION("""COMPUTED_VALUE"""),38083.645833333336)</f>
        <v>38083.64583</v>
      </c>
      <c r="B1067" s="1">
        <f>IFERROR(__xludf.DUMMYFUNCTION("""COMPUTED_VALUE"""),157.7)</f>
        <v>157.7</v>
      </c>
      <c r="C1067" s="1">
        <f>IFERROR(__xludf.DUMMYFUNCTION("""COMPUTED_VALUE"""),158.35)</f>
        <v>158.35</v>
      </c>
      <c r="D1067" s="1">
        <f>IFERROR(__xludf.DUMMYFUNCTION("""COMPUTED_VALUE"""),153.35)</f>
        <v>153.35</v>
      </c>
      <c r="E1067" s="1">
        <f>IFERROR(__xludf.DUMMYFUNCTION("""COMPUTED_VALUE"""),154.85)</f>
        <v>154.85</v>
      </c>
      <c r="F1067" s="1">
        <f>IFERROR(__xludf.DUMMYFUNCTION("""COMPUTED_VALUE"""),1382231.0)</f>
        <v>1382231</v>
      </c>
    </row>
    <row r="1068">
      <c r="A1068" s="2">
        <f>IFERROR(__xludf.DUMMYFUNCTION("""COMPUTED_VALUE"""),38084.645833333336)</f>
        <v>38084.64583</v>
      </c>
      <c r="B1068" s="1">
        <f>IFERROR(__xludf.DUMMYFUNCTION("""COMPUTED_VALUE"""),152.5)</f>
        <v>152.5</v>
      </c>
      <c r="C1068" s="1">
        <f>IFERROR(__xludf.DUMMYFUNCTION("""COMPUTED_VALUE"""),152.5)</f>
        <v>152.5</v>
      </c>
      <c r="D1068" s="1">
        <f>IFERROR(__xludf.DUMMYFUNCTION("""COMPUTED_VALUE"""),145.75)</f>
        <v>145.75</v>
      </c>
      <c r="E1068" s="1">
        <f>IFERROR(__xludf.DUMMYFUNCTION("""COMPUTED_VALUE"""),147.0)</f>
        <v>147</v>
      </c>
      <c r="F1068" s="1">
        <f>IFERROR(__xludf.DUMMYFUNCTION("""COMPUTED_VALUE"""),3897914.0)</f>
        <v>3897914</v>
      </c>
    </row>
    <row r="1069">
      <c r="A1069" s="2">
        <f>IFERROR(__xludf.DUMMYFUNCTION("""COMPUTED_VALUE"""),38085.645833333336)</f>
        <v>38085.64583</v>
      </c>
      <c r="B1069" s="1">
        <f>IFERROR(__xludf.DUMMYFUNCTION("""COMPUTED_VALUE"""),147.4)</f>
        <v>147.4</v>
      </c>
      <c r="C1069" s="1">
        <f>IFERROR(__xludf.DUMMYFUNCTION("""COMPUTED_VALUE"""),148.75)</f>
        <v>148.75</v>
      </c>
      <c r="D1069" s="1">
        <f>IFERROR(__xludf.DUMMYFUNCTION("""COMPUTED_VALUE"""),145.3)</f>
        <v>145.3</v>
      </c>
      <c r="E1069" s="1">
        <f>IFERROR(__xludf.DUMMYFUNCTION("""COMPUTED_VALUE"""),148.2)</f>
        <v>148.2</v>
      </c>
      <c r="F1069" s="1">
        <f>IFERROR(__xludf.DUMMYFUNCTION("""COMPUTED_VALUE"""),2770663.0)</f>
        <v>2770663</v>
      </c>
    </row>
    <row r="1070">
      <c r="A1070" s="2">
        <f>IFERROR(__xludf.DUMMYFUNCTION("""COMPUTED_VALUE"""),38089.645833333336)</f>
        <v>38089.64583</v>
      </c>
      <c r="B1070" s="1">
        <f>IFERROR(__xludf.DUMMYFUNCTION("""COMPUTED_VALUE"""),148.0)</f>
        <v>148</v>
      </c>
      <c r="C1070" s="1">
        <f>IFERROR(__xludf.DUMMYFUNCTION("""COMPUTED_VALUE"""),150.4)</f>
        <v>150.4</v>
      </c>
      <c r="D1070" s="1">
        <f>IFERROR(__xludf.DUMMYFUNCTION("""COMPUTED_VALUE"""),145.6)</f>
        <v>145.6</v>
      </c>
      <c r="E1070" s="1">
        <f>IFERROR(__xludf.DUMMYFUNCTION("""COMPUTED_VALUE"""),149.9)</f>
        <v>149.9</v>
      </c>
      <c r="F1070" s="1">
        <f>IFERROR(__xludf.DUMMYFUNCTION("""COMPUTED_VALUE"""),3305850.0)</f>
        <v>3305850</v>
      </c>
    </row>
    <row r="1071">
      <c r="A1071" s="2">
        <f>IFERROR(__xludf.DUMMYFUNCTION("""COMPUTED_VALUE"""),38090.645833333336)</f>
        <v>38090.64583</v>
      </c>
      <c r="B1071" s="1">
        <f>IFERROR(__xludf.DUMMYFUNCTION("""COMPUTED_VALUE"""),148.9)</f>
        <v>148.9</v>
      </c>
      <c r="C1071" s="1">
        <f>IFERROR(__xludf.DUMMYFUNCTION("""COMPUTED_VALUE"""),153.8)</f>
        <v>153.8</v>
      </c>
      <c r="D1071" s="1">
        <f>IFERROR(__xludf.DUMMYFUNCTION("""COMPUTED_VALUE"""),146.05)</f>
        <v>146.05</v>
      </c>
      <c r="E1071" s="1">
        <f>IFERROR(__xludf.DUMMYFUNCTION("""COMPUTED_VALUE"""),152.5)</f>
        <v>152.5</v>
      </c>
      <c r="F1071" s="1">
        <f>IFERROR(__xludf.DUMMYFUNCTION("""COMPUTED_VALUE"""),1962118.0)</f>
        <v>1962118</v>
      </c>
    </row>
    <row r="1072">
      <c r="A1072" s="2">
        <f>IFERROR(__xludf.DUMMYFUNCTION("""COMPUTED_VALUE"""),38092.645833333336)</f>
        <v>38092.64583</v>
      </c>
      <c r="B1072" s="1">
        <f>IFERROR(__xludf.DUMMYFUNCTION("""COMPUTED_VALUE"""),151.3)</f>
        <v>151.3</v>
      </c>
      <c r="C1072" s="1">
        <f>IFERROR(__xludf.DUMMYFUNCTION("""COMPUTED_VALUE"""),152.4)</f>
        <v>152.4</v>
      </c>
      <c r="D1072" s="1">
        <f>IFERROR(__xludf.DUMMYFUNCTION("""COMPUTED_VALUE"""),148.25)</f>
        <v>148.25</v>
      </c>
      <c r="E1072" s="1">
        <f>IFERROR(__xludf.DUMMYFUNCTION("""COMPUTED_VALUE"""),150.55)</f>
        <v>150.55</v>
      </c>
      <c r="F1072" s="1">
        <f>IFERROR(__xludf.DUMMYFUNCTION("""COMPUTED_VALUE"""),2280373.0)</f>
        <v>2280373</v>
      </c>
    </row>
    <row r="1073">
      <c r="A1073" s="2">
        <f>IFERROR(__xludf.DUMMYFUNCTION("""COMPUTED_VALUE"""),38093.645833333336)</f>
        <v>38093.64583</v>
      </c>
      <c r="B1073" s="1">
        <f>IFERROR(__xludf.DUMMYFUNCTION("""COMPUTED_VALUE"""),153.0)</f>
        <v>153</v>
      </c>
      <c r="C1073" s="1">
        <f>IFERROR(__xludf.DUMMYFUNCTION("""COMPUTED_VALUE"""),153.6)</f>
        <v>153.6</v>
      </c>
      <c r="D1073" s="1">
        <f>IFERROR(__xludf.DUMMYFUNCTION("""COMPUTED_VALUE"""),149.3)</f>
        <v>149.3</v>
      </c>
      <c r="E1073" s="1">
        <f>IFERROR(__xludf.DUMMYFUNCTION("""COMPUTED_VALUE"""),151.65)</f>
        <v>151.65</v>
      </c>
      <c r="F1073" s="1">
        <f>IFERROR(__xludf.DUMMYFUNCTION("""COMPUTED_VALUE"""),2356307.0)</f>
        <v>2356307</v>
      </c>
    </row>
    <row r="1074">
      <c r="A1074" s="2">
        <f>IFERROR(__xludf.DUMMYFUNCTION("""COMPUTED_VALUE"""),38096.645833333336)</f>
        <v>38096.64583</v>
      </c>
      <c r="B1074" s="1">
        <f>IFERROR(__xludf.DUMMYFUNCTION("""COMPUTED_VALUE"""),151.5)</f>
        <v>151.5</v>
      </c>
      <c r="C1074" s="1">
        <f>IFERROR(__xludf.DUMMYFUNCTION("""COMPUTED_VALUE"""),152.5)</f>
        <v>152.5</v>
      </c>
      <c r="D1074" s="1">
        <f>IFERROR(__xludf.DUMMYFUNCTION("""COMPUTED_VALUE"""),149.2)</f>
        <v>149.2</v>
      </c>
      <c r="E1074" s="1">
        <f>IFERROR(__xludf.DUMMYFUNCTION("""COMPUTED_VALUE"""),152.0)</f>
        <v>152</v>
      </c>
      <c r="F1074" s="1">
        <f>IFERROR(__xludf.DUMMYFUNCTION("""COMPUTED_VALUE"""),1740942.0)</f>
        <v>1740942</v>
      </c>
    </row>
    <row r="1075">
      <c r="A1075" s="2">
        <f>IFERROR(__xludf.DUMMYFUNCTION("""COMPUTED_VALUE"""),38097.645833333336)</f>
        <v>38097.64583</v>
      </c>
      <c r="B1075" s="1">
        <f>IFERROR(__xludf.DUMMYFUNCTION("""COMPUTED_VALUE"""),152.0)</f>
        <v>152</v>
      </c>
      <c r="C1075" s="1">
        <f>IFERROR(__xludf.DUMMYFUNCTION("""COMPUTED_VALUE"""),152.0)</f>
        <v>152</v>
      </c>
      <c r="D1075" s="1">
        <f>IFERROR(__xludf.DUMMYFUNCTION("""COMPUTED_VALUE"""),150.05)</f>
        <v>150.05</v>
      </c>
      <c r="E1075" s="1">
        <f>IFERROR(__xludf.DUMMYFUNCTION("""COMPUTED_VALUE"""),151.25)</f>
        <v>151.25</v>
      </c>
      <c r="F1075" s="1">
        <f>IFERROR(__xludf.DUMMYFUNCTION("""COMPUTED_VALUE"""),1392564.0)</f>
        <v>1392564</v>
      </c>
    </row>
    <row r="1076">
      <c r="A1076" s="2">
        <f>IFERROR(__xludf.DUMMYFUNCTION("""COMPUTED_VALUE"""),38098.645833333336)</f>
        <v>38098.64583</v>
      </c>
      <c r="B1076" s="1">
        <f>IFERROR(__xludf.DUMMYFUNCTION("""COMPUTED_VALUE"""),151.0)</f>
        <v>151</v>
      </c>
      <c r="C1076" s="1">
        <f>IFERROR(__xludf.DUMMYFUNCTION("""COMPUTED_VALUE"""),154.05)</f>
        <v>154.05</v>
      </c>
      <c r="D1076" s="1">
        <f>IFERROR(__xludf.DUMMYFUNCTION("""COMPUTED_VALUE"""),149.3)</f>
        <v>149.3</v>
      </c>
      <c r="E1076" s="1">
        <f>IFERROR(__xludf.DUMMYFUNCTION("""COMPUTED_VALUE"""),153.7)</f>
        <v>153.7</v>
      </c>
      <c r="F1076" s="1">
        <f>IFERROR(__xludf.DUMMYFUNCTION("""COMPUTED_VALUE"""),1489307.0)</f>
        <v>1489307</v>
      </c>
    </row>
    <row r="1077">
      <c r="A1077" s="2">
        <f>IFERROR(__xludf.DUMMYFUNCTION("""COMPUTED_VALUE"""),38099.645833333336)</f>
        <v>38099.64583</v>
      </c>
      <c r="B1077" s="1">
        <f>IFERROR(__xludf.DUMMYFUNCTION("""COMPUTED_VALUE"""),153.0)</f>
        <v>153</v>
      </c>
      <c r="C1077" s="1">
        <f>IFERROR(__xludf.DUMMYFUNCTION("""COMPUTED_VALUE"""),154.45)</f>
        <v>154.45</v>
      </c>
      <c r="D1077" s="1">
        <f>IFERROR(__xludf.DUMMYFUNCTION("""COMPUTED_VALUE"""),151.6)</f>
        <v>151.6</v>
      </c>
      <c r="E1077" s="1">
        <f>IFERROR(__xludf.DUMMYFUNCTION("""COMPUTED_VALUE"""),152.4)</f>
        <v>152.4</v>
      </c>
      <c r="F1077" s="1">
        <f>IFERROR(__xludf.DUMMYFUNCTION("""COMPUTED_VALUE"""),1757192.0)</f>
        <v>1757192</v>
      </c>
    </row>
    <row r="1078">
      <c r="A1078" s="2">
        <f>IFERROR(__xludf.DUMMYFUNCTION("""COMPUTED_VALUE"""),38100.645833333336)</f>
        <v>38100.64583</v>
      </c>
      <c r="B1078" s="1">
        <f>IFERROR(__xludf.DUMMYFUNCTION("""COMPUTED_VALUE"""),153.5)</f>
        <v>153.5</v>
      </c>
      <c r="C1078" s="1">
        <f>IFERROR(__xludf.DUMMYFUNCTION("""COMPUTED_VALUE"""),154.8)</f>
        <v>154.8</v>
      </c>
      <c r="D1078" s="1">
        <f>IFERROR(__xludf.DUMMYFUNCTION("""COMPUTED_VALUE"""),151.3)</f>
        <v>151.3</v>
      </c>
      <c r="E1078" s="1">
        <f>IFERROR(__xludf.DUMMYFUNCTION("""COMPUTED_VALUE"""),151.6)</f>
        <v>151.6</v>
      </c>
      <c r="F1078" s="1">
        <f>IFERROR(__xludf.DUMMYFUNCTION("""COMPUTED_VALUE"""),2029119.0)</f>
        <v>2029119</v>
      </c>
    </row>
    <row r="1079">
      <c r="A1079" s="2">
        <f>IFERROR(__xludf.DUMMYFUNCTION("""COMPUTED_VALUE"""),38104.645833333336)</f>
        <v>38104.64583</v>
      </c>
      <c r="B1079" s="1">
        <f>IFERROR(__xludf.DUMMYFUNCTION("""COMPUTED_VALUE"""),151.3)</f>
        <v>151.3</v>
      </c>
      <c r="C1079" s="1">
        <f>IFERROR(__xludf.DUMMYFUNCTION("""COMPUTED_VALUE"""),153.8)</f>
        <v>153.8</v>
      </c>
      <c r="D1079" s="1">
        <f>IFERROR(__xludf.DUMMYFUNCTION("""COMPUTED_VALUE"""),144.5)</f>
        <v>144.5</v>
      </c>
      <c r="E1079" s="1">
        <f>IFERROR(__xludf.DUMMYFUNCTION("""COMPUTED_VALUE"""),146.6)</f>
        <v>146.6</v>
      </c>
      <c r="F1079" s="1">
        <f>IFERROR(__xludf.DUMMYFUNCTION("""COMPUTED_VALUE"""),4034788.0)</f>
        <v>4034788</v>
      </c>
    </row>
    <row r="1080">
      <c r="A1080" s="2">
        <f>IFERROR(__xludf.DUMMYFUNCTION("""COMPUTED_VALUE"""),38105.645833333336)</f>
        <v>38105.64583</v>
      </c>
      <c r="B1080" s="1">
        <f>IFERROR(__xludf.DUMMYFUNCTION("""COMPUTED_VALUE"""),147.8)</f>
        <v>147.8</v>
      </c>
      <c r="C1080" s="1">
        <f>IFERROR(__xludf.DUMMYFUNCTION("""COMPUTED_VALUE"""),148.35)</f>
        <v>148.35</v>
      </c>
      <c r="D1080" s="1">
        <f>IFERROR(__xludf.DUMMYFUNCTION("""COMPUTED_VALUE"""),144.1)</f>
        <v>144.1</v>
      </c>
      <c r="E1080" s="1">
        <f>IFERROR(__xludf.DUMMYFUNCTION("""COMPUTED_VALUE"""),144.75)</f>
        <v>144.75</v>
      </c>
      <c r="F1080" s="1">
        <f>IFERROR(__xludf.DUMMYFUNCTION("""COMPUTED_VALUE"""),1854521.0)</f>
        <v>1854521</v>
      </c>
    </row>
    <row r="1081">
      <c r="A1081" s="2">
        <f>IFERROR(__xludf.DUMMYFUNCTION("""COMPUTED_VALUE"""),38106.645833333336)</f>
        <v>38106.64583</v>
      </c>
      <c r="B1081" s="1">
        <f>IFERROR(__xludf.DUMMYFUNCTION("""COMPUTED_VALUE"""),145.0)</f>
        <v>145</v>
      </c>
      <c r="C1081" s="1">
        <f>IFERROR(__xludf.DUMMYFUNCTION("""COMPUTED_VALUE"""),145.45)</f>
        <v>145.45</v>
      </c>
      <c r="D1081" s="1">
        <f>IFERROR(__xludf.DUMMYFUNCTION("""COMPUTED_VALUE"""),139.15)</f>
        <v>139.15</v>
      </c>
      <c r="E1081" s="1">
        <f>IFERROR(__xludf.DUMMYFUNCTION("""COMPUTED_VALUE"""),144.0)</f>
        <v>144</v>
      </c>
      <c r="F1081" s="1">
        <f>IFERROR(__xludf.DUMMYFUNCTION("""COMPUTED_VALUE"""),8547513.0)</f>
        <v>8547513</v>
      </c>
    </row>
    <row r="1082">
      <c r="A1082" s="2">
        <f>IFERROR(__xludf.DUMMYFUNCTION("""COMPUTED_VALUE"""),38107.645833333336)</f>
        <v>38107.64583</v>
      </c>
      <c r="B1082" s="1">
        <f>IFERROR(__xludf.DUMMYFUNCTION("""COMPUTED_VALUE"""),142.5)</f>
        <v>142.5</v>
      </c>
      <c r="C1082" s="1">
        <f>IFERROR(__xludf.DUMMYFUNCTION("""COMPUTED_VALUE"""),144.7)</f>
        <v>144.7</v>
      </c>
      <c r="D1082" s="1">
        <f>IFERROR(__xludf.DUMMYFUNCTION("""COMPUTED_VALUE"""),141.0)</f>
        <v>141</v>
      </c>
      <c r="E1082" s="1">
        <f>IFERROR(__xludf.DUMMYFUNCTION("""COMPUTED_VALUE"""),141.3)</f>
        <v>141.3</v>
      </c>
      <c r="F1082" s="1">
        <f>IFERROR(__xludf.DUMMYFUNCTION("""COMPUTED_VALUE"""),1740856.0)</f>
        <v>1740856</v>
      </c>
    </row>
    <row r="1083">
      <c r="A1083" s="2">
        <f>IFERROR(__xludf.DUMMYFUNCTION("""COMPUTED_VALUE"""),38110.645833333336)</f>
        <v>38110.64583</v>
      </c>
      <c r="B1083" s="1">
        <f>IFERROR(__xludf.DUMMYFUNCTION("""COMPUTED_VALUE"""),140.0)</f>
        <v>140</v>
      </c>
      <c r="C1083" s="1">
        <f>IFERROR(__xludf.DUMMYFUNCTION("""COMPUTED_VALUE"""),143.4)</f>
        <v>143.4</v>
      </c>
      <c r="D1083" s="1">
        <f>IFERROR(__xludf.DUMMYFUNCTION("""COMPUTED_VALUE"""),139.0)</f>
        <v>139</v>
      </c>
      <c r="E1083" s="1">
        <f>IFERROR(__xludf.DUMMYFUNCTION("""COMPUTED_VALUE"""),142.65)</f>
        <v>142.65</v>
      </c>
      <c r="F1083" s="1">
        <f>IFERROR(__xludf.DUMMYFUNCTION("""COMPUTED_VALUE"""),1730048.0)</f>
        <v>1730048</v>
      </c>
    </row>
    <row r="1084">
      <c r="A1084" s="2">
        <f>IFERROR(__xludf.DUMMYFUNCTION("""COMPUTED_VALUE"""),38111.645833333336)</f>
        <v>38111.64583</v>
      </c>
      <c r="B1084" s="1">
        <f>IFERROR(__xludf.DUMMYFUNCTION("""COMPUTED_VALUE"""),142.5)</f>
        <v>142.5</v>
      </c>
      <c r="C1084" s="1">
        <f>IFERROR(__xludf.DUMMYFUNCTION("""COMPUTED_VALUE"""),143.4)</f>
        <v>143.4</v>
      </c>
      <c r="D1084" s="1">
        <f>IFERROR(__xludf.DUMMYFUNCTION("""COMPUTED_VALUE"""),140.6)</f>
        <v>140.6</v>
      </c>
      <c r="E1084" s="1">
        <f>IFERROR(__xludf.DUMMYFUNCTION("""COMPUTED_VALUE"""),142.55)</f>
        <v>142.55</v>
      </c>
      <c r="F1084" s="1">
        <f>IFERROR(__xludf.DUMMYFUNCTION("""COMPUTED_VALUE"""),1868988.0)</f>
        <v>1868988</v>
      </c>
    </row>
    <row r="1085">
      <c r="A1085" s="2">
        <f>IFERROR(__xludf.DUMMYFUNCTION("""COMPUTED_VALUE"""),38112.645833333336)</f>
        <v>38112.64583</v>
      </c>
      <c r="B1085" s="1">
        <f>IFERROR(__xludf.DUMMYFUNCTION("""COMPUTED_VALUE"""),141.9)</f>
        <v>141.9</v>
      </c>
      <c r="C1085" s="1">
        <f>IFERROR(__xludf.DUMMYFUNCTION("""COMPUTED_VALUE"""),143.5)</f>
        <v>143.5</v>
      </c>
      <c r="D1085" s="1">
        <f>IFERROR(__xludf.DUMMYFUNCTION("""COMPUTED_VALUE"""),141.75)</f>
        <v>141.75</v>
      </c>
      <c r="E1085" s="1">
        <f>IFERROR(__xludf.DUMMYFUNCTION("""COMPUTED_VALUE"""),143.0)</f>
        <v>143</v>
      </c>
      <c r="F1085" s="1">
        <f>IFERROR(__xludf.DUMMYFUNCTION("""COMPUTED_VALUE"""),1368723.0)</f>
        <v>1368723</v>
      </c>
    </row>
    <row r="1086">
      <c r="A1086" s="2">
        <f>IFERROR(__xludf.DUMMYFUNCTION("""COMPUTED_VALUE"""),38113.645833333336)</f>
        <v>38113.64583</v>
      </c>
      <c r="B1086" s="1">
        <f>IFERROR(__xludf.DUMMYFUNCTION("""COMPUTED_VALUE"""),143.0)</f>
        <v>143</v>
      </c>
      <c r="C1086" s="1">
        <f>IFERROR(__xludf.DUMMYFUNCTION("""COMPUTED_VALUE"""),146.7)</f>
        <v>146.7</v>
      </c>
      <c r="D1086" s="1">
        <f>IFERROR(__xludf.DUMMYFUNCTION("""COMPUTED_VALUE"""),143.0)</f>
        <v>143</v>
      </c>
      <c r="E1086" s="1">
        <f>IFERROR(__xludf.DUMMYFUNCTION("""COMPUTED_VALUE"""),145.7)</f>
        <v>145.7</v>
      </c>
      <c r="F1086" s="1">
        <f>IFERROR(__xludf.DUMMYFUNCTION("""COMPUTED_VALUE"""),2117259.0)</f>
        <v>2117259</v>
      </c>
    </row>
    <row r="1087">
      <c r="A1087" s="2">
        <f>IFERROR(__xludf.DUMMYFUNCTION("""COMPUTED_VALUE"""),38114.645833333336)</f>
        <v>38114.64583</v>
      </c>
      <c r="B1087" s="1">
        <f>IFERROR(__xludf.DUMMYFUNCTION("""COMPUTED_VALUE"""),146.0)</f>
        <v>146</v>
      </c>
      <c r="C1087" s="1">
        <f>IFERROR(__xludf.DUMMYFUNCTION("""COMPUTED_VALUE"""),146.25)</f>
        <v>146.25</v>
      </c>
      <c r="D1087" s="1">
        <f>IFERROR(__xludf.DUMMYFUNCTION("""COMPUTED_VALUE"""),144.0)</f>
        <v>144</v>
      </c>
      <c r="E1087" s="1">
        <f>IFERROR(__xludf.DUMMYFUNCTION("""COMPUTED_VALUE"""),145.0)</f>
        <v>145</v>
      </c>
      <c r="F1087" s="1">
        <f>IFERROR(__xludf.DUMMYFUNCTION("""COMPUTED_VALUE"""),1692596.0)</f>
        <v>1692596</v>
      </c>
    </row>
    <row r="1088">
      <c r="A1088" s="2">
        <f>IFERROR(__xludf.DUMMYFUNCTION("""COMPUTED_VALUE"""),38117.645833333336)</f>
        <v>38117.64583</v>
      </c>
      <c r="B1088" s="1">
        <f>IFERROR(__xludf.DUMMYFUNCTION("""COMPUTED_VALUE"""),142.5)</f>
        <v>142.5</v>
      </c>
      <c r="C1088" s="1">
        <f>IFERROR(__xludf.DUMMYFUNCTION("""COMPUTED_VALUE"""),143.4)</f>
        <v>143.4</v>
      </c>
      <c r="D1088" s="1">
        <f>IFERROR(__xludf.DUMMYFUNCTION("""COMPUTED_VALUE"""),141.3)</f>
        <v>141.3</v>
      </c>
      <c r="E1088" s="1">
        <f>IFERROR(__xludf.DUMMYFUNCTION("""COMPUTED_VALUE"""),142.4)</f>
        <v>142.4</v>
      </c>
      <c r="F1088" s="1">
        <f>IFERROR(__xludf.DUMMYFUNCTION("""COMPUTED_VALUE"""),1139934.0)</f>
        <v>1139934</v>
      </c>
    </row>
    <row r="1089">
      <c r="A1089" s="2">
        <f>IFERROR(__xludf.DUMMYFUNCTION("""COMPUTED_VALUE"""),38118.645833333336)</f>
        <v>38118.64583</v>
      </c>
      <c r="B1089" s="1">
        <f>IFERROR(__xludf.DUMMYFUNCTION("""COMPUTED_VALUE"""),139.5)</f>
        <v>139.5</v>
      </c>
      <c r="C1089" s="1">
        <f>IFERROR(__xludf.DUMMYFUNCTION("""COMPUTED_VALUE"""),143.0)</f>
        <v>143</v>
      </c>
      <c r="D1089" s="1">
        <f>IFERROR(__xludf.DUMMYFUNCTION("""COMPUTED_VALUE"""),139.5)</f>
        <v>139.5</v>
      </c>
      <c r="E1089" s="1">
        <f>IFERROR(__xludf.DUMMYFUNCTION("""COMPUTED_VALUE"""),140.8)</f>
        <v>140.8</v>
      </c>
      <c r="F1089" s="1">
        <f>IFERROR(__xludf.DUMMYFUNCTION("""COMPUTED_VALUE"""),2423419.0)</f>
        <v>2423419</v>
      </c>
    </row>
    <row r="1090">
      <c r="A1090" s="2">
        <f>IFERROR(__xludf.DUMMYFUNCTION("""COMPUTED_VALUE"""),38119.645833333336)</f>
        <v>38119.64583</v>
      </c>
      <c r="B1090" s="1">
        <f>IFERROR(__xludf.DUMMYFUNCTION("""COMPUTED_VALUE"""),140.0)</f>
        <v>140</v>
      </c>
      <c r="C1090" s="1">
        <f>IFERROR(__xludf.DUMMYFUNCTION("""COMPUTED_VALUE"""),142.6)</f>
        <v>142.6</v>
      </c>
      <c r="D1090" s="1">
        <f>IFERROR(__xludf.DUMMYFUNCTION("""COMPUTED_VALUE"""),139.0)</f>
        <v>139</v>
      </c>
      <c r="E1090" s="1">
        <f>IFERROR(__xludf.DUMMYFUNCTION("""COMPUTED_VALUE"""),142.15)</f>
        <v>142.15</v>
      </c>
      <c r="F1090" s="1">
        <f>IFERROR(__xludf.DUMMYFUNCTION("""COMPUTED_VALUE"""),1595797.0)</f>
        <v>1595797</v>
      </c>
    </row>
    <row r="1091">
      <c r="A1091" s="2">
        <f>IFERROR(__xludf.DUMMYFUNCTION("""COMPUTED_VALUE"""),38120.645833333336)</f>
        <v>38120.64583</v>
      </c>
      <c r="B1091" s="1">
        <f>IFERROR(__xludf.DUMMYFUNCTION("""COMPUTED_VALUE"""),141.4)</f>
        <v>141.4</v>
      </c>
      <c r="C1091" s="1">
        <f>IFERROR(__xludf.DUMMYFUNCTION("""COMPUTED_VALUE"""),144.0)</f>
        <v>144</v>
      </c>
      <c r="D1091" s="1">
        <f>IFERROR(__xludf.DUMMYFUNCTION("""COMPUTED_VALUE"""),138.2)</f>
        <v>138.2</v>
      </c>
      <c r="E1091" s="1">
        <f>IFERROR(__xludf.DUMMYFUNCTION("""COMPUTED_VALUE"""),141.95)</f>
        <v>141.95</v>
      </c>
      <c r="F1091" s="1">
        <f>IFERROR(__xludf.DUMMYFUNCTION("""COMPUTED_VALUE"""),1713812.0)</f>
        <v>1713812</v>
      </c>
    </row>
    <row r="1092">
      <c r="A1092" s="2">
        <f>IFERROR(__xludf.DUMMYFUNCTION("""COMPUTED_VALUE"""),38121.645833333336)</f>
        <v>38121.64583</v>
      </c>
      <c r="B1092" s="1">
        <f>IFERROR(__xludf.DUMMYFUNCTION("""COMPUTED_VALUE"""),140.95)</f>
        <v>140.95</v>
      </c>
      <c r="C1092" s="1">
        <f>IFERROR(__xludf.DUMMYFUNCTION("""COMPUTED_VALUE"""),143.6)</f>
        <v>143.6</v>
      </c>
      <c r="D1092" s="1">
        <f>IFERROR(__xludf.DUMMYFUNCTION("""COMPUTED_VALUE"""),139.2)</f>
        <v>139.2</v>
      </c>
      <c r="E1092" s="1">
        <f>IFERROR(__xludf.DUMMYFUNCTION("""COMPUTED_VALUE"""),141.55)</f>
        <v>141.55</v>
      </c>
      <c r="F1092" s="1">
        <f>IFERROR(__xludf.DUMMYFUNCTION("""COMPUTED_VALUE"""),3894113.0)</f>
        <v>3894113</v>
      </c>
    </row>
    <row r="1093">
      <c r="A1093" s="2">
        <f>IFERROR(__xludf.DUMMYFUNCTION("""COMPUTED_VALUE"""),38124.645833333336)</f>
        <v>38124.64583</v>
      </c>
      <c r="B1093" s="1">
        <f>IFERROR(__xludf.DUMMYFUNCTION("""COMPUTED_VALUE"""),141.0)</f>
        <v>141</v>
      </c>
      <c r="C1093" s="1">
        <f>IFERROR(__xludf.DUMMYFUNCTION("""COMPUTED_VALUE"""),146.5)</f>
        <v>146.5</v>
      </c>
      <c r="D1093" s="1">
        <f>IFERROR(__xludf.DUMMYFUNCTION("""COMPUTED_VALUE"""),115.25)</f>
        <v>115.25</v>
      </c>
      <c r="E1093" s="1">
        <f>IFERROR(__xludf.DUMMYFUNCTION("""COMPUTED_VALUE"""),120.2)</f>
        <v>120.2</v>
      </c>
      <c r="F1093" s="1">
        <f>IFERROR(__xludf.DUMMYFUNCTION("""COMPUTED_VALUE"""),2321740.0)</f>
        <v>2321740</v>
      </c>
    </row>
    <row r="1094">
      <c r="A1094" s="2">
        <f>IFERROR(__xludf.DUMMYFUNCTION("""COMPUTED_VALUE"""),38125.645833333336)</f>
        <v>38125.64583</v>
      </c>
      <c r="B1094" s="1">
        <f>IFERROR(__xludf.DUMMYFUNCTION("""COMPUTED_VALUE"""),128.45)</f>
        <v>128.45</v>
      </c>
      <c r="C1094" s="1">
        <f>IFERROR(__xludf.DUMMYFUNCTION("""COMPUTED_VALUE"""),132.7)</f>
        <v>132.7</v>
      </c>
      <c r="D1094" s="1">
        <f>IFERROR(__xludf.DUMMYFUNCTION("""COMPUTED_VALUE"""),121.0)</f>
        <v>121</v>
      </c>
      <c r="E1094" s="1">
        <f>IFERROR(__xludf.DUMMYFUNCTION("""COMPUTED_VALUE"""),129.6)</f>
        <v>129.6</v>
      </c>
      <c r="F1094" s="1">
        <f>IFERROR(__xludf.DUMMYFUNCTION("""COMPUTED_VALUE"""),3155959.0)</f>
        <v>3155959</v>
      </c>
    </row>
    <row r="1095">
      <c r="A1095" s="2">
        <f>IFERROR(__xludf.DUMMYFUNCTION("""COMPUTED_VALUE"""),38126.645833333336)</f>
        <v>38126.64583</v>
      </c>
      <c r="B1095" s="1">
        <f>IFERROR(__xludf.DUMMYFUNCTION("""COMPUTED_VALUE"""),134.0)</f>
        <v>134</v>
      </c>
      <c r="C1095" s="1">
        <f>IFERROR(__xludf.DUMMYFUNCTION("""COMPUTED_VALUE"""),138.9)</f>
        <v>138.9</v>
      </c>
      <c r="D1095" s="1">
        <f>IFERROR(__xludf.DUMMYFUNCTION("""COMPUTED_VALUE"""),131.8)</f>
        <v>131.8</v>
      </c>
      <c r="E1095" s="1">
        <f>IFERROR(__xludf.DUMMYFUNCTION("""COMPUTED_VALUE"""),134.25)</f>
        <v>134.25</v>
      </c>
      <c r="F1095" s="1">
        <f>IFERROR(__xludf.DUMMYFUNCTION("""COMPUTED_VALUE"""),4330090.0)</f>
        <v>4330090</v>
      </c>
    </row>
    <row r="1096">
      <c r="A1096" s="2">
        <f>IFERROR(__xludf.DUMMYFUNCTION("""COMPUTED_VALUE"""),38127.645833333336)</f>
        <v>38127.64583</v>
      </c>
      <c r="B1096" s="1">
        <f>IFERROR(__xludf.DUMMYFUNCTION("""COMPUTED_VALUE"""),137.75)</f>
        <v>137.75</v>
      </c>
      <c r="C1096" s="1">
        <f>IFERROR(__xludf.DUMMYFUNCTION("""COMPUTED_VALUE"""),138.95)</f>
        <v>138.95</v>
      </c>
      <c r="D1096" s="1">
        <f>IFERROR(__xludf.DUMMYFUNCTION("""COMPUTED_VALUE"""),133.3)</f>
        <v>133.3</v>
      </c>
      <c r="E1096" s="1">
        <f>IFERROR(__xludf.DUMMYFUNCTION("""COMPUTED_VALUE"""),136.85)</f>
        <v>136.85</v>
      </c>
      <c r="F1096" s="1">
        <f>IFERROR(__xludf.DUMMYFUNCTION("""COMPUTED_VALUE"""),3343219.0)</f>
        <v>3343219</v>
      </c>
    </row>
    <row r="1097">
      <c r="A1097" s="2">
        <f>IFERROR(__xludf.DUMMYFUNCTION("""COMPUTED_VALUE"""),38128.645833333336)</f>
        <v>38128.64583</v>
      </c>
      <c r="B1097" s="1">
        <f>IFERROR(__xludf.DUMMYFUNCTION("""COMPUTED_VALUE"""),136.0)</f>
        <v>136</v>
      </c>
      <c r="C1097" s="1">
        <f>IFERROR(__xludf.DUMMYFUNCTION("""COMPUTED_VALUE"""),138.7)</f>
        <v>138.7</v>
      </c>
      <c r="D1097" s="1">
        <f>IFERROR(__xludf.DUMMYFUNCTION("""COMPUTED_VALUE"""),133.9)</f>
        <v>133.9</v>
      </c>
      <c r="E1097" s="1">
        <f>IFERROR(__xludf.DUMMYFUNCTION("""COMPUTED_VALUE"""),137.85)</f>
        <v>137.85</v>
      </c>
      <c r="F1097" s="1">
        <f>IFERROR(__xludf.DUMMYFUNCTION("""COMPUTED_VALUE"""),2904657.0)</f>
        <v>2904657</v>
      </c>
    </row>
    <row r="1098">
      <c r="A1098" s="2">
        <f>IFERROR(__xludf.DUMMYFUNCTION("""COMPUTED_VALUE"""),38131.645833333336)</f>
        <v>38131.64583</v>
      </c>
      <c r="B1098" s="1">
        <f>IFERROR(__xludf.DUMMYFUNCTION("""COMPUTED_VALUE"""),138.0)</f>
        <v>138</v>
      </c>
      <c r="C1098" s="1">
        <f>IFERROR(__xludf.DUMMYFUNCTION("""COMPUTED_VALUE"""),139.75)</f>
        <v>139.75</v>
      </c>
      <c r="D1098" s="1">
        <f>IFERROR(__xludf.DUMMYFUNCTION("""COMPUTED_VALUE"""),137.0)</f>
        <v>137</v>
      </c>
      <c r="E1098" s="1">
        <f>IFERROR(__xludf.DUMMYFUNCTION("""COMPUTED_VALUE"""),138.4)</f>
        <v>138.4</v>
      </c>
      <c r="F1098" s="1">
        <f>IFERROR(__xludf.DUMMYFUNCTION("""COMPUTED_VALUE"""),1938425.0)</f>
        <v>1938425</v>
      </c>
    </row>
    <row r="1099">
      <c r="A1099" s="2">
        <f>IFERROR(__xludf.DUMMYFUNCTION("""COMPUTED_VALUE"""),38132.645833333336)</f>
        <v>38132.64583</v>
      </c>
      <c r="B1099" s="1">
        <f>IFERROR(__xludf.DUMMYFUNCTION("""COMPUTED_VALUE"""),139.4)</f>
        <v>139.4</v>
      </c>
      <c r="C1099" s="1">
        <f>IFERROR(__xludf.DUMMYFUNCTION("""COMPUTED_VALUE"""),142.6)</f>
        <v>142.6</v>
      </c>
      <c r="D1099" s="1">
        <f>IFERROR(__xludf.DUMMYFUNCTION("""COMPUTED_VALUE"""),137.0)</f>
        <v>137</v>
      </c>
      <c r="E1099" s="1">
        <f>IFERROR(__xludf.DUMMYFUNCTION("""COMPUTED_VALUE"""),141.65)</f>
        <v>141.65</v>
      </c>
      <c r="F1099" s="1">
        <f>IFERROR(__xludf.DUMMYFUNCTION("""COMPUTED_VALUE"""),3531855.0)</f>
        <v>3531855</v>
      </c>
    </row>
    <row r="1100">
      <c r="A1100" s="2">
        <f>IFERROR(__xludf.DUMMYFUNCTION("""COMPUTED_VALUE"""),38133.645833333336)</f>
        <v>38133.64583</v>
      </c>
      <c r="B1100" s="1">
        <f>IFERROR(__xludf.DUMMYFUNCTION("""COMPUTED_VALUE"""),141.0)</f>
        <v>141</v>
      </c>
      <c r="C1100" s="1">
        <f>IFERROR(__xludf.DUMMYFUNCTION("""COMPUTED_VALUE"""),142.0)</f>
        <v>142</v>
      </c>
      <c r="D1100" s="1">
        <f>IFERROR(__xludf.DUMMYFUNCTION("""COMPUTED_VALUE"""),138.1)</f>
        <v>138.1</v>
      </c>
      <c r="E1100" s="1">
        <f>IFERROR(__xludf.DUMMYFUNCTION("""COMPUTED_VALUE"""),139.6)</f>
        <v>139.6</v>
      </c>
      <c r="F1100" s="1">
        <f>IFERROR(__xludf.DUMMYFUNCTION("""COMPUTED_VALUE"""),2229032.0)</f>
        <v>2229032</v>
      </c>
    </row>
    <row r="1101">
      <c r="A1101" s="2">
        <f>IFERROR(__xludf.DUMMYFUNCTION("""COMPUTED_VALUE"""),38134.645833333336)</f>
        <v>38134.64583</v>
      </c>
      <c r="B1101" s="1">
        <f>IFERROR(__xludf.DUMMYFUNCTION("""COMPUTED_VALUE"""),138.0)</f>
        <v>138</v>
      </c>
      <c r="C1101" s="1">
        <f>IFERROR(__xludf.DUMMYFUNCTION("""COMPUTED_VALUE"""),141.35)</f>
        <v>141.35</v>
      </c>
      <c r="D1101" s="1">
        <f>IFERROR(__xludf.DUMMYFUNCTION("""COMPUTED_VALUE"""),138.0)</f>
        <v>138</v>
      </c>
      <c r="E1101" s="1">
        <f>IFERROR(__xludf.DUMMYFUNCTION("""COMPUTED_VALUE"""),140.35)</f>
        <v>140.35</v>
      </c>
      <c r="F1101" s="1">
        <f>IFERROR(__xludf.DUMMYFUNCTION("""COMPUTED_VALUE"""),2767952.0)</f>
        <v>2767952</v>
      </c>
    </row>
    <row r="1102">
      <c r="A1102" s="2">
        <f>IFERROR(__xludf.DUMMYFUNCTION("""COMPUTED_VALUE"""),38135.645833333336)</f>
        <v>38135.64583</v>
      </c>
      <c r="B1102" s="1">
        <f>IFERROR(__xludf.DUMMYFUNCTION("""COMPUTED_VALUE"""),143.8)</f>
        <v>143.8</v>
      </c>
      <c r="C1102" s="1">
        <f>IFERROR(__xludf.DUMMYFUNCTION("""COMPUTED_VALUE"""),143.8)</f>
        <v>143.8</v>
      </c>
      <c r="D1102" s="1">
        <f>IFERROR(__xludf.DUMMYFUNCTION("""COMPUTED_VALUE"""),136.0)</f>
        <v>136</v>
      </c>
      <c r="E1102" s="1">
        <f>IFERROR(__xludf.DUMMYFUNCTION("""COMPUTED_VALUE"""),136.85)</f>
        <v>136.85</v>
      </c>
      <c r="F1102" s="1">
        <f>IFERROR(__xludf.DUMMYFUNCTION("""COMPUTED_VALUE"""),2404213.0)</f>
        <v>2404213</v>
      </c>
    </row>
    <row r="1103">
      <c r="A1103" s="2">
        <f>IFERROR(__xludf.DUMMYFUNCTION("""COMPUTED_VALUE"""),38138.645833333336)</f>
        <v>38138.64583</v>
      </c>
      <c r="B1103" s="1">
        <f>IFERROR(__xludf.DUMMYFUNCTION("""COMPUTED_VALUE"""),137.0)</f>
        <v>137</v>
      </c>
      <c r="C1103" s="1">
        <f>IFERROR(__xludf.DUMMYFUNCTION("""COMPUTED_VALUE"""),139.9)</f>
        <v>139.9</v>
      </c>
      <c r="D1103" s="1">
        <f>IFERROR(__xludf.DUMMYFUNCTION("""COMPUTED_VALUE"""),136.05)</f>
        <v>136.05</v>
      </c>
      <c r="E1103" s="1">
        <f>IFERROR(__xludf.DUMMYFUNCTION("""COMPUTED_VALUE"""),136.95)</f>
        <v>136.95</v>
      </c>
      <c r="F1103" s="1">
        <f>IFERROR(__xludf.DUMMYFUNCTION("""COMPUTED_VALUE"""),3507284.0)</f>
        <v>3507284</v>
      </c>
    </row>
    <row r="1104">
      <c r="A1104" s="2">
        <f>IFERROR(__xludf.DUMMYFUNCTION("""COMPUTED_VALUE"""),38139.645833333336)</f>
        <v>38139.64583</v>
      </c>
      <c r="B1104" s="1">
        <f>IFERROR(__xludf.DUMMYFUNCTION("""COMPUTED_VALUE"""),138.5)</f>
        <v>138.5</v>
      </c>
      <c r="C1104" s="1">
        <f>IFERROR(__xludf.DUMMYFUNCTION("""COMPUTED_VALUE"""),138.5)</f>
        <v>138.5</v>
      </c>
      <c r="D1104" s="1">
        <f>IFERROR(__xludf.DUMMYFUNCTION("""COMPUTED_VALUE"""),135.9)</f>
        <v>135.9</v>
      </c>
      <c r="E1104" s="1">
        <f>IFERROR(__xludf.DUMMYFUNCTION("""COMPUTED_VALUE"""),137.2)</f>
        <v>137.2</v>
      </c>
      <c r="F1104" s="1">
        <f>IFERROR(__xludf.DUMMYFUNCTION("""COMPUTED_VALUE"""),1911131.0)</f>
        <v>1911131</v>
      </c>
    </row>
    <row r="1105">
      <c r="A1105" s="2">
        <f>IFERROR(__xludf.DUMMYFUNCTION("""COMPUTED_VALUE"""),38140.645833333336)</f>
        <v>38140.64583</v>
      </c>
      <c r="B1105" s="1">
        <f>IFERROR(__xludf.DUMMYFUNCTION("""COMPUTED_VALUE"""),137.4)</f>
        <v>137.4</v>
      </c>
      <c r="C1105" s="1">
        <f>IFERROR(__xludf.DUMMYFUNCTION("""COMPUTED_VALUE"""),137.9)</f>
        <v>137.9</v>
      </c>
      <c r="D1105" s="1">
        <f>IFERROR(__xludf.DUMMYFUNCTION("""COMPUTED_VALUE"""),136.05)</f>
        <v>136.05</v>
      </c>
      <c r="E1105" s="1">
        <f>IFERROR(__xludf.DUMMYFUNCTION("""COMPUTED_VALUE"""),137.25)</f>
        <v>137.25</v>
      </c>
      <c r="F1105" s="1">
        <f>IFERROR(__xludf.DUMMYFUNCTION("""COMPUTED_VALUE"""),1104556.0)</f>
        <v>1104556</v>
      </c>
    </row>
    <row r="1106">
      <c r="A1106" s="2">
        <f>IFERROR(__xludf.DUMMYFUNCTION("""COMPUTED_VALUE"""),38141.645833333336)</f>
        <v>38141.64583</v>
      </c>
      <c r="B1106" s="1">
        <f>IFERROR(__xludf.DUMMYFUNCTION("""COMPUTED_VALUE"""),138.0)</f>
        <v>138</v>
      </c>
      <c r="C1106" s="1">
        <f>IFERROR(__xludf.DUMMYFUNCTION("""COMPUTED_VALUE"""),150.05)</f>
        <v>150.05</v>
      </c>
      <c r="D1106" s="1">
        <f>IFERROR(__xludf.DUMMYFUNCTION("""COMPUTED_VALUE"""),135.0)</f>
        <v>135</v>
      </c>
      <c r="E1106" s="1">
        <f>IFERROR(__xludf.DUMMYFUNCTION("""COMPUTED_VALUE"""),135.55)</f>
        <v>135.55</v>
      </c>
      <c r="F1106" s="1">
        <f>IFERROR(__xludf.DUMMYFUNCTION("""COMPUTED_VALUE"""),1903584.0)</f>
        <v>1903584</v>
      </c>
    </row>
    <row r="1107">
      <c r="A1107" s="2">
        <f>IFERROR(__xludf.DUMMYFUNCTION("""COMPUTED_VALUE"""),38142.645833333336)</f>
        <v>38142.64583</v>
      </c>
      <c r="B1107" s="1">
        <f>IFERROR(__xludf.DUMMYFUNCTION("""COMPUTED_VALUE"""),138.0)</f>
        <v>138</v>
      </c>
      <c r="C1107" s="1">
        <f>IFERROR(__xludf.DUMMYFUNCTION("""COMPUTED_VALUE"""),139.7)</f>
        <v>139.7</v>
      </c>
      <c r="D1107" s="1">
        <f>IFERROR(__xludf.DUMMYFUNCTION("""COMPUTED_VALUE"""),135.0)</f>
        <v>135</v>
      </c>
      <c r="E1107" s="1">
        <f>IFERROR(__xludf.DUMMYFUNCTION("""COMPUTED_VALUE"""),138.65)</f>
        <v>138.65</v>
      </c>
      <c r="F1107" s="1">
        <f>IFERROR(__xludf.DUMMYFUNCTION("""COMPUTED_VALUE"""),1362598.0)</f>
        <v>1362598</v>
      </c>
    </row>
    <row r="1108">
      <c r="A1108" s="2">
        <f>IFERROR(__xludf.DUMMYFUNCTION("""COMPUTED_VALUE"""),38145.645833333336)</f>
        <v>38145.64583</v>
      </c>
      <c r="B1108" s="1">
        <f>IFERROR(__xludf.DUMMYFUNCTION("""COMPUTED_VALUE"""),139.0)</f>
        <v>139</v>
      </c>
      <c r="C1108" s="1">
        <f>IFERROR(__xludf.DUMMYFUNCTION("""COMPUTED_VALUE"""),140.0)</f>
        <v>140</v>
      </c>
      <c r="D1108" s="1">
        <f>IFERROR(__xludf.DUMMYFUNCTION("""COMPUTED_VALUE"""),136.15)</f>
        <v>136.15</v>
      </c>
      <c r="E1108" s="1">
        <f>IFERROR(__xludf.DUMMYFUNCTION("""COMPUTED_VALUE"""),136.85)</f>
        <v>136.85</v>
      </c>
      <c r="F1108" s="1">
        <f>IFERROR(__xludf.DUMMYFUNCTION("""COMPUTED_VALUE"""),1014030.0)</f>
        <v>1014030</v>
      </c>
    </row>
    <row r="1109">
      <c r="A1109" s="2">
        <f>IFERROR(__xludf.DUMMYFUNCTION("""COMPUTED_VALUE"""),38146.645833333336)</f>
        <v>38146.64583</v>
      </c>
      <c r="B1109" s="1">
        <f>IFERROR(__xludf.DUMMYFUNCTION("""COMPUTED_VALUE"""),136.75)</f>
        <v>136.75</v>
      </c>
      <c r="C1109" s="1">
        <f>IFERROR(__xludf.DUMMYFUNCTION("""COMPUTED_VALUE"""),137.4)</f>
        <v>137.4</v>
      </c>
      <c r="D1109" s="1">
        <f>IFERROR(__xludf.DUMMYFUNCTION("""COMPUTED_VALUE"""),134.65)</f>
        <v>134.65</v>
      </c>
      <c r="E1109" s="1">
        <f>IFERROR(__xludf.DUMMYFUNCTION("""COMPUTED_VALUE"""),134.95)</f>
        <v>134.95</v>
      </c>
      <c r="F1109" s="1">
        <f>IFERROR(__xludf.DUMMYFUNCTION("""COMPUTED_VALUE"""),1032781.0)</f>
        <v>1032781</v>
      </c>
    </row>
    <row r="1110">
      <c r="A1110" s="2">
        <f>IFERROR(__xludf.DUMMYFUNCTION("""COMPUTED_VALUE"""),38147.645833333336)</f>
        <v>38147.64583</v>
      </c>
      <c r="B1110" s="1">
        <f>IFERROR(__xludf.DUMMYFUNCTION("""COMPUTED_VALUE"""),137.5)</f>
        <v>137.5</v>
      </c>
      <c r="C1110" s="1">
        <f>IFERROR(__xludf.DUMMYFUNCTION("""COMPUTED_VALUE"""),137.5)</f>
        <v>137.5</v>
      </c>
      <c r="D1110" s="1">
        <f>IFERROR(__xludf.DUMMYFUNCTION("""COMPUTED_VALUE"""),133.05)</f>
        <v>133.05</v>
      </c>
      <c r="E1110" s="1">
        <f>IFERROR(__xludf.DUMMYFUNCTION("""COMPUTED_VALUE"""),133.65)</f>
        <v>133.65</v>
      </c>
      <c r="F1110" s="1">
        <f>IFERROR(__xludf.DUMMYFUNCTION("""COMPUTED_VALUE"""),1533108.0)</f>
        <v>1533108</v>
      </c>
    </row>
    <row r="1111">
      <c r="A1111" s="2">
        <f>IFERROR(__xludf.DUMMYFUNCTION("""COMPUTED_VALUE"""),38148.645833333336)</f>
        <v>38148.64583</v>
      </c>
      <c r="B1111" s="1">
        <f>IFERROR(__xludf.DUMMYFUNCTION("""COMPUTED_VALUE"""),134.0)</f>
        <v>134</v>
      </c>
      <c r="C1111" s="1">
        <f>IFERROR(__xludf.DUMMYFUNCTION("""COMPUTED_VALUE"""),134.45)</f>
        <v>134.45</v>
      </c>
      <c r="D1111" s="1">
        <f>IFERROR(__xludf.DUMMYFUNCTION("""COMPUTED_VALUE"""),129.5)</f>
        <v>129.5</v>
      </c>
      <c r="E1111" s="1">
        <f>IFERROR(__xludf.DUMMYFUNCTION("""COMPUTED_VALUE"""),129.85)</f>
        <v>129.85</v>
      </c>
      <c r="F1111" s="1">
        <f>IFERROR(__xludf.DUMMYFUNCTION("""COMPUTED_VALUE"""),1519686.0)</f>
        <v>1519686</v>
      </c>
    </row>
    <row r="1112">
      <c r="A1112" s="2">
        <f>IFERROR(__xludf.DUMMYFUNCTION("""COMPUTED_VALUE"""),38149.645833333336)</f>
        <v>38149.64583</v>
      </c>
      <c r="B1112" s="1">
        <f>IFERROR(__xludf.DUMMYFUNCTION("""COMPUTED_VALUE"""),130.6)</f>
        <v>130.6</v>
      </c>
      <c r="C1112" s="1">
        <f>IFERROR(__xludf.DUMMYFUNCTION("""COMPUTED_VALUE"""),131.5)</f>
        <v>131.5</v>
      </c>
      <c r="D1112" s="1">
        <f>IFERROR(__xludf.DUMMYFUNCTION("""COMPUTED_VALUE"""),128.55)</f>
        <v>128.55</v>
      </c>
      <c r="E1112" s="1">
        <f>IFERROR(__xludf.DUMMYFUNCTION("""COMPUTED_VALUE"""),128.95)</f>
        <v>128.95</v>
      </c>
      <c r="F1112" s="1">
        <f>IFERROR(__xludf.DUMMYFUNCTION("""COMPUTED_VALUE"""),1553644.0)</f>
        <v>1553644</v>
      </c>
    </row>
    <row r="1113">
      <c r="A1113" s="2">
        <f>IFERROR(__xludf.DUMMYFUNCTION("""COMPUTED_VALUE"""),38152.645833333336)</f>
        <v>38152.64583</v>
      </c>
      <c r="B1113" s="1">
        <f>IFERROR(__xludf.DUMMYFUNCTION("""COMPUTED_VALUE"""),127.1)</f>
        <v>127.1</v>
      </c>
      <c r="C1113" s="1">
        <f>IFERROR(__xludf.DUMMYFUNCTION("""COMPUTED_VALUE"""),130.0)</f>
        <v>130</v>
      </c>
      <c r="D1113" s="1">
        <f>IFERROR(__xludf.DUMMYFUNCTION("""COMPUTED_VALUE"""),127.1)</f>
        <v>127.1</v>
      </c>
      <c r="E1113" s="1">
        <f>IFERROR(__xludf.DUMMYFUNCTION("""COMPUTED_VALUE"""),127.85)</f>
        <v>127.85</v>
      </c>
      <c r="F1113" s="1">
        <f>IFERROR(__xludf.DUMMYFUNCTION("""COMPUTED_VALUE"""),1248519.0)</f>
        <v>1248519</v>
      </c>
    </row>
    <row r="1114">
      <c r="A1114" s="2">
        <f>IFERROR(__xludf.DUMMYFUNCTION("""COMPUTED_VALUE"""),38153.645833333336)</f>
        <v>38153.64583</v>
      </c>
      <c r="B1114" s="1">
        <f>IFERROR(__xludf.DUMMYFUNCTION("""COMPUTED_VALUE"""),128.0)</f>
        <v>128</v>
      </c>
      <c r="C1114" s="1">
        <f>IFERROR(__xludf.DUMMYFUNCTION("""COMPUTED_VALUE"""),130.0)</f>
        <v>130</v>
      </c>
      <c r="D1114" s="1">
        <f>IFERROR(__xludf.DUMMYFUNCTION("""COMPUTED_VALUE"""),127.0)</f>
        <v>127</v>
      </c>
      <c r="E1114" s="1">
        <f>IFERROR(__xludf.DUMMYFUNCTION("""COMPUTED_VALUE"""),128.8)</f>
        <v>128.8</v>
      </c>
      <c r="F1114" s="1">
        <f>IFERROR(__xludf.DUMMYFUNCTION("""COMPUTED_VALUE"""),1231167.0)</f>
        <v>1231167</v>
      </c>
    </row>
    <row r="1115">
      <c r="A1115" s="2">
        <f>IFERROR(__xludf.DUMMYFUNCTION("""COMPUTED_VALUE"""),38154.645833333336)</f>
        <v>38154.64583</v>
      </c>
      <c r="B1115" s="1">
        <f>IFERROR(__xludf.DUMMYFUNCTION("""COMPUTED_VALUE"""),129.7)</f>
        <v>129.7</v>
      </c>
      <c r="C1115" s="1">
        <f>IFERROR(__xludf.DUMMYFUNCTION("""COMPUTED_VALUE"""),129.7)</f>
        <v>129.7</v>
      </c>
      <c r="D1115" s="1">
        <f>IFERROR(__xludf.DUMMYFUNCTION("""COMPUTED_VALUE"""),125.5)</f>
        <v>125.5</v>
      </c>
      <c r="E1115" s="1">
        <f>IFERROR(__xludf.DUMMYFUNCTION("""COMPUTED_VALUE"""),128.0)</f>
        <v>128</v>
      </c>
      <c r="F1115" s="1">
        <f>IFERROR(__xludf.DUMMYFUNCTION("""COMPUTED_VALUE"""),1652785.0)</f>
        <v>1652785</v>
      </c>
    </row>
    <row r="1116">
      <c r="A1116" s="2">
        <f>IFERROR(__xludf.DUMMYFUNCTION("""COMPUTED_VALUE"""),38155.645833333336)</f>
        <v>38155.64583</v>
      </c>
      <c r="B1116" s="1">
        <f>IFERROR(__xludf.DUMMYFUNCTION("""COMPUTED_VALUE"""),128.0)</f>
        <v>128</v>
      </c>
      <c r="C1116" s="1">
        <f>IFERROR(__xludf.DUMMYFUNCTION("""COMPUTED_VALUE"""),129.3)</f>
        <v>129.3</v>
      </c>
      <c r="D1116" s="1">
        <f>IFERROR(__xludf.DUMMYFUNCTION("""COMPUTED_VALUE"""),127.1)</f>
        <v>127.1</v>
      </c>
      <c r="E1116" s="1">
        <f>IFERROR(__xludf.DUMMYFUNCTION("""COMPUTED_VALUE"""),128.6)</f>
        <v>128.6</v>
      </c>
      <c r="F1116" s="1">
        <f>IFERROR(__xludf.DUMMYFUNCTION("""COMPUTED_VALUE"""),852525.0)</f>
        <v>852525</v>
      </c>
    </row>
    <row r="1117">
      <c r="A1117" s="2">
        <f>IFERROR(__xludf.DUMMYFUNCTION("""COMPUTED_VALUE"""),38156.645833333336)</f>
        <v>38156.64583</v>
      </c>
      <c r="B1117" s="1">
        <f>IFERROR(__xludf.DUMMYFUNCTION("""COMPUTED_VALUE"""),128.55)</f>
        <v>128.55</v>
      </c>
      <c r="C1117" s="1">
        <f>IFERROR(__xludf.DUMMYFUNCTION("""COMPUTED_VALUE"""),128.9)</f>
        <v>128.9</v>
      </c>
      <c r="D1117" s="1">
        <f>IFERROR(__xludf.DUMMYFUNCTION("""COMPUTED_VALUE"""),126.3)</f>
        <v>126.3</v>
      </c>
      <c r="E1117" s="1">
        <f>IFERROR(__xludf.DUMMYFUNCTION("""COMPUTED_VALUE"""),126.8)</f>
        <v>126.8</v>
      </c>
      <c r="F1117" s="1">
        <f>IFERROR(__xludf.DUMMYFUNCTION("""COMPUTED_VALUE"""),639009.0)</f>
        <v>639009</v>
      </c>
    </row>
    <row r="1118">
      <c r="A1118" s="2">
        <f>IFERROR(__xludf.DUMMYFUNCTION("""COMPUTED_VALUE"""),38159.645833333336)</f>
        <v>38159.64583</v>
      </c>
      <c r="B1118" s="1">
        <f>IFERROR(__xludf.DUMMYFUNCTION("""COMPUTED_VALUE"""),127.5)</f>
        <v>127.5</v>
      </c>
      <c r="C1118" s="1">
        <f>IFERROR(__xludf.DUMMYFUNCTION("""COMPUTED_VALUE"""),129.0)</f>
        <v>129</v>
      </c>
      <c r="D1118" s="1">
        <f>IFERROR(__xludf.DUMMYFUNCTION("""COMPUTED_VALUE"""),126.3)</f>
        <v>126.3</v>
      </c>
      <c r="E1118" s="1">
        <f>IFERROR(__xludf.DUMMYFUNCTION("""COMPUTED_VALUE"""),128.15)</f>
        <v>128.15</v>
      </c>
      <c r="F1118" s="1">
        <f>IFERROR(__xludf.DUMMYFUNCTION("""COMPUTED_VALUE"""),774446.0)</f>
        <v>774446</v>
      </c>
    </row>
    <row r="1119">
      <c r="A1119" s="2">
        <f>IFERROR(__xludf.DUMMYFUNCTION("""COMPUTED_VALUE"""),38160.645833333336)</f>
        <v>38160.64583</v>
      </c>
      <c r="B1119" s="1">
        <f>IFERROR(__xludf.DUMMYFUNCTION("""COMPUTED_VALUE"""),127.5)</f>
        <v>127.5</v>
      </c>
      <c r="C1119" s="1">
        <f>IFERROR(__xludf.DUMMYFUNCTION("""COMPUTED_VALUE"""),129.4)</f>
        <v>129.4</v>
      </c>
      <c r="D1119" s="1">
        <f>IFERROR(__xludf.DUMMYFUNCTION("""COMPUTED_VALUE"""),126.3)</f>
        <v>126.3</v>
      </c>
      <c r="E1119" s="1">
        <f>IFERROR(__xludf.DUMMYFUNCTION("""COMPUTED_VALUE"""),128.4)</f>
        <v>128.4</v>
      </c>
      <c r="F1119" s="1">
        <f>IFERROR(__xludf.DUMMYFUNCTION("""COMPUTED_VALUE"""),1076285.0)</f>
        <v>1076285</v>
      </c>
    </row>
    <row r="1120">
      <c r="A1120" s="2">
        <f>IFERROR(__xludf.DUMMYFUNCTION("""COMPUTED_VALUE"""),38161.645833333336)</f>
        <v>38161.64583</v>
      </c>
      <c r="B1120" s="1">
        <f>IFERROR(__xludf.DUMMYFUNCTION("""COMPUTED_VALUE"""),128.5)</f>
        <v>128.5</v>
      </c>
      <c r="C1120" s="1">
        <f>IFERROR(__xludf.DUMMYFUNCTION("""COMPUTED_VALUE"""),130.0)</f>
        <v>130</v>
      </c>
      <c r="D1120" s="1">
        <f>IFERROR(__xludf.DUMMYFUNCTION("""COMPUTED_VALUE"""),127.5)</f>
        <v>127.5</v>
      </c>
      <c r="E1120" s="1">
        <f>IFERROR(__xludf.DUMMYFUNCTION("""COMPUTED_VALUE"""),128.1)</f>
        <v>128.1</v>
      </c>
      <c r="F1120" s="1">
        <f>IFERROR(__xludf.DUMMYFUNCTION("""COMPUTED_VALUE"""),1585777.0)</f>
        <v>1585777</v>
      </c>
    </row>
    <row r="1121">
      <c r="A1121" s="2">
        <f>IFERROR(__xludf.DUMMYFUNCTION("""COMPUTED_VALUE"""),38162.645833333336)</f>
        <v>38162.64583</v>
      </c>
      <c r="B1121" s="1">
        <f>IFERROR(__xludf.DUMMYFUNCTION("""COMPUTED_VALUE"""),128.0)</f>
        <v>128</v>
      </c>
      <c r="C1121" s="1">
        <f>IFERROR(__xludf.DUMMYFUNCTION("""COMPUTED_VALUE"""),130.9)</f>
        <v>130.9</v>
      </c>
      <c r="D1121" s="1">
        <f>IFERROR(__xludf.DUMMYFUNCTION("""COMPUTED_VALUE"""),127.3)</f>
        <v>127.3</v>
      </c>
      <c r="E1121" s="1">
        <f>IFERROR(__xludf.DUMMYFUNCTION("""COMPUTED_VALUE"""),130.35)</f>
        <v>130.35</v>
      </c>
      <c r="F1121" s="1">
        <f>IFERROR(__xludf.DUMMYFUNCTION("""COMPUTED_VALUE"""),2147819.0)</f>
        <v>2147819</v>
      </c>
    </row>
    <row r="1122">
      <c r="A1122" s="2">
        <f>IFERROR(__xludf.DUMMYFUNCTION("""COMPUTED_VALUE"""),38163.645833333336)</f>
        <v>38163.64583</v>
      </c>
      <c r="B1122" s="1">
        <f>IFERROR(__xludf.DUMMYFUNCTION("""COMPUTED_VALUE"""),131.0)</f>
        <v>131</v>
      </c>
      <c r="C1122" s="1">
        <f>IFERROR(__xludf.DUMMYFUNCTION("""COMPUTED_VALUE"""),133.25)</f>
        <v>133.25</v>
      </c>
      <c r="D1122" s="1">
        <f>IFERROR(__xludf.DUMMYFUNCTION("""COMPUTED_VALUE"""),127.6)</f>
        <v>127.6</v>
      </c>
      <c r="E1122" s="1">
        <f>IFERROR(__xludf.DUMMYFUNCTION("""COMPUTED_VALUE"""),128.1)</f>
        <v>128.1</v>
      </c>
      <c r="F1122" s="1">
        <f>IFERROR(__xludf.DUMMYFUNCTION("""COMPUTED_VALUE"""),2288624.0)</f>
        <v>2288624</v>
      </c>
    </row>
    <row r="1123">
      <c r="A1123" s="2">
        <f>IFERROR(__xludf.DUMMYFUNCTION("""COMPUTED_VALUE"""),38166.645833333336)</f>
        <v>38166.64583</v>
      </c>
      <c r="B1123" s="1">
        <f>IFERROR(__xludf.DUMMYFUNCTION("""COMPUTED_VALUE"""),129.0)</f>
        <v>129</v>
      </c>
      <c r="C1123" s="1">
        <f>IFERROR(__xludf.DUMMYFUNCTION("""COMPUTED_VALUE"""),130.1)</f>
        <v>130.1</v>
      </c>
      <c r="D1123" s="1">
        <f>IFERROR(__xludf.DUMMYFUNCTION("""COMPUTED_VALUE"""),126.75)</f>
        <v>126.75</v>
      </c>
      <c r="E1123" s="1">
        <f>IFERROR(__xludf.DUMMYFUNCTION("""COMPUTED_VALUE"""),127.55)</f>
        <v>127.55</v>
      </c>
      <c r="F1123" s="1">
        <f>IFERROR(__xludf.DUMMYFUNCTION("""COMPUTED_VALUE"""),3327781.0)</f>
        <v>3327781</v>
      </c>
    </row>
    <row r="1124">
      <c r="A1124" s="2">
        <f>IFERROR(__xludf.DUMMYFUNCTION("""COMPUTED_VALUE"""),38167.645833333336)</f>
        <v>38167.64583</v>
      </c>
      <c r="B1124" s="1">
        <f>IFERROR(__xludf.DUMMYFUNCTION("""COMPUTED_VALUE"""),129.0)</f>
        <v>129</v>
      </c>
      <c r="C1124" s="1">
        <f>IFERROR(__xludf.DUMMYFUNCTION("""COMPUTED_VALUE"""),131.0)</f>
        <v>131</v>
      </c>
      <c r="D1124" s="1">
        <f>IFERROR(__xludf.DUMMYFUNCTION("""COMPUTED_VALUE"""),127.1)</f>
        <v>127.1</v>
      </c>
      <c r="E1124" s="1">
        <f>IFERROR(__xludf.DUMMYFUNCTION("""COMPUTED_VALUE"""),129.75)</f>
        <v>129.75</v>
      </c>
      <c r="F1124" s="1">
        <f>IFERROR(__xludf.DUMMYFUNCTION("""COMPUTED_VALUE"""),3511920.0)</f>
        <v>3511920</v>
      </c>
    </row>
    <row r="1125">
      <c r="A1125" s="2">
        <f>IFERROR(__xludf.DUMMYFUNCTION("""COMPUTED_VALUE"""),38168.645833333336)</f>
        <v>38168.64583</v>
      </c>
      <c r="B1125" s="1">
        <f>IFERROR(__xludf.DUMMYFUNCTION("""COMPUTED_VALUE"""),133.5)</f>
        <v>133.5</v>
      </c>
      <c r="C1125" s="1">
        <f>IFERROR(__xludf.DUMMYFUNCTION("""COMPUTED_VALUE"""),133.5)</f>
        <v>133.5</v>
      </c>
      <c r="D1125" s="1">
        <f>IFERROR(__xludf.DUMMYFUNCTION("""COMPUTED_VALUE"""),127.0)</f>
        <v>127</v>
      </c>
      <c r="E1125" s="1">
        <f>IFERROR(__xludf.DUMMYFUNCTION("""COMPUTED_VALUE"""),127.3)</f>
        <v>127.3</v>
      </c>
      <c r="F1125" s="1">
        <f>IFERROR(__xludf.DUMMYFUNCTION("""COMPUTED_VALUE"""),2106649.0)</f>
        <v>2106649</v>
      </c>
    </row>
    <row r="1126">
      <c r="A1126" s="2">
        <f>IFERROR(__xludf.DUMMYFUNCTION("""COMPUTED_VALUE"""),38169.645833333336)</f>
        <v>38169.64583</v>
      </c>
      <c r="B1126" s="1">
        <f>IFERROR(__xludf.DUMMYFUNCTION("""COMPUTED_VALUE"""),127.85)</f>
        <v>127.85</v>
      </c>
      <c r="C1126" s="1">
        <f>IFERROR(__xludf.DUMMYFUNCTION("""COMPUTED_VALUE"""),128.4)</f>
        <v>128.4</v>
      </c>
      <c r="D1126" s="1">
        <f>IFERROR(__xludf.DUMMYFUNCTION("""COMPUTED_VALUE"""),126.6)</f>
        <v>126.6</v>
      </c>
      <c r="E1126" s="1">
        <f>IFERROR(__xludf.DUMMYFUNCTION("""COMPUTED_VALUE"""),127.4)</f>
        <v>127.4</v>
      </c>
      <c r="F1126" s="1">
        <f>IFERROR(__xludf.DUMMYFUNCTION("""COMPUTED_VALUE"""),1704945.0)</f>
        <v>1704945</v>
      </c>
    </row>
    <row r="1127">
      <c r="A1127" s="2">
        <f>IFERROR(__xludf.DUMMYFUNCTION("""COMPUTED_VALUE"""),38170.645833333336)</f>
        <v>38170.64583</v>
      </c>
      <c r="B1127" s="1">
        <f>IFERROR(__xludf.DUMMYFUNCTION("""COMPUTED_VALUE"""),127.2)</f>
        <v>127.2</v>
      </c>
      <c r="C1127" s="1">
        <f>IFERROR(__xludf.DUMMYFUNCTION("""COMPUTED_VALUE"""),128.4)</f>
        <v>128.4</v>
      </c>
      <c r="D1127" s="1">
        <f>IFERROR(__xludf.DUMMYFUNCTION("""COMPUTED_VALUE"""),126.7)</f>
        <v>126.7</v>
      </c>
      <c r="E1127" s="1">
        <f>IFERROR(__xludf.DUMMYFUNCTION("""COMPUTED_VALUE"""),127.0)</f>
        <v>127</v>
      </c>
      <c r="F1127" s="1">
        <f>IFERROR(__xludf.DUMMYFUNCTION("""COMPUTED_VALUE"""),1328912.0)</f>
        <v>1328912</v>
      </c>
    </row>
    <row r="1128">
      <c r="A1128" s="2">
        <f>IFERROR(__xludf.DUMMYFUNCTION("""COMPUTED_VALUE"""),38173.645833333336)</f>
        <v>38173.64583</v>
      </c>
      <c r="B1128" s="1">
        <f>IFERROR(__xludf.DUMMYFUNCTION("""COMPUTED_VALUE"""),127.0)</f>
        <v>127</v>
      </c>
      <c r="C1128" s="1">
        <f>IFERROR(__xludf.DUMMYFUNCTION("""COMPUTED_VALUE"""),128.95)</f>
        <v>128.95</v>
      </c>
      <c r="D1128" s="1">
        <f>IFERROR(__xludf.DUMMYFUNCTION("""COMPUTED_VALUE"""),127.0)</f>
        <v>127</v>
      </c>
      <c r="E1128" s="1">
        <f>IFERROR(__xludf.DUMMYFUNCTION("""COMPUTED_VALUE"""),127.3)</f>
        <v>127.3</v>
      </c>
      <c r="F1128" s="1">
        <f>IFERROR(__xludf.DUMMYFUNCTION("""COMPUTED_VALUE"""),1616899.0)</f>
        <v>1616899</v>
      </c>
    </row>
    <row r="1129">
      <c r="A1129" s="2">
        <f>IFERROR(__xludf.DUMMYFUNCTION("""COMPUTED_VALUE"""),38174.645833333336)</f>
        <v>38174.64583</v>
      </c>
      <c r="B1129" s="1">
        <f>IFERROR(__xludf.DUMMYFUNCTION("""COMPUTED_VALUE"""),127.8)</f>
        <v>127.8</v>
      </c>
      <c r="C1129" s="1">
        <f>IFERROR(__xludf.DUMMYFUNCTION("""COMPUTED_VALUE"""),128.0)</f>
        <v>128</v>
      </c>
      <c r="D1129" s="1">
        <f>IFERROR(__xludf.DUMMYFUNCTION("""COMPUTED_VALUE"""),126.7)</f>
        <v>126.7</v>
      </c>
      <c r="E1129" s="1">
        <f>IFERROR(__xludf.DUMMYFUNCTION("""COMPUTED_VALUE"""),127.6)</f>
        <v>127.6</v>
      </c>
      <c r="F1129" s="1">
        <f>IFERROR(__xludf.DUMMYFUNCTION("""COMPUTED_VALUE"""),1757647.0)</f>
        <v>1757647</v>
      </c>
    </row>
    <row r="1130">
      <c r="A1130" s="2">
        <f>IFERROR(__xludf.DUMMYFUNCTION("""COMPUTED_VALUE"""),38175.645833333336)</f>
        <v>38175.64583</v>
      </c>
      <c r="B1130" s="1">
        <f>IFERROR(__xludf.DUMMYFUNCTION("""COMPUTED_VALUE"""),128.4)</f>
        <v>128.4</v>
      </c>
      <c r="C1130" s="1">
        <f>IFERROR(__xludf.DUMMYFUNCTION("""COMPUTED_VALUE"""),129.45)</f>
        <v>129.45</v>
      </c>
      <c r="D1130" s="1">
        <f>IFERROR(__xludf.DUMMYFUNCTION("""COMPUTED_VALUE"""),127.35)</f>
        <v>127.35</v>
      </c>
      <c r="E1130" s="1">
        <f>IFERROR(__xludf.DUMMYFUNCTION("""COMPUTED_VALUE"""),128.8)</f>
        <v>128.8</v>
      </c>
      <c r="F1130" s="1">
        <f>IFERROR(__xludf.DUMMYFUNCTION("""COMPUTED_VALUE"""),4660019.0)</f>
        <v>4660019</v>
      </c>
    </row>
    <row r="1131">
      <c r="A1131" s="2">
        <f>IFERROR(__xludf.DUMMYFUNCTION("""COMPUTED_VALUE"""),38176.645833333336)</f>
        <v>38176.64583</v>
      </c>
      <c r="B1131" s="1">
        <f>IFERROR(__xludf.DUMMYFUNCTION("""COMPUTED_VALUE"""),129.0)</f>
        <v>129</v>
      </c>
      <c r="C1131" s="1">
        <f>IFERROR(__xludf.DUMMYFUNCTION("""COMPUTED_VALUE"""),130.5)</f>
        <v>130.5</v>
      </c>
      <c r="D1131" s="1">
        <f>IFERROR(__xludf.DUMMYFUNCTION("""COMPUTED_VALUE"""),123.0)</f>
        <v>123</v>
      </c>
      <c r="E1131" s="1">
        <f>IFERROR(__xludf.DUMMYFUNCTION("""COMPUTED_VALUE"""),124.3)</f>
        <v>124.3</v>
      </c>
      <c r="F1131" s="1">
        <f>IFERROR(__xludf.DUMMYFUNCTION("""COMPUTED_VALUE"""),4023407.0)</f>
        <v>4023407</v>
      </c>
    </row>
    <row r="1132">
      <c r="A1132" s="2">
        <f>IFERROR(__xludf.DUMMYFUNCTION("""COMPUTED_VALUE"""),38177.645833333336)</f>
        <v>38177.64583</v>
      </c>
      <c r="B1132" s="1">
        <f>IFERROR(__xludf.DUMMYFUNCTION("""COMPUTED_VALUE"""),121.9)</f>
        <v>121.9</v>
      </c>
      <c r="C1132" s="1">
        <f>IFERROR(__xludf.DUMMYFUNCTION("""COMPUTED_VALUE"""),123.4)</f>
        <v>123.4</v>
      </c>
      <c r="D1132" s="1">
        <f>IFERROR(__xludf.DUMMYFUNCTION("""COMPUTED_VALUE"""),120.0)</f>
        <v>120</v>
      </c>
      <c r="E1132" s="1">
        <f>IFERROR(__xludf.DUMMYFUNCTION("""COMPUTED_VALUE"""),122.4)</f>
        <v>122.4</v>
      </c>
      <c r="F1132" s="1">
        <f>IFERROR(__xludf.DUMMYFUNCTION("""COMPUTED_VALUE"""),2991436.0)</f>
        <v>2991436</v>
      </c>
    </row>
    <row r="1133">
      <c r="A1133" s="2">
        <f>IFERROR(__xludf.DUMMYFUNCTION("""COMPUTED_VALUE"""),38180.645833333336)</f>
        <v>38180.64583</v>
      </c>
      <c r="B1133" s="1">
        <f>IFERROR(__xludf.DUMMYFUNCTION("""COMPUTED_VALUE"""),123.0)</f>
        <v>123</v>
      </c>
      <c r="C1133" s="1">
        <f>IFERROR(__xludf.DUMMYFUNCTION("""COMPUTED_VALUE"""),125.1)</f>
        <v>125.1</v>
      </c>
      <c r="D1133" s="1">
        <f>IFERROR(__xludf.DUMMYFUNCTION("""COMPUTED_VALUE"""),122.5)</f>
        <v>122.5</v>
      </c>
      <c r="E1133" s="1">
        <f>IFERROR(__xludf.DUMMYFUNCTION("""COMPUTED_VALUE"""),124.2)</f>
        <v>124.2</v>
      </c>
      <c r="F1133" s="1">
        <f>IFERROR(__xludf.DUMMYFUNCTION("""COMPUTED_VALUE"""),1507060.0)</f>
        <v>1507060</v>
      </c>
    </row>
    <row r="1134">
      <c r="A1134" s="2">
        <f>IFERROR(__xludf.DUMMYFUNCTION("""COMPUTED_VALUE"""),38181.645833333336)</f>
        <v>38181.64583</v>
      </c>
      <c r="B1134" s="1">
        <f>IFERROR(__xludf.DUMMYFUNCTION("""COMPUTED_VALUE"""),124.5)</f>
        <v>124.5</v>
      </c>
      <c r="C1134" s="1">
        <f>IFERROR(__xludf.DUMMYFUNCTION("""COMPUTED_VALUE"""),124.8)</f>
        <v>124.8</v>
      </c>
      <c r="D1134" s="1">
        <f>IFERROR(__xludf.DUMMYFUNCTION("""COMPUTED_VALUE"""),122.6)</f>
        <v>122.6</v>
      </c>
      <c r="E1134" s="1">
        <f>IFERROR(__xludf.DUMMYFUNCTION("""COMPUTED_VALUE"""),123.75)</f>
        <v>123.75</v>
      </c>
      <c r="F1134" s="1">
        <f>IFERROR(__xludf.DUMMYFUNCTION("""COMPUTED_VALUE"""),1010726.0)</f>
        <v>1010726</v>
      </c>
    </row>
    <row r="1135">
      <c r="A1135" s="2">
        <f>IFERROR(__xludf.DUMMYFUNCTION("""COMPUTED_VALUE"""),38182.645833333336)</f>
        <v>38182.64583</v>
      </c>
      <c r="B1135" s="1">
        <f>IFERROR(__xludf.DUMMYFUNCTION("""COMPUTED_VALUE"""),123.8)</f>
        <v>123.8</v>
      </c>
      <c r="C1135" s="1">
        <f>IFERROR(__xludf.DUMMYFUNCTION("""COMPUTED_VALUE"""),124.25)</f>
        <v>124.25</v>
      </c>
      <c r="D1135" s="1">
        <f>IFERROR(__xludf.DUMMYFUNCTION("""COMPUTED_VALUE"""),121.95)</f>
        <v>121.95</v>
      </c>
      <c r="E1135" s="1">
        <f>IFERROR(__xludf.DUMMYFUNCTION("""COMPUTED_VALUE"""),122.25)</f>
        <v>122.25</v>
      </c>
      <c r="F1135" s="1">
        <f>IFERROR(__xludf.DUMMYFUNCTION("""COMPUTED_VALUE"""),930953.0)</f>
        <v>930953</v>
      </c>
    </row>
    <row r="1136">
      <c r="A1136" s="2">
        <f>IFERROR(__xludf.DUMMYFUNCTION("""COMPUTED_VALUE"""),38183.645833333336)</f>
        <v>38183.64583</v>
      </c>
      <c r="B1136" s="1">
        <f>IFERROR(__xludf.DUMMYFUNCTION("""COMPUTED_VALUE"""),122.5)</f>
        <v>122.5</v>
      </c>
      <c r="C1136" s="1">
        <f>IFERROR(__xludf.DUMMYFUNCTION("""COMPUTED_VALUE"""),124.0)</f>
        <v>124</v>
      </c>
      <c r="D1136" s="1">
        <f>IFERROR(__xludf.DUMMYFUNCTION("""COMPUTED_VALUE"""),122.25)</f>
        <v>122.25</v>
      </c>
      <c r="E1136" s="1">
        <f>IFERROR(__xludf.DUMMYFUNCTION("""COMPUTED_VALUE"""),123.6)</f>
        <v>123.6</v>
      </c>
      <c r="F1136" s="1">
        <f>IFERROR(__xludf.DUMMYFUNCTION("""COMPUTED_VALUE"""),2213734.0)</f>
        <v>2213734</v>
      </c>
    </row>
    <row r="1137">
      <c r="A1137" s="2">
        <f>IFERROR(__xludf.DUMMYFUNCTION("""COMPUTED_VALUE"""),38184.645833333336)</f>
        <v>38184.64583</v>
      </c>
      <c r="B1137" s="1">
        <f>IFERROR(__xludf.DUMMYFUNCTION("""COMPUTED_VALUE"""),124.0)</f>
        <v>124</v>
      </c>
      <c r="C1137" s="1">
        <f>IFERROR(__xludf.DUMMYFUNCTION("""COMPUTED_VALUE"""),124.9)</f>
        <v>124.9</v>
      </c>
      <c r="D1137" s="1">
        <f>IFERROR(__xludf.DUMMYFUNCTION("""COMPUTED_VALUE"""),122.5)</f>
        <v>122.5</v>
      </c>
      <c r="E1137" s="1">
        <f>IFERROR(__xludf.DUMMYFUNCTION("""COMPUTED_VALUE"""),123.55)</f>
        <v>123.55</v>
      </c>
      <c r="F1137" s="1">
        <f>IFERROR(__xludf.DUMMYFUNCTION("""COMPUTED_VALUE"""),1808147.0)</f>
        <v>1808147</v>
      </c>
    </row>
    <row r="1138">
      <c r="A1138" s="2">
        <f>IFERROR(__xludf.DUMMYFUNCTION("""COMPUTED_VALUE"""),38187.645833333336)</f>
        <v>38187.64583</v>
      </c>
      <c r="B1138" s="1">
        <f>IFERROR(__xludf.DUMMYFUNCTION("""COMPUTED_VALUE"""),124.1)</f>
        <v>124.1</v>
      </c>
      <c r="C1138" s="1">
        <f>IFERROR(__xludf.DUMMYFUNCTION("""COMPUTED_VALUE"""),125.5)</f>
        <v>125.5</v>
      </c>
      <c r="D1138" s="1">
        <f>IFERROR(__xludf.DUMMYFUNCTION("""COMPUTED_VALUE"""),122.25)</f>
        <v>122.25</v>
      </c>
      <c r="E1138" s="1">
        <f>IFERROR(__xludf.DUMMYFUNCTION("""COMPUTED_VALUE"""),122.55)</f>
        <v>122.55</v>
      </c>
      <c r="F1138" s="1">
        <f>IFERROR(__xludf.DUMMYFUNCTION("""COMPUTED_VALUE"""),1278323.0)</f>
        <v>1278323</v>
      </c>
    </row>
    <row r="1139">
      <c r="A1139" s="2">
        <f>IFERROR(__xludf.DUMMYFUNCTION("""COMPUTED_VALUE"""),38188.645833333336)</f>
        <v>38188.64583</v>
      </c>
      <c r="B1139" s="1">
        <f>IFERROR(__xludf.DUMMYFUNCTION("""COMPUTED_VALUE"""),122.8)</f>
        <v>122.8</v>
      </c>
      <c r="C1139" s="1">
        <f>IFERROR(__xludf.DUMMYFUNCTION("""COMPUTED_VALUE"""),123.35)</f>
        <v>123.35</v>
      </c>
      <c r="D1139" s="1">
        <f>IFERROR(__xludf.DUMMYFUNCTION("""COMPUTED_VALUE"""),121.5)</f>
        <v>121.5</v>
      </c>
      <c r="E1139" s="1">
        <f>IFERROR(__xludf.DUMMYFUNCTION("""COMPUTED_VALUE"""),121.8)</f>
        <v>121.8</v>
      </c>
      <c r="F1139" s="1">
        <f>IFERROR(__xludf.DUMMYFUNCTION("""COMPUTED_VALUE"""),1228431.0)</f>
        <v>1228431</v>
      </c>
    </row>
    <row r="1140">
      <c r="A1140" s="2">
        <f>IFERROR(__xludf.DUMMYFUNCTION("""COMPUTED_VALUE"""),38189.645833333336)</f>
        <v>38189.64583</v>
      </c>
      <c r="B1140" s="1">
        <f>IFERROR(__xludf.DUMMYFUNCTION("""COMPUTED_VALUE"""),122.15)</f>
        <v>122.15</v>
      </c>
      <c r="C1140" s="1">
        <f>IFERROR(__xludf.DUMMYFUNCTION("""COMPUTED_VALUE"""),125.9)</f>
        <v>125.9</v>
      </c>
      <c r="D1140" s="1">
        <f>IFERROR(__xludf.DUMMYFUNCTION("""COMPUTED_VALUE"""),114.0)</f>
        <v>114</v>
      </c>
      <c r="E1140" s="1">
        <f>IFERROR(__xludf.DUMMYFUNCTION("""COMPUTED_VALUE"""),122.0)</f>
        <v>122</v>
      </c>
      <c r="F1140" s="1">
        <f>IFERROR(__xludf.DUMMYFUNCTION("""COMPUTED_VALUE"""),1493785.0)</f>
        <v>1493785</v>
      </c>
    </row>
    <row r="1141">
      <c r="A1141" s="2">
        <f>IFERROR(__xludf.DUMMYFUNCTION("""COMPUTED_VALUE"""),38190.645833333336)</f>
        <v>38190.64583</v>
      </c>
      <c r="B1141" s="1">
        <f>IFERROR(__xludf.DUMMYFUNCTION("""COMPUTED_VALUE"""),122.9)</f>
        <v>122.9</v>
      </c>
      <c r="C1141" s="1">
        <f>IFERROR(__xludf.DUMMYFUNCTION("""COMPUTED_VALUE"""),122.95)</f>
        <v>122.95</v>
      </c>
      <c r="D1141" s="1">
        <f>IFERROR(__xludf.DUMMYFUNCTION("""COMPUTED_VALUE"""),120.0)</f>
        <v>120</v>
      </c>
      <c r="E1141" s="1">
        <f>IFERROR(__xludf.DUMMYFUNCTION("""COMPUTED_VALUE"""),120.3)</f>
        <v>120.3</v>
      </c>
      <c r="F1141" s="1">
        <f>IFERROR(__xludf.DUMMYFUNCTION("""COMPUTED_VALUE"""),1922196.0)</f>
        <v>1922196</v>
      </c>
    </row>
    <row r="1142">
      <c r="A1142" s="2">
        <f>IFERROR(__xludf.DUMMYFUNCTION("""COMPUTED_VALUE"""),38191.645833333336)</f>
        <v>38191.64583</v>
      </c>
      <c r="B1142" s="1">
        <f>IFERROR(__xludf.DUMMYFUNCTION("""COMPUTED_VALUE"""),131.45)</f>
        <v>131.45</v>
      </c>
      <c r="C1142" s="1">
        <f>IFERROR(__xludf.DUMMYFUNCTION("""COMPUTED_VALUE"""),131.45)</f>
        <v>131.45</v>
      </c>
      <c r="D1142" s="1">
        <f>IFERROR(__xludf.DUMMYFUNCTION("""COMPUTED_VALUE"""),118.65)</f>
        <v>118.65</v>
      </c>
      <c r="E1142" s="1">
        <f>IFERROR(__xludf.DUMMYFUNCTION("""COMPUTED_VALUE"""),120.35)</f>
        <v>120.35</v>
      </c>
      <c r="F1142" s="1">
        <f>IFERROR(__xludf.DUMMYFUNCTION("""COMPUTED_VALUE"""),2613067.0)</f>
        <v>2613067</v>
      </c>
    </row>
    <row r="1143">
      <c r="A1143" s="2">
        <f>IFERROR(__xludf.DUMMYFUNCTION("""COMPUTED_VALUE"""),38194.645833333336)</f>
        <v>38194.64583</v>
      </c>
      <c r="B1143" s="1">
        <f>IFERROR(__xludf.DUMMYFUNCTION("""COMPUTED_VALUE"""),121.0)</f>
        <v>121</v>
      </c>
      <c r="C1143" s="1">
        <f>IFERROR(__xludf.DUMMYFUNCTION("""COMPUTED_VALUE"""),121.75)</f>
        <v>121.75</v>
      </c>
      <c r="D1143" s="1">
        <f>IFERROR(__xludf.DUMMYFUNCTION("""COMPUTED_VALUE"""),119.7)</f>
        <v>119.7</v>
      </c>
      <c r="E1143" s="1">
        <f>IFERROR(__xludf.DUMMYFUNCTION("""COMPUTED_VALUE"""),120.25)</f>
        <v>120.25</v>
      </c>
      <c r="F1143" s="1">
        <f>IFERROR(__xludf.DUMMYFUNCTION("""COMPUTED_VALUE"""),1593703.0)</f>
        <v>1593703</v>
      </c>
    </row>
    <row r="1144">
      <c r="A1144" s="2">
        <f>IFERROR(__xludf.DUMMYFUNCTION("""COMPUTED_VALUE"""),38195.645833333336)</f>
        <v>38195.64583</v>
      </c>
      <c r="B1144" s="1">
        <f>IFERROR(__xludf.DUMMYFUNCTION("""COMPUTED_VALUE"""),120.8)</f>
        <v>120.8</v>
      </c>
      <c r="C1144" s="1">
        <f>IFERROR(__xludf.DUMMYFUNCTION("""COMPUTED_VALUE"""),123.5)</f>
        <v>123.5</v>
      </c>
      <c r="D1144" s="1">
        <f>IFERROR(__xludf.DUMMYFUNCTION("""COMPUTED_VALUE"""),120.25)</f>
        <v>120.25</v>
      </c>
      <c r="E1144" s="1">
        <f>IFERROR(__xludf.DUMMYFUNCTION("""COMPUTED_VALUE"""),121.1)</f>
        <v>121.1</v>
      </c>
      <c r="F1144" s="1">
        <f>IFERROR(__xludf.DUMMYFUNCTION("""COMPUTED_VALUE"""),2510093.0)</f>
        <v>2510093</v>
      </c>
    </row>
    <row r="1145">
      <c r="A1145" s="2">
        <f>IFERROR(__xludf.DUMMYFUNCTION("""COMPUTED_VALUE"""),38196.645833333336)</f>
        <v>38196.64583</v>
      </c>
      <c r="B1145" s="1">
        <f>IFERROR(__xludf.DUMMYFUNCTION("""COMPUTED_VALUE"""),121.8)</f>
        <v>121.8</v>
      </c>
      <c r="C1145" s="1">
        <f>IFERROR(__xludf.DUMMYFUNCTION("""COMPUTED_VALUE"""),122.55)</f>
        <v>122.55</v>
      </c>
      <c r="D1145" s="1">
        <f>IFERROR(__xludf.DUMMYFUNCTION("""COMPUTED_VALUE"""),121.0)</f>
        <v>121</v>
      </c>
      <c r="E1145" s="1">
        <f>IFERROR(__xludf.DUMMYFUNCTION("""COMPUTED_VALUE"""),121.8)</f>
        <v>121.8</v>
      </c>
      <c r="F1145" s="1">
        <f>IFERROR(__xludf.DUMMYFUNCTION("""COMPUTED_VALUE"""),2490157.0)</f>
        <v>2490157</v>
      </c>
    </row>
    <row r="1146">
      <c r="A1146" s="2">
        <f>IFERROR(__xludf.DUMMYFUNCTION("""COMPUTED_VALUE"""),38197.645833333336)</f>
        <v>38197.64583</v>
      </c>
      <c r="B1146" s="1">
        <f>IFERROR(__xludf.DUMMYFUNCTION("""COMPUTED_VALUE"""),120.55)</f>
        <v>120.55</v>
      </c>
      <c r="C1146" s="1">
        <f>IFERROR(__xludf.DUMMYFUNCTION("""COMPUTED_VALUE"""),122.0)</f>
        <v>122</v>
      </c>
      <c r="D1146" s="1">
        <f>IFERROR(__xludf.DUMMYFUNCTION("""COMPUTED_VALUE"""),116.8)</f>
        <v>116.8</v>
      </c>
      <c r="E1146" s="1">
        <f>IFERROR(__xludf.DUMMYFUNCTION("""COMPUTED_VALUE"""),118.65)</f>
        <v>118.65</v>
      </c>
      <c r="F1146" s="1">
        <f>IFERROR(__xludf.DUMMYFUNCTION("""COMPUTED_VALUE"""),6090695.0)</f>
        <v>6090695</v>
      </c>
    </row>
    <row r="1147">
      <c r="A1147" s="2">
        <f>IFERROR(__xludf.DUMMYFUNCTION("""COMPUTED_VALUE"""),38198.645833333336)</f>
        <v>38198.64583</v>
      </c>
      <c r="B1147" s="1">
        <f>IFERROR(__xludf.DUMMYFUNCTION("""COMPUTED_VALUE"""),103.1)</f>
        <v>103.1</v>
      </c>
      <c r="C1147" s="1">
        <f>IFERROR(__xludf.DUMMYFUNCTION("""COMPUTED_VALUE"""),119.5)</f>
        <v>119.5</v>
      </c>
      <c r="D1147" s="1">
        <f>IFERROR(__xludf.DUMMYFUNCTION("""COMPUTED_VALUE"""),100.5)</f>
        <v>100.5</v>
      </c>
      <c r="E1147" s="1">
        <f>IFERROR(__xludf.DUMMYFUNCTION("""COMPUTED_VALUE"""),116.3)</f>
        <v>116.3</v>
      </c>
      <c r="F1147" s="1">
        <f>IFERROR(__xludf.DUMMYFUNCTION("""COMPUTED_VALUE"""),4719263.0)</f>
        <v>4719263</v>
      </c>
    </row>
    <row r="1148">
      <c r="A1148" s="2">
        <f>IFERROR(__xludf.DUMMYFUNCTION("""COMPUTED_VALUE"""),38201.645833333336)</f>
        <v>38201.64583</v>
      </c>
      <c r="B1148" s="1">
        <f>IFERROR(__xludf.DUMMYFUNCTION("""COMPUTED_VALUE"""),117.1)</f>
        <v>117.1</v>
      </c>
      <c r="C1148" s="1">
        <f>IFERROR(__xludf.DUMMYFUNCTION("""COMPUTED_VALUE"""),129.5)</f>
        <v>129.5</v>
      </c>
      <c r="D1148" s="1">
        <f>IFERROR(__xludf.DUMMYFUNCTION("""COMPUTED_VALUE"""),117.1)</f>
        <v>117.1</v>
      </c>
      <c r="E1148" s="1">
        <f>IFERROR(__xludf.DUMMYFUNCTION("""COMPUTED_VALUE"""),119.1)</f>
        <v>119.1</v>
      </c>
      <c r="F1148" s="1">
        <f>IFERROR(__xludf.DUMMYFUNCTION("""COMPUTED_VALUE"""),3502233.0)</f>
        <v>3502233</v>
      </c>
    </row>
    <row r="1149">
      <c r="A1149" s="2">
        <f>IFERROR(__xludf.DUMMYFUNCTION("""COMPUTED_VALUE"""),38202.645833333336)</f>
        <v>38202.64583</v>
      </c>
      <c r="B1149" s="1">
        <f>IFERROR(__xludf.DUMMYFUNCTION("""COMPUTED_VALUE"""),120.0)</f>
        <v>120</v>
      </c>
      <c r="C1149" s="1">
        <f>IFERROR(__xludf.DUMMYFUNCTION("""COMPUTED_VALUE"""),120.45)</f>
        <v>120.45</v>
      </c>
      <c r="D1149" s="1">
        <f>IFERROR(__xludf.DUMMYFUNCTION("""COMPUTED_VALUE"""),118.65)</f>
        <v>118.65</v>
      </c>
      <c r="E1149" s="1">
        <f>IFERROR(__xludf.DUMMYFUNCTION("""COMPUTED_VALUE"""),118.8)</f>
        <v>118.8</v>
      </c>
      <c r="F1149" s="1">
        <f>IFERROR(__xludf.DUMMYFUNCTION("""COMPUTED_VALUE"""),1831921.0)</f>
        <v>1831921</v>
      </c>
    </row>
    <row r="1150">
      <c r="A1150" s="2">
        <f>IFERROR(__xludf.DUMMYFUNCTION("""COMPUTED_VALUE"""),38203.645833333336)</f>
        <v>38203.64583</v>
      </c>
      <c r="B1150" s="1">
        <f>IFERROR(__xludf.DUMMYFUNCTION("""COMPUTED_VALUE"""),118.1)</f>
        <v>118.1</v>
      </c>
      <c r="C1150" s="1">
        <f>IFERROR(__xludf.DUMMYFUNCTION("""COMPUTED_VALUE"""),119.0)</f>
        <v>119</v>
      </c>
      <c r="D1150" s="1">
        <f>IFERROR(__xludf.DUMMYFUNCTION("""COMPUTED_VALUE"""),112.35)</f>
        <v>112.35</v>
      </c>
      <c r="E1150" s="1">
        <f>IFERROR(__xludf.DUMMYFUNCTION("""COMPUTED_VALUE"""),113.0)</f>
        <v>113</v>
      </c>
      <c r="F1150" s="1">
        <f>IFERROR(__xludf.DUMMYFUNCTION("""COMPUTED_VALUE"""),4415883.0)</f>
        <v>4415883</v>
      </c>
    </row>
    <row r="1151">
      <c r="A1151" s="2">
        <f>IFERROR(__xludf.DUMMYFUNCTION("""COMPUTED_VALUE"""),38204.645833333336)</f>
        <v>38204.64583</v>
      </c>
      <c r="B1151" s="1">
        <f>IFERROR(__xludf.DUMMYFUNCTION("""COMPUTED_VALUE"""),114.0)</f>
        <v>114</v>
      </c>
      <c r="C1151" s="1">
        <f>IFERROR(__xludf.DUMMYFUNCTION("""COMPUTED_VALUE"""),117.2)</f>
        <v>117.2</v>
      </c>
      <c r="D1151" s="1">
        <f>IFERROR(__xludf.DUMMYFUNCTION("""COMPUTED_VALUE"""),113.5)</f>
        <v>113.5</v>
      </c>
      <c r="E1151" s="1">
        <f>IFERROR(__xludf.DUMMYFUNCTION("""COMPUTED_VALUE"""),116.8)</f>
        <v>116.8</v>
      </c>
      <c r="F1151" s="1">
        <f>IFERROR(__xludf.DUMMYFUNCTION("""COMPUTED_VALUE"""),2621763.0)</f>
        <v>2621763</v>
      </c>
    </row>
    <row r="1152">
      <c r="A1152" s="2">
        <f>IFERROR(__xludf.DUMMYFUNCTION("""COMPUTED_VALUE"""),38205.645833333336)</f>
        <v>38205.64583</v>
      </c>
      <c r="B1152" s="1">
        <f>IFERROR(__xludf.DUMMYFUNCTION("""COMPUTED_VALUE"""),117.0)</f>
        <v>117</v>
      </c>
      <c r="C1152" s="1">
        <f>IFERROR(__xludf.DUMMYFUNCTION("""COMPUTED_VALUE"""),119.15)</f>
        <v>119.15</v>
      </c>
      <c r="D1152" s="1">
        <f>IFERROR(__xludf.DUMMYFUNCTION("""COMPUTED_VALUE"""),115.65)</f>
        <v>115.65</v>
      </c>
      <c r="E1152" s="1">
        <f>IFERROR(__xludf.DUMMYFUNCTION("""COMPUTED_VALUE"""),116.1)</f>
        <v>116.1</v>
      </c>
      <c r="F1152" s="1">
        <f>IFERROR(__xludf.DUMMYFUNCTION("""COMPUTED_VALUE"""),2502731.0)</f>
        <v>2502731</v>
      </c>
    </row>
    <row r="1153">
      <c r="A1153" s="2">
        <f>IFERROR(__xludf.DUMMYFUNCTION("""COMPUTED_VALUE"""),38208.645833333336)</f>
        <v>38208.64583</v>
      </c>
      <c r="B1153" s="1">
        <f>IFERROR(__xludf.DUMMYFUNCTION("""COMPUTED_VALUE"""),116.0)</f>
        <v>116</v>
      </c>
      <c r="C1153" s="1">
        <f>IFERROR(__xludf.DUMMYFUNCTION("""COMPUTED_VALUE"""),117.45)</f>
        <v>117.45</v>
      </c>
      <c r="D1153" s="1">
        <f>IFERROR(__xludf.DUMMYFUNCTION("""COMPUTED_VALUE"""),115.1)</f>
        <v>115.1</v>
      </c>
      <c r="E1153" s="1">
        <f>IFERROR(__xludf.DUMMYFUNCTION("""COMPUTED_VALUE"""),116.4)</f>
        <v>116.4</v>
      </c>
      <c r="F1153" s="1">
        <f>IFERROR(__xludf.DUMMYFUNCTION("""COMPUTED_VALUE"""),1556228.0)</f>
        <v>1556228</v>
      </c>
    </row>
    <row r="1154">
      <c r="A1154" s="2">
        <f>IFERROR(__xludf.DUMMYFUNCTION("""COMPUTED_VALUE"""),38209.645833333336)</f>
        <v>38209.64583</v>
      </c>
      <c r="B1154" s="1">
        <f>IFERROR(__xludf.DUMMYFUNCTION("""COMPUTED_VALUE"""),116.5)</f>
        <v>116.5</v>
      </c>
      <c r="C1154" s="1">
        <f>IFERROR(__xludf.DUMMYFUNCTION("""COMPUTED_VALUE"""),117.4)</f>
        <v>117.4</v>
      </c>
      <c r="D1154" s="1">
        <f>IFERROR(__xludf.DUMMYFUNCTION("""COMPUTED_VALUE"""),114.8)</f>
        <v>114.8</v>
      </c>
      <c r="E1154" s="1">
        <f>IFERROR(__xludf.DUMMYFUNCTION("""COMPUTED_VALUE"""),115.0)</f>
        <v>115</v>
      </c>
      <c r="F1154" s="1">
        <f>IFERROR(__xludf.DUMMYFUNCTION("""COMPUTED_VALUE"""),1587301.0)</f>
        <v>1587301</v>
      </c>
    </row>
    <row r="1155">
      <c r="A1155" s="2">
        <f>IFERROR(__xludf.DUMMYFUNCTION("""COMPUTED_VALUE"""),38210.645833333336)</f>
        <v>38210.64583</v>
      </c>
      <c r="B1155" s="1">
        <f>IFERROR(__xludf.DUMMYFUNCTION("""COMPUTED_VALUE"""),115.0)</f>
        <v>115</v>
      </c>
      <c r="C1155" s="1">
        <f>IFERROR(__xludf.DUMMYFUNCTION("""COMPUTED_VALUE"""),115.4)</f>
        <v>115.4</v>
      </c>
      <c r="D1155" s="1">
        <f>IFERROR(__xludf.DUMMYFUNCTION("""COMPUTED_VALUE"""),113.8)</f>
        <v>113.8</v>
      </c>
      <c r="E1155" s="1">
        <f>IFERROR(__xludf.DUMMYFUNCTION("""COMPUTED_VALUE"""),114.65)</f>
        <v>114.65</v>
      </c>
      <c r="F1155" s="1">
        <f>IFERROR(__xludf.DUMMYFUNCTION("""COMPUTED_VALUE"""),1170132.0)</f>
        <v>1170132</v>
      </c>
    </row>
    <row r="1156">
      <c r="A1156" s="2">
        <f>IFERROR(__xludf.DUMMYFUNCTION("""COMPUTED_VALUE"""),38211.645833333336)</f>
        <v>38211.64583</v>
      </c>
      <c r="B1156" s="1">
        <f>IFERROR(__xludf.DUMMYFUNCTION("""COMPUTED_VALUE"""),114.15)</f>
        <v>114.15</v>
      </c>
      <c r="C1156" s="1">
        <f>IFERROR(__xludf.DUMMYFUNCTION("""COMPUTED_VALUE"""),115.2)</f>
        <v>115.2</v>
      </c>
      <c r="D1156" s="1">
        <f>IFERROR(__xludf.DUMMYFUNCTION("""COMPUTED_VALUE"""),113.8)</f>
        <v>113.8</v>
      </c>
      <c r="E1156" s="1">
        <f>IFERROR(__xludf.DUMMYFUNCTION("""COMPUTED_VALUE"""),114.15)</f>
        <v>114.15</v>
      </c>
      <c r="F1156" s="1">
        <f>IFERROR(__xludf.DUMMYFUNCTION("""COMPUTED_VALUE"""),1502423.0)</f>
        <v>1502423</v>
      </c>
    </row>
    <row r="1157">
      <c r="A1157" s="2">
        <f>IFERROR(__xludf.DUMMYFUNCTION("""COMPUTED_VALUE"""),38212.645833333336)</f>
        <v>38212.64583</v>
      </c>
      <c r="B1157" s="1">
        <f>IFERROR(__xludf.DUMMYFUNCTION("""COMPUTED_VALUE"""),112.9)</f>
        <v>112.9</v>
      </c>
      <c r="C1157" s="1">
        <f>IFERROR(__xludf.DUMMYFUNCTION("""COMPUTED_VALUE"""),112.9)</f>
        <v>112.9</v>
      </c>
      <c r="D1157" s="1">
        <f>IFERROR(__xludf.DUMMYFUNCTION("""COMPUTED_VALUE"""),110.1)</f>
        <v>110.1</v>
      </c>
      <c r="E1157" s="1">
        <f>IFERROR(__xludf.DUMMYFUNCTION("""COMPUTED_VALUE"""),110.5)</f>
        <v>110.5</v>
      </c>
      <c r="F1157" s="1">
        <f>IFERROR(__xludf.DUMMYFUNCTION("""COMPUTED_VALUE"""),1922820.0)</f>
        <v>1922820</v>
      </c>
    </row>
    <row r="1158">
      <c r="A1158" s="2">
        <f>IFERROR(__xludf.DUMMYFUNCTION("""COMPUTED_VALUE"""),38215.645833333336)</f>
        <v>38215.64583</v>
      </c>
      <c r="B1158" s="1">
        <f>IFERROR(__xludf.DUMMYFUNCTION("""COMPUTED_VALUE"""),110.5)</f>
        <v>110.5</v>
      </c>
      <c r="C1158" s="1">
        <f>IFERROR(__xludf.DUMMYFUNCTION("""COMPUTED_VALUE"""),110.95)</f>
        <v>110.95</v>
      </c>
      <c r="D1158" s="1">
        <f>IFERROR(__xludf.DUMMYFUNCTION("""COMPUTED_VALUE"""),105.3)</f>
        <v>105.3</v>
      </c>
      <c r="E1158" s="1">
        <f>IFERROR(__xludf.DUMMYFUNCTION("""COMPUTED_VALUE"""),106.6)</f>
        <v>106.6</v>
      </c>
      <c r="F1158" s="1">
        <f>IFERROR(__xludf.DUMMYFUNCTION("""COMPUTED_VALUE"""),3671337.0)</f>
        <v>3671337</v>
      </c>
    </row>
    <row r="1159">
      <c r="A1159" s="2">
        <f>IFERROR(__xludf.DUMMYFUNCTION("""COMPUTED_VALUE"""),38216.645833333336)</f>
        <v>38216.64583</v>
      </c>
      <c r="B1159" s="1">
        <f>IFERROR(__xludf.DUMMYFUNCTION("""COMPUTED_VALUE"""),108.0)</f>
        <v>108</v>
      </c>
      <c r="C1159" s="1">
        <f>IFERROR(__xludf.DUMMYFUNCTION("""COMPUTED_VALUE"""),108.75)</f>
        <v>108.75</v>
      </c>
      <c r="D1159" s="1">
        <f>IFERROR(__xludf.DUMMYFUNCTION("""COMPUTED_VALUE"""),107.2)</f>
        <v>107.2</v>
      </c>
      <c r="E1159" s="1">
        <f>IFERROR(__xludf.DUMMYFUNCTION("""COMPUTED_VALUE"""),108.35)</f>
        <v>108.35</v>
      </c>
      <c r="F1159" s="1">
        <f>IFERROR(__xludf.DUMMYFUNCTION("""COMPUTED_VALUE"""),2366737.0)</f>
        <v>2366737</v>
      </c>
    </row>
    <row r="1160">
      <c r="A1160" s="2">
        <f>IFERROR(__xludf.DUMMYFUNCTION("""COMPUTED_VALUE"""),38217.645833333336)</f>
        <v>38217.64583</v>
      </c>
      <c r="B1160" s="1">
        <f>IFERROR(__xludf.DUMMYFUNCTION("""COMPUTED_VALUE"""),106.35)</f>
        <v>106.35</v>
      </c>
      <c r="C1160" s="1">
        <f>IFERROR(__xludf.DUMMYFUNCTION("""COMPUTED_VALUE"""),108.0)</f>
        <v>108</v>
      </c>
      <c r="D1160" s="1">
        <f>IFERROR(__xludf.DUMMYFUNCTION("""COMPUTED_VALUE"""),105.6)</f>
        <v>105.6</v>
      </c>
      <c r="E1160" s="1">
        <f>IFERROR(__xludf.DUMMYFUNCTION("""COMPUTED_VALUE"""),106.15)</f>
        <v>106.15</v>
      </c>
      <c r="F1160" s="1">
        <f>IFERROR(__xludf.DUMMYFUNCTION("""COMPUTED_VALUE"""),3390950.0)</f>
        <v>3390950</v>
      </c>
    </row>
    <row r="1161">
      <c r="A1161" s="2">
        <f>IFERROR(__xludf.DUMMYFUNCTION("""COMPUTED_VALUE"""),38218.645833333336)</f>
        <v>38218.64583</v>
      </c>
      <c r="B1161" s="1">
        <f>IFERROR(__xludf.DUMMYFUNCTION("""COMPUTED_VALUE"""),106.0)</f>
        <v>106</v>
      </c>
      <c r="C1161" s="1">
        <f>IFERROR(__xludf.DUMMYFUNCTION("""COMPUTED_VALUE"""),109.0)</f>
        <v>109</v>
      </c>
      <c r="D1161" s="1">
        <f>IFERROR(__xludf.DUMMYFUNCTION("""COMPUTED_VALUE"""),105.55)</f>
        <v>105.55</v>
      </c>
      <c r="E1161" s="1">
        <f>IFERROR(__xludf.DUMMYFUNCTION("""COMPUTED_VALUE"""),107.85)</f>
        <v>107.85</v>
      </c>
      <c r="F1161" s="1">
        <f>IFERROR(__xludf.DUMMYFUNCTION("""COMPUTED_VALUE"""),2450315.0)</f>
        <v>2450315</v>
      </c>
    </row>
    <row r="1162">
      <c r="A1162" s="2">
        <f>IFERROR(__xludf.DUMMYFUNCTION("""COMPUTED_VALUE"""),38219.645833333336)</f>
        <v>38219.64583</v>
      </c>
      <c r="B1162" s="1">
        <f>IFERROR(__xludf.DUMMYFUNCTION("""COMPUTED_VALUE"""),108.0)</f>
        <v>108</v>
      </c>
      <c r="C1162" s="1">
        <f>IFERROR(__xludf.DUMMYFUNCTION("""COMPUTED_VALUE"""),108.5)</f>
        <v>108.5</v>
      </c>
      <c r="D1162" s="1">
        <f>IFERROR(__xludf.DUMMYFUNCTION("""COMPUTED_VALUE"""),106.6)</f>
        <v>106.6</v>
      </c>
      <c r="E1162" s="1">
        <f>IFERROR(__xludf.DUMMYFUNCTION("""COMPUTED_VALUE"""),106.95)</f>
        <v>106.95</v>
      </c>
      <c r="F1162" s="1">
        <f>IFERROR(__xludf.DUMMYFUNCTION("""COMPUTED_VALUE"""),1299126.0)</f>
        <v>1299126</v>
      </c>
    </row>
    <row r="1163">
      <c r="A1163" s="2">
        <f>IFERROR(__xludf.DUMMYFUNCTION("""COMPUTED_VALUE"""),38222.645833333336)</f>
        <v>38222.64583</v>
      </c>
      <c r="B1163" s="1">
        <f>IFERROR(__xludf.DUMMYFUNCTION("""COMPUTED_VALUE"""),106.5)</f>
        <v>106.5</v>
      </c>
      <c r="C1163" s="1">
        <f>IFERROR(__xludf.DUMMYFUNCTION("""COMPUTED_VALUE"""),110.9)</f>
        <v>110.9</v>
      </c>
      <c r="D1163" s="1">
        <f>IFERROR(__xludf.DUMMYFUNCTION("""COMPUTED_VALUE"""),106.0)</f>
        <v>106</v>
      </c>
      <c r="E1163" s="1">
        <f>IFERROR(__xludf.DUMMYFUNCTION("""COMPUTED_VALUE"""),110.45)</f>
        <v>110.45</v>
      </c>
      <c r="F1163" s="1">
        <f>IFERROR(__xludf.DUMMYFUNCTION("""COMPUTED_VALUE"""),4162536.0)</f>
        <v>4162536</v>
      </c>
    </row>
    <row r="1164">
      <c r="A1164" s="2">
        <f>IFERROR(__xludf.DUMMYFUNCTION("""COMPUTED_VALUE"""),38223.645833333336)</f>
        <v>38223.64583</v>
      </c>
      <c r="B1164" s="1">
        <f>IFERROR(__xludf.DUMMYFUNCTION("""COMPUTED_VALUE"""),111.05)</f>
        <v>111.05</v>
      </c>
      <c r="C1164" s="1">
        <f>IFERROR(__xludf.DUMMYFUNCTION("""COMPUTED_VALUE"""),113.2)</f>
        <v>113.2</v>
      </c>
      <c r="D1164" s="1">
        <f>IFERROR(__xludf.DUMMYFUNCTION("""COMPUTED_VALUE"""),109.55)</f>
        <v>109.55</v>
      </c>
      <c r="E1164" s="1">
        <f>IFERROR(__xludf.DUMMYFUNCTION("""COMPUTED_VALUE"""),109.9)</f>
        <v>109.9</v>
      </c>
      <c r="F1164" s="1">
        <f>IFERROR(__xludf.DUMMYFUNCTION("""COMPUTED_VALUE"""),2410825.0)</f>
        <v>2410825</v>
      </c>
    </row>
    <row r="1165">
      <c r="A1165" s="2">
        <f>IFERROR(__xludf.DUMMYFUNCTION("""COMPUTED_VALUE"""),38224.645833333336)</f>
        <v>38224.64583</v>
      </c>
      <c r="B1165" s="1">
        <f>IFERROR(__xludf.DUMMYFUNCTION("""COMPUTED_VALUE"""),110.25)</f>
        <v>110.25</v>
      </c>
      <c r="C1165" s="1">
        <f>IFERROR(__xludf.DUMMYFUNCTION("""COMPUTED_VALUE"""),112.4)</f>
        <v>112.4</v>
      </c>
      <c r="D1165" s="1">
        <f>IFERROR(__xludf.DUMMYFUNCTION("""COMPUTED_VALUE"""),110.0)</f>
        <v>110</v>
      </c>
      <c r="E1165" s="1">
        <f>IFERROR(__xludf.DUMMYFUNCTION("""COMPUTED_VALUE"""),111.1)</f>
        <v>111.1</v>
      </c>
      <c r="F1165" s="1">
        <f>IFERROR(__xludf.DUMMYFUNCTION("""COMPUTED_VALUE"""),1972778.0)</f>
        <v>1972778</v>
      </c>
    </row>
    <row r="1166">
      <c r="A1166" s="2">
        <f>IFERROR(__xludf.DUMMYFUNCTION("""COMPUTED_VALUE"""),38225.645833333336)</f>
        <v>38225.64583</v>
      </c>
      <c r="B1166" s="1">
        <f>IFERROR(__xludf.DUMMYFUNCTION("""COMPUTED_VALUE"""),111.75)</f>
        <v>111.75</v>
      </c>
      <c r="C1166" s="1">
        <f>IFERROR(__xludf.DUMMYFUNCTION("""COMPUTED_VALUE"""),113.2)</f>
        <v>113.2</v>
      </c>
      <c r="D1166" s="1">
        <f>IFERROR(__xludf.DUMMYFUNCTION("""COMPUTED_VALUE"""),111.2)</f>
        <v>111.2</v>
      </c>
      <c r="E1166" s="1">
        <f>IFERROR(__xludf.DUMMYFUNCTION("""COMPUTED_VALUE"""),112.1)</f>
        <v>112.1</v>
      </c>
      <c r="F1166" s="1">
        <f>IFERROR(__xludf.DUMMYFUNCTION("""COMPUTED_VALUE"""),5643785.0)</f>
        <v>5643785</v>
      </c>
    </row>
    <row r="1167">
      <c r="A1167" s="2">
        <f>IFERROR(__xludf.DUMMYFUNCTION("""COMPUTED_VALUE"""),38226.645833333336)</f>
        <v>38226.64583</v>
      </c>
      <c r="B1167" s="1">
        <f>IFERROR(__xludf.DUMMYFUNCTION("""COMPUTED_VALUE"""),112.75)</f>
        <v>112.75</v>
      </c>
      <c r="C1167" s="1">
        <f>IFERROR(__xludf.DUMMYFUNCTION("""COMPUTED_VALUE"""),113.0)</f>
        <v>113</v>
      </c>
      <c r="D1167" s="1">
        <f>IFERROR(__xludf.DUMMYFUNCTION("""COMPUTED_VALUE"""),110.7)</f>
        <v>110.7</v>
      </c>
      <c r="E1167" s="1">
        <f>IFERROR(__xludf.DUMMYFUNCTION("""COMPUTED_VALUE"""),111.25)</f>
        <v>111.25</v>
      </c>
      <c r="F1167" s="1">
        <f>IFERROR(__xludf.DUMMYFUNCTION("""COMPUTED_VALUE"""),1724564.0)</f>
        <v>1724564</v>
      </c>
    </row>
    <row r="1168">
      <c r="A1168" s="2">
        <f>IFERROR(__xludf.DUMMYFUNCTION("""COMPUTED_VALUE"""),38229.645833333336)</f>
        <v>38229.64583</v>
      </c>
      <c r="B1168" s="1">
        <f>IFERROR(__xludf.DUMMYFUNCTION("""COMPUTED_VALUE"""),111.5)</f>
        <v>111.5</v>
      </c>
      <c r="C1168" s="1">
        <f>IFERROR(__xludf.DUMMYFUNCTION("""COMPUTED_VALUE"""),112.9)</f>
        <v>112.9</v>
      </c>
      <c r="D1168" s="1">
        <f>IFERROR(__xludf.DUMMYFUNCTION("""COMPUTED_VALUE"""),111.25)</f>
        <v>111.25</v>
      </c>
      <c r="E1168" s="1">
        <f>IFERROR(__xludf.DUMMYFUNCTION("""COMPUTED_VALUE"""),112.0)</f>
        <v>112</v>
      </c>
      <c r="F1168" s="1">
        <f>IFERROR(__xludf.DUMMYFUNCTION("""COMPUTED_VALUE"""),1512488.0)</f>
        <v>1512488</v>
      </c>
    </row>
    <row r="1169">
      <c r="A1169" s="2">
        <f>IFERROR(__xludf.DUMMYFUNCTION("""COMPUTED_VALUE"""),38230.645833333336)</f>
        <v>38230.64583</v>
      </c>
      <c r="B1169" s="1">
        <f>IFERROR(__xludf.DUMMYFUNCTION("""COMPUTED_VALUE"""),112.25)</f>
        <v>112.25</v>
      </c>
      <c r="C1169" s="1">
        <f>IFERROR(__xludf.DUMMYFUNCTION("""COMPUTED_VALUE"""),112.35)</f>
        <v>112.35</v>
      </c>
      <c r="D1169" s="1">
        <f>IFERROR(__xludf.DUMMYFUNCTION("""COMPUTED_VALUE"""),111.3)</f>
        <v>111.3</v>
      </c>
      <c r="E1169" s="1">
        <f>IFERROR(__xludf.DUMMYFUNCTION("""COMPUTED_VALUE"""),112.0)</f>
        <v>112</v>
      </c>
      <c r="F1169" s="1">
        <f>IFERROR(__xludf.DUMMYFUNCTION("""COMPUTED_VALUE"""),1416847.0)</f>
        <v>1416847</v>
      </c>
    </row>
    <row r="1170">
      <c r="A1170" s="2">
        <f>IFERROR(__xludf.DUMMYFUNCTION("""COMPUTED_VALUE"""),38231.645833333336)</f>
        <v>38231.64583</v>
      </c>
      <c r="B1170" s="1">
        <f>IFERROR(__xludf.DUMMYFUNCTION("""COMPUTED_VALUE"""),112.2)</f>
        <v>112.2</v>
      </c>
      <c r="C1170" s="1">
        <f>IFERROR(__xludf.DUMMYFUNCTION("""COMPUTED_VALUE"""),112.85)</f>
        <v>112.85</v>
      </c>
      <c r="D1170" s="1">
        <f>IFERROR(__xludf.DUMMYFUNCTION("""COMPUTED_VALUE"""),111.85)</f>
        <v>111.85</v>
      </c>
      <c r="E1170" s="1">
        <f>IFERROR(__xludf.DUMMYFUNCTION("""COMPUTED_VALUE"""),112.5)</f>
        <v>112.5</v>
      </c>
      <c r="F1170" s="1">
        <f>IFERROR(__xludf.DUMMYFUNCTION("""COMPUTED_VALUE"""),922674.0)</f>
        <v>922674</v>
      </c>
    </row>
    <row r="1171">
      <c r="A1171" s="2">
        <f>IFERROR(__xludf.DUMMYFUNCTION("""COMPUTED_VALUE"""),38232.645833333336)</f>
        <v>38232.64583</v>
      </c>
      <c r="B1171" s="1">
        <f>IFERROR(__xludf.DUMMYFUNCTION("""COMPUTED_VALUE"""),111.8)</f>
        <v>111.8</v>
      </c>
      <c r="C1171" s="1">
        <f>IFERROR(__xludf.DUMMYFUNCTION("""COMPUTED_VALUE"""),112.4)</f>
        <v>112.4</v>
      </c>
      <c r="D1171" s="1">
        <f>IFERROR(__xludf.DUMMYFUNCTION("""COMPUTED_VALUE"""),111.3)</f>
        <v>111.3</v>
      </c>
      <c r="E1171" s="1">
        <f>IFERROR(__xludf.DUMMYFUNCTION("""COMPUTED_VALUE"""),112.15)</f>
        <v>112.15</v>
      </c>
      <c r="F1171" s="1">
        <f>IFERROR(__xludf.DUMMYFUNCTION("""COMPUTED_VALUE"""),1534564.0)</f>
        <v>1534564</v>
      </c>
    </row>
    <row r="1172">
      <c r="A1172" s="2">
        <f>IFERROR(__xludf.DUMMYFUNCTION("""COMPUTED_VALUE"""),38233.645833333336)</f>
        <v>38233.64583</v>
      </c>
      <c r="B1172" s="1">
        <f>IFERROR(__xludf.DUMMYFUNCTION("""COMPUTED_VALUE"""),112.3)</f>
        <v>112.3</v>
      </c>
      <c r="C1172" s="1">
        <f>IFERROR(__xludf.DUMMYFUNCTION("""COMPUTED_VALUE"""),112.3)</f>
        <v>112.3</v>
      </c>
      <c r="D1172" s="1">
        <f>IFERROR(__xludf.DUMMYFUNCTION("""COMPUTED_VALUE"""),110.25)</f>
        <v>110.25</v>
      </c>
      <c r="E1172" s="1">
        <f>IFERROR(__xludf.DUMMYFUNCTION("""COMPUTED_VALUE"""),110.75)</f>
        <v>110.75</v>
      </c>
      <c r="F1172" s="1">
        <f>IFERROR(__xludf.DUMMYFUNCTION("""COMPUTED_VALUE"""),1126237.0)</f>
        <v>1126237</v>
      </c>
    </row>
    <row r="1173">
      <c r="A1173" s="2">
        <f>IFERROR(__xludf.DUMMYFUNCTION("""COMPUTED_VALUE"""),38236.645833333336)</f>
        <v>38236.64583</v>
      </c>
      <c r="B1173" s="1">
        <f>IFERROR(__xludf.DUMMYFUNCTION("""COMPUTED_VALUE"""),110.0)</f>
        <v>110</v>
      </c>
      <c r="C1173" s="1">
        <f>IFERROR(__xludf.DUMMYFUNCTION("""COMPUTED_VALUE"""),112.05)</f>
        <v>112.05</v>
      </c>
      <c r="D1173" s="1">
        <f>IFERROR(__xludf.DUMMYFUNCTION("""COMPUTED_VALUE"""),109.9)</f>
        <v>109.9</v>
      </c>
      <c r="E1173" s="1">
        <f>IFERROR(__xludf.DUMMYFUNCTION("""COMPUTED_VALUE"""),111.85)</f>
        <v>111.85</v>
      </c>
      <c r="F1173" s="1">
        <f>IFERROR(__xludf.DUMMYFUNCTION("""COMPUTED_VALUE"""),1026302.0)</f>
        <v>1026302</v>
      </c>
    </row>
    <row r="1174">
      <c r="A1174" s="2">
        <f>IFERROR(__xludf.DUMMYFUNCTION("""COMPUTED_VALUE"""),38237.645833333336)</f>
        <v>38237.64583</v>
      </c>
      <c r="B1174" s="1">
        <f>IFERROR(__xludf.DUMMYFUNCTION("""COMPUTED_VALUE"""),111.65)</f>
        <v>111.65</v>
      </c>
      <c r="C1174" s="1">
        <f>IFERROR(__xludf.DUMMYFUNCTION("""COMPUTED_VALUE"""),115.5)</f>
        <v>115.5</v>
      </c>
      <c r="D1174" s="1">
        <f>IFERROR(__xludf.DUMMYFUNCTION("""COMPUTED_VALUE"""),111.65)</f>
        <v>111.65</v>
      </c>
      <c r="E1174" s="1">
        <f>IFERROR(__xludf.DUMMYFUNCTION("""COMPUTED_VALUE"""),114.75)</f>
        <v>114.75</v>
      </c>
      <c r="F1174" s="1">
        <f>IFERROR(__xludf.DUMMYFUNCTION("""COMPUTED_VALUE"""),4435822.0)</f>
        <v>4435822</v>
      </c>
    </row>
    <row r="1175">
      <c r="A1175" s="2">
        <f>IFERROR(__xludf.DUMMYFUNCTION("""COMPUTED_VALUE"""),38238.645833333336)</f>
        <v>38238.64583</v>
      </c>
      <c r="B1175" s="1">
        <f>IFERROR(__xludf.DUMMYFUNCTION("""COMPUTED_VALUE"""),115.5)</f>
        <v>115.5</v>
      </c>
      <c r="C1175" s="1">
        <f>IFERROR(__xludf.DUMMYFUNCTION("""COMPUTED_VALUE"""),117.25)</f>
        <v>117.25</v>
      </c>
      <c r="D1175" s="1">
        <f>IFERROR(__xludf.DUMMYFUNCTION("""COMPUTED_VALUE"""),115.5)</f>
        <v>115.5</v>
      </c>
      <c r="E1175" s="1">
        <f>IFERROR(__xludf.DUMMYFUNCTION("""COMPUTED_VALUE"""),116.05)</f>
        <v>116.05</v>
      </c>
      <c r="F1175" s="1">
        <f>IFERROR(__xludf.DUMMYFUNCTION("""COMPUTED_VALUE"""),2971393.0)</f>
        <v>2971393</v>
      </c>
    </row>
    <row r="1176">
      <c r="A1176" s="2">
        <f>IFERROR(__xludf.DUMMYFUNCTION("""COMPUTED_VALUE"""),38239.645833333336)</f>
        <v>38239.64583</v>
      </c>
      <c r="B1176" s="1">
        <f>IFERROR(__xludf.DUMMYFUNCTION("""COMPUTED_VALUE"""),116.2)</f>
        <v>116.2</v>
      </c>
      <c r="C1176" s="1">
        <f>IFERROR(__xludf.DUMMYFUNCTION("""COMPUTED_VALUE"""),119.9)</f>
        <v>119.9</v>
      </c>
      <c r="D1176" s="1">
        <f>IFERROR(__xludf.DUMMYFUNCTION("""COMPUTED_VALUE"""),116.0)</f>
        <v>116</v>
      </c>
      <c r="E1176" s="1">
        <f>IFERROR(__xludf.DUMMYFUNCTION("""COMPUTED_VALUE"""),118.85)</f>
        <v>118.85</v>
      </c>
      <c r="F1176" s="1">
        <f>IFERROR(__xludf.DUMMYFUNCTION("""COMPUTED_VALUE"""),4281106.0)</f>
        <v>4281106</v>
      </c>
    </row>
    <row r="1177">
      <c r="A1177" s="2">
        <f>IFERROR(__xludf.DUMMYFUNCTION("""COMPUTED_VALUE"""),38240.645833333336)</f>
        <v>38240.64583</v>
      </c>
      <c r="B1177" s="1">
        <f>IFERROR(__xludf.DUMMYFUNCTION("""COMPUTED_VALUE"""),118.8)</f>
        <v>118.8</v>
      </c>
      <c r="C1177" s="1">
        <f>IFERROR(__xludf.DUMMYFUNCTION("""COMPUTED_VALUE"""),121.75)</f>
        <v>121.75</v>
      </c>
      <c r="D1177" s="1">
        <f>IFERROR(__xludf.DUMMYFUNCTION("""COMPUTED_VALUE"""),117.9)</f>
        <v>117.9</v>
      </c>
      <c r="E1177" s="1">
        <f>IFERROR(__xludf.DUMMYFUNCTION("""COMPUTED_VALUE"""),121.0)</f>
        <v>121</v>
      </c>
      <c r="F1177" s="1">
        <f>IFERROR(__xludf.DUMMYFUNCTION("""COMPUTED_VALUE"""),4152074.0)</f>
        <v>4152074</v>
      </c>
    </row>
    <row r="1178">
      <c r="A1178" s="2">
        <f>IFERROR(__xludf.DUMMYFUNCTION("""COMPUTED_VALUE"""),38243.645833333336)</f>
        <v>38243.64583</v>
      </c>
      <c r="B1178" s="1">
        <f>IFERROR(__xludf.DUMMYFUNCTION("""COMPUTED_VALUE"""),121.9)</f>
        <v>121.9</v>
      </c>
      <c r="C1178" s="1">
        <f>IFERROR(__xludf.DUMMYFUNCTION("""COMPUTED_VALUE"""),124.0)</f>
        <v>124</v>
      </c>
      <c r="D1178" s="1">
        <f>IFERROR(__xludf.DUMMYFUNCTION("""COMPUTED_VALUE"""),121.45)</f>
        <v>121.45</v>
      </c>
      <c r="E1178" s="1">
        <f>IFERROR(__xludf.DUMMYFUNCTION("""COMPUTED_VALUE"""),121.8)</f>
        <v>121.8</v>
      </c>
      <c r="F1178" s="1">
        <f>IFERROR(__xludf.DUMMYFUNCTION("""COMPUTED_VALUE"""),3846227.0)</f>
        <v>3846227</v>
      </c>
    </row>
    <row r="1179">
      <c r="A1179" s="2">
        <f>IFERROR(__xludf.DUMMYFUNCTION("""COMPUTED_VALUE"""),38244.645833333336)</f>
        <v>38244.64583</v>
      </c>
      <c r="B1179" s="1">
        <f>IFERROR(__xludf.DUMMYFUNCTION("""COMPUTED_VALUE"""),122.0)</f>
        <v>122</v>
      </c>
      <c r="C1179" s="1">
        <f>IFERROR(__xludf.DUMMYFUNCTION("""COMPUTED_VALUE"""),122.35)</f>
        <v>122.35</v>
      </c>
      <c r="D1179" s="1">
        <f>IFERROR(__xludf.DUMMYFUNCTION("""COMPUTED_VALUE"""),119.65)</f>
        <v>119.65</v>
      </c>
      <c r="E1179" s="1">
        <f>IFERROR(__xludf.DUMMYFUNCTION("""COMPUTED_VALUE"""),120.0)</f>
        <v>120</v>
      </c>
      <c r="F1179" s="1">
        <f>IFERROR(__xludf.DUMMYFUNCTION("""COMPUTED_VALUE"""),3012110.0)</f>
        <v>3012110</v>
      </c>
    </row>
    <row r="1180">
      <c r="A1180" s="2">
        <f>IFERROR(__xludf.DUMMYFUNCTION("""COMPUTED_VALUE"""),38245.645833333336)</f>
        <v>38245.64583</v>
      </c>
      <c r="B1180" s="1">
        <f>IFERROR(__xludf.DUMMYFUNCTION("""COMPUTED_VALUE"""),120.35)</f>
        <v>120.35</v>
      </c>
      <c r="C1180" s="1">
        <f>IFERROR(__xludf.DUMMYFUNCTION("""COMPUTED_VALUE"""),124.15)</f>
        <v>124.15</v>
      </c>
      <c r="D1180" s="1">
        <f>IFERROR(__xludf.DUMMYFUNCTION("""COMPUTED_VALUE"""),120.0)</f>
        <v>120</v>
      </c>
      <c r="E1180" s="1">
        <f>IFERROR(__xludf.DUMMYFUNCTION("""COMPUTED_VALUE"""),123.65)</f>
        <v>123.65</v>
      </c>
      <c r="F1180" s="1">
        <f>IFERROR(__xludf.DUMMYFUNCTION("""COMPUTED_VALUE"""),3923553.0)</f>
        <v>3923553</v>
      </c>
    </row>
    <row r="1181">
      <c r="A1181" s="2">
        <f>IFERROR(__xludf.DUMMYFUNCTION("""COMPUTED_VALUE"""),38246.645833333336)</f>
        <v>38246.64583</v>
      </c>
      <c r="B1181" s="1">
        <f>IFERROR(__xludf.DUMMYFUNCTION("""COMPUTED_VALUE"""),123.7)</f>
        <v>123.7</v>
      </c>
      <c r="C1181" s="1">
        <f>IFERROR(__xludf.DUMMYFUNCTION("""COMPUTED_VALUE"""),124.45)</f>
        <v>124.45</v>
      </c>
      <c r="D1181" s="1">
        <f>IFERROR(__xludf.DUMMYFUNCTION("""COMPUTED_VALUE"""),122.5)</f>
        <v>122.5</v>
      </c>
      <c r="E1181" s="1">
        <f>IFERROR(__xludf.DUMMYFUNCTION("""COMPUTED_VALUE"""),123.8)</f>
        <v>123.8</v>
      </c>
      <c r="F1181" s="1">
        <f>IFERROR(__xludf.DUMMYFUNCTION("""COMPUTED_VALUE"""),1584904.0)</f>
        <v>1584904</v>
      </c>
    </row>
    <row r="1182">
      <c r="A1182" s="2">
        <f>IFERROR(__xludf.DUMMYFUNCTION("""COMPUTED_VALUE"""),38247.645833333336)</f>
        <v>38247.64583</v>
      </c>
      <c r="B1182" s="1">
        <f>IFERROR(__xludf.DUMMYFUNCTION("""COMPUTED_VALUE"""),124.75)</f>
        <v>124.75</v>
      </c>
      <c r="C1182" s="1">
        <f>IFERROR(__xludf.DUMMYFUNCTION("""COMPUTED_VALUE"""),126.0)</f>
        <v>126</v>
      </c>
      <c r="D1182" s="1">
        <f>IFERROR(__xludf.DUMMYFUNCTION("""COMPUTED_VALUE"""),124.1)</f>
        <v>124.1</v>
      </c>
      <c r="E1182" s="1">
        <f>IFERROR(__xludf.DUMMYFUNCTION("""COMPUTED_VALUE"""),125.7)</f>
        <v>125.7</v>
      </c>
      <c r="F1182" s="1">
        <f>IFERROR(__xludf.DUMMYFUNCTION("""COMPUTED_VALUE"""),2355823.0)</f>
        <v>2355823</v>
      </c>
    </row>
    <row r="1183">
      <c r="A1183" s="2">
        <f>IFERROR(__xludf.DUMMYFUNCTION("""COMPUTED_VALUE"""),38250.645833333336)</f>
        <v>38250.64583</v>
      </c>
      <c r="B1183" s="1">
        <f>IFERROR(__xludf.DUMMYFUNCTION("""COMPUTED_VALUE"""),126.3)</f>
        <v>126.3</v>
      </c>
      <c r="C1183" s="1">
        <f>IFERROR(__xludf.DUMMYFUNCTION("""COMPUTED_VALUE"""),127.9)</f>
        <v>127.9</v>
      </c>
      <c r="D1183" s="1">
        <f>IFERROR(__xludf.DUMMYFUNCTION("""COMPUTED_VALUE"""),125.0)</f>
        <v>125</v>
      </c>
      <c r="E1183" s="1">
        <f>IFERROR(__xludf.DUMMYFUNCTION("""COMPUTED_VALUE"""),125.25)</f>
        <v>125.25</v>
      </c>
      <c r="F1183" s="1">
        <f>IFERROR(__xludf.DUMMYFUNCTION("""COMPUTED_VALUE"""),2373594.0)</f>
        <v>2373594</v>
      </c>
    </row>
    <row r="1184">
      <c r="A1184" s="2">
        <f>IFERROR(__xludf.DUMMYFUNCTION("""COMPUTED_VALUE"""),38251.645833333336)</f>
        <v>38251.64583</v>
      </c>
      <c r="B1184" s="1">
        <f>IFERROR(__xludf.DUMMYFUNCTION("""COMPUTED_VALUE"""),125.2)</f>
        <v>125.2</v>
      </c>
      <c r="C1184" s="1">
        <f>IFERROR(__xludf.DUMMYFUNCTION("""COMPUTED_VALUE"""),125.5)</f>
        <v>125.5</v>
      </c>
      <c r="D1184" s="1">
        <f>IFERROR(__xludf.DUMMYFUNCTION("""COMPUTED_VALUE"""),122.2)</f>
        <v>122.2</v>
      </c>
      <c r="E1184" s="1">
        <f>IFERROR(__xludf.DUMMYFUNCTION("""COMPUTED_VALUE"""),123.8)</f>
        <v>123.8</v>
      </c>
      <c r="F1184" s="1">
        <f>IFERROR(__xludf.DUMMYFUNCTION("""COMPUTED_VALUE"""),3044698.0)</f>
        <v>3044698</v>
      </c>
    </row>
    <row r="1185">
      <c r="A1185" s="2">
        <f>IFERROR(__xludf.DUMMYFUNCTION("""COMPUTED_VALUE"""),38252.645833333336)</f>
        <v>38252.64583</v>
      </c>
      <c r="B1185" s="1">
        <f>IFERROR(__xludf.DUMMYFUNCTION("""COMPUTED_VALUE"""),124.5)</f>
        <v>124.5</v>
      </c>
      <c r="C1185" s="1">
        <f>IFERROR(__xludf.DUMMYFUNCTION("""COMPUTED_VALUE"""),124.7)</f>
        <v>124.7</v>
      </c>
      <c r="D1185" s="1">
        <f>IFERROR(__xludf.DUMMYFUNCTION("""COMPUTED_VALUE"""),122.2)</f>
        <v>122.2</v>
      </c>
      <c r="E1185" s="1">
        <f>IFERROR(__xludf.DUMMYFUNCTION("""COMPUTED_VALUE"""),123.3)</f>
        <v>123.3</v>
      </c>
      <c r="F1185" s="1">
        <f>IFERROR(__xludf.DUMMYFUNCTION("""COMPUTED_VALUE"""),1685670.0)</f>
        <v>1685670</v>
      </c>
    </row>
    <row r="1186">
      <c r="A1186" s="2">
        <f>IFERROR(__xludf.DUMMYFUNCTION("""COMPUTED_VALUE"""),38253.645833333336)</f>
        <v>38253.64583</v>
      </c>
      <c r="B1186" s="1">
        <f>IFERROR(__xludf.DUMMYFUNCTION("""COMPUTED_VALUE"""),122.8)</f>
        <v>122.8</v>
      </c>
      <c r="C1186" s="1">
        <f>IFERROR(__xludf.DUMMYFUNCTION("""COMPUTED_VALUE"""),122.8)</f>
        <v>122.8</v>
      </c>
      <c r="D1186" s="1">
        <f>IFERROR(__xludf.DUMMYFUNCTION("""COMPUTED_VALUE"""),120.0)</f>
        <v>120</v>
      </c>
      <c r="E1186" s="1">
        <f>IFERROR(__xludf.DUMMYFUNCTION("""COMPUTED_VALUE"""),120.4)</f>
        <v>120.4</v>
      </c>
      <c r="F1186" s="1">
        <f>IFERROR(__xludf.DUMMYFUNCTION("""COMPUTED_VALUE"""),2215433.0)</f>
        <v>2215433</v>
      </c>
    </row>
    <row r="1187">
      <c r="A1187" s="2">
        <f>IFERROR(__xludf.DUMMYFUNCTION("""COMPUTED_VALUE"""),38254.645833333336)</f>
        <v>38254.64583</v>
      </c>
      <c r="B1187" s="1">
        <f>IFERROR(__xludf.DUMMYFUNCTION("""COMPUTED_VALUE"""),120.4)</f>
        <v>120.4</v>
      </c>
      <c r="C1187" s="1">
        <f>IFERROR(__xludf.DUMMYFUNCTION("""COMPUTED_VALUE"""),121.1)</f>
        <v>121.1</v>
      </c>
      <c r="D1187" s="1">
        <f>IFERROR(__xludf.DUMMYFUNCTION("""COMPUTED_VALUE"""),119.15)</f>
        <v>119.15</v>
      </c>
      <c r="E1187" s="1">
        <f>IFERROR(__xludf.DUMMYFUNCTION("""COMPUTED_VALUE"""),120.4)</f>
        <v>120.4</v>
      </c>
      <c r="F1187" s="1">
        <f>IFERROR(__xludf.DUMMYFUNCTION("""COMPUTED_VALUE"""),1418146.0)</f>
        <v>1418146</v>
      </c>
    </row>
    <row r="1188">
      <c r="A1188" s="2">
        <f>IFERROR(__xludf.DUMMYFUNCTION("""COMPUTED_VALUE"""),38257.645833333336)</f>
        <v>38257.64583</v>
      </c>
      <c r="B1188" s="1">
        <f>IFERROR(__xludf.DUMMYFUNCTION("""COMPUTED_VALUE"""),120.4)</f>
        <v>120.4</v>
      </c>
      <c r="C1188" s="1">
        <f>IFERROR(__xludf.DUMMYFUNCTION("""COMPUTED_VALUE"""),121.0)</f>
        <v>121</v>
      </c>
      <c r="D1188" s="1">
        <f>IFERROR(__xludf.DUMMYFUNCTION("""COMPUTED_VALUE"""),119.75)</f>
        <v>119.75</v>
      </c>
      <c r="E1188" s="1">
        <f>IFERROR(__xludf.DUMMYFUNCTION("""COMPUTED_VALUE"""),120.25)</f>
        <v>120.25</v>
      </c>
      <c r="F1188" s="1">
        <f>IFERROR(__xludf.DUMMYFUNCTION("""COMPUTED_VALUE"""),948483.0)</f>
        <v>948483</v>
      </c>
    </row>
    <row r="1189">
      <c r="A1189" s="2">
        <f>IFERROR(__xludf.DUMMYFUNCTION("""COMPUTED_VALUE"""),38258.645833333336)</f>
        <v>38258.64583</v>
      </c>
      <c r="B1189" s="1">
        <f>IFERROR(__xludf.DUMMYFUNCTION("""COMPUTED_VALUE"""),119.75)</f>
        <v>119.75</v>
      </c>
      <c r="C1189" s="1">
        <f>IFERROR(__xludf.DUMMYFUNCTION("""COMPUTED_VALUE"""),120.5)</f>
        <v>120.5</v>
      </c>
      <c r="D1189" s="1">
        <f>IFERROR(__xludf.DUMMYFUNCTION("""COMPUTED_VALUE"""),119.5)</f>
        <v>119.5</v>
      </c>
      <c r="E1189" s="1">
        <f>IFERROR(__xludf.DUMMYFUNCTION("""COMPUTED_VALUE"""),120.15)</f>
        <v>120.15</v>
      </c>
      <c r="F1189" s="1">
        <f>IFERROR(__xludf.DUMMYFUNCTION("""COMPUTED_VALUE"""),901089.0)</f>
        <v>901089</v>
      </c>
    </row>
    <row r="1190">
      <c r="A1190" s="2">
        <f>IFERROR(__xludf.DUMMYFUNCTION("""COMPUTED_VALUE"""),38259.645833333336)</f>
        <v>38259.64583</v>
      </c>
      <c r="B1190" s="1">
        <f>IFERROR(__xludf.DUMMYFUNCTION("""COMPUTED_VALUE"""),120.5)</f>
        <v>120.5</v>
      </c>
      <c r="C1190" s="1">
        <f>IFERROR(__xludf.DUMMYFUNCTION("""COMPUTED_VALUE"""),124.9)</f>
        <v>124.9</v>
      </c>
      <c r="D1190" s="1">
        <f>IFERROR(__xludf.DUMMYFUNCTION("""COMPUTED_VALUE"""),120.25)</f>
        <v>120.25</v>
      </c>
      <c r="E1190" s="1">
        <f>IFERROR(__xludf.DUMMYFUNCTION("""COMPUTED_VALUE"""),124.2)</f>
        <v>124.2</v>
      </c>
      <c r="F1190" s="1">
        <f>IFERROR(__xludf.DUMMYFUNCTION("""COMPUTED_VALUE"""),3020379.0)</f>
        <v>3020379</v>
      </c>
    </row>
    <row r="1191">
      <c r="A1191" s="2">
        <f>IFERROR(__xludf.DUMMYFUNCTION("""COMPUTED_VALUE"""),38260.645833333336)</f>
        <v>38260.64583</v>
      </c>
      <c r="B1191" s="1">
        <f>IFERROR(__xludf.DUMMYFUNCTION("""COMPUTED_VALUE"""),124.3)</f>
        <v>124.3</v>
      </c>
      <c r="C1191" s="1">
        <f>IFERROR(__xludf.DUMMYFUNCTION("""COMPUTED_VALUE"""),125.75)</f>
        <v>125.75</v>
      </c>
      <c r="D1191" s="1">
        <f>IFERROR(__xludf.DUMMYFUNCTION("""COMPUTED_VALUE"""),123.0)</f>
        <v>123</v>
      </c>
      <c r="E1191" s="1">
        <f>IFERROR(__xludf.DUMMYFUNCTION("""COMPUTED_VALUE"""),125.4)</f>
        <v>125.4</v>
      </c>
      <c r="F1191" s="1">
        <f>IFERROR(__xludf.DUMMYFUNCTION("""COMPUTED_VALUE"""),3807503.0)</f>
        <v>3807503</v>
      </c>
    </row>
    <row r="1192">
      <c r="A1192" s="2">
        <f>IFERROR(__xludf.DUMMYFUNCTION("""COMPUTED_VALUE"""),38261.645833333336)</f>
        <v>38261.64583</v>
      </c>
      <c r="B1192" s="1">
        <f>IFERROR(__xludf.DUMMYFUNCTION("""COMPUTED_VALUE"""),124.1)</f>
        <v>124.1</v>
      </c>
      <c r="C1192" s="1">
        <f>IFERROR(__xludf.DUMMYFUNCTION("""COMPUTED_VALUE"""),127.5)</f>
        <v>127.5</v>
      </c>
      <c r="D1192" s="1">
        <f>IFERROR(__xludf.DUMMYFUNCTION("""COMPUTED_VALUE"""),123.05)</f>
        <v>123.05</v>
      </c>
      <c r="E1192" s="1">
        <f>IFERROR(__xludf.DUMMYFUNCTION("""COMPUTED_VALUE"""),126.6)</f>
        <v>126.6</v>
      </c>
      <c r="F1192" s="1">
        <f>IFERROR(__xludf.DUMMYFUNCTION("""COMPUTED_VALUE"""),2201397.0)</f>
        <v>2201397</v>
      </c>
    </row>
    <row r="1193">
      <c r="A1193" s="2">
        <f>IFERROR(__xludf.DUMMYFUNCTION("""COMPUTED_VALUE"""),38264.645833333336)</f>
        <v>38264.64583</v>
      </c>
      <c r="B1193" s="1">
        <f>IFERROR(__xludf.DUMMYFUNCTION("""COMPUTED_VALUE"""),127.6)</f>
        <v>127.6</v>
      </c>
      <c r="C1193" s="1">
        <f>IFERROR(__xludf.DUMMYFUNCTION("""COMPUTED_VALUE"""),128.45)</f>
        <v>128.45</v>
      </c>
      <c r="D1193" s="1">
        <f>IFERROR(__xludf.DUMMYFUNCTION("""COMPUTED_VALUE"""),126.7)</f>
        <v>126.7</v>
      </c>
      <c r="E1193" s="1">
        <f>IFERROR(__xludf.DUMMYFUNCTION("""COMPUTED_VALUE"""),127.05)</f>
        <v>127.05</v>
      </c>
      <c r="F1193" s="1">
        <f>IFERROR(__xludf.DUMMYFUNCTION("""COMPUTED_VALUE"""),2266375.0)</f>
        <v>2266375</v>
      </c>
    </row>
    <row r="1194">
      <c r="A1194" s="2">
        <f>IFERROR(__xludf.DUMMYFUNCTION("""COMPUTED_VALUE"""),38265.645833333336)</f>
        <v>38265.64583</v>
      </c>
      <c r="B1194" s="1">
        <f>IFERROR(__xludf.DUMMYFUNCTION("""COMPUTED_VALUE"""),128.0)</f>
        <v>128</v>
      </c>
      <c r="C1194" s="1">
        <f>IFERROR(__xludf.DUMMYFUNCTION("""COMPUTED_VALUE"""),128.0)</f>
        <v>128</v>
      </c>
      <c r="D1194" s="1">
        <f>IFERROR(__xludf.DUMMYFUNCTION("""COMPUTED_VALUE"""),124.25)</f>
        <v>124.25</v>
      </c>
      <c r="E1194" s="1">
        <f>IFERROR(__xludf.DUMMYFUNCTION("""COMPUTED_VALUE"""),125.2)</f>
        <v>125.2</v>
      </c>
      <c r="F1194" s="1">
        <f>IFERROR(__xludf.DUMMYFUNCTION("""COMPUTED_VALUE"""),1630116.0)</f>
        <v>1630116</v>
      </c>
    </row>
    <row r="1195">
      <c r="A1195" s="2">
        <f>IFERROR(__xludf.DUMMYFUNCTION("""COMPUTED_VALUE"""),38266.645833333336)</f>
        <v>38266.64583</v>
      </c>
      <c r="B1195" s="1">
        <f>IFERROR(__xludf.DUMMYFUNCTION("""COMPUTED_VALUE"""),126.0)</f>
        <v>126</v>
      </c>
      <c r="C1195" s="1">
        <f>IFERROR(__xludf.DUMMYFUNCTION("""COMPUTED_VALUE"""),127.75)</f>
        <v>127.75</v>
      </c>
      <c r="D1195" s="1">
        <f>IFERROR(__xludf.DUMMYFUNCTION("""COMPUTED_VALUE"""),125.7)</f>
        <v>125.7</v>
      </c>
      <c r="E1195" s="1">
        <f>IFERROR(__xludf.DUMMYFUNCTION("""COMPUTED_VALUE"""),127.15)</f>
        <v>127.15</v>
      </c>
      <c r="F1195" s="1">
        <f>IFERROR(__xludf.DUMMYFUNCTION("""COMPUTED_VALUE"""),2190389.0)</f>
        <v>2190389</v>
      </c>
    </row>
    <row r="1196">
      <c r="A1196" s="2">
        <f>IFERROR(__xludf.DUMMYFUNCTION("""COMPUTED_VALUE"""),38267.645833333336)</f>
        <v>38267.64583</v>
      </c>
      <c r="B1196" s="1">
        <f>IFERROR(__xludf.DUMMYFUNCTION("""COMPUTED_VALUE"""),127.0)</f>
        <v>127</v>
      </c>
      <c r="C1196" s="1">
        <f>IFERROR(__xludf.DUMMYFUNCTION("""COMPUTED_VALUE"""),128.7)</f>
        <v>128.7</v>
      </c>
      <c r="D1196" s="1">
        <f>IFERROR(__xludf.DUMMYFUNCTION("""COMPUTED_VALUE"""),125.25)</f>
        <v>125.25</v>
      </c>
      <c r="E1196" s="1">
        <f>IFERROR(__xludf.DUMMYFUNCTION("""COMPUTED_VALUE"""),128.5)</f>
        <v>128.5</v>
      </c>
      <c r="F1196" s="1">
        <f>IFERROR(__xludf.DUMMYFUNCTION("""COMPUTED_VALUE"""),1399576.0)</f>
        <v>1399576</v>
      </c>
    </row>
    <row r="1197">
      <c r="A1197" s="2">
        <f>IFERROR(__xludf.DUMMYFUNCTION("""COMPUTED_VALUE"""),38268.645833333336)</f>
        <v>38268.64583</v>
      </c>
      <c r="B1197" s="1">
        <f>IFERROR(__xludf.DUMMYFUNCTION("""COMPUTED_VALUE"""),128.5)</f>
        <v>128.5</v>
      </c>
      <c r="C1197" s="1">
        <f>IFERROR(__xludf.DUMMYFUNCTION("""COMPUTED_VALUE"""),129.4)</f>
        <v>129.4</v>
      </c>
      <c r="D1197" s="1">
        <f>IFERROR(__xludf.DUMMYFUNCTION("""COMPUTED_VALUE"""),126.25)</f>
        <v>126.25</v>
      </c>
      <c r="E1197" s="1">
        <f>IFERROR(__xludf.DUMMYFUNCTION("""COMPUTED_VALUE"""),128.8)</f>
        <v>128.8</v>
      </c>
      <c r="F1197" s="1">
        <f>IFERROR(__xludf.DUMMYFUNCTION("""COMPUTED_VALUE"""),1742212.0)</f>
        <v>1742212</v>
      </c>
    </row>
    <row r="1198">
      <c r="A1198" s="2">
        <f>IFERROR(__xludf.DUMMYFUNCTION("""COMPUTED_VALUE"""),38271.645833333336)</f>
        <v>38271.64583</v>
      </c>
      <c r="B1198" s="1">
        <f>IFERROR(__xludf.DUMMYFUNCTION("""COMPUTED_VALUE"""),128.5)</f>
        <v>128.5</v>
      </c>
      <c r="C1198" s="1">
        <f>IFERROR(__xludf.DUMMYFUNCTION("""COMPUTED_VALUE"""),129.5)</f>
        <v>129.5</v>
      </c>
      <c r="D1198" s="1">
        <f>IFERROR(__xludf.DUMMYFUNCTION("""COMPUTED_VALUE"""),127.5)</f>
        <v>127.5</v>
      </c>
      <c r="E1198" s="1">
        <f>IFERROR(__xludf.DUMMYFUNCTION("""COMPUTED_VALUE"""),128.45)</f>
        <v>128.45</v>
      </c>
      <c r="F1198" s="1">
        <f>IFERROR(__xludf.DUMMYFUNCTION("""COMPUTED_VALUE"""),1397990.0)</f>
        <v>1397990</v>
      </c>
    </row>
    <row r="1199">
      <c r="A1199" s="2">
        <f>IFERROR(__xludf.DUMMYFUNCTION("""COMPUTED_VALUE"""),38272.645833333336)</f>
        <v>38272.64583</v>
      </c>
      <c r="B1199" s="1">
        <f>IFERROR(__xludf.DUMMYFUNCTION("""COMPUTED_VALUE"""),128.5)</f>
        <v>128.5</v>
      </c>
      <c r="C1199" s="1">
        <f>IFERROR(__xludf.DUMMYFUNCTION("""COMPUTED_VALUE"""),128.5)</f>
        <v>128.5</v>
      </c>
      <c r="D1199" s="1">
        <f>IFERROR(__xludf.DUMMYFUNCTION("""COMPUTED_VALUE"""),126.4)</f>
        <v>126.4</v>
      </c>
      <c r="E1199" s="1">
        <f>IFERROR(__xludf.DUMMYFUNCTION("""COMPUTED_VALUE"""),126.8)</f>
        <v>126.8</v>
      </c>
      <c r="F1199" s="1">
        <f>IFERROR(__xludf.DUMMYFUNCTION("""COMPUTED_VALUE"""),1389673.0)</f>
        <v>1389673</v>
      </c>
    </row>
    <row r="1200">
      <c r="A1200" s="2">
        <f>IFERROR(__xludf.DUMMYFUNCTION("""COMPUTED_VALUE"""),38274.645833333336)</f>
        <v>38274.64583</v>
      </c>
      <c r="B1200" s="1">
        <f>IFERROR(__xludf.DUMMYFUNCTION("""COMPUTED_VALUE"""),124.5)</f>
        <v>124.5</v>
      </c>
      <c r="C1200" s="1">
        <f>IFERROR(__xludf.DUMMYFUNCTION("""COMPUTED_VALUE"""),128.5)</f>
        <v>128.5</v>
      </c>
      <c r="D1200" s="1">
        <f>IFERROR(__xludf.DUMMYFUNCTION("""COMPUTED_VALUE"""),124.5)</f>
        <v>124.5</v>
      </c>
      <c r="E1200" s="1">
        <f>IFERROR(__xludf.DUMMYFUNCTION("""COMPUTED_VALUE"""),128.05)</f>
        <v>128.05</v>
      </c>
      <c r="F1200" s="1">
        <f>IFERROR(__xludf.DUMMYFUNCTION("""COMPUTED_VALUE"""),1047526.0)</f>
        <v>1047526</v>
      </c>
    </row>
    <row r="1201">
      <c r="A1201" s="2">
        <f>IFERROR(__xludf.DUMMYFUNCTION("""COMPUTED_VALUE"""),38275.645833333336)</f>
        <v>38275.64583</v>
      </c>
      <c r="B1201" s="1">
        <f>IFERROR(__xludf.DUMMYFUNCTION("""COMPUTED_VALUE"""),127.3)</f>
        <v>127.3</v>
      </c>
      <c r="C1201" s="1">
        <f>IFERROR(__xludf.DUMMYFUNCTION("""COMPUTED_VALUE"""),128.0)</f>
        <v>128</v>
      </c>
      <c r="D1201" s="1">
        <f>IFERROR(__xludf.DUMMYFUNCTION("""COMPUTED_VALUE"""),126.0)</f>
        <v>126</v>
      </c>
      <c r="E1201" s="1">
        <f>IFERROR(__xludf.DUMMYFUNCTION("""COMPUTED_VALUE"""),126.65)</f>
        <v>126.65</v>
      </c>
      <c r="F1201" s="1">
        <f>IFERROR(__xludf.DUMMYFUNCTION("""COMPUTED_VALUE"""),1067265.0)</f>
        <v>1067265</v>
      </c>
    </row>
    <row r="1202">
      <c r="A1202" s="2">
        <f>IFERROR(__xludf.DUMMYFUNCTION("""COMPUTED_VALUE"""),38278.645833333336)</f>
        <v>38278.64583</v>
      </c>
      <c r="B1202" s="1">
        <f>IFERROR(__xludf.DUMMYFUNCTION("""COMPUTED_VALUE"""),126.6)</f>
        <v>126.6</v>
      </c>
      <c r="C1202" s="1">
        <f>IFERROR(__xludf.DUMMYFUNCTION("""COMPUTED_VALUE"""),127.5)</f>
        <v>127.5</v>
      </c>
      <c r="D1202" s="1">
        <f>IFERROR(__xludf.DUMMYFUNCTION("""COMPUTED_VALUE"""),125.0)</f>
        <v>125</v>
      </c>
      <c r="E1202" s="1">
        <f>IFERROR(__xludf.DUMMYFUNCTION("""COMPUTED_VALUE"""),126.2)</f>
        <v>126.2</v>
      </c>
      <c r="F1202" s="1">
        <f>IFERROR(__xludf.DUMMYFUNCTION("""COMPUTED_VALUE"""),1220884.0)</f>
        <v>1220884</v>
      </c>
    </row>
    <row r="1203">
      <c r="A1203" s="2">
        <f>IFERROR(__xludf.DUMMYFUNCTION("""COMPUTED_VALUE"""),38279.645833333336)</f>
        <v>38279.64583</v>
      </c>
      <c r="B1203" s="1">
        <f>IFERROR(__xludf.DUMMYFUNCTION("""COMPUTED_VALUE"""),125.75)</f>
        <v>125.75</v>
      </c>
      <c r="C1203" s="1">
        <f>IFERROR(__xludf.DUMMYFUNCTION("""COMPUTED_VALUE"""),126.75)</f>
        <v>126.75</v>
      </c>
      <c r="D1203" s="1">
        <f>IFERROR(__xludf.DUMMYFUNCTION("""COMPUTED_VALUE"""),124.8)</f>
        <v>124.8</v>
      </c>
      <c r="E1203" s="1">
        <f>IFERROR(__xludf.DUMMYFUNCTION("""COMPUTED_VALUE"""),126.05)</f>
        <v>126.05</v>
      </c>
      <c r="F1203" s="1">
        <f>IFERROR(__xludf.DUMMYFUNCTION("""COMPUTED_VALUE"""),976859.0)</f>
        <v>976859</v>
      </c>
    </row>
    <row r="1204">
      <c r="A1204" s="2">
        <f>IFERROR(__xludf.DUMMYFUNCTION("""COMPUTED_VALUE"""),38280.645833333336)</f>
        <v>38280.64583</v>
      </c>
      <c r="B1204" s="1">
        <f>IFERROR(__xludf.DUMMYFUNCTION("""COMPUTED_VALUE"""),126.0)</f>
        <v>126</v>
      </c>
      <c r="C1204" s="1">
        <f>IFERROR(__xludf.DUMMYFUNCTION("""COMPUTED_VALUE"""),126.5)</f>
        <v>126.5</v>
      </c>
      <c r="D1204" s="1">
        <f>IFERROR(__xludf.DUMMYFUNCTION("""COMPUTED_VALUE"""),124.0)</f>
        <v>124</v>
      </c>
      <c r="E1204" s="1">
        <f>IFERROR(__xludf.DUMMYFUNCTION("""COMPUTED_VALUE"""),124.5)</f>
        <v>124.5</v>
      </c>
      <c r="F1204" s="1">
        <f>IFERROR(__xludf.DUMMYFUNCTION("""COMPUTED_VALUE"""),991510.0)</f>
        <v>991510</v>
      </c>
    </row>
    <row r="1205">
      <c r="A1205" s="2">
        <f>IFERROR(__xludf.DUMMYFUNCTION("""COMPUTED_VALUE"""),38281.645833333336)</f>
        <v>38281.64583</v>
      </c>
      <c r="B1205" s="1">
        <f>IFERROR(__xludf.DUMMYFUNCTION("""COMPUTED_VALUE"""),124.7)</f>
        <v>124.7</v>
      </c>
      <c r="C1205" s="1">
        <f>IFERROR(__xludf.DUMMYFUNCTION("""COMPUTED_VALUE"""),125.5)</f>
        <v>125.5</v>
      </c>
      <c r="D1205" s="1">
        <f>IFERROR(__xludf.DUMMYFUNCTION("""COMPUTED_VALUE"""),123.7)</f>
        <v>123.7</v>
      </c>
      <c r="E1205" s="1">
        <f>IFERROR(__xludf.DUMMYFUNCTION("""COMPUTED_VALUE"""),124.6)</f>
        <v>124.6</v>
      </c>
      <c r="F1205" s="1">
        <f>IFERROR(__xludf.DUMMYFUNCTION("""COMPUTED_VALUE"""),1815635.0)</f>
        <v>1815635</v>
      </c>
    </row>
    <row r="1206">
      <c r="A1206" s="2">
        <f>IFERROR(__xludf.DUMMYFUNCTION("""COMPUTED_VALUE"""),38285.645833333336)</f>
        <v>38285.64583</v>
      </c>
      <c r="B1206" s="1">
        <f>IFERROR(__xludf.DUMMYFUNCTION("""COMPUTED_VALUE"""),124.25)</f>
        <v>124.25</v>
      </c>
      <c r="C1206" s="1">
        <f>IFERROR(__xludf.DUMMYFUNCTION("""COMPUTED_VALUE"""),124.95)</f>
        <v>124.95</v>
      </c>
      <c r="D1206" s="1">
        <f>IFERROR(__xludf.DUMMYFUNCTION("""COMPUTED_VALUE"""),121.75)</f>
        <v>121.75</v>
      </c>
      <c r="E1206" s="1">
        <f>IFERROR(__xludf.DUMMYFUNCTION("""COMPUTED_VALUE"""),123.4)</f>
        <v>123.4</v>
      </c>
      <c r="F1206" s="1">
        <f>IFERROR(__xludf.DUMMYFUNCTION("""COMPUTED_VALUE"""),1159676.0)</f>
        <v>1159676</v>
      </c>
    </row>
    <row r="1207">
      <c r="A1207" s="2">
        <f>IFERROR(__xludf.DUMMYFUNCTION("""COMPUTED_VALUE"""),38286.645833333336)</f>
        <v>38286.64583</v>
      </c>
      <c r="B1207" s="1">
        <f>IFERROR(__xludf.DUMMYFUNCTION("""COMPUTED_VALUE"""),122.1)</f>
        <v>122.1</v>
      </c>
      <c r="C1207" s="1">
        <f>IFERROR(__xludf.DUMMYFUNCTION("""COMPUTED_VALUE"""),123.75)</f>
        <v>123.75</v>
      </c>
      <c r="D1207" s="1">
        <f>IFERROR(__xludf.DUMMYFUNCTION("""COMPUTED_VALUE"""),120.4)</f>
        <v>120.4</v>
      </c>
      <c r="E1207" s="1">
        <f>IFERROR(__xludf.DUMMYFUNCTION("""COMPUTED_VALUE"""),122.35)</f>
        <v>122.35</v>
      </c>
      <c r="F1207" s="1">
        <f>IFERROR(__xludf.DUMMYFUNCTION("""COMPUTED_VALUE"""),2152367.0)</f>
        <v>2152367</v>
      </c>
    </row>
    <row r="1208">
      <c r="A1208" s="2">
        <f>IFERROR(__xludf.DUMMYFUNCTION("""COMPUTED_VALUE"""),38287.645833333336)</f>
        <v>38287.64583</v>
      </c>
      <c r="B1208" s="1">
        <f>IFERROR(__xludf.DUMMYFUNCTION("""COMPUTED_VALUE"""),122.1)</f>
        <v>122.1</v>
      </c>
      <c r="C1208" s="1">
        <f>IFERROR(__xludf.DUMMYFUNCTION("""COMPUTED_VALUE"""),122.1)</f>
        <v>122.1</v>
      </c>
      <c r="D1208" s="1">
        <f>IFERROR(__xludf.DUMMYFUNCTION("""COMPUTED_VALUE"""),119.9)</f>
        <v>119.9</v>
      </c>
      <c r="E1208" s="1">
        <f>IFERROR(__xludf.DUMMYFUNCTION("""COMPUTED_VALUE"""),120.35)</f>
        <v>120.35</v>
      </c>
      <c r="F1208" s="1">
        <f>IFERROR(__xludf.DUMMYFUNCTION("""COMPUTED_VALUE"""),3054846.0)</f>
        <v>3054846</v>
      </c>
    </row>
    <row r="1209">
      <c r="A1209" s="2">
        <f>IFERROR(__xludf.DUMMYFUNCTION("""COMPUTED_VALUE"""),38288.645833333336)</f>
        <v>38288.64583</v>
      </c>
      <c r="B1209" s="1">
        <f>IFERROR(__xludf.DUMMYFUNCTION("""COMPUTED_VALUE"""),120.0)</f>
        <v>120</v>
      </c>
      <c r="C1209" s="1">
        <f>IFERROR(__xludf.DUMMYFUNCTION("""COMPUTED_VALUE"""),125.95)</f>
        <v>125.95</v>
      </c>
      <c r="D1209" s="1">
        <f>IFERROR(__xludf.DUMMYFUNCTION("""COMPUTED_VALUE"""),119.0)</f>
        <v>119</v>
      </c>
      <c r="E1209" s="1">
        <f>IFERROR(__xludf.DUMMYFUNCTION("""COMPUTED_VALUE"""),125.1)</f>
        <v>125.1</v>
      </c>
      <c r="F1209" s="1">
        <f>IFERROR(__xludf.DUMMYFUNCTION("""COMPUTED_VALUE"""),3099867.0)</f>
        <v>3099867</v>
      </c>
    </row>
    <row r="1210">
      <c r="A1210" s="2">
        <f>IFERROR(__xludf.DUMMYFUNCTION("""COMPUTED_VALUE"""),38289.645833333336)</f>
        <v>38289.64583</v>
      </c>
      <c r="B1210" s="1">
        <f>IFERROR(__xludf.DUMMYFUNCTION("""COMPUTED_VALUE"""),125.0)</f>
        <v>125</v>
      </c>
      <c r="C1210" s="1">
        <f>IFERROR(__xludf.DUMMYFUNCTION("""COMPUTED_VALUE"""),125.4)</f>
        <v>125.4</v>
      </c>
      <c r="D1210" s="1">
        <f>IFERROR(__xludf.DUMMYFUNCTION("""COMPUTED_VALUE"""),122.5)</f>
        <v>122.5</v>
      </c>
      <c r="E1210" s="1">
        <f>IFERROR(__xludf.DUMMYFUNCTION("""COMPUTED_VALUE"""),124.8)</f>
        <v>124.8</v>
      </c>
      <c r="F1210" s="1">
        <f>IFERROR(__xludf.DUMMYFUNCTION("""COMPUTED_VALUE"""),1648450.0)</f>
        <v>1648450</v>
      </c>
    </row>
    <row r="1211">
      <c r="A1211" s="2">
        <f>IFERROR(__xludf.DUMMYFUNCTION("""COMPUTED_VALUE"""),38292.645833333336)</f>
        <v>38292.64583</v>
      </c>
      <c r="B1211" s="1">
        <f>IFERROR(__xludf.DUMMYFUNCTION("""COMPUTED_VALUE"""),124.3)</f>
        <v>124.3</v>
      </c>
      <c r="C1211" s="1">
        <f>IFERROR(__xludf.DUMMYFUNCTION("""COMPUTED_VALUE"""),125.45)</f>
        <v>125.45</v>
      </c>
      <c r="D1211" s="1">
        <f>IFERROR(__xludf.DUMMYFUNCTION("""COMPUTED_VALUE"""),122.6)</f>
        <v>122.6</v>
      </c>
      <c r="E1211" s="1">
        <f>IFERROR(__xludf.DUMMYFUNCTION("""COMPUTED_VALUE"""),125.2)</f>
        <v>125.2</v>
      </c>
      <c r="F1211" s="1">
        <f>IFERROR(__xludf.DUMMYFUNCTION("""COMPUTED_VALUE"""),1196865.0)</f>
        <v>1196865</v>
      </c>
    </row>
    <row r="1212">
      <c r="A1212" s="2">
        <f>IFERROR(__xludf.DUMMYFUNCTION("""COMPUTED_VALUE"""),38293.645833333336)</f>
        <v>38293.64583</v>
      </c>
      <c r="B1212" s="1">
        <f>IFERROR(__xludf.DUMMYFUNCTION("""COMPUTED_VALUE"""),125.2)</f>
        <v>125.2</v>
      </c>
      <c r="C1212" s="1">
        <f>IFERROR(__xludf.DUMMYFUNCTION("""COMPUTED_VALUE"""),128.45)</f>
        <v>128.45</v>
      </c>
      <c r="D1212" s="1">
        <f>IFERROR(__xludf.DUMMYFUNCTION("""COMPUTED_VALUE"""),124.25)</f>
        <v>124.25</v>
      </c>
      <c r="E1212" s="1">
        <f>IFERROR(__xludf.DUMMYFUNCTION("""COMPUTED_VALUE"""),127.9)</f>
        <v>127.9</v>
      </c>
      <c r="F1212" s="1">
        <f>IFERROR(__xludf.DUMMYFUNCTION("""COMPUTED_VALUE"""),1979248.0)</f>
        <v>1979248</v>
      </c>
    </row>
    <row r="1213">
      <c r="A1213" s="2">
        <f>IFERROR(__xludf.DUMMYFUNCTION("""COMPUTED_VALUE"""),38294.645833333336)</f>
        <v>38294.64583</v>
      </c>
      <c r="B1213" s="1">
        <f>IFERROR(__xludf.DUMMYFUNCTION("""COMPUTED_VALUE"""),127.9)</f>
        <v>127.9</v>
      </c>
      <c r="C1213" s="1">
        <f>IFERROR(__xludf.DUMMYFUNCTION("""COMPUTED_VALUE"""),128.8)</f>
        <v>128.8</v>
      </c>
      <c r="D1213" s="1">
        <f>IFERROR(__xludf.DUMMYFUNCTION("""COMPUTED_VALUE"""),127.0)</f>
        <v>127</v>
      </c>
      <c r="E1213" s="1">
        <f>IFERROR(__xludf.DUMMYFUNCTION("""COMPUTED_VALUE"""),128.5)</f>
        <v>128.5</v>
      </c>
      <c r="F1213" s="1">
        <f>IFERROR(__xludf.DUMMYFUNCTION("""COMPUTED_VALUE"""),1252541.0)</f>
        <v>1252541</v>
      </c>
    </row>
    <row r="1214">
      <c r="A1214" s="2">
        <f>IFERROR(__xludf.DUMMYFUNCTION("""COMPUTED_VALUE"""),38295.645833333336)</f>
        <v>38295.64583</v>
      </c>
      <c r="B1214" s="1">
        <f>IFERROR(__xludf.DUMMYFUNCTION("""COMPUTED_VALUE"""),128.5)</f>
        <v>128.5</v>
      </c>
      <c r="C1214" s="1">
        <f>IFERROR(__xludf.DUMMYFUNCTION("""COMPUTED_VALUE"""),129.4)</f>
        <v>129.4</v>
      </c>
      <c r="D1214" s="1">
        <f>IFERROR(__xludf.DUMMYFUNCTION("""COMPUTED_VALUE"""),127.4)</f>
        <v>127.4</v>
      </c>
      <c r="E1214" s="1">
        <f>IFERROR(__xludf.DUMMYFUNCTION("""COMPUTED_VALUE"""),128.8)</f>
        <v>128.8</v>
      </c>
      <c r="F1214" s="1">
        <f>IFERROR(__xludf.DUMMYFUNCTION("""COMPUTED_VALUE"""),1582989.0)</f>
        <v>1582989</v>
      </c>
    </row>
    <row r="1215">
      <c r="A1215" s="2">
        <f>IFERROR(__xludf.DUMMYFUNCTION("""COMPUTED_VALUE"""),38296.645833333336)</f>
        <v>38296.64583</v>
      </c>
      <c r="B1215" s="1">
        <f>IFERROR(__xludf.DUMMYFUNCTION("""COMPUTED_VALUE"""),129.15)</f>
        <v>129.15</v>
      </c>
      <c r="C1215" s="1">
        <f>IFERROR(__xludf.DUMMYFUNCTION("""COMPUTED_VALUE"""),133.0)</f>
        <v>133</v>
      </c>
      <c r="D1215" s="1">
        <f>IFERROR(__xludf.DUMMYFUNCTION("""COMPUTED_VALUE"""),128.6)</f>
        <v>128.6</v>
      </c>
      <c r="E1215" s="1">
        <f>IFERROR(__xludf.DUMMYFUNCTION("""COMPUTED_VALUE"""),132.75)</f>
        <v>132.75</v>
      </c>
      <c r="F1215" s="1">
        <f>IFERROR(__xludf.DUMMYFUNCTION("""COMPUTED_VALUE"""),2481247.0)</f>
        <v>2481247</v>
      </c>
    </row>
    <row r="1216">
      <c r="A1216" s="2">
        <f>IFERROR(__xludf.DUMMYFUNCTION("""COMPUTED_VALUE"""),38299.645833333336)</f>
        <v>38299.64583</v>
      </c>
      <c r="B1216" s="1">
        <f>IFERROR(__xludf.DUMMYFUNCTION("""COMPUTED_VALUE"""),132.8)</f>
        <v>132.8</v>
      </c>
      <c r="C1216" s="1">
        <f>IFERROR(__xludf.DUMMYFUNCTION("""COMPUTED_VALUE"""),136.85)</f>
        <v>136.85</v>
      </c>
      <c r="D1216" s="1">
        <f>IFERROR(__xludf.DUMMYFUNCTION("""COMPUTED_VALUE"""),131.9)</f>
        <v>131.9</v>
      </c>
      <c r="E1216" s="1">
        <f>IFERROR(__xludf.DUMMYFUNCTION("""COMPUTED_VALUE"""),136.1)</f>
        <v>136.1</v>
      </c>
      <c r="F1216" s="1">
        <f>IFERROR(__xludf.DUMMYFUNCTION("""COMPUTED_VALUE"""),2491792.0)</f>
        <v>2491792</v>
      </c>
    </row>
    <row r="1217">
      <c r="A1217" s="2">
        <f>IFERROR(__xludf.DUMMYFUNCTION("""COMPUTED_VALUE"""),38300.645833333336)</f>
        <v>38300.64583</v>
      </c>
      <c r="B1217" s="1">
        <f>IFERROR(__xludf.DUMMYFUNCTION("""COMPUTED_VALUE"""),139.45)</f>
        <v>139.45</v>
      </c>
      <c r="C1217" s="1">
        <f>IFERROR(__xludf.DUMMYFUNCTION("""COMPUTED_VALUE"""),139.45)</f>
        <v>139.45</v>
      </c>
      <c r="D1217" s="1">
        <f>IFERROR(__xludf.DUMMYFUNCTION("""COMPUTED_VALUE"""),134.8)</f>
        <v>134.8</v>
      </c>
      <c r="E1217" s="1">
        <f>IFERROR(__xludf.DUMMYFUNCTION("""COMPUTED_VALUE"""),137.0)</f>
        <v>137</v>
      </c>
      <c r="F1217" s="1">
        <f>IFERROR(__xludf.DUMMYFUNCTION("""COMPUTED_VALUE"""),2264890.0)</f>
        <v>2264890</v>
      </c>
    </row>
    <row r="1218">
      <c r="A1218" s="2">
        <f>IFERROR(__xludf.DUMMYFUNCTION("""COMPUTED_VALUE"""),38301.645833333336)</f>
        <v>38301.64583</v>
      </c>
      <c r="B1218" s="1">
        <f>IFERROR(__xludf.DUMMYFUNCTION("""COMPUTED_VALUE"""),137.4)</f>
        <v>137.4</v>
      </c>
      <c r="C1218" s="1">
        <f>IFERROR(__xludf.DUMMYFUNCTION("""COMPUTED_VALUE"""),137.4)</f>
        <v>137.4</v>
      </c>
      <c r="D1218" s="1">
        <f>IFERROR(__xludf.DUMMYFUNCTION("""COMPUTED_VALUE"""),135.25)</f>
        <v>135.25</v>
      </c>
      <c r="E1218" s="1">
        <f>IFERROR(__xludf.DUMMYFUNCTION("""COMPUTED_VALUE"""),135.8)</f>
        <v>135.8</v>
      </c>
      <c r="F1218" s="1">
        <f>IFERROR(__xludf.DUMMYFUNCTION("""COMPUTED_VALUE"""),1606190.0)</f>
        <v>1606190</v>
      </c>
    </row>
    <row r="1219">
      <c r="A1219" s="2">
        <f>IFERROR(__xludf.DUMMYFUNCTION("""COMPUTED_VALUE"""),38302.645833333336)</f>
        <v>38302.64583</v>
      </c>
      <c r="B1219" s="1">
        <f>IFERROR(__xludf.DUMMYFUNCTION("""COMPUTED_VALUE"""),135.5)</f>
        <v>135.5</v>
      </c>
      <c r="C1219" s="1">
        <f>IFERROR(__xludf.DUMMYFUNCTION("""COMPUTED_VALUE"""),135.5)</f>
        <v>135.5</v>
      </c>
      <c r="D1219" s="1">
        <f>IFERROR(__xludf.DUMMYFUNCTION("""COMPUTED_VALUE"""),134.0)</f>
        <v>134</v>
      </c>
      <c r="E1219" s="1">
        <f>IFERROR(__xludf.DUMMYFUNCTION("""COMPUTED_VALUE"""),134.45)</f>
        <v>134.45</v>
      </c>
      <c r="F1219" s="1">
        <f>IFERROR(__xludf.DUMMYFUNCTION("""COMPUTED_VALUE"""),649711.0)</f>
        <v>649711</v>
      </c>
    </row>
    <row r="1220">
      <c r="A1220" s="2">
        <f>IFERROR(__xludf.DUMMYFUNCTION("""COMPUTED_VALUE"""),38303.645833333336)</f>
        <v>38303.64583</v>
      </c>
      <c r="B1220" s="1">
        <f>IFERROR(__xludf.DUMMYFUNCTION("""COMPUTED_VALUE"""),134.1)</f>
        <v>134.1</v>
      </c>
      <c r="C1220" s="1">
        <f>IFERROR(__xludf.DUMMYFUNCTION("""COMPUTED_VALUE"""),135.5)</f>
        <v>135.5</v>
      </c>
      <c r="D1220" s="1">
        <f>IFERROR(__xludf.DUMMYFUNCTION("""COMPUTED_VALUE"""),134.0)</f>
        <v>134</v>
      </c>
      <c r="E1220" s="1">
        <f>IFERROR(__xludf.DUMMYFUNCTION("""COMPUTED_VALUE"""),134.15)</f>
        <v>134.15</v>
      </c>
      <c r="F1220" s="1">
        <f>IFERROR(__xludf.DUMMYFUNCTION("""COMPUTED_VALUE"""),213929.0)</f>
        <v>213929</v>
      </c>
    </row>
    <row r="1221">
      <c r="A1221" s="2">
        <f>IFERROR(__xludf.DUMMYFUNCTION("""COMPUTED_VALUE"""),38307.645833333336)</f>
        <v>38307.64583</v>
      </c>
      <c r="B1221" s="1">
        <f>IFERROR(__xludf.DUMMYFUNCTION("""COMPUTED_VALUE"""),135.0)</f>
        <v>135</v>
      </c>
      <c r="C1221" s="1">
        <f>IFERROR(__xludf.DUMMYFUNCTION("""COMPUTED_VALUE"""),136.4)</f>
        <v>136.4</v>
      </c>
      <c r="D1221" s="1">
        <f>IFERROR(__xludf.DUMMYFUNCTION("""COMPUTED_VALUE"""),134.4)</f>
        <v>134.4</v>
      </c>
      <c r="E1221" s="1">
        <f>IFERROR(__xludf.DUMMYFUNCTION("""COMPUTED_VALUE"""),135.85)</f>
        <v>135.85</v>
      </c>
      <c r="F1221" s="1">
        <f>IFERROR(__xludf.DUMMYFUNCTION("""COMPUTED_VALUE"""),1290176.0)</f>
        <v>1290176</v>
      </c>
    </row>
    <row r="1222">
      <c r="A1222" s="2">
        <f>IFERROR(__xludf.DUMMYFUNCTION("""COMPUTED_VALUE"""),38308.645833333336)</f>
        <v>38308.64583</v>
      </c>
      <c r="B1222" s="1">
        <f>IFERROR(__xludf.DUMMYFUNCTION("""COMPUTED_VALUE"""),136.1)</f>
        <v>136.1</v>
      </c>
      <c r="C1222" s="1">
        <f>IFERROR(__xludf.DUMMYFUNCTION("""COMPUTED_VALUE"""),136.4)</f>
        <v>136.4</v>
      </c>
      <c r="D1222" s="1">
        <f>IFERROR(__xludf.DUMMYFUNCTION("""COMPUTED_VALUE"""),135.05)</f>
        <v>135.05</v>
      </c>
      <c r="E1222" s="1">
        <f>IFERROR(__xludf.DUMMYFUNCTION("""COMPUTED_VALUE"""),135.35)</f>
        <v>135.35</v>
      </c>
      <c r="F1222" s="1">
        <f>IFERROR(__xludf.DUMMYFUNCTION("""COMPUTED_VALUE"""),1141622.0)</f>
        <v>1141622</v>
      </c>
    </row>
    <row r="1223">
      <c r="A1223" s="2">
        <f>IFERROR(__xludf.DUMMYFUNCTION("""COMPUTED_VALUE"""),38309.645833333336)</f>
        <v>38309.64583</v>
      </c>
      <c r="B1223" s="1">
        <f>IFERROR(__xludf.DUMMYFUNCTION("""COMPUTED_VALUE"""),136.0)</f>
        <v>136</v>
      </c>
      <c r="C1223" s="1">
        <f>IFERROR(__xludf.DUMMYFUNCTION("""COMPUTED_VALUE"""),136.0)</f>
        <v>136</v>
      </c>
      <c r="D1223" s="1">
        <f>IFERROR(__xludf.DUMMYFUNCTION("""COMPUTED_VALUE"""),133.25)</f>
        <v>133.25</v>
      </c>
      <c r="E1223" s="1">
        <f>IFERROR(__xludf.DUMMYFUNCTION("""COMPUTED_VALUE"""),134.5)</f>
        <v>134.5</v>
      </c>
      <c r="F1223" s="1">
        <f>IFERROR(__xludf.DUMMYFUNCTION("""COMPUTED_VALUE"""),1004154.0)</f>
        <v>1004154</v>
      </c>
    </row>
    <row r="1224">
      <c r="A1224" s="2">
        <f>IFERROR(__xludf.DUMMYFUNCTION("""COMPUTED_VALUE"""),38310.645833333336)</f>
        <v>38310.64583</v>
      </c>
      <c r="B1224" s="1">
        <f>IFERROR(__xludf.DUMMYFUNCTION("""COMPUTED_VALUE"""),133.6)</f>
        <v>133.6</v>
      </c>
      <c r="C1224" s="1">
        <f>IFERROR(__xludf.DUMMYFUNCTION("""COMPUTED_VALUE"""),135.0)</f>
        <v>135</v>
      </c>
      <c r="D1224" s="1">
        <f>IFERROR(__xludf.DUMMYFUNCTION("""COMPUTED_VALUE"""),132.65)</f>
        <v>132.65</v>
      </c>
      <c r="E1224" s="1">
        <f>IFERROR(__xludf.DUMMYFUNCTION("""COMPUTED_VALUE"""),132.95)</f>
        <v>132.95</v>
      </c>
      <c r="F1224" s="1">
        <f>IFERROR(__xludf.DUMMYFUNCTION("""COMPUTED_VALUE"""),1166163.0)</f>
        <v>1166163</v>
      </c>
    </row>
    <row r="1225">
      <c r="A1225" s="2">
        <f>IFERROR(__xludf.DUMMYFUNCTION("""COMPUTED_VALUE"""),38313.645833333336)</f>
        <v>38313.64583</v>
      </c>
      <c r="B1225" s="1">
        <f>IFERROR(__xludf.DUMMYFUNCTION("""COMPUTED_VALUE"""),132.5)</f>
        <v>132.5</v>
      </c>
      <c r="C1225" s="1">
        <f>IFERROR(__xludf.DUMMYFUNCTION("""COMPUTED_VALUE"""),132.95)</f>
        <v>132.95</v>
      </c>
      <c r="D1225" s="1">
        <f>IFERROR(__xludf.DUMMYFUNCTION("""COMPUTED_VALUE"""),130.65)</f>
        <v>130.65</v>
      </c>
      <c r="E1225" s="1">
        <f>IFERROR(__xludf.DUMMYFUNCTION("""COMPUTED_VALUE"""),132.05)</f>
        <v>132.05</v>
      </c>
      <c r="F1225" s="1">
        <f>IFERROR(__xludf.DUMMYFUNCTION("""COMPUTED_VALUE"""),1070540.0)</f>
        <v>1070540</v>
      </c>
    </row>
    <row r="1226">
      <c r="A1226" s="2">
        <f>IFERROR(__xludf.DUMMYFUNCTION("""COMPUTED_VALUE"""),38314.645833333336)</f>
        <v>38314.64583</v>
      </c>
      <c r="B1226" s="1">
        <f>IFERROR(__xludf.DUMMYFUNCTION("""COMPUTED_VALUE"""),132.5)</f>
        <v>132.5</v>
      </c>
      <c r="C1226" s="1">
        <f>IFERROR(__xludf.DUMMYFUNCTION("""COMPUTED_VALUE"""),132.5)</f>
        <v>132.5</v>
      </c>
      <c r="D1226" s="1">
        <f>IFERROR(__xludf.DUMMYFUNCTION("""COMPUTED_VALUE"""),129.3)</f>
        <v>129.3</v>
      </c>
      <c r="E1226" s="1">
        <f>IFERROR(__xludf.DUMMYFUNCTION("""COMPUTED_VALUE"""),130.2)</f>
        <v>130.2</v>
      </c>
      <c r="F1226" s="1">
        <f>IFERROR(__xludf.DUMMYFUNCTION("""COMPUTED_VALUE"""),3963639.0)</f>
        <v>3963639</v>
      </c>
    </row>
    <row r="1227">
      <c r="A1227" s="2">
        <f>IFERROR(__xludf.DUMMYFUNCTION("""COMPUTED_VALUE"""),38315.645833333336)</f>
        <v>38315.64583</v>
      </c>
      <c r="B1227" s="1">
        <f>IFERROR(__xludf.DUMMYFUNCTION("""COMPUTED_VALUE"""),130.95)</f>
        <v>130.95</v>
      </c>
      <c r="C1227" s="1">
        <f>IFERROR(__xludf.DUMMYFUNCTION("""COMPUTED_VALUE"""),134.4)</f>
        <v>134.4</v>
      </c>
      <c r="D1227" s="1">
        <f>IFERROR(__xludf.DUMMYFUNCTION("""COMPUTED_VALUE"""),129.75)</f>
        <v>129.75</v>
      </c>
      <c r="E1227" s="1">
        <f>IFERROR(__xludf.DUMMYFUNCTION("""COMPUTED_VALUE"""),133.1)</f>
        <v>133.1</v>
      </c>
      <c r="F1227" s="1">
        <f>IFERROR(__xludf.DUMMYFUNCTION("""COMPUTED_VALUE"""),2432275.0)</f>
        <v>2432275</v>
      </c>
    </row>
    <row r="1228">
      <c r="A1228" s="2">
        <f>IFERROR(__xludf.DUMMYFUNCTION("""COMPUTED_VALUE"""),38316.645833333336)</f>
        <v>38316.64583</v>
      </c>
      <c r="B1228" s="1">
        <f>IFERROR(__xludf.DUMMYFUNCTION("""COMPUTED_VALUE"""),133.05)</f>
        <v>133.05</v>
      </c>
      <c r="C1228" s="1">
        <f>IFERROR(__xludf.DUMMYFUNCTION("""COMPUTED_VALUE"""),137.9)</f>
        <v>137.9</v>
      </c>
      <c r="D1228" s="1">
        <f>IFERROR(__xludf.DUMMYFUNCTION("""COMPUTED_VALUE"""),133.05)</f>
        <v>133.05</v>
      </c>
      <c r="E1228" s="1">
        <f>IFERROR(__xludf.DUMMYFUNCTION("""COMPUTED_VALUE"""),135.95)</f>
        <v>135.95</v>
      </c>
      <c r="F1228" s="1">
        <f>IFERROR(__xludf.DUMMYFUNCTION("""COMPUTED_VALUE"""),3156981.0)</f>
        <v>3156981</v>
      </c>
    </row>
    <row r="1229">
      <c r="A1229" s="2">
        <f>IFERROR(__xludf.DUMMYFUNCTION("""COMPUTED_VALUE"""),38320.645833333336)</f>
        <v>38320.64583</v>
      </c>
      <c r="B1229" s="1">
        <f>IFERROR(__xludf.DUMMYFUNCTION("""COMPUTED_VALUE"""),137.8)</f>
        <v>137.8</v>
      </c>
      <c r="C1229" s="1">
        <f>IFERROR(__xludf.DUMMYFUNCTION("""COMPUTED_VALUE"""),141.95)</f>
        <v>141.95</v>
      </c>
      <c r="D1229" s="1">
        <f>IFERROR(__xludf.DUMMYFUNCTION("""COMPUTED_VALUE"""),136.6)</f>
        <v>136.6</v>
      </c>
      <c r="E1229" s="1">
        <f>IFERROR(__xludf.DUMMYFUNCTION("""COMPUTED_VALUE"""),140.45)</f>
        <v>140.45</v>
      </c>
      <c r="F1229" s="1">
        <f>IFERROR(__xludf.DUMMYFUNCTION("""COMPUTED_VALUE"""),2455046.0)</f>
        <v>2455046</v>
      </c>
    </row>
    <row r="1230">
      <c r="A1230" s="2">
        <f>IFERROR(__xludf.DUMMYFUNCTION("""COMPUTED_VALUE"""),38321.645833333336)</f>
        <v>38321.64583</v>
      </c>
      <c r="B1230" s="1">
        <f>IFERROR(__xludf.DUMMYFUNCTION("""COMPUTED_VALUE"""),141.85)</f>
        <v>141.85</v>
      </c>
      <c r="C1230" s="1">
        <f>IFERROR(__xludf.DUMMYFUNCTION("""COMPUTED_VALUE"""),145.1)</f>
        <v>145.1</v>
      </c>
      <c r="D1230" s="1">
        <f>IFERROR(__xludf.DUMMYFUNCTION("""COMPUTED_VALUE"""),139.55)</f>
        <v>139.55</v>
      </c>
      <c r="E1230" s="1">
        <f>IFERROR(__xludf.DUMMYFUNCTION("""COMPUTED_VALUE"""),144.6)</f>
        <v>144.6</v>
      </c>
      <c r="F1230" s="1">
        <f>IFERROR(__xludf.DUMMYFUNCTION("""COMPUTED_VALUE"""),3157838.0)</f>
        <v>3157838</v>
      </c>
    </row>
    <row r="1231">
      <c r="A1231" s="2">
        <f>IFERROR(__xludf.DUMMYFUNCTION("""COMPUTED_VALUE"""),38322.645833333336)</f>
        <v>38322.64583</v>
      </c>
      <c r="B1231" s="1">
        <f>IFERROR(__xludf.DUMMYFUNCTION("""COMPUTED_VALUE"""),145.0)</f>
        <v>145</v>
      </c>
      <c r="C1231" s="1">
        <f>IFERROR(__xludf.DUMMYFUNCTION("""COMPUTED_VALUE"""),145.0)</f>
        <v>145</v>
      </c>
      <c r="D1231" s="1">
        <f>IFERROR(__xludf.DUMMYFUNCTION("""COMPUTED_VALUE"""),141.2)</f>
        <v>141.2</v>
      </c>
      <c r="E1231" s="1">
        <f>IFERROR(__xludf.DUMMYFUNCTION("""COMPUTED_VALUE"""),142.85)</f>
        <v>142.85</v>
      </c>
      <c r="F1231" s="1">
        <f>IFERROR(__xludf.DUMMYFUNCTION("""COMPUTED_VALUE"""),1939198.0)</f>
        <v>1939198</v>
      </c>
    </row>
    <row r="1232">
      <c r="A1232" s="2">
        <f>IFERROR(__xludf.DUMMYFUNCTION("""COMPUTED_VALUE"""),38323.645833333336)</f>
        <v>38323.64583</v>
      </c>
      <c r="B1232" s="1">
        <f>IFERROR(__xludf.DUMMYFUNCTION("""COMPUTED_VALUE"""),143.8)</f>
        <v>143.8</v>
      </c>
      <c r="C1232" s="1">
        <f>IFERROR(__xludf.DUMMYFUNCTION("""COMPUTED_VALUE"""),144.95)</f>
        <v>144.95</v>
      </c>
      <c r="D1232" s="1">
        <f>IFERROR(__xludf.DUMMYFUNCTION("""COMPUTED_VALUE"""),142.0)</f>
        <v>142</v>
      </c>
      <c r="E1232" s="1">
        <f>IFERROR(__xludf.DUMMYFUNCTION("""COMPUTED_VALUE"""),144.45)</f>
        <v>144.45</v>
      </c>
      <c r="F1232" s="1">
        <f>IFERROR(__xludf.DUMMYFUNCTION("""COMPUTED_VALUE"""),2064062.0)</f>
        <v>2064062</v>
      </c>
    </row>
    <row r="1233">
      <c r="A1233" s="2">
        <f>IFERROR(__xludf.DUMMYFUNCTION("""COMPUTED_VALUE"""),38324.645833333336)</f>
        <v>38324.64583</v>
      </c>
      <c r="B1233" s="1">
        <f>IFERROR(__xludf.DUMMYFUNCTION("""COMPUTED_VALUE"""),144.2)</f>
        <v>144.2</v>
      </c>
      <c r="C1233" s="1">
        <f>IFERROR(__xludf.DUMMYFUNCTION("""COMPUTED_VALUE"""),145.7)</f>
        <v>145.7</v>
      </c>
      <c r="D1233" s="1">
        <f>IFERROR(__xludf.DUMMYFUNCTION("""COMPUTED_VALUE"""),141.75)</f>
        <v>141.75</v>
      </c>
      <c r="E1233" s="1">
        <f>IFERROR(__xludf.DUMMYFUNCTION("""COMPUTED_VALUE"""),144.65)</f>
        <v>144.65</v>
      </c>
      <c r="F1233" s="1">
        <f>IFERROR(__xludf.DUMMYFUNCTION("""COMPUTED_VALUE"""),2670765.0)</f>
        <v>2670765</v>
      </c>
    </row>
    <row r="1234">
      <c r="A1234" s="2">
        <f>IFERROR(__xludf.DUMMYFUNCTION("""COMPUTED_VALUE"""),38327.645833333336)</f>
        <v>38327.64583</v>
      </c>
      <c r="B1234" s="1">
        <f>IFERROR(__xludf.DUMMYFUNCTION("""COMPUTED_VALUE"""),144.0)</f>
        <v>144</v>
      </c>
      <c r="C1234" s="1">
        <f>IFERROR(__xludf.DUMMYFUNCTION("""COMPUTED_VALUE"""),151.7)</f>
        <v>151.7</v>
      </c>
      <c r="D1234" s="1">
        <f>IFERROR(__xludf.DUMMYFUNCTION("""COMPUTED_VALUE"""),143.65)</f>
        <v>143.65</v>
      </c>
      <c r="E1234" s="1">
        <f>IFERROR(__xludf.DUMMYFUNCTION("""COMPUTED_VALUE"""),150.8)</f>
        <v>150.8</v>
      </c>
      <c r="F1234" s="1">
        <f>IFERROR(__xludf.DUMMYFUNCTION("""COMPUTED_VALUE"""),4808808.0)</f>
        <v>4808808</v>
      </c>
    </row>
    <row r="1235">
      <c r="A1235" s="2">
        <f>IFERROR(__xludf.DUMMYFUNCTION("""COMPUTED_VALUE"""),38328.645833333336)</f>
        <v>38328.64583</v>
      </c>
      <c r="B1235" s="1">
        <f>IFERROR(__xludf.DUMMYFUNCTION("""COMPUTED_VALUE"""),151.0)</f>
        <v>151</v>
      </c>
      <c r="C1235" s="1">
        <f>IFERROR(__xludf.DUMMYFUNCTION("""COMPUTED_VALUE"""),154.9)</f>
        <v>154.9</v>
      </c>
      <c r="D1235" s="1">
        <f>IFERROR(__xludf.DUMMYFUNCTION("""COMPUTED_VALUE"""),150.25)</f>
        <v>150.25</v>
      </c>
      <c r="E1235" s="1">
        <f>IFERROR(__xludf.DUMMYFUNCTION("""COMPUTED_VALUE"""),154.15)</f>
        <v>154.15</v>
      </c>
      <c r="F1235" s="1">
        <f>IFERROR(__xludf.DUMMYFUNCTION("""COMPUTED_VALUE"""),3962304.0)</f>
        <v>3962304</v>
      </c>
    </row>
    <row r="1236">
      <c r="A1236" s="2">
        <f>IFERROR(__xludf.DUMMYFUNCTION("""COMPUTED_VALUE"""),38329.645833333336)</f>
        <v>38329.64583</v>
      </c>
      <c r="B1236" s="1">
        <f>IFERROR(__xludf.DUMMYFUNCTION("""COMPUTED_VALUE"""),153.0)</f>
        <v>153</v>
      </c>
      <c r="C1236" s="1">
        <f>IFERROR(__xludf.DUMMYFUNCTION("""COMPUTED_VALUE"""),154.0)</f>
        <v>154</v>
      </c>
      <c r="D1236" s="1">
        <f>IFERROR(__xludf.DUMMYFUNCTION("""COMPUTED_VALUE"""),151.0)</f>
        <v>151</v>
      </c>
      <c r="E1236" s="1">
        <f>IFERROR(__xludf.DUMMYFUNCTION("""COMPUTED_VALUE"""),151.85)</f>
        <v>151.85</v>
      </c>
      <c r="F1236" s="1">
        <f>IFERROR(__xludf.DUMMYFUNCTION("""COMPUTED_VALUE"""),1866646.0)</f>
        <v>1866646</v>
      </c>
    </row>
    <row r="1237">
      <c r="A1237" s="2">
        <f>IFERROR(__xludf.DUMMYFUNCTION("""COMPUTED_VALUE"""),38330.645833333336)</f>
        <v>38330.64583</v>
      </c>
      <c r="B1237" s="1">
        <f>IFERROR(__xludf.DUMMYFUNCTION("""COMPUTED_VALUE"""),150.7)</f>
        <v>150.7</v>
      </c>
      <c r="C1237" s="1">
        <f>IFERROR(__xludf.DUMMYFUNCTION("""COMPUTED_VALUE"""),150.7)</f>
        <v>150.7</v>
      </c>
      <c r="D1237" s="1">
        <f>IFERROR(__xludf.DUMMYFUNCTION("""COMPUTED_VALUE"""),145.0)</f>
        <v>145</v>
      </c>
      <c r="E1237" s="1">
        <f>IFERROR(__xludf.DUMMYFUNCTION("""COMPUTED_VALUE"""),145.95)</f>
        <v>145.95</v>
      </c>
      <c r="F1237" s="1">
        <f>IFERROR(__xludf.DUMMYFUNCTION("""COMPUTED_VALUE"""),4278297.0)</f>
        <v>4278297</v>
      </c>
    </row>
    <row r="1238">
      <c r="A1238" s="2">
        <f>IFERROR(__xludf.DUMMYFUNCTION("""COMPUTED_VALUE"""),38331.645833333336)</f>
        <v>38331.64583</v>
      </c>
      <c r="B1238" s="1">
        <f>IFERROR(__xludf.DUMMYFUNCTION("""COMPUTED_VALUE"""),146.95)</f>
        <v>146.95</v>
      </c>
      <c r="C1238" s="1">
        <f>IFERROR(__xludf.DUMMYFUNCTION("""COMPUTED_VALUE"""),148.4)</f>
        <v>148.4</v>
      </c>
      <c r="D1238" s="1">
        <f>IFERROR(__xludf.DUMMYFUNCTION("""COMPUTED_VALUE"""),144.55)</f>
        <v>144.55</v>
      </c>
      <c r="E1238" s="1">
        <f>IFERROR(__xludf.DUMMYFUNCTION("""COMPUTED_VALUE"""),145.0)</f>
        <v>145</v>
      </c>
      <c r="F1238" s="1">
        <f>IFERROR(__xludf.DUMMYFUNCTION("""COMPUTED_VALUE"""),1250423.0)</f>
        <v>1250423</v>
      </c>
    </row>
    <row r="1239">
      <c r="A1239" s="2">
        <f>IFERROR(__xludf.DUMMYFUNCTION("""COMPUTED_VALUE"""),38334.645833333336)</f>
        <v>38334.64583</v>
      </c>
      <c r="B1239" s="1">
        <f>IFERROR(__xludf.DUMMYFUNCTION("""COMPUTED_VALUE"""),145.0)</f>
        <v>145</v>
      </c>
      <c r="C1239" s="1">
        <f>IFERROR(__xludf.DUMMYFUNCTION("""COMPUTED_VALUE"""),145.4)</f>
        <v>145.4</v>
      </c>
      <c r="D1239" s="1">
        <f>IFERROR(__xludf.DUMMYFUNCTION("""COMPUTED_VALUE"""),143.1)</f>
        <v>143.1</v>
      </c>
      <c r="E1239" s="1">
        <f>IFERROR(__xludf.DUMMYFUNCTION("""COMPUTED_VALUE"""),143.95)</f>
        <v>143.95</v>
      </c>
      <c r="F1239" s="1">
        <f>IFERROR(__xludf.DUMMYFUNCTION("""COMPUTED_VALUE"""),1268749.0)</f>
        <v>1268749</v>
      </c>
    </row>
    <row r="1240">
      <c r="A1240" s="2">
        <f>IFERROR(__xludf.DUMMYFUNCTION("""COMPUTED_VALUE"""),38335.645833333336)</f>
        <v>38335.64583</v>
      </c>
      <c r="B1240" s="1">
        <f>IFERROR(__xludf.DUMMYFUNCTION("""COMPUTED_VALUE"""),145.0)</f>
        <v>145</v>
      </c>
      <c r="C1240" s="1">
        <f>IFERROR(__xludf.DUMMYFUNCTION("""COMPUTED_VALUE"""),145.0)</f>
        <v>145</v>
      </c>
      <c r="D1240" s="1">
        <f>IFERROR(__xludf.DUMMYFUNCTION("""COMPUTED_VALUE"""),143.4)</f>
        <v>143.4</v>
      </c>
      <c r="E1240" s="1">
        <f>IFERROR(__xludf.DUMMYFUNCTION("""COMPUTED_VALUE"""),144.65)</f>
        <v>144.65</v>
      </c>
      <c r="F1240" s="1">
        <f>IFERROR(__xludf.DUMMYFUNCTION("""COMPUTED_VALUE"""),1052862.0)</f>
        <v>1052862</v>
      </c>
    </row>
    <row r="1241">
      <c r="A1241" s="2">
        <f>IFERROR(__xludf.DUMMYFUNCTION("""COMPUTED_VALUE"""),38336.645833333336)</f>
        <v>38336.64583</v>
      </c>
      <c r="B1241" s="1">
        <f>IFERROR(__xludf.DUMMYFUNCTION("""COMPUTED_VALUE"""),147.65)</f>
        <v>147.65</v>
      </c>
      <c r="C1241" s="1">
        <f>IFERROR(__xludf.DUMMYFUNCTION("""COMPUTED_VALUE"""),149.5)</f>
        <v>149.5</v>
      </c>
      <c r="D1241" s="1">
        <f>IFERROR(__xludf.DUMMYFUNCTION("""COMPUTED_VALUE"""),146.2)</f>
        <v>146.2</v>
      </c>
      <c r="E1241" s="1">
        <f>IFERROR(__xludf.DUMMYFUNCTION("""COMPUTED_VALUE"""),148.4)</f>
        <v>148.4</v>
      </c>
      <c r="F1241" s="1">
        <f>IFERROR(__xludf.DUMMYFUNCTION("""COMPUTED_VALUE"""),2437981.0)</f>
        <v>2437981</v>
      </c>
    </row>
    <row r="1242">
      <c r="A1242" s="2">
        <f>IFERROR(__xludf.DUMMYFUNCTION("""COMPUTED_VALUE"""),38337.645833333336)</f>
        <v>38337.64583</v>
      </c>
      <c r="B1242" s="1">
        <f>IFERROR(__xludf.DUMMYFUNCTION("""COMPUTED_VALUE"""),149.0)</f>
        <v>149</v>
      </c>
      <c r="C1242" s="1">
        <f>IFERROR(__xludf.DUMMYFUNCTION("""COMPUTED_VALUE"""),150.0)</f>
        <v>150</v>
      </c>
      <c r="D1242" s="1">
        <f>IFERROR(__xludf.DUMMYFUNCTION("""COMPUTED_VALUE"""),148.15)</f>
        <v>148.15</v>
      </c>
      <c r="E1242" s="1">
        <f>IFERROR(__xludf.DUMMYFUNCTION("""COMPUTED_VALUE"""),149.7)</f>
        <v>149.7</v>
      </c>
      <c r="F1242" s="1">
        <f>IFERROR(__xludf.DUMMYFUNCTION("""COMPUTED_VALUE"""),1991148.0)</f>
        <v>1991148</v>
      </c>
    </row>
    <row r="1243">
      <c r="A1243" s="2">
        <f>IFERROR(__xludf.DUMMYFUNCTION("""COMPUTED_VALUE"""),38338.645833333336)</f>
        <v>38338.64583</v>
      </c>
      <c r="B1243" s="1">
        <f>IFERROR(__xludf.DUMMYFUNCTION("""COMPUTED_VALUE"""),150.9)</f>
        <v>150.9</v>
      </c>
      <c r="C1243" s="1">
        <f>IFERROR(__xludf.DUMMYFUNCTION("""COMPUTED_VALUE"""),150.9)</f>
        <v>150.9</v>
      </c>
      <c r="D1243" s="1">
        <f>IFERROR(__xludf.DUMMYFUNCTION("""COMPUTED_VALUE"""),148.0)</f>
        <v>148</v>
      </c>
      <c r="E1243" s="1">
        <f>IFERROR(__xludf.DUMMYFUNCTION("""COMPUTED_VALUE"""),148.8)</f>
        <v>148.8</v>
      </c>
      <c r="F1243" s="1">
        <f>IFERROR(__xludf.DUMMYFUNCTION("""COMPUTED_VALUE"""),930429.0)</f>
        <v>930429</v>
      </c>
    </row>
    <row r="1244">
      <c r="A1244" s="2">
        <f>IFERROR(__xludf.DUMMYFUNCTION("""COMPUTED_VALUE"""),38341.645833333336)</f>
        <v>38341.64583</v>
      </c>
      <c r="B1244" s="1">
        <f>IFERROR(__xludf.DUMMYFUNCTION("""COMPUTED_VALUE"""),148.0)</f>
        <v>148</v>
      </c>
      <c r="C1244" s="1">
        <f>IFERROR(__xludf.DUMMYFUNCTION("""COMPUTED_VALUE"""),149.0)</f>
        <v>149</v>
      </c>
      <c r="D1244" s="1">
        <f>IFERROR(__xludf.DUMMYFUNCTION("""COMPUTED_VALUE"""),147.0)</f>
        <v>147</v>
      </c>
      <c r="E1244" s="1">
        <f>IFERROR(__xludf.DUMMYFUNCTION("""COMPUTED_VALUE"""),148.2)</f>
        <v>148.2</v>
      </c>
      <c r="F1244" s="1">
        <f>IFERROR(__xludf.DUMMYFUNCTION("""COMPUTED_VALUE"""),921726.0)</f>
        <v>921726</v>
      </c>
    </row>
    <row r="1245">
      <c r="A1245" s="2">
        <f>IFERROR(__xludf.DUMMYFUNCTION("""COMPUTED_VALUE"""),38342.645833333336)</f>
        <v>38342.64583</v>
      </c>
      <c r="B1245" s="1">
        <f>IFERROR(__xludf.DUMMYFUNCTION("""COMPUTED_VALUE"""),148.25)</f>
        <v>148.25</v>
      </c>
      <c r="C1245" s="1">
        <f>IFERROR(__xludf.DUMMYFUNCTION("""COMPUTED_VALUE"""),148.3)</f>
        <v>148.3</v>
      </c>
      <c r="D1245" s="1">
        <f>IFERROR(__xludf.DUMMYFUNCTION("""COMPUTED_VALUE"""),143.25)</f>
        <v>143.25</v>
      </c>
      <c r="E1245" s="1">
        <f>IFERROR(__xludf.DUMMYFUNCTION("""COMPUTED_VALUE"""),144.7)</f>
        <v>144.7</v>
      </c>
      <c r="F1245" s="1">
        <f>IFERROR(__xludf.DUMMYFUNCTION("""COMPUTED_VALUE"""),2163440.0)</f>
        <v>2163440</v>
      </c>
    </row>
    <row r="1246">
      <c r="A1246" s="2">
        <f>IFERROR(__xludf.DUMMYFUNCTION("""COMPUTED_VALUE"""),38343.645833333336)</f>
        <v>38343.64583</v>
      </c>
      <c r="B1246" s="1">
        <f>IFERROR(__xludf.DUMMYFUNCTION("""COMPUTED_VALUE"""),145.0)</f>
        <v>145</v>
      </c>
      <c r="C1246" s="1">
        <f>IFERROR(__xludf.DUMMYFUNCTION("""COMPUTED_VALUE"""),145.75)</f>
        <v>145.75</v>
      </c>
      <c r="D1246" s="1">
        <f>IFERROR(__xludf.DUMMYFUNCTION("""COMPUTED_VALUE"""),143.0)</f>
        <v>143</v>
      </c>
      <c r="E1246" s="1">
        <f>IFERROR(__xludf.DUMMYFUNCTION("""COMPUTED_VALUE"""),143.55)</f>
        <v>143.55</v>
      </c>
      <c r="F1246" s="1">
        <f>IFERROR(__xludf.DUMMYFUNCTION("""COMPUTED_VALUE"""),2236323.0)</f>
        <v>2236323</v>
      </c>
    </row>
    <row r="1247">
      <c r="A1247" s="2">
        <f>IFERROR(__xludf.DUMMYFUNCTION("""COMPUTED_VALUE"""),38344.645833333336)</f>
        <v>38344.64583</v>
      </c>
      <c r="B1247" s="1">
        <f>IFERROR(__xludf.DUMMYFUNCTION("""COMPUTED_VALUE"""),144.0)</f>
        <v>144</v>
      </c>
      <c r="C1247" s="1">
        <f>IFERROR(__xludf.DUMMYFUNCTION("""COMPUTED_VALUE"""),145.8)</f>
        <v>145.8</v>
      </c>
      <c r="D1247" s="1">
        <f>IFERROR(__xludf.DUMMYFUNCTION("""COMPUTED_VALUE"""),143.5)</f>
        <v>143.5</v>
      </c>
      <c r="E1247" s="1">
        <f>IFERROR(__xludf.DUMMYFUNCTION("""COMPUTED_VALUE"""),145.0)</f>
        <v>145</v>
      </c>
      <c r="F1247" s="1">
        <f>IFERROR(__xludf.DUMMYFUNCTION("""COMPUTED_VALUE"""),2028746.0)</f>
        <v>2028746</v>
      </c>
    </row>
    <row r="1248">
      <c r="A1248" s="2">
        <f>IFERROR(__xludf.DUMMYFUNCTION("""COMPUTED_VALUE"""),38345.645833333336)</f>
        <v>38345.64583</v>
      </c>
      <c r="B1248" s="1">
        <f>IFERROR(__xludf.DUMMYFUNCTION("""COMPUTED_VALUE"""),145.25)</f>
        <v>145.25</v>
      </c>
      <c r="C1248" s="1">
        <f>IFERROR(__xludf.DUMMYFUNCTION("""COMPUTED_VALUE"""),145.25)</f>
        <v>145.25</v>
      </c>
      <c r="D1248" s="1">
        <f>IFERROR(__xludf.DUMMYFUNCTION("""COMPUTED_VALUE"""),143.1)</f>
        <v>143.1</v>
      </c>
      <c r="E1248" s="1">
        <f>IFERROR(__xludf.DUMMYFUNCTION("""COMPUTED_VALUE"""),144.25)</f>
        <v>144.25</v>
      </c>
      <c r="F1248" s="1">
        <f>IFERROR(__xludf.DUMMYFUNCTION("""COMPUTED_VALUE"""),975712.0)</f>
        <v>975712</v>
      </c>
    </row>
    <row r="1249">
      <c r="A1249" s="2">
        <f>IFERROR(__xludf.DUMMYFUNCTION("""COMPUTED_VALUE"""),38348.645833333336)</f>
        <v>38348.64583</v>
      </c>
      <c r="B1249" s="1">
        <f>IFERROR(__xludf.DUMMYFUNCTION("""COMPUTED_VALUE"""),143.0)</f>
        <v>143</v>
      </c>
      <c r="C1249" s="1">
        <f>IFERROR(__xludf.DUMMYFUNCTION("""COMPUTED_VALUE"""),145.45)</f>
        <v>145.45</v>
      </c>
      <c r="D1249" s="1">
        <f>IFERROR(__xludf.DUMMYFUNCTION("""COMPUTED_VALUE"""),142.0)</f>
        <v>142</v>
      </c>
      <c r="E1249" s="1">
        <f>IFERROR(__xludf.DUMMYFUNCTION("""COMPUTED_VALUE"""),144.95)</f>
        <v>144.95</v>
      </c>
      <c r="F1249" s="1">
        <f>IFERROR(__xludf.DUMMYFUNCTION("""COMPUTED_VALUE"""),1224077.0)</f>
        <v>1224077</v>
      </c>
    </row>
    <row r="1250">
      <c r="A1250" s="2">
        <f>IFERROR(__xludf.DUMMYFUNCTION("""COMPUTED_VALUE"""),38349.645833333336)</f>
        <v>38349.64583</v>
      </c>
      <c r="B1250" s="1">
        <f>IFERROR(__xludf.DUMMYFUNCTION("""COMPUTED_VALUE"""),144.2)</f>
        <v>144.2</v>
      </c>
      <c r="C1250" s="1">
        <f>IFERROR(__xludf.DUMMYFUNCTION("""COMPUTED_VALUE"""),145.6)</f>
        <v>145.6</v>
      </c>
      <c r="D1250" s="1">
        <f>IFERROR(__xludf.DUMMYFUNCTION("""COMPUTED_VALUE"""),143.65)</f>
        <v>143.65</v>
      </c>
      <c r="E1250" s="1">
        <f>IFERROR(__xludf.DUMMYFUNCTION("""COMPUTED_VALUE"""),144.05)</f>
        <v>144.05</v>
      </c>
      <c r="F1250" s="1">
        <f>IFERROR(__xludf.DUMMYFUNCTION("""COMPUTED_VALUE"""),997545.0)</f>
        <v>997545</v>
      </c>
    </row>
    <row r="1251">
      <c r="A1251" s="2">
        <f>IFERROR(__xludf.DUMMYFUNCTION("""COMPUTED_VALUE"""),38350.645833333336)</f>
        <v>38350.64583</v>
      </c>
      <c r="B1251" s="1">
        <f>IFERROR(__xludf.DUMMYFUNCTION("""COMPUTED_VALUE"""),145.0)</f>
        <v>145</v>
      </c>
      <c r="C1251" s="1">
        <f>IFERROR(__xludf.DUMMYFUNCTION("""COMPUTED_VALUE"""),145.0)</f>
        <v>145</v>
      </c>
      <c r="D1251" s="1">
        <f>IFERROR(__xludf.DUMMYFUNCTION("""COMPUTED_VALUE"""),142.5)</f>
        <v>142.5</v>
      </c>
      <c r="E1251" s="1">
        <f>IFERROR(__xludf.DUMMYFUNCTION("""COMPUTED_VALUE"""),144.8)</f>
        <v>144.8</v>
      </c>
      <c r="F1251" s="1">
        <f>IFERROR(__xludf.DUMMYFUNCTION("""COMPUTED_VALUE"""),1108908.0)</f>
        <v>1108908</v>
      </c>
    </row>
    <row r="1252">
      <c r="A1252" s="2">
        <f>IFERROR(__xludf.DUMMYFUNCTION("""COMPUTED_VALUE"""),38351.645833333336)</f>
        <v>38351.64583</v>
      </c>
      <c r="B1252" s="1">
        <f>IFERROR(__xludf.DUMMYFUNCTION("""COMPUTED_VALUE"""),145.0)</f>
        <v>145</v>
      </c>
      <c r="C1252" s="1">
        <f>IFERROR(__xludf.DUMMYFUNCTION("""COMPUTED_VALUE"""),146.0)</f>
        <v>146</v>
      </c>
      <c r="D1252" s="1">
        <f>IFERROR(__xludf.DUMMYFUNCTION("""COMPUTED_VALUE"""),143.05)</f>
        <v>143.05</v>
      </c>
      <c r="E1252" s="1">
        <f>IFERROR(__xludf.DUMMYFUNCTION("""COMPUTED_VALUE"""),143.85)</f>
        <v>143.85</v>
      </c>
      <c r="F1252" s="1">
        <f>IFERROR(__xludf.DUMMYFUNCTION("""COMPUTED_VALUE"""),2032298.0)</f>
        <v>2032298</v>
      </c>
    </row>
    <row r="1253">
      <c r="A1253" s="2">
        <f>IFERROR(__xludf.DUMMYFUNCTION("""COMPUTED_VALUE"""),38352.645833333336)</f>
        <v>38352.64583</v>
      </c>
      <c r="B1253" s="1">
        <f>IFERROR(__xludf.DUMMYFUNCTION("""COMPUTED_VALUE"""),144.9)</f>
        <v>144.9</v>
      </c>
      <c r="C1253" s="1">
        <f>IFERROR(__xludf.DUMMYFUNCTION("""COMPUTED_VALUE"""),145.35)</f>
        <v>145.35</v>
      </c>
      <c r="D1253" s="1">
        <f>IFERROR(__xludf.DUMMYFUNCTION("""COMPUTED_VALUE"""),142.65)</f>
        <v>142.65</v>
      </c>
      <c r="E1253" s="1">
        <f>IFERROR(__xludf.DUMMYFUNCTION("""COMPUTED_VALUE"""),143.4)</f>
        <v>143.4</v>
      </c>
      <c r="F1253" s="1">
        <f>IFERROR(__xludf.DUMMYFUNCTION("""COMPUTED_VALUE"""),1212550.0)</f>
        <v>1212550</v>
      </c>
    </row>
    <row r="1254">
      <c r="A1254" s="2">
        <f>IFERROR(__xludf.DUMMYFUNCTION("""COMPUTED_VALUE"""),38355.645833333336)</f>
        <v>38355.64583</v>
      </c>
      <c r="B1254" s="1">
        <f>IFERROR(__xludf.DUMMYFUNCTION("""COMPUTED_VALUE"""),145.0)</f>
        <v>145</v>
      </c>
      <c r="C1254" s="1">
        <f>IFERROR(__xludf.DUMMYFUNCTION("""COMPUTED_VALUE"""),145.0)</f>
        <v>145</v>
      </c>
      <c r="D1254" s="1">
        <f>IFERROR(__xludf.DUMMYFUNCTION("""COMPUTED_VALUE"""),143.1)</f>
        <v>143.1</v>
      </c>
      <c r="E1254" s="1">
        <f>IFERROR(__xludf.DUMMYFUNCTION("""COMPUTED_VALUE"""),144.5)</f>
        <v>144.5</v>
      </c>
      <c r="F1254" s="1">
        <f>IFERROR(__xludf.DUMMYFUNCTION("""COMPUTED_VALUE"""),846383.0)</f>
        <v>846383</v>
      </c>
    </row>
    <row r="1255">
      <c r="A1255" s="2">
        <f>IFERROR(__xludf.DUMMYFUNCTION("""COMPUTED_VALUE"""),38356.645833333336)</f>
        <v>38356.64583</v>
      </c>
      <c r="B1255" s="1">
        <f>IFERROR(__xludf.DUMMYFUNCTION("""COMPUTED_VALUE"""),145.0)</f>
        <v>145</v>
      </c>
      <c r="C1255" s="1">
        <f>IFERROR(__xludf.DUMMYFUNCTION("""COMPUTED_VALUE"""),148.6)</f>
        <v>148.6</v>
      </c>
      <c r="D1255" s="1">
        <f>IFERROR(__xludf.DUMMYFUNCTION("""COMPUTED_VALUE"""),144.15)</f>
        <v>144.15</v>
      </c>
      <c r="E1255" s="1">
        <f>IFERROR(__xludf.DUMMYFUNCTION("""COMPUTED_VALUE"""),146.3)</f>
        <v>146.3</v>
      </c>
      <c r="F1255" s="1">
        <f>IFERROR(__xludf.DUMMYFUNCTION("""COMPUTED_VALUE"""),1777742.0)</f>
        <v>1777742</v>
      </c>
    </row>
    <row r="1256">
      <c r="A1256" s="2">
        <f>IFERROR(__xludf.DUMMYFUNCTION("""COMPUTED_VALUE"""),38357.645833333336)</f>
        <v>38357.64583</v>
      </c>
      <c r="B1256" s="1">
        <f>IFERROR(__xludf.DUMMYFUNCTION("""COMPUTED_VALUE"""),146.8)</f>
        <v>146.8</v>
      </c>
      <c r="C1256" s="1">
        <f>IFERROR(__xludf.DUMMYFUNCTION("""COMPUTED_VALUE"""),147.9)</f>
        <v>147.9</v>
      </c>
      <c r="D1256" s="1">
        <f>IFERROR(__xludf.DUMMYFUNCTION("""COMPUTED_VALUE"""),142.1)</f>
        <v>142.1</v>
      </c>
      <c r="E1256" s="1">
        <f>IFERROR(__xludf.DUMMYFUNCTION("""COMPUTED_VALUE"""),144.55)</f>
        <v>144.55</v>
      </c>
      <c r="F1256" s="1">
        <f>IFERROR(__xludf.DUMMYFUNCTION("""COMPUTED_VALUE"""),1335778.0)</f>
        <v>1335778</v>
      </c>
    </row>
    <row r="1257">
      <c r="A1257" s="2">
        <f>IFERROR(__xludf.DUMMYFUNCTION("""COMPUTED_VALUE"""),38358.645833333336)</f>
        <v>38358.64583</v>
      </c>
      <c r="B1257" s="1">
        <f>IFERROR(__xludf.DUMMYFUNCTION("""COMPUTED_VALUE"""),144.0)</f>
        <v>144</v>
      </c>
      <c r="C1257" s="1">
        <f>IFERROR(__xludf.DUMMYFUNCTION("""COMPUTED_VALUE"""),144.25)</f>
        <v>144.25</v>
      </c>
      <c r="D1257" s="1">
        <f>IFERROR(__xludf.DUMMYFUNCTION("""COMPUTED_VALUE"""),140.1)</f>
        <v>140.1</v>
      </c>
      <c r="E1257" s="1">
        <f>IFERROR(__xludf.DUMMYFUNCTION("""COMPUTED_VALUE"""),141.85)</f>
        <v>141.85</v>
      </c>
      <c r="F1257" s="1">
        <f>IFERROR(__xludf.DUMMYFUNCTION("""COMPUTED_VALUE"""),1693246.0)</f>
        <v>1693246</v>
      </c>
    </row>
    <row r="1258">
      <c r="A1258" s="2">
        <f>IFERROR(__xludf.DUMMYFUNCTION("""COMPUTED_VALUE"""),38359.645833333336)</f>
        <v>38359.64583</v>
      </c>
      <c r="B1258" s="1">
        <f>IFERROR(__xludf.DUMMYFUNCTION("""COMPUTED_VALUE"""),141.25)</f>
        <v>141.25</v>
      </c>
      <c r="C1258" s="1">
        <f>IFERROR(__xludf.DUMMYFUNCTION("""COMPUTED_VALUE"""),144.0)</f>
        <v>144</v>
      </c>
      <c r="D1258" s="1">
        <f>IFERROR(__xludf.DUMMYFUNCTION("""COMPUTED_VALUE"""),140.55)</f>
        <v>140.55</v>
      </c>
      <c r="E1258" s="1">
        <f>IFERROR(__xludf.DUMMYFUNCTION("""COMPUTED_VALUE"""),141.05)</f>
        <v>141.05</v>
      </c>
      <c r="F1258" s="1">
        <f>IFERROR(__xludf.DUMMYFUNCTION("""COMPUTED_VALUE"""),731186.0)</f>
        <v>731186</v>
      </c>
    </row>
    <row r="1259">
      <c r="A1259" s="2">
        <f>IFERROR(__xludf.DUMMYFUNCTION("""COMPUTED_VALUE"""),38362.645833333336)</f>
        <v>38362.64583</v>
      </c>
      <c r="B1259" s="1">
        <f>IFERROR(__xludf.DUMMYFUNCTION("""COMPUTED_VALUE"""),141.5)</f>
        <v>141.5</v>
      </c>
      <c r="C1259" s="1">
        <f>IFERROR(__xludf.DUMMYFUNCTION("""COMPUTED_VALUE"""),144.2)</f>
        <v>144.2</v>
      </c>
      <c r="D1259" s="1">
        <f>IFERROR(__xludf.DUMMYFUNCTION("""COMPUTED_VALUE"""),141.05)</f>
        <v>141.05</v>
      </c>
      <c r="E1259" s="1">
        <f>IFERROR(__xludf.DUMMYFUNCTION("""COMPUTED_VALUE"""),142.75)</f>
        <v>142.75</v>
      </c>
      <c r="F1259" s="1">
        <f>IFERROR(__xludf.DUMMYFUNCTION("""COMPUTED_VALUE"""),2032592.0)</f>
        <v>2032592</v>
      </c>
    </row>
    <row r="1260">
      <c r="A1260" s="2">
        <f>IFERROR(__xludf.DUMMYFUNCTION("""COMPUTED_VALUE"""),38363.645833333336)</f>
        <v>38363.64583</v>
      </c>
      <c r="B1260" s="1">
        <f>IFERROR(__xludf.DUMMYFUNCTION("""COMPUTED_VALUE"""),142.5)</f>
        <v>142.5</v>
      </c>
      <c r="C1260" s="1">
        <f>IFERROR(__xludf.DUMMYFUNCTION("""COMPUTED_VALUE"""),143.75)</f>
        <v>143.75</v>
      </c>
      <c r="D1260" s="1">
        <f>IFERROR(__xludf.DUMMYFUNCTION("""COMPUTED_VALUE"""),140.5)</f>
        <v>140.5</v>
      </c>
      <c r="E1260" s="1">
        <f>IFERROR(__xludf.DUMMYFUNCTION("""COMPUTED_VALUE"""),141.15)</f>
        <v>141.15</v>
      </c>
      <c r="F1260" s="1">
        <f>IFERROR(__xludf.DUMMYFUNCTION("""COMPUTED_VALUE"""),1058761.0)</f>
        <v>1058761</v>
      </c>
    </row>
    <row r="1261">
      <c r="A1261" s="2">
        <f>IFERROR(__xludf.DUMMYFUNCTION("""COMPUTED_VALUE"""),38364.645833333336)</f>
        <v>38364.64583</v>
      </c>
      <c r="B1261" s="1">
        <f>IFERROR(__xludf.DUMMYFUNCTION("""COMPUTED_VALUE"""),141.15)</f>
        <v>141.15</v>
      </c>
      <c r="C1261" s="1">
        <f>IFERROR(__xludf.DUMMYFUNCTION("""COMPUTED_VALUE"""),142.7)</f>
        <v>142.7</v>
      </c>
      <c r="D1261" s="1">
        <f>IFERROR(__xludf.DUMMYFUNCTION("""COMPUTED_VALUE"""),136.1)</f>
        <v>136.1</v>
      </c>
      <c r="E1261" s="1">
        <f>IFERROR(__xludf.DUMMYFUNCTION("""COMPUTED_VALUE"""),139.4)</f>
        <v>139.4</v>
      </c>
      <c r="F1261" s="1">
        <f>IFERROR(__xludf.DUMMYFUNCTION("""COMPUTED_VALUE"""),2418238.0)</f>
        <v>2418238</v>
      </c>
    </row>
    <row r="1262">
      <c r="A1262" s="2">
        <f>IFERROR(__xludf.DUMMYFUNCTION("""COMPUTED_VALUE"""),38365.645833333336)</f>
        <v>38365.64583</v>
      </c>
      <c r="B1262" s="1">
        <f>IFERROR(__xludf.DUMMYFUNCTION("""COMPUTED_VALUE"""),139.95)</f>
        <v>139.95</v>
      </c>
      <c r="C1262" s="1">
        <f>IFERROR(__xludf.DUMMYFUNCTION("""COMPUTED_VALUE"""),141.0)</f>
        <v>141</v>
      </c>
      <c r="D1262" s="1">
        <f>IFERROR(__xludf.DUMMYFUNCTION("""COMPUTED_VALUE"""),138.0)</f>
        <v>138</v>
      </c>
      <c r="E1262" s="1">
        <f>IFERROR(__xludf.DUMMYFUNCTION("""COMPUTED_VALUE"""),140.05)</f>
        <v>140.05</v>
      </c>
      <c r="F1262" s="1">
        <f>IFERROR(__xludf.DUMMYFUNCTION("""COMPUTED_VALUE"""),1213667.0)</f>
        <v>1213667</v>
      </c>
    </row>
    <row r="1263">
      <c r="A1263" s="2">
        <f>IFERROR(__xludf.DUMMYFUNCTION("""COMPUTED_VALUE"""),38366.645833333336)</f>
        <v>38366.64583</v>
      </c>
      <c r="B1263" s="1">
        <f>IFERROR(__xludf.DUMMYFUNCTION("""COMPUTED_VALUE"""),140.5)</f>
        <v>140.5</v>
      </c>
      <c r="C1263" s="1">
        <f>IFERROR(__xludf.DUMMYFUNCTION("""COMPUTED_VALUE"""),141.3)</f>
        <v>141.3</v>
      </c>
      <c r="D1263" s="1">
        <f>IFERROR(__xludf.DUMMYFUNCTION("""COMPUTED_VALUE"""),138.6)</f>
        <v>138.6</v>
      </c>
      <c r="E1263" s="1">
        <f>IFERROR(__xludf.DUMMYFUNCTION("""COMPUTED_VALUE"""),140.15)</f>
        <v>140.15</v>
      </c>
      <c r="F1263" s="1">
        <f>IFERROR(__xludf.DUMMYFUNCTION("""COMPUTED_VALUE"""),1193545.0)</f>
        <v>1193545</v>
      </c>
    </row>
    <row r="1264">
      <c r="A1264" s="2">
        <f>IFERROR(__xludf.DUMMYFUNCTION("""COMPUTED_VALUE"""),38369.645833333336)</f>
        <v>38369.64583</v>
      </c>
      <c r="B1264" s="1">
        <f>IFERROR(__xludf.DUMMYFUNCTION("""COMPUTED_VALUE"""),139.9)</f>
        <v>139.9</v>
      </c>
      <c r="C1264" s="1">
        <f>IFERROR(__xludf.DUMMYFUNCTION("""COMPUTED_VALUE"""),143.55)</f>
        <v>143.55</v>
      </c>
      <c r="D1264" s="1">
        <f>IFERROR(__xludf.DUMMYFUNCTION("""COMPUTED_VALUE"""),138.55)</f>
        <v>138.55</v>
      </c>
      <c r="E1264" s="1">
        <f>IFERROR(__xludf.DUMMYFUNCTION("""COMPUTED_VALUE"""),140.25)</f>
        <v>140.25</v>
      </c>
      <c r="F1264" s="1">
        <f>IFERROR(__xludf.DUMMYFUNCTION("""COMPUTED_VALUE"""),4639274.0)</f>
        <v>4639274</v>
      </c>
    </row>
    <row r="1265">
      <c r="A1265" s="2">
        <f>IFERROR(__xludf.DUMMYFUNCTION("""COMPUTED_VALUE"""),38370.645833333336)</f>
        <v>38370.64583</v>
      </c>
      <c r="B1265" s="1">
        <f>IFERROR(__xludf.DUMMYFUNCTION("""COMPUTED_VALUE"""),141.5)</f>
        <v>141.5</v>
      </c>
      <c r="C1265" s="1">
        <f>IFERROR(__xludf.DUMMYFUNCTION("""COMPUTED_VALUE"""),143.9)</f>
        <v>143.9</v>
      </c>
      <c r="D1265" s="1">
        <f>IFERROR(__xludf.DUMMYFUNCTION("""COMPUTED_VALUE"""),140.05)</f>
        <v>140.05</v>
      </c>
      <c r="E1265" s="1">
        <f>IFERROR(__xludf.DUMMYFUNCTION("""COMPUTED_VALUE"""),142.6)</f>
        <v>142.6</v>
      </c>
      <c r="F1265" s="1">
        <f>IFERROR(__xludf.DUMMYFUNCTION("""COMPUTED_VALUE"""),2081319.0)</f>
        <v>2081319</v>
      </c>
    </row>
    <row r="1266">
      <c r="A1266" s="2">
        <f>IFERROR(__xludf.DUMMYFUNCTION("""COMPUTED_VALUE"""),38371.645833333336)</f>
        <v>38371.64583</v>
      </c>
      <c r="B1266" s="1">
        <f>IFERROR(__xludf.DUMMYFUNCTION("""COMPUTED_VALUE"""),142.25)</f>
        <v>142.25</v>
      </c>
      <c r="C1266" s="1">
        <f>IFERROR(__xludf.DUMMYFUNCTION("""COMPUTED_VALUE"""),143.15)</f>
        <v>143.15</v>
      </c>
      <c r="D1266" s="1">
        <f>IFERROR(__xludf.DUMMYFUNCTION("""COMPUTED_VALUE"""),141.2)</f>
        <v>141.2</v>
      </c>
      <c r="E1266" s="1">
        <f>IFERROR(__xludf.DUMMYFUNCTION("""COMPUTED_VALUE"""),142.05)</f>
        <v>142.05</v>
      </c>
      <c r="F1266" s="1">
        <f>IFERROR(__xludf.DUMMYFUNCTION("""COMPUTED_VALUE"""),1371947.0)</f>
        <v>1371947</v>
      </c>
    </row>
    <row r="1267">
      <c r="A1267" s="2">
        <f>IFERROR(__xludf.DUMMYFUNCTION("""COMPUTED_VALUE"""),38372.645833333336)</f>
        <v>38372.64583</v>
      </c>
      <c r="B1267" s="1">
        <f>IFERROR(__xludf.DUMMYFUNCTION("""COMPUTED_VALUE"""),140.5)</f>
        <v>140.5</v>
      </c>
      <c r="C1267" s="1">
        <f>IFERROR(__xludf.DUMMYFUNCTION("""COMPUTED_VALUE"""),142.9)</f>
        <v>142.9</v>
      </c>
      <c r="D1267" s="1">
        <f>IFERROR(__xludf.DUMMYFUNCTION("""COMPUTED_VALUE"""),140.3)</f>
        <v>140.3</v>
      </c>
      <c r="E1267" s="1">
        <f>IFERROR(__xludf.DUMMYFUNCTION("""COMPUTED_VALUE"""),142.15)</f>
        <v>142.15</v>
      </c>
      <c r="F1267" s="1">
        <f>IFERROR(__xludf.DUMMYFUNCTION("""COMPUTED_VALUE"""),1627427.0)</f>
        <v>1627427</v>
      </c>
    </row>
    <row r="1268">
      <c r="A1268" s="2">
        <f>IFERROR(__xludf.DUMMYFUNCTION("""COMPUTED_VALUE"""),38376.645833333336)</f>
        <v>38376.64583</v>
      </c>
      <c r="B1268" s="1">
        <f>IFERROR(__xludf.DUMMYFUNCTION("""COMPUTED_VALUE"""),141.2)</f>
        <v>141.2</v>
      </c>
      <c r="C1268" s="1">
        <f>IFERROR(__xludf.DUMMYFUNCTION("""COMPUTED_VALUE"""),148.7)</f>
        <v>148.7</v>
      </c>
      <c r="D1268" s="1">
        <f>IFERROR(__xludf.DUMMYFUNCTION("""COMPUTED_VALUE"""),141.2)</f>
        <v>141.2</v>
      </c>
      <c r="E1268" s="1">
        <f>IFERROR(__xludf.DUMMYFUNCTION("""COMPUTED_VALUE"""),147.55)</f>
        <v>147.55</v>
      </c>
      <c r="F1268" s="1">
        <f>IFERROR(__xludf.DUMMYFUNCTION("""COMPUTED_VALUE"""),3124420.0)</f>
        <v>3124420</v>
      </c>
    </row>
    <row r="1269">
      <c r="A1269" s="2">
        <f>IFERROR(__xludf.DUMMYFUNCTION("""COMPUTED_VALUE"""),38377.645833333336)</f>
        <v>38377.64583</v>
      </c>
      <c r="B1269" s="1">
        <f>IFERROR(__xludf.DUMMYFUNCTION("""COMPUTED_VALUE"""),147.4)</f>
        <v>147.4</v>
      </c>
      <c r="C1269" s="1">
        <f>IFERROR(__xludf.DUMMYFUNCTION("""COMPUTED_VALUE"""),149.9)</f>
        <v>149.9</v>
      </c>
      <c r="D1269" s="1">
        <f>IFERROR(__xludf.DUMMYFUNCTION("""COMPUTED_VALUE"""),146.55)</f>
        <v>146.55</v>
      </c>
      <c r="E1269" s="1">
        <f>IFERROR(__xludf.DUMMYFUNCTION("""COMPUTED_VALUE"""),149.5)</f>
        <v>149.5</v>
      </c>
      <c r="F1269" s="1">
        <f>IFERROR(__xludf.DUMMYFUNCTION("""COMPUTED_VALUE"""),2277253.0)</f>
        <v>2277253</v>
      </c>
    </row>
    <row r="1270">
      <c r="A1270" s="2">
        <f>IFERROR(__xludf.DUMMYFUNCTION("""COMPUTED_VALUE"""),38379.645833333336)</f>
        <v>38379.64583</v>
      </c>
      <c r="B1270" s="1">
        <f>IFERROR(__xludf.DUMMYFUNCTION("""COMPUTED_VALUE"""),149.7)</f>
        <v>149.7</v>
      </c>
      <c r="C1270" s="1">
        <f>IFERROR(__xludf.DUMMYFUNCTION("""COMPUTED_VALUE"""),153.95)</f>
        <v>153.95</v>
      </c>
      <c r="D1270" s="1">
        <f>IFERROR(__xludf.DUMMYFUNCTION("""COMPUTED_VALUE"""),148.5)</f>
        <v>148.5</v>
      </c>
      <c r="E1270" s="1">
        <f>IFERROR(__xludf.DUMMYFUNCTION("""COMPUTED_VALUE"""),151.6)</f>
        <v>151.6</v>
      </c>
      <c r="F1270" s="1">
        <f>IFERROR(__xludf.DUMMYFUNCTION("""COMPUTED_VALUE"""),2910733.0)</f>
        <v>2910733</v>
      </c>
    </row>
    <row r="1271">
      <c r="A1271" s="2">
        <f>IFERROR(__xludf.DUMMYFUNCTION("""COMPUTED_VALUE"""),38380.645833333336)</f>
        <v>38380.64583</v>
      </c>
      <c r="B1271" s="1">
        <f>IFERROR(__xludf.DUMMYFUNCTION("""COMPUTED_VALUE"""),151.6)</f>
        <v>151.6</v>
      </c>
      <c r="C1271" s="1">
        <f>IFERROR(__xludf.DUMMYFUNCTION("""COMPUTED_VALUE"""),154.35)</f>
        <v>154.35</v>
      </c>
      <c r="D1271" s="1">
        <f>IFERROR(__xludf.DUMMYFUNCTION("""COMPUTED_VALUE"""),151.05)</f>
        <v>151.05</v>
      </c>
      <c r="E1271" s="1">
        <f>IFERROR(__xludf.DUMMYFUNCTION("""COMPUTED_VALUE"""),153.15)</f>
        <v>153.15</v>
      </c>
      <c r="F1271" s="1">
        <f>IFERROR(__xludf.DUMMYFUNCTION("""COMPUTED_VALUE"""),2494146.0)</f>
        <v>2494146</v>
      </c>
    </row>
    <row r="1272">
      <c r="A1272" s="2">
        <f>IFERROR(__xludf.DUMMYFUNCTION("""COMPUTED_VALUE"""),38383.645833333336)</f>
        <v>38383.64583</v>
      </c>
      <c r="B1272" s="1">
        <f>IFERROR(__xludf.DUMMYFUNCTION("""COMPUTED_VALUE"""),154.0)</f>
        <v>154</v>
      </c>
      <c r="C1272" s="1">
        <f>IFERROR(__xludf.DUMMYFUNCTION("""COMPUTED_VALUE"""),160.1)</f>
        <v>160.1</v>
      </c>
      <c r="D1272" s="1">
        <f>IFERROR(__xludf.DUMMYFUNCTION("""COMPUTED_VALUE"""),153.15)</f>
        <v>153.15</v>
      </c>
      <c r="E1272" s="1">
        <f>IFERROR(__xludf.DUMMYFUNCTION("""COMPUTED_VALUE"""),159.8)</f>
        <v>159.8</v>
      </c>
      <c r="F1272" s="1">
        <f>IFERROR(__xludf.DUMMYFUNCTION("""COMPUTED_VALUE"""),3439520.0)</f>
        <v>3439520</v>
      </c>
    </row>
    <row r="1273">
      <c r="A1273" s="2">
        <f>IFERROR(__xludf.DUMMYFUNCTION("""COMPUTED_VALUE"""),38384.645833333336)</f>
        <v>38384.64583</v>
      </c>
      <c r="B1273" s="1">
        <f>IFERROR(__xludf.DUMMYFUNCTION("""COMPUTED_VALUE"""),161.0)</f>
        <v>161</v>
      </c>
      <c r="C1273" s="1">
        <f>IFERROR(__xludf.DUMMYFUNCTION("""COMPUTED_VALUE"""),170.0)</f>
        <v>170</v>
      </c>
      <c r="D1273" s="1">
        <f>IFERROR(__xludf.DUMMYFUNCTION("""COMPUTED_VALUE"""),158.0)</f>
        <v>158</v>
      </c>
      <c r="E1273" s="1">
        <f>IFERROR(__xludf.DUMMYFUNCTION("""COMPUTED_VALUE"""),168.4)</f>
        <v>168.4</v>
      </c>
      <c r="F1273" s="1">
        <f>IFERROR(__xludf.DUMMYFUNCTION("""COMPUTED_VALUE"""),6434002.0)</f>
        <v>6434002</v>
      </c>
    </row>
    <row r="1274">
      <c r="A1274" s="2">
        <f>IFERROR(__xludf.DUMMYFUNCTION("""COMPUTED_VALUE"""),38385.645833333336)</f>
        <v>38385.64583</v>
      </c>
      <c r="B1274" s="1">
        <f>IFERROR(__xludf.DUMMYFUNCTION("""COMPUTED_VALUE"""),168.8)</f>
        <v>168.8</v>
      </c>
      <c r="C1274" s="1">
        <f>IFERROR(__xludf.DUMMYFUNCTION("""COMPUTED_VALUE"""),168.8)</f>
        <v>168.8</v>
      </c>
      <c r="D1274" s="1">
        <f>IFERROR(__xludf.DUMMYFUNCTION("""COMPUTED_VALUE"""),163.5)</f>
        <v>163.5</v>
      </c>
      <c r="E1274" s="1">
        <f>IFERROR(__xludf.DUMMYFUNCTION("""COMPUTED_VALUE"""),164.65)</f>
        <v>164.65</v>
      </c>
      <c r="F1274" s="1">
        <f>IFERROR(__xludf.DUMMYFUNCTION("""COMPUTED_VALUE"""),1946027.0)</f>
        <v>1946027</v>
      </c>
    </row>
    <row r="1275">
      <c r="A1275" s="2">
        <f>IFERROR(__xludf.DUMMYFUNCTION("""COMPUTED_VALUE"""),38386.645833333336)</f>
        <v>38386.64583</v>
      </c>
      <c r="B1275" s="1">
        <f>IFERROR(__xludf.DUMMYFUNCTION("""COMPUTED_VALUE"""),167.0)</f>
        <v>167</v>
      </c>
      <c r="C1275" s="1">
        <f>IFERROR(__xludf.DUMMYFUNCTION("""COMPUTED_VALUE"""),167.0)</f>
        <v>167</v>
      </c>
      <c r="D1275" s="1">
        <f>IFERROR(__xludf.DUMMYFUNCTION("""COMPUTED_VALUE"""),162.0)</f>
        <v>162</v>
      </c>
      <c r="E1275" s="1">
        <f>IFERROR(__xludf.DUMMYFUNCTION("""COMPUTED_VALUE"""),165.6)</f>
        <v>165.6</v>
      </c>
      <c r="F1275" s="1">
        <f>IFERROR(__xludf.DUMMYFUNCTION("""COMPUTED_VALUE"""),1127671.0)</f>
        <v>1127671</v>
      </c>
    </row>
    <row r="1276">
      <c r="A1276" s="2">
        <f>IFERROR(__xludf.DUMMYFUNCTION("""COMPUTED_VALUE"""),38387.645833333336)</f>
        <v>38387.64583</v>
      </c>
      <c r="B1276" s="1">
        <f>IFERROR(__xludf.DUMMYFUNCTION("""COMPUTED_VALUE"""),169.8)</f>
        <v>169.8</v>
      </c>
      <c r="C1276" s="1">
        <f>IFERROR(__xludf.DUMMYFUNCTION("""COMPUTED_VALUE"""),170.4)</f>
        <v>170.4</v>
      </c>
      <c r="D1276" s="1">
        <f>IFERROR(__xludf.DUMMYFUNCTION("""COMPUTED_VALUE"""),165.1)</f>
        <v>165.1</v>
      </c>
      <c r="E1276" s="1">
        <f>IFERROR(__xludf.DUMMYFUNCTION("""COMPUTED_VALUE"""),165.9)</f>
        <v>165.9</v>
      </c>
      <c r="F1276" s="1">
        <f>IFERROR(__xludf.DUMMYFUNCTION("""COMPUTED_VALUE"""),1812579.0)</f>
        <v>1812579</v>
      </c>
    </row>
    <row r="1277">
      <c r="A1277" s="2">
        <f>IFERROR(__xludf.DUMMYFUNCTION("""COMPUTED_VALUE"""),38390.645833333336)</f>
        <v>38390.64583</v>
      </c>
      <c r="B1277" s="1">
        <f>IFERROR(__xludf.DUMMYFUNCTION("""COMPUTED_VALUE"""),167.0)</f>
        <v>167</v>
      </c>
      <c r="C1277" s="1">
        <f>IFERROR(__xludf.DUMMYFUNCTION("""COMPUTED_VALUE"""),169.0)</f>
        <v>169</v>
      </c>
      <c r="D1277" s="1">
        <f>IFERROR(__xludf.DUMMYFUNCTION("""COMPUTED_VALUE"""),161.5)</f>
        <v>161.5</v>
      </c>
      <c r="E1277" s="1">
        <f>IFERROR(__xludf.DUMMYFUNCTION("""COMPUTED_VALUE"""),162.1)</f>
        <v>162.1</v>
      </c>
      <c r="F1277" s="1">
        <f>IFERROR(__xludf.DUMMYFUNCTION("""COMPUTED_VALUE"""),1278033.0)</f>
        <v>1278033</v>
      </c>
    </row>
    <row r="1278">
      <c r="A1278" s="2">
        <f>IFERROR(__xludf.DUMMYFUNCTION("""COMPUTED_VALUE"""),38391.645833333336)</f>
        <v>38391.64583</v>
      </c>
      <c r="B1278" s="1">
        <f>IFERROR(__xludf.DUMMYFUNCTION("""COMPUTED_VALUE"""),162.2)</f>
        <v>162.2</v>
      </c>
      <c r="C1278" s="1">
        <f>IFERROR(__xludf.DUMMYFUNCTION("""COMPUTED_VALUE"""),163.5)</f>
        <v>163.5</v>
      </c>
      <c r="D1278" s="1">
        <f>IFERROR(__xludf.DUMMYFUNCTION("""COMPUTED_VALUE"""),158.6)</f>
        <v>158.6</v>
      </c>
      <c r="E1278" s="1">
        <f>IFERROR(__xludf.DUMMYFUNCTION("""COMPUTED_VALUE"""),160.0)</f>
        <v>160</v>
      </c>
      <c r="F1278" s="1">
        <f>IFERROR(__xludf.DUMMYFUNCTION("""COMPUTED_VALUE"""),1015870.0)</f>
        <v>1015870</v>
      </c>
    </row>
    <row r="1279">
      <c r="A1279" s="2">
        <f>IFERROR(__xludf.DUMMYFUNCTION("""COMPUTED_VALUE"""),38392.645833333336)</f>
        <v>38392.64583</v>
      </c>
      <c r="B1279" s="1">
        <f>IFERROR(__xludf.DUMMYFUNCTION("""COMPUTED_VALUE"""),161.0)</f>
        <v>161</v>
      </c>
      <c r="C1279" s="1">
        <f>IFERROR(__xludf.DUMMYFUNCTION("""COMPUTED_VALUE"""),163.3)</f>
        <v>163.3</v>
      </c>
      <c r="D1279" s="1">
        <f>IFERROR(__xludf.DUMMYFUNCTION("""COMPUTED_VALUE"""),158.5)</f>
        <v>158.5</v>
      </c>
      <c r="E1279" s="1">
        <f>IFERROR(__xludf.DUMMYFUNCTION("""COMPUTED_VALUE"""),160.45)</f>
        <v>160.45</v>
      </c>
      <c r="F1279" s="1">
        <f>IFERROR(__xludf.DUMMYFUNCTION("""COMPUTED_VALUE"""),1918437.0)</f>
        <v>1918437</v>
      </c>
    </row>
    <row r="1280">
      <c r="A1280" s="2">
        <f>IFERROR(__xludf.DUMMYFUNCTION("""COMPUTED_VALUE"""),38393.645833333336)</f>
        <v>38393.64583</v>
      </c>
      <c r="B1280" s="1">
        <f>IFERROR(__xludf.DUMMYFUNCTION("""COMPUTED_VALUE"""),160.95)</f>
        <v>160.95</v>
      </c>
      <c r="C1280" s="1">
        <f>IFERROR(__xludf.DUMMYFUNCTION("""COMPUTED_VALUE"""),160.95)</f>
        <v>160.95</v>
      </c>
      <c r="D1280" s="1">
        <f>IFERROR(__xludf.DUMMYFUNCTION("""COMPUTED_VALUE"""),153.0)</f>
        <v>153</v>
      </c>
      <c r="E1280" s="1">
        <f>IFERROR(__xludf.DUMMYFUNCTION("""COMPUTED_VALUE"""),154.0)</f>
        <v>154</v>
      </c>
      <c r="F1280" s="1">
        <f>IFERROR(__xludf.DUMMYFUNCTION("""COMPUTED_VALUE"""),3552560.0)</f>
        <v>3552560</v>
      </c>
    </row>
    <row r="1281">
      <c r="A1281" s="2">
        <f>IFERROR(__xludf.DUMMYFUNCTION("""COMPUTED_VALUE"""),38394.645833333336)</f>
        <v>38394.64583</v>
      </c>
      <c r="B1281" s="1">
        <f>IFERROR(__xludf.DUMMYFUNCTION("""COMPUTED_VALUE"""),155.0)</f>
        <v>155</v>
      </c>
      <c r="C1281" s="1">
        <f>IFERROR(__xludf.DUMMYFUNCTION("""COMPUTED_VALUE"""),157.4)</f>
        <v>157.4</v>
      </c>
      <c r="D1281" s="1">
        <f>IFERROR(__xludf.DUMMYFUNCTION("""COMPUTED_VALUE"""),150.0)</f>
        <v>150</v>
      </c>
      <c r="E1281" s="1">
        <f>IFERROR(__xludf.DUMMYFUNCTION("""COMPUTED_VALUE"""),155.45)</f>
        <v>155.45</v>
      </c>
      <c r="F1281" s="1">
        <f>IFERROR(__xludf.DUMMYFUNCTION("""COMPUTED_VALUE"""),6326568.0)</f>
        <v>6326568</v>
      </c>
    </row>
    <row r="1282">
      <c r="A1282" s="2">
        <f>IFERROR(__xludf.DUMMYFUNCTION("""COMPUTED_VALUE"""),38397.645833333336)</f>
        <v>38397.64583</v>
      </c>
      <c r="B1282" s="1">
        <f>IFERROR(__xludf.DUMMYFUNCTION("""COMPUTED_VALUE"""),156.7)</f>
        <v>156.7</v>
      </c>
      <c r="C1282" s="1">
        <f>IFERROR(__xludf.DUMMYFUNCTION("""COMPUTED_VALUE"""),157.75)</f>
        <v>157.75</v>
      </c>
      <c r="D1282" s="1">
        <f>IFERROR(__xludf.DUMMYFUNCTION("""COMPUTED_VALUE"""),150.65)</f>
        <v>150.65</v>
      </c>
      <c r="E1282" s="1">
        <f>IFERROR(__xludf.DUMMYFUNCTION("""COMPUTED_VALUE"""),151.8)</f>
        <v>151.8</v>
      </c>
      <c r="F1282" s="1">
        <f>IFERROR(__xludf.DUMMYFUNCTION("""COMPUTED_VALUE"""),3459049.0)</f>
        <v>3459049</v>
      </c>
    </row>
    <row r="1283">
      <c r="A1283" s="2">
        <f>IFERROR(__xludf.DUMMYFUNCTION("""COMPUTED_VALUE"""),38398.645833333336)</f>
        <v>38398.64583</v>
      </c>
      <c r="B1283" s="1">
        <f>IFERROR(__xludf.DUMMYFUNCTION("""COMPUTED_VALUE"""),151.95)</f>
        <v>151.95</v>
      </c>
      <c r="C1283" s="1">
        <f>IFERROR(__xludf.DUMMYFUNCTION("""COMPUTED_VALUE"""),154.3)</f>
        <v>154.3</v>
      </c>
      <c r="D1283" s="1">
        <f>IFERROR(__xludf.DUMMYFUNCTION("""COMPUTED_VALUE"""),151.05)</f>
        <v>151.05</v>
      </c>
      <c r="E1283" s="1">
        <f>IFERROR(__xludf.DUMMYFUNCTION("""COMPUTED_VALUE"""),152.15)</f>
        <v>152.15</v>
      </c>
      <c r="F1283" s="1">
        <f>IFERROR(__xludf.DUMMYFUNCTION("""COMPUTED_VALUE"""),1546698.0)</f>
        <v>1546698</v>
      </c>
    </row>
    <row r="1284">
      <c r="A1284" s="2">
        <f>IFERROR(__xludf.DUMMYFUNCTION("""COMPUTED_VALUE"""),38399.645833333336)</f>
        <v>38399.64583</v>
      </c>
      <c r="B1284" s="1">
        <f>IFERROR(__xludf.DUMMYFUNCTION("""COMPUTED_VALUE"""),153.0)</f>
        <v>153</v>
      </c>
      <c r="C1284" s="1">
        <f>IFERROR(__xludf.DUMMYFUNCTION("""COMPUTED_VALUE"""),153.9)</f>
        <v>153.9</v>
      </c>
      <c r="D1284" s="1">
        <f>IFERROR(__xludf.DUMMYFUNCTION("""COMPUTED_VALUE"""),143.05)</f>
        <v>143.05</v>
      </c>
      <c r="E1284" s="1">
        <f>IFERROR(__xludf.DUMMYFUNCTION("""COMPUTED_VALUE"""),143.9)</f>
        <v>143.9</v>
      </c>
      <c r="F1284" s="1">
        <f>IFERROR(__xludf.DUMMYFUNCTION("""COMPUTED_VALUE"""),3291286.0)</f>
        <v>3291286</v>
      </c>
    </row>
    <row r="1285">
      <c r="A1285" s="2">
        <f>IFERROR(__xludf.DUMMYFUNCTION("""COMPUTED_VALUE"""),38400.645833333336)</f>
        <v>38400.64583</v>
      </c>
      <c r="B1285" s="1">
        <f>IFERROR(__xludf.DUMMYFUNCTION("""COMPUTED_VALUE"""),144.95)</f>
        <v>144.95</v>
      </c>
      <c r="C1285" s="1">
        <f>IFERROR(__xludf.DUMMYFUNCTION("""COMPUTED_VALUE"""),146.4)</f>
        <v>146.4</v>
      </c>
      <c r="D1285" s="1">
        <f>IFERROR(__xludf.DUMMYFUNCTION("""COMPUTED_VALUE"""),143.95)</f>
        <v>143.95</v>
      </c>
      <c r="E1285" s="1">
        <f>IFERROR(__xludf.DUMMYFUNCTION("""COMPUTED_VALUE"""),144.95)</f>
        <v>144.95</v>
      </c>
      <c r="F1285" s="1">
        <f>IFERROR(__xludf.DUMMYFUNCTION("""COMPUTED_VALUE"""),1555276.0)</f>
        <v>1555276</v>
      </c>
    </row>
    <row r="1286">
      <c r="A1286" s="2">
        <f>IFERROR(__xludf.DUMMYFUNCTION("""COMPUTED_VALUE"""),38401.645833333336)</f>
        <v>38401.64583</v>
      </c>
      <c r="B1286" s="1">
        <f>IFERROR(__xludf.DUMMYFUNCTION("""COMPUTED_VALUE"""),146.0)</f>
        <v>146</v>
      </c>
      <c r="C1286" s="1">
        <f>IFERROR(__xludf.DUMMYFUNCTION("""COMPUTED_VALUE"""),146.4)</f>
        <v>146.4</v>
      </c>
      <c r="D1286" s="1">
        <f>IFERROR(__xludf.DUMMYFUNCTION("""COMPUTED_VALUE"""),143.1)</f>
        <v>143.1</v>
      </c>
      <c r="E1286" s="1">
        <f>IFERROR(__xludf.DUMMYFUNCTION("""COMPUTED_VALUE"""),144.75)</f>
        <v>144.75</v>
      </c>
      <c r="F1286" s="1">
        <f>IFERROR(__xludf.DUMMYFUNCTION("""COMPUTED_VALUE"""),1640307.0)</f>
        <v>1640307</v>
      </c>
    </row>
    <row r="1287">
      <c r="A1287" s="2">
        <f>IFERROR(__xludf.DUMMYFUNCTION("""COMPUTED_VALUE"""),38404.645833333336)</f>
        <v>38404.64583</v>
      </c>
      <c r="B1287" s="1">
        <f>IFERROR(__xludf.DUMMYFUNCTION("""COMPUTED_VALUE"""),146.7)</f>
        <v>146.7</v>
      </c>
      <c r="C1287" s="1">
        <f>IFERROR(__xludf.DUMMYFUNCTION("""COMPUTED_VALUE"""),146.7)</f>
        <v>146.7</v>
      </c>
      <c r="D1287" s="1">
        <f>IFERROR(__xludf.DUMMYFUNCTION("""COMPUTED_VALUE"""),142.0)</f>
        <v>142</v>
      </c>
      <c r="E1287" s="1">
        <f>IFERROR(__xludf.DUMMYFUNCTION("""COMPUTED_VALUE"""),142.65)</f>
        <v>142.65</v>
      </c>
      <c r="F1287" s="1">
        <f>IFERROR(__xludf.DUMMYFUNCTION("""COMPUTED_VALUE"""),881403.0)</f>
        <v>881403</v>
      </c>
    </row>
    <row r="1288">
      <c r="A1288" s="2">
        <f>IFERROR(__xludf.DUMMYFUNCTION("""COMPUTED_VALUE"""),38405.645833333336)</f>
        <v>38405.64583</v>
      </c>
      <c r="B1288" s="1">
        <f>IFERROR(__xludf.DUMMYFUNCTION("""COMPUTED_VALUE"""),142.4)</f>
        <v>142.4</v>
      </c>
      <c r="C1288" s="1">
        <f>IFERROR(__xludf.DUMMYFUNCTION("""COMPUTED_VALUE"""),146.5)</f>
        <v>146.5</v>
      </c>
      <c r="D1288" s="1">
        <f>IFERROR(__xludf.DUMMYFUNCTION("""COMPUTED_VALUE"""),141.25)</f>
        <v>141.25</v>
      </c>
      <c r="E1288" s="1">
        <f>IFERROR(__xludf.DUMMYFUNCTION("""COMPUTED_VALUE"""),145.45)</f>
        <v>145.45</v>
      </c>
      <c r="F1288" s="1">
        <f>IFERROR(__xludf.DUMMYFUNCTION("""COMPUTED_VALUE"""),2118307.0)</f>
        <v>2118307</v>
      </c>
    </row>
    <row r="1289">
      <c r="A1289" s="2">
        <f>IFERROR(__xludf.DUMMYFUNCTION("""COMPUTED_VALUE"""),38406.645833333336)</f>
        <v>38406.64583</v>
      </c>
      <c r="B1289" s="1">
        <f>IFERROR(__xludf.DUMMYFUNCTION("""COMPUTED_VALUE"""),145.45)</f>
        <v>145.45</v>
      </c>
      <c r="C1289" s="1">
        <f>IFERROR(__xludf.DUMMYFUNCTION("""COMPUTED_VALUE"""),146.7)</f>
        <v>146.7</v>
      </c>
      <c r="D1289" s="1">
        <f>IFERROR(__xludf.DUMMYFUNCTION("""COMPUTED_VALUE"""),143.3)</f>
        <v>143.3</v>
      </c>
      <c r="E1289" s="1">
        <f>IFERROR(__xludf.DUMMYFUNCTION("""COMPUTED_VALUE"""),143.9)</f>
        <v>143.9</v>
      </c>
      <c r="F1289" s="1">
        <f>IFERROR(__xludf.DUMMYFUNCTION("""COMPUTED_VALUE"""),1495692.0)</f>
        <v>1495692</v>
      </c>
    </row>
    <row r="1290">
      <c r="A1290" s="2">
        <f>IFERROR(__xludf.DUMMYFUNCTION("""COMPUTED_VALUE"""),38407.645833333336)</f>
        <v>38407.64583</v>
      </c>
      <c r="B1290" s="1">
        <f>IFERROR(__xludf.DUMMYFUNCTION("""COMPUTED_VALUE"""),144.0)</f>
        <v>144</v>
      </c>
      <c r="C1290" s="1">
        <f>IFERROR(__xludf.DUMMYFUNCTION("""COMPUTED_VALUE"""),145.25)</f>
        <v>145.25</v>
      </c>
      <c r="D1290" s="1">
        <f>IFERROR(__xludf.DUMMYFUNCTION("""COMPUTED_VALUE"""),142.1)</f>
        <v>142.1</v>
      </c>
      <c r="E1290" s="1">
        <f>IFERROR(__xludf.DUMMYFUNCTION("""COMPUTED_VALUE"""),142.75)</f>
        <v>142.75</v>
      </c>
      <c r="F1290" s="1">
        <f>IFERROR(__xludf.DUMMYFUNCTION("""COMPUTED_VALUE"""),3336610.0)</f>
        <v>3336610</v>
      </c>
    </row>
    <row r="1291">
      <c r="A1291" s="2">
        <f>IFERROR(__xludf.DUMMYFUNCTION("""COMPUTED_VALUE"""),38408.645833333336)</f>
        <v>38408.64583</v>
      </c>
      <c r="B1291" s="1">
        <f>IFERROR(__xludf.DUMMYFUNCTION("""COMPUTED_VALUE"""),143.0)</f>
        <v>143</v>
      </c>
      <c r="C1291" s="1">
        <f>IFERROR(__xludf.DUMMYFUNCTION("""COMPUTED_VALUE"""),144.95)</f>
        <v>144.95</v>
      </c>
      <c r="D1291" s="1">
        <f>IFERROR(__xludf.DUMMYFUNCTION("""COMPUTED_VALUE"""),140.0)</f>
        <v>140</v>
      </c>
      <c r="E1291" s="1">
        <f>IFERROR(__xludf.DUMMYFUNCTION("""COMPUTED_VALUE"""),140.55)</f>
        <v>140.55</v>
      </c>
      <c r="F1291" s="1">
        <f>IFERROR(__xludf.DUMMYFUNCTION("""COMPUTED_VALUE"""),1471282.0)</f>
        <v>1471282</v>
      </c>
    </row>
    <row r="1292">
      <c r="A1292" s="2">
        <f>IFERROR(__xludf.DUMMYFUNCTION("""COMPUTED_VALUE"""),38411.645833333336)</f>
        <v>38411.64583</v>
      </c>
      <c r="B1292" s="1">
        <f>IFERROR(__xludf.DUMMYFUNCTION("""COMPUTED_VALUE"""),142.0)</f>
        <v>142</v>
      </c>
      <c r="C1292" s="1">
        <f>IFERROR(__xludf.DUMMYFUNCTION("""COMPUTED_VALUE"""),146.0)</f>
        <v>146</v>
      </c>
      <c r="D1292" s="1">
        <f>IFERROR(__xludf.DUMMYFUNCTION("""COMPUTED_VALUE"""),139.8)</f>
        <v>139.8</v>
      </c>
      <c r="E1292" s="1">
        <f>IFERROR(__xludf.DUMMYFUNCTION("""COMPUTED_VALUE"""),144.05)</f>
        <v>144.05</v>
      </c>
      <c r="F1292" s="1">
        <f>IFERROR(__xludf.DUMMYFUNCTION("""COMPUTED_VALUE"""),2238275.0)</f>
        <v>2238275</v>
      </c>
    </row>
    <row r="1293">
      <c r="A1293" s="2">
        <f>IFERROR(__xludf.DUMMYFUNCTION("""COMPUTED_VALUE"""),38412.645833333336)</f>
        <v>38412.64583</v>
      </c>
      <c r="B1293" s="1">
        <f>IFERROR(__xludf.DUMMYFUNCTION("""COMPUTED_VALUE"""),147.8)</f>
        <v>147.8</v>
      </c>
      <c r="C1293" s="1">
        <f>IFERROR(__xludf.DUMMYFUNCTION("""COMPUTED_VALUE"""),147.8)</f>
        <v>147.8</v>
      </c>
      <c r="D1293" s="1">
        <f>IFERROR(__xludf.DUMMYFUNCTION("""COMPUTED_VALUE"""),143.7)</f>
        <v>143.7</v>
      </c>
      <c r="E1293" s="1">
        <f>IFERROR(__xludf.DUMMYFUNCTION("""COMPUTED_VALUE"""),146.2)</f>
        <v>146.2</v>
      </c>
      <c r="F1293" s="1">
        <f>IFERROR(__xludf.DUMMYFUNCTION("""COMPUTED_VALUE"""),2661077.0)</f>
        <v>2661077</v>
      </c>
    </row>
    <row r="1294">
      <c r="A1294" s="2">
        <f>IFERROR(__xludf.DUMMYFUNCTION("""COMPUTED_VALUE"""),38413.645833333336)</f>
        <v>38413.64583</v>
      </c>
      <c r="B1294" s="1">
        <f>IFERROR(__xludf.DUMMYFUNCTION("""COMPUTED_VALUE"""),146.0)</f>
        <v>146</v>
      </c>
      <c r="C1294" s="1">
        <f>IFERROR(__xludf.DUMMYFUNCTION("""COMPUTED_VALUE"""),147.4)</f>
        <v>147.4</v>
      </c>
      <c r="D1294" s="1">
        <f>IFERROR(__xludf.DUMMYFUNCTION("""COMPUTED_VALUE"""),145.55)</f>
        <v>145.55</v>
      </c>
      <c r="E1294" s="1">
        <f>IFERROR(__xludf.DUMMYFUNCTION("""COMPUTED_VALUE"""),146.85)</f>
        <v>146.85</v>
      </c>
      <c r="F1294" s="1">
        <f>IFERROR(__xludf.DUMMYFUNCTION("""COMPUTED_VALUE"""),1495034.0)</f>
        <v>1495034</v>
      </c>
    </row>
    <row r="1295">
      <c r="A1295" s="2">
        <f>IFERROR(__xludf.DUMMYFUNCTION("""COMPUTED_VALUE"""),38414.645833333336)</f>
        <v>38414.64583</v>
      </c>
      <c r="B1295" s="1">
        <f>IFERROR(__xludf.DUMMYFUNCTION("""COMPUTED_VALUE"""),147.0)</f>
        <v>147</v>
      </c>
      <c r="C1295" s="1">
        <f>IFERROR(__xludf.DUMMYFUNCTION("""COMPUTED_VALUE"""),151.7)</f>
        <v>151.7</v>
      </c>
      <c r="D1295" s="1">
        <f>IFERROR(__xludf.DUMMYFUNCTION("""COMPUTED_VALUE"""),146.0)</f>
        <v>146</v>
      </c>
      <c r="E1295" s="1">
        <f>IFERROR(__xludf.DUMMYFUNCTION("""COMPUTED_VALUE"""),150.3)</f>
        <v>150.3</v>
      </c>
      <c r="F1295" s="1">
        <f>IFERROR(__xludf.DUMMYFUNCTION("""COMPUTED_VALUE"""),2826124.0)</f>
        <v>2826124</v>
      </c>
    </row>
    <row r="1296">
      <c r="A1296" s="2">
        <f>IFERROR(__xludf.DUMMYFUNCTION("""COMPUTED_VALUE"""),38415.645833333336)</f>
        <v>38415.64583</v>
      </c>
      <c r="B1296" s="1">
        <f>IFERROR(__xludf.DUMMYFUNCTION("""COMPUTED_VALUE"""),150.3)</f>
        <v>150.3</v>
      </c>
      <c r="C1296" s="1">
        <f>IFERROR(__xludf.DUMMYFUNCTION("""COMPUTED_VALUE"""),151.6)</f>
        <v>151.6</v>
      </c>
      <c r="D1296" s="1">
        <f>IFERROR(__xludf.DUMMYFUNCTION("""COMPUTED_VALUE"""),147.55)</f>
        <v>147.55</v>
      </c>
      <c r="E1296" s="1">
        <f>IFERROR(__xludf.DUMMYFUNCTION("""COMPUTED_VALUE"""),149.8)</f>
        <v>149.8</v>
      </c>
      <c r="F1296" s="1">
        <f>IFERROR(__xludf.DUMMYFUNCTION("""COMPUTED_VALUE"""),2267144.0)</f>
        <v>2267144</v>
      </c>
    </row>
    <row r="1297">
      <c r="A1297" s="2">
        <f>IFERROR(__xludf.DUMMYFUNCTION("""COMPUTED_VALUE"""),38418.645833333336)</f>
        <v>38418.64583</v>
      </c>
      <c r="B1297" s="1">
        <f>IFERROR(__xludf.DUMMYFUNCTION("""COMPUTED_VALUE"""),151.0)</f>
        <v>151</v>
      </c>
      <c r="C1297" s="1">
        <f>IFERROR(__xludf.DUMMYFUNCTION("""COMPUTED_VALUE"""),151.0)</f>
        <v>151</v>
      </c>
      <c r="D1297" s="1">
        <f>IFERROR(__xludf.DUMMYFUNCTION("""COMPUTED_VALUE"""),142.2)</f>
        <v>142.2</v>
      </c>
      <c r="E1297" s="1">
        <f>IFERROR(__xludf.DUMMYFUNCTION("""COMPUTED_VALUE"""),144.95)</f>
        <v>144.95</v>
      </c>
      <c r="F1297" s="1">
        <f>IFERROR(__xludf.DUMMYFUNCTION("""COMPUTED_VALUE"""),8478558.0)</f>
        <v>8478558</v>
      </c>
    </row>
    <row r="1298">
      <c r="A1298" s="2">
        <f>IFERROR(__xludf.DUMMYFUNCTION("""COMPUTED_VALUE"""),38419.645833333336)</f>
        <v>38419.64583</v>
      </c>
      <c r="B1298" s="1">
        <f>IFERROR(__xludf.DUMMYFUNCTION("""COMPUTED_VALUE"""),145.5)</f>
        <v>145.5</v>
      </c>
      <c r="C1298" s="1">
        <f>IFERROR(__xludf.DUMMYFUNCTION("""COMPUTED_VALUE"""),146.9)</f>
        <v>146.9</v>
      </c>
      <c r="D1298" s="1">
        <f>IFERROR(__xludf.DUMMYFUNCTION("""COMPUTED_VALUE"""),145.0)</f>
        <v>145</v>
      </c>
      <c r="E1298" s="1">
        <f>IFERROR(__xludf.DUMMYFUNCTION("""COMPUTED_VALUE"""),146.05)</f>
        <v>146.05</v>
      </c>
      <c r="F1298" s="1">
        <f>IFERROR(__xludf.DUMMYFUNCTION("""COMPUTED_VALUE"""),1982425.0)</f>
        <v>1982425</v>
      </c>
    </row>
    <row r="1299">
      <c r="A1299" s="2">
        <f>IFERROR(__xludf.DUMMYFUNCTION("""COMPUTED_VALUE"""),38420.645833333336)</f>
        <v>38420.64583</v>
      </c>
      <c r="B1299" s="1">
        <f>IFERROR(__xludf.DUMMYFUNCTION("""COMPUTED_VALUE"""),145.5)</f>
        <v>145.5</v>
      </c>
      <c r="C1299" s="1">
        <f>IFERROR(__xludf.DUMMYFUNCTION("""COMPUTED_VALUE"""),146.75)</f>
        <v>146.75</v>
      </c>
      <c r="D1299" s="1">
        <f>IFERROR(__xludf.DUMMYFUNCTION("""COMPUTED_VALUE"""),142.15)</f>
        <v>142.15</v>
      </c>
      <c r="E1299" s="1">
        <f>IFERROR(__xludf.DUMMYFUNCTION("""COMPUTED_VALUE"""),144.15)</f>
        <v>144.15</v>
      </c>
      <c r="F1299" s="1">
        <f>IFERROR(__xludf.DUMMYFUNCTION("""COMPUTED_VALUE"""),1334137.0)</f>
        <v>1334137</v>
      </c>
    </row>
    <row r="1300">
      <c r="A1300" s="2">
        <f>IFERROR(__xludf.DUMMYFUNCTION("""COMPUTED_VALUE"""),38421.645833333336)</f>
        <v>38421.64583</v>
      </c>
      <c r="B1300" s="1">
        <f>IFERROR(__xludf.DUMMYFUNCTION("""COMPUTED_VALUE"""),144.15)</f>
        <v>144.15</v>
      </c>
      <c r="C1300" s="1">
        <f>IFERROR(__xludf.DUMMYFUNCTION("""COMPUTED_VALUE"""),146.1)</f>
        <v>146.1</v>
      </c>
      <c r="D1300" s="1">
        <f>IFERROR(__xludf.DUMMYFUNCTION("""COMPUTED_VALUE"""),142.2)</f>
        <v>142.2</v>
      </c>
      <c r="E1300" s="1">
        <f>IFERROR(__xludf.DUMMYFUNCTION("""COMPUTED_VALUE"""),144.15)</f>
        <v>144.15</v>
      </c>
      <c r="F1300" s="1">
        <f>IFERROR(__xludf.DUMMYFUNCTION("""COMPUTED_VALUE"""),1289779.0)</f>
        <v>1289779</v>
      </c>
    </row>
    <row r="1301">
      <c r="A1301" s="2">
        <f>IFERROR(__xludf.DUMMYFUNCTION("""COMPUTED_VALUE"""),38422.645833333336)</f>
        <v>38422.64583</v>
      </c>
      <c r="B1301" s="1">
        <f>IFERROR(__xludf.DUMMYFUNCTION("""COMPUTED_VALUE"""),144.85)</f>
        <v>144.85</v>
      </c>
      <c r="C1301" s="1">
        <f>IFERROR(__xludf.DUMMYFUNCTION("""COMPUTED_VALUE"""),145.25)</f>
        <v>145.25</v>
      </c>
      <c r="D1301" s="1">
        <f>IFERROR(__xludf.DUMMYFUNCTION("""COMPUTED_VALUE"""),143.25)</f>
        <v>143.25</v>
      </c>
      <c r="E1301" s="1">
        <f>IFERROR(__xludf.DUMMYFUNCTION("""COMPUTED_VALUE"""),143.65)</f>
        <v>143.65</v>
      </c>
      <c r="F1301" s="1">
        <f>IFERROR(__xludf.DUMMYFUNCTION("""COMPUTED_VALUE"""),784863.0)</f>
        <v>784863</v>
      </c>
    </row>
    <row r="1302">
      <c r="A1302" s="2">
        <f>IFERROR(__xludf.DUMMYFUNCTION("""COMPUTED_VALUE"""),38425.645833333336)</f>
        <v>38425.64583</v>
      </c>
      <c r="B1302" s="1">
        <f>IFERROR(__xludf.DUMMYFUNCTION("""COMPUTED_VALUE"""),142.0)</f>
        <v>142</v>
      </c>
      <c r="C1302" s="1">
        <f>IFERROR(__xludf.DUMMYFUNCTION("""COMPUTED_VALUE"""),144.65)</f>
        <v>144.65</v>
      </c>
      <c r="D1302" s="1">
        <f>IFERROR(__xludf.DUMMYFUNCTION("""COMPUTED_VALUE"""),134.3)</f>
        <v>134.3</v>
      </c>
      <c r="E1302" s="1">
        <f>IFERROR(__xludf.DUMMYFUNCTION("""COMPUTED_VALUE"""),138.3)</f>
        <v>138.3</v>
      </c>
      <c r="F1302" s="1">
        <f>IFERROR(__xludf.DUMMYFUNCTION("""COMPUTED_VALUE"""),2452891.0)</f>
        <v>2452891</v>
      </c>
    </row>
    <row r="1303">
      <c r="A1303" s="2">
        <f>IFERROR(__xludf.DUMMYFUNCTION("""COMPUTED_VALUE"""),38426.645833333336)</f>
        <v>38426.64583</v>
      </c>
      <c r="B1303" s="1">
        <f>IFERROR(__xludf.DUMMYFUNCTION("""COMPUTED_VALUE"""),139.0)</f>
        <v>139</v>
      </c>
      <c r="C1303" s="1">
        <f>IFERROR(__xludf.DUMMYFUNCTION("""COMPUTED_VALUE"""),139.8)</f>
        <v>139.8</v>
      </c>
      <c r="D1303" s="1">
        <f>IFERROR(__xludf.DUMMYFUNCTION("""COMPUTED_VALUE"""),135.1)</f>
        <v>135.1</v>
      </c>
      <c r="E1303" s="1">
        <f>IFERROR(__xludf.DUMMYFUNCTION("""COMPUTED_VALUE"""),135.8)</f>
        <v>135.8</v>
      </c>
      <c r="F1303" s="1">
        <f>IFERROR(__xludf.DUMMYFUNCTION("""COMPUTED_VALUE"""),1889714.0)</f>
        <v>1889714</v>
      </c>
    </row>
    <row r="1304">
      <c r="A1304" s="2">
        <f>IFERROR(__xludf.DUMMYFUNCTION("""COMPUTED_VALUE"""),38427.645833333336)</f>
        <v>38427.64583</v>
      </c>
      <c r="B1304" s="1">
        <f>IFERROR(__xludf.DUMMYFUNCTION("""COMPUTED_VALUE"""),136.5)</f>
        <v>136.5</v>
      </c>
      <c r="C1304" s="1">
        <f>IFERROR(__xludf.DUMMYFUNCTION("""COMPUTED_VALUE"""),137.5)</f>
        <v>137.5</v>
      </c>
      <c r="D1304" s="1">
        <f>IFERROR(__xludf.DUMMYFUNCTION("""COMPUTED_VALUE"""),135.0)</f>
        <v>135</v>
      </c>
      <c r="E1304" s="1">
        <f>IFERROR(__xludf.DUMMYFUNCTION("""COMPUTED_VALUE"""),135.4)</f>
        <v>135.4</v>
      </c>
      <c r="F1304" s="1">
        <f>IFERROR(__xludf.DUMMYFUNCTION("""COMPUTED_VALUE"""),1266690.0)</f>
        <v>1266690</v>
      </c>
    </row>
    <row r="1305">
      <c r="A1305" s="2">
        <f>IFERROR(__xludf.DUMMYFUNCTION("""COMPUTED_VALUE"""),38428.645833333336)</f>
        <v>38428.64583</v>
      </c>
      <c r="B1305" s="1">
        <f>IFERROR(__xludf.DUMMYFUNCTION("""COMPUTED_VALUE"""),136.0)</f>
        <v>136</v>
      </c>
      <c r="C1305" s="1">
        <f>IFERROR(__xludf.DUMMYFUNCTION("""COMPUTED_VALUE"""),136.0)</f>
        <v>136</v>
      </c>
      <c r="D1305" s="1">
        <f>IFERROR(__xludf.DUMMYFUNCTION("""COMPUTED_VALUE"""),133.25)</f>
        <v>133.25</v>
      </c>
      <c r="E1305" s="1">
        <f>IFERROR(__xludf.DUMMYFUNCTION("""COMPUTED_VALUE"""),133.8)</f>
        <v>133.8</v>
      </c>
      <c r="F1305" s="1">
        <f>IFERROR(__xludf.DUMMYFUNCTION("""COMPUTED_VALUE"""),912463.0)</f>
        <v>912463</v>
      </c>
    </row>
    <row r="1306">
      <c r="A1306" s="2">
        <f>IFERROR(__xludf.DUMMYFUNCTION("""COMPUTED_VALUE"""),38429.645833333336)</f>
        <v>38429.64583</v>
      </c>
      <c r="B1306" s="1">
        <f>IFERROR(__xludf.DUMMYFUNCTION("""COMPUTED_VALUE"""),133.5)</f>
        <v>133.5</v>
      </c>
      <c r="C1306" s="1">
        <f>IFERROR(__xludf.DUMMYFUNCTION("""COMPUTED_VALUE"""),134.35)</f>
        <v>134.35</v>
      </c>
      <c r="D1306" s="1">
        <f>IFERROR(__xludf.DUMMYFUNCTION("""COMPUTED_VALUE"""),132.0)</f>
        <v>132</v>
      </c>
      <c r="E1306" s="1">
        <f>IFERROR(__xludf.DUMMYFUNCTION("""COMPUTED_VALUE"""),133.65)</f>
        <v>133.65</v>
      </c>
      <c r="F1306" s="1">
        <f>IFERROR(__xludf.DUMMYFUNCTION("""COMPUTED_VALUE"""),940260.0)</f>
        <v>940260</v>
      </c>
    </row>
    <row r="1307">
      <c r="A1307" s="2">
        <f>IFERROR(__xludf.DUMMYFUNCTION("""COMPUTED_VALUE"""),38432.645833333336)</f>
        <v>38432.64583</v>
      </c>
      <c r="B1307" s="1">
        <f>IFERROR(__xludf.DUMMYFUNCTION("""COMPUTED_VALUE"""),134.0)</f>
        <v>134</v>
      </c>
      <c r="C1307" s="1">
        <f>IFERROR(__xludf.DUMMYFUNCTION("""COMPUTED_VALUE"""),134.0)</f>
        <v>134</v>
      </c>
      <c r="D1307" s="1">
        <f>IFERROR(__xludf.DUMMYFUNCTION("""COMPUTED_VALUE"""),129.7)</f>
        <v>129.7</v>
      </c>
      <c r="E1307" s="1">
        <f>IFERROR(__xludf.DUMMYFUNCTION("""COMPUTED_VALUE"""),130.25)</f>
        <v>130.25</v>
      </c>
      <c r="F1307" s="1">
        <f>IFERROR(__xludf.DUMMYFUNCTION("""COMPUTED_VALUE"""),982920.0)</f>
        <v>982920</v>
      </c>
    </row>
    <row r="1308">
      <c r="A1308" s="2">
        <f>IFERROR(__xludf.DUMMYFUNCTION("""COMPUTED_VALUE"""),38433.645833333336)</f>
        <v>38433.64583</v>
      </c>
      <c r="B1308" s="1">
        <f>IFERROR(__xludf.DUMMYFUNCTION("""COMPUTED_VALUE"""),130.25)</f>
        <v>130.25</v>
      </c>
      <c r="C1308" s="1">
        <f>IFERROR(__xludf.DUMMYFUNCTION("""COMPUTED_VALUE"""),132.5)</f>
        <v>132.5</v>
      </c>
      <c r="D1308" s="1">
        <f>IFERROR(__xludf.DUMMYFUNCTION("""COMPUTED_VALUE"""),129.1)</f>
        <v>129.1</v>
      </c>
      <c r="E1308" s="1">
        <f>IFERROR(__xludf.DUMMYFUNCTION("""COMPUTED_VALUE"""),130.8)</f>
        <v>130.8</v>
      </c>
      <c r="F1308" s="1">
        <f>IFERROR(__xludf.DUMMYFUNCTION("""COMPUTED_VALUE"""),2252475.0)</f>
        <v>2252475</v>
      </c>
    </row>
    <row r="1309">
      <c r="A1309" s="2">
        <f>IFERROR(__xludf.DUMMYFUNCTION("""COMPUTED_VALUE"""),38434.645833333336)</f>
        <v>38434.64583</v>
      </c>
      <c r="B1309" s="1">
        <f>IFERROR(__xludf.DUMMYFUNCTION("""COMPUTED_VALUE"""),130.25)</f>
        <v>130.25</v>
      </c>
      <c r="C1309" s="1">
        <f>IFERROR(__xludf.DUMMYFUNCTION("""COMPUTED_VALUE"""),134.5)</f>
        <v>134.5</v>
      </c>
      <c r="D1309" s="1">
        <f>IFERROR(__xludf.DUMMYFUNCTION("""COMPUTED_VALUE"""),130.25)</f>
        <v>130.25</v>
      </c>
      <c r="E1309" s="1">
        <f>IFERROR(__xludf.DUMMYFUNCTION("""COMPUTED_VALUE"""),133.65)</f>
        <v>133.65</v>
      </c>
      <c r="F1309" s="1">
        <f>IFERROR(__xludf.DUMMYFUNCTION("""COMPUTED_VALUE"""),2797087.0)</f>
        <v>2797087</v>
      </c>
    </row>
    <row r="1310">
      <c r="A1310" s="2">
        <f>IFERROR(__xludf.DUMMYFUNCTION("""COMPUTED_VALUE"""),38435.645833333336)</f>
        <v>38435.64583</v>
      </c>
      <c r="B1310" s="1">
        <f>IFERROR(__xludf.DUMMYFUNCTION("""COMPUTED_VALUE"""),134.0)</f>
        <v>134</v>
      </c>
      <c r="C1310" s="1">
        <f>IFERROR(__xludf.DUMMYFUNCTION("""COMPUTED_VALUE"""),137.5)</f>
        <v>137.5</v>
      </c>
      <c r="D1310" s="1">
        <f>IFERROR(__xludf.DUMMYFUNCTION("""COMPUTED_VALUE"""),134.0)</f>
        <v>134</v>
      </c>
      <c r="E1310" s="1">
        <f>IFERROR(__xludf.DUMMYFUNCTION("""COMPUTED_VALUE"""),134.7)</f>
        <v>134.7</v>
      </c>
      <c r="F1310" s="1">
        <f>IFERROR(__xludf.DUMMYFUNCTION("""COMPUTED_VALUE"""),2048634.0)</f>
        <v>2048634</v>
      </c>
    </row>
    <row r="1311">
      <c r="A1311" s="2">
        <f>IFERROR(__xludf.DUMMYFUNCTION("""COMPUTED_VALUE"""),38439.645833333336)</f>
        <v>38439.64583</v>
      </c>
      <c r="B1311" s="1">
        <f>IFERROR(__xludf.DUMMYFUNCTION("""COMPUTED_VALUE"""),134.0)</f>
        <v>134</v>
      </c>
      <c r="C1311" s="1">
        <f>IFERROR(__xludf.DUMMYFUNCTION("""COMPUTED_VALUE"""),136.35)</f>
        <v>136.35</v>
      </c>
      <c r="D1311" s="1">
        <f>IFERROR(__xludf.DUMMYFUNCTION("""COMPUTED_VALUE"""),133.5)</f>
        <v>133.5</v>
      </c>
      <c r="E1311" s="1">
        <f>IFERROR(__xludf.DUMMYFUNCTION("""COMPUTED_VALUE"""),134.85)</f>
        <v>134.85</v>
      </c>
      <c r="F1311" s="1">
        <f>IFERROR(__xludf.DUMMYFUNCTION("""COMPUTED_VALUE"""),1179440.0)</f>
        <v>1179440</v>
      </c>
    </row>
    <row r="1312">
      <c r="A1312" s="2">
        <f>IFERROR(__xludf.DUMMYFUNCTION("""COMPUTED_VALUE"""),38440.645833333336)</f>
        <v>38440.64583</v>
      </c>
      <c r="B1312" s="1">
        <f>IFERROR(__xludf.DUMMYFUNCTION("""COMPUTED_VALUE"""),135.4)</f>
        <v>135.4</v>
      </c>
      <c r="C1312" s="1">
        <f>IFERROR(__xludf.DUMMYFUNCTION("""COMPUTED_VALUE"""),137.0)</f>
        <v>137</v>
      </c>
      <c r="D1312" s="1">
        <f>IFERROR(__xludf.DUMMYFUNCTION("""COMPUTED_VALUE"""),130.2)</f>
        <v>130.2</v>
      </c>
      <c r="E1312" s="1">
        <f>IFERROR(__xludf.DUMMYFUNCTION("""COMPUTED_VALUE"""),131.25)</f>
        <v>131.25</v>
      </c>
      <c r="F1312" s="1">
        <f>IFERROR(__xludf.DUMMYFUNCTION("""COMPUTED_VALUE"""),951515.0)</f>
        <v>951515</v>
      </c>
    </row>
    <row r="1313">
      <c r="A1313" s="2">
        <f>IFERROR(__xludf.DUMMYFUNCTION("""COMPUTED_VALUE"""),38441.645833333336)</f>
        <v>38441.64583</v>
      </c>
      <c r="B1313" s="1">
        <f>IFERROR(__xludf.DUMMYFUNCTION("""COMPUTED_VALUE"""),132.2)</f>
        <v>132.2</v>
      </c>
      <c r="C1313" s="1">
        <f>IFERROR(__xludf.DUMMYFUNCTION("""COMPUTED_VALUE"""),132.45)</f>
        <v>132.45</v>
      </c>
      <c r="D1313" s="1">
        <f>IFERROR(__xludf.DUMMYFUNCTION("""COMPUTED_VALUE"""),129.2)</f>
        <v>129.2</v>
      </c>
      <c r="E1313" s="1">
        <f>IFERROR(__xludf.DUMMYFUNCTION("""COMPUTED_VALUE"""),131.25)</f>
        <v>131.25</v>
      </c>
      <c r="F1313" s="1">
        <f>IFERROR(__xludf.DUMMYFUNCTION("""COMPUTED_VALUE"""),1283357.0)</f>
        <v>1283357</v>
      </c>
    </row>
    <row r="1314">
      <c r="A1314" s="2">
        <f>IFERROR(__xludf.DUMMYFUNCTION("""COMPUTED_VALUE"""),38442.645833333336)</f>
        <v>38442.64583</v>
      </c>
      <c r="B1314" s="1">
        <f>IFERROR(__xludf.DUMMYFUNCTION("""COMPUTED_VALUE"""),131.25)</f>
        <v>131.25</v>
      </c>
      <c r="C1314" s="1">
        <f>IFERROR(__xludf.DUMMYFUNCTION("""COMPUTED_VALUE"""),133.7)</f>
        <v>133.7</v>
      </c>
      <c r="D1314" s="1">
        <f>IFERROR(__xludf.DUMMYFUNCTION("""COMPUTED_VALUE"""),130.85)</f>
        <v>130.85</v>
      </c>
      <c r="E1314" s="1">
        <f>IFERROR(__xludf.DUMMYFUNCTION("""COMPUTED_VALUE"""),131.95)</f>
        <v>131.95</v>
      </c>
      <c r="F1314" s="1">
        <f>IFERROR(__xludf.DUMMYFUNCTION("""COMPUTED_VALUE"""),1986687.0)</f>
        <v>1986687</v>
      </c>
    </row>
    <row r="1315">
      <c r="A1315" s="2">
        <f>IFERROR(__xludf.DUMMYFUNCTION("""COMPUTED_VALUE"""),38443.645833333336)</f>
        <v>38443.64583</v>
      </c>
      <c r="B1315" s="1">
        <f>IFERROR(__xludf.DUMMYFUNCTION("""COMPUTED_VALUE"""),132.45)</f>
        <v>132.45</v>
      </c>
      <c r="C1315" s="1">
        <f>IFERROR(__xludf.DUMMYFUNCTION("""COMPUTED_VALUE"""),133.45)</f>
        <v>133.45</v>
      </c>
      <c r="D1315" s="1">
        <f>IFERROR(__xludf.DUMMYFUNCTION("""COMPUTED_VALUE"""),130.5)</f>
        <v>130.5</v>
      </c>
      <c r="E1315" s="1">
        <f>IFERROR(__xludf.DUMMYFUNCTION("""COMPUTED_VALUE"""),132.2)</f>
        <v>132.2</v>
      </c>
      <c r="F1315" s="1">
        <f>IFERROR(__xludf.DUMMYFUNCTION("""COMPUTED_VALUE"""),1466171.0)</f>
        <v>1466171</v>
      </c>
    </row>
    <row r="1316">
      <c r="A1316" s="2">
        <f>IFERROR(__xludf.DUMMYFUNCTION("""COMPUTED_VALUE"""),38446.645833333336)</f>
        <v>38446.64583</v>
      </c>
      <c r="B1316" s="1">
        <f>IFERROR(__xludf.DUMMYFUNCTION("""COMPUTED_VALUE"""),133.4)</f>
        <v>133.4</v>
      </c>
      <c r="C1316" s="1">
        <f>IFERROR(__xludf.DUMMYFUNCTION("""COMPUTED_VALUE"""),133.4)</f>
        <v>133.4</v>
      </c>
      <c r="D1316" s="1">
        <f>IFERROR(__xludf.DUMMYFUNCTION("""COMPUTED_VALUE"""),130.5)</f>
        <v>130.5</v>
      </c>
      <c r="E1316" s="1">
        <f>IFERROR(__xludf.DUMMYFUNCTION("""COMPUTED_VALUE"""),131.5)</f>
        <v>131.5</v>
      </c>
      <c r="F1316" s="1">
        <f>IFERROR(__xludf.DUMMYFUNCTION("""COMPUTED_VALUE"""),1485265.0)</f>
        <v>1485265</v>
      </c>
    </row>
    <row r="1317">
      <c r="A1317" s="2">
        <f>IFERROR(__xludf.DUMMYFUNCTION("""COMPUTED_VALUE"""),38447.645833333336)</f>
        <v>38447.64583</v>
      </c>
      <c r="B1317" s="1">
        <f>IFERROR(__xludf.DUMMYFUNCTION("""COMPUTED_VALUE"""),132.0)</f>
        <v>132</v>
      </c>
      <c r="C1317" s="1">
        <f>IFERROR(__xludf.DUMMYFUNCTION("""COMPUTED_VALUE"""),132.0)</f>
        <v>132</v>
      </c>
      <c r="D1317" s="1">
        <f>IFERROR(__xludf.DUMMYFUNCTION("""COMPUTED_VALUE"""),129.0)</f>
        <v>129</v>
      </c>
      <c r="E1317" s="1">
        <f>IFERROR(__xludf.DUMMYFUNCTION("""COMPUTED_VALUE"""),129.75)</f>
        <v>129.75</v>
      </c>
      <c r="F1317" s="1">
        <f>IFERROR(__xludf.DUMMYFUNCTION("""COMPUTED_VALUE"""),1815467.0)</f>
        <v>1815467</v>
      </c>
    </row>
    <row r="1318">
      <c r="A1318" s="2">
        <f>IFERROR(__xludf.DUMMYFUNCTION("""COMPUTED_VALUE"""),38448.645833333336)</f>
        <v>38448.64583</v>
      </c>
      <c r="B1318" s="1">
        <f>IFERROR(__xludf.DUMMYFUNCTION("""COMPUTED_VALUE"""),131.8)</f>
        <v>131.8</v>
      </c>
      <c r="C1318" s="1">
        <f>IFERROR(__xludf.DUMMYFUNCTION("""COMPUTED_VALUE"""),133.25)</f>
        <v>133.25</v>
      </c>
      <c r="D1318" s="1">
        <f>IFERROR(__xludf.DUMMYFUNCTION("""COMPUTED_VALUE"""),129.8)</f>
        <v>129.8</v>
      </c>
      <c r="E1318" s="1">
        <f>IFERROR(__xludf.DUMMYFUNCTION("""COMPUTED_VALUE"""),132.75)</f>
        <v>132.75</v>
      </c>
      <c r="F1318" s="1">
        <f>IFERROR(__xludf.DUMMYFUNCTION("""COMPUTED_VALUE"""),1245631.0)</f>
        <v>1245631</v>
      </c>
    </row>
    <row r="1319">
      <c r="A1319" s="2">
        <f>IFERROR(__xludf.DUMMYFUNCTION("""COMPUTED_VALUE"""),38449.645833333336)</f>
        <v>38449.64583</v>
      </c>
      <c r="B1319" s="1">
        <f>IFERROR(__xludf.DUMMYFUNCTION("""COMPUTED_VALUE"""),133.25)</f>
        <v>133.25</v>
      </c>
      <c r="C1319" s="1">
        <f>IFERROR(__xludf.DUMMYFUNCTION("""COMPUTED_VALUE"""),134.55)</f>
        <v>134.55</v>
      </c>
      <c r="D1319" s="1">
        <f>IFERROR(__xludf.DUMMYFUNCTION("""COMPUTED_VALUE"""),131.2)</f>
        <v>131.2</v>
      </c>
      <c r="E1319" s="1">
        <f>IFERROR(__xludf.DUMMYFUNCTION("""COMPUTED_VALUE"""),132.05)</f>
        <v>132.05</v>
      </c>
      <c r="F1319" s="1">
        <f>IFERROR(__xludf.DUMMYFUNCTION("""COMPUTED_VALUE"""),1970155.0)</f>
        <v>1970155</v>
      </c>
    </row>
    <row r="1320">
      <c r="A1320" s="2">
        <f>IFERROR(__xludf.DUMMYFUNCTION("""COMPUTED_VALUE"""),38450.645833333336)</f>
        <v>38450.64583</v>
      </c>
      <c r="B1320" s="1">
        <f>IFERROR(__xludf.DUMMYFUNCTION("""COMPUTED_VALUE"""),131.55)</f>
        <v>131.55</v>
      </c>
      <c r="C1320" s="1">
        <f>IFERROR(__xludf.DUMMYFUNCTION("""COMPUTED_VALUE"""),133.8)</f>
        <v>133.8</v>
      </c>
      <c r="D1320" s="1">
        <f>IFERROR(__xludf.DUMMYFUNCTION("""COMPUTED_VALUE"""),131.5)</f>
        <v>131.5</v>
      </c>
      <c r="E1320" s="1">
        <f>IFERROR(__xludf.DUMMYFUNCTION("""COMPUTED_VALUE"""),132.05)</f>
        <v>132.05</v>
      </c>
      <c r="F1320" s="1">
        <f>IFERROR(__xludf.DUMMYFUNCTION("""COMPUTED_VALUE"""),621206.0)</f>
        <v>621206</v>
      </c>
    </row>
    <row r="1321">
      <c r="A1321" s="2">
        <f>IFERROR(__xludf.DUMMYFUNCTION("""COMPUTED_VALUE"""),38453.645833333336)</f>
        <v>38453.64583</v>
      </c>
      <c r="B1321" s="1">
        <f>IFERROR(__xludf.DUMMYFUNCTION("""COMPUTED_VALUE"""),132.1)</f>
        <v>132.1</v>
      </c>
      <c r="C1321" s="1">
        <f>IFERROR(__xludf.DUMMYFUNCTION("""COMPUTED_VALUE"""),132.65)</f>
        <v>132.65</v>
      </c>
      <c r="D1321" s="1">
        <f>IFERROR(__xludf.DUMMYFUNCTION("""COMPUTED_VALUE"""),129.5)</f>
        <v>129.5</v>
      </c>
      <c r="E1321" s="1">
        <f>IFERROR(__xludf.DUMMYFUNCTION("""COMPUTED_VALUE"""),130.0)</f>
        <v>130</v>
      </c>
      <c r="F1321" s="1">
        <f>IFERROR(__xludf.DUMMYFUNCTION("""COMPUTED_VALUE"""),561217.0)</f>
        <v>561217</v>
      </c>
    </row>
    <row r="1322">
      <c r="A1322" s="2">
        <f>IFERROR(__xludf.DUMMYFUNCTION("""COMPUTED_VALUE"""),38454.645833333336)</f>
        <v>38454.64583</v>
      </c>
      <c r="B1322" s="1">
        <f>IFERROR(__xludf.DUMMYFUNCTION("""COMPUTED_VALUE"""),130.65)</f>
        <v>130.65</v>
      </c>
      <c r="C1322" s="1">
        <f>IFERROR(__xludf.DUMMYFUNCTION("""COMPUTED_VALUE"""),133.5)</f>
        <v>133.5</v>
      </c>
      <c r="D1322" s="1">
        <f>IFERROR(__xludf.DUMMYFUNCTION("""COMPUTED_VALUE"""),129.5)</f>
        <v>129.5</v>
      </c>
      <c r="E1322" s="1">
        <f>IFERROR(__xludf.DUMMYFUNCTION("""COMPUTED_VALUE"""),132.45)</f>
        <v>132.45</v>
      </c>
      <c r="F1322" s="1">
        <f>IFERROR(__xludf.DUMMYFUNCTION("""COMPUTED_VALUE"""),739026.0)</f>
        <v>739026</v>
      </c>
    </row>
    <row r="1323">
      <c r="A1323" s="2">
        <f>IFERROR(__xludf.DUMMYFUNCTION("""COMPUTED_VALUE"""),38455.645833333336)</f>
        <v>38455.64583</v>
      </c>
      <c r="B1323" s="1">
        <f>IFERROR(__xludf.DUMMYFUNCTION("""COMPUTED_VALUE"""),133.0)</f>
        <v>133</v>
      </c>
      <c r="C1323" s="1">
        <f>IFERROR(__xludf.DUMMYFUNCTION("""COMPUTED_VALUE"""),135.6)</f>
        <v>135.6</v>
      </c>
      <c r="D1323" s="1">
        <f>IFERROR(__xludf.DUMMYFUNCTION("""COMPUTED_VALUE"""),132.6)</f>
        <v>132.6</v>
      </c>
      <c r="E1323" s="1">
        <f>IFERROR(__xludf.DUMMYFUNCTION("""COMPUTED_VALUE"""),134.95)</f>
        <v>134.95</v>
      </c>
      <c r="F1323" s="1">
        <f>IFERROR(__xludf.DUMMYFUNCTION("""COMPUTED_VALUE"""),1484503.0)</f>
        <v>1484503</v>
      </c>
    </row>
    <row r="1324">
      <c r="A1324" s="2">
        <f>IFERROR(__xludf.DUMMYFUNCTION("""COMPUTED_VALUE"""),38457.645833333336)</f>
        <v>38457.64583</v>
      </c>
      <c r="B1324" s="1">
        <f>IFERROR(__xludf.DUMMYFUNCTION("""COMPUTED_VALUE"""),134.0)</f>
        <v>134</v>
      </c>
      <c r="C1324" s="1">
        <f>IFERROR(__xludf.DUMMYFUNCTION("""COMPUTED_VALUE"""),134.5)</f>
        <v>134.5</v>
      </c>
      <c r="D1324" s="1">
        <f>IFERROR(__xludf.DUMMYFUNCTION("""COMPUTED_VALUE"""),131.05)</f>
        <v>131.05</v>
      </c>
      <c r="E1324" s="1">
        <f>IFERROR(__xludf.DUMMYFUNCTION("""COMPUTED_VALUE"""),132.25)</f>
        <v>132.25</v>
      </c>
      <c r="F1324" s="1">
        <f>IFERROR(__xludf.DUMMYFUNCTION("""COMPUTED_VALUE"""),1718251.0)</f>
        <v>1718251</v>
      </c>
    </row>
    <row r="1325">
      <c r="A1325" s="2">
        <f>IFERROR(__xludf.DUMMYFUNCTION("""COMPUTED_VALUE"""),38460.645833333336)</f>
        <v>38460.64583</v>
      </c>
      <c r="B1325" s="1">
        <f>IFERROR(__xludf.DUMMYFUNCTION("""COMPUTED_VALUE"""),130.15)</f>
        <v>130.15</v>
      </c>
      <c r="C1325" s="1">
        <f>IFERROR(__xludf.DUMMYFUNCTION("""COMPUTED_VALUE"""),132.7)</f>
        <v>132.7</v>
      </c>
      <c r="D1325" s="1">
        <f>IFERROR(__xludf.DUMMYFUNCTION("""COMPUTED_VALUE"""),129.55)</f>
        <v>129.55</v>
      </c>
      <c r="E1325" s="1">
        <f>IFERROR(__xludf.DUMMYFUNCTION("""COMPUTED_VALUE"""),130.1)</f>
        <v>130.1</v>
      </c>
      <c r="F1325" s="1">
        <f>IFERROR(__xludf.DUMMYFUNCTION("""COMPUTED_VALUE"""),635154.0)</f>
        <v>635154</v>
      </c>
    </row>
    <row r="1326">
      <c r="A1326" s="2">
        <f>IFERROR(__xludf.DUMMYFUNCTION("""COMPUTED_VALUE"""),38461.645833333336)</f>
        <v>38461.64583</v>
      </c>
      <c r="B1326" s="1">
        <f>IFERROR(__xludf.DUMMYFUNCTION("""COMPUTED_VALUE"""),130.15)</f>
        <v>130.15</v>
      </c>
      <c r="C1326" s="1">
        <f>IFERROR(__xludf.DUMMYFUNCTION("""COMPUTED_VALUE"""),131.7)</f>
        <v>131.7</v>
      </c>
      <c r="D1326" s="1">
        <f>IFERROR(__xludf.DUMMYFUNCTION("""COMPUTED_VALUE"""),125.5)</f>
        <v>125.5</v>
      </c>
      <c r="E1326" s="1">
        <f>IFERROR(__xludf.DUMMYFUNCTION("""COMPUTED_VALUE"""),126.9)</f>
        <v>126.9</v>
      </c>
      <c r="F1326" s="1">
        <f>IFERROR(__xludf.DUMMYFUNCTION("""COMPUTED_VALUE"""),1201085.0)</f>
        <v>1201085</v>
      </c>
    </row>
    <row r="1327">
      <c r="A1327" s="2">
        <f>IFERROR(__xludf.DUMMYFUNCTION("""COMPUTED_VALUE"""),38462.645833333336)</f>
        <v>38462.64583</v>
      </c>
      <c r="B1327" s="1">
        <f>IFERROR(__xludf.DUMMYFUNCTION("""COMPUTED_VALUE"""),127.0)</f>
        <v>127</v>
      </c>
      <c r="C1327" s="1">
        <f>IFERROR(__xludf.DUMMYFUNCTION("""COMPUTED_VALUE"""),131.5)</f>
        <v>131.5</v>
      </c>
      <c r="D1327" s="1">
        <f>IFERROR(__xludf.DUMMYFUNCTION("""COMPUTED_VALUE"""),126.1)</f>
        <v>126.1</v>
      </c>
      <c r="E1327" s="1">
        <f>IFERROR(__xludf.DUMMYFUNCTION("""COMPUTED_VALUE"""),131.2)</f>
        <v>131.2</v>
      </c>
      <c r="F1327" s="1">
        <f>IFERROR(__xludf.DUMMYFUNCTION("""COMPUTED_VALUE"""),1777612.0)</f>
        <v>1777612</v>
      </c>
    </row>
    <row r="1328">
      <c r="A1328" s="2">
        <f>IFERROR(__xludf.DUMMYFUNCTION("""COMPUTED_VALUE"""),38463.645833333336)</f>
        <v>38463.64583</v>
      </c>
      <c r="B1328" s="1">
        <f>IFERROR(__xludf.DUMMYFUNCTION("""COMPUTED_VALUE"""),131.5)</f>
        <v>131.5</v>
      </c>
      <c r="C1328" s="1">
        <f>IFERROR(__xludf.DUMMYFUNCTION("""COMPUTED_VALUE"""),131.7)</f>
        <v>131.7</v>
      </c>
      <c r="D1328" s="1">
        <f>IFERROR(__xludf.DUMMYFUNCTION("""COMPUTED_VALUE"""),129.5)</f>
        <v>129.5</v>
      </c>
      <c r="E1328" s="1">
        <f>IFERROR(__xludf.DUMMYFUNCTION("""COMPUTED_VALUE"""),131.2)</f>
        <v>131.2</v>
      </c>
      <c r="F1328" s="1">
        <f>IFERROR(__xludf.DUMMYFUNCTION("""COMPUTED_VALUE"""),917904.0)</f>
        <v>917904</v>
      </c>
    </row>
    <row r="1329">
      <c r="A1329" s="2">
        <f>IFERROR(__xludf.DUMMYFUNCTION("""COMPUTED_VALUE"""),38464.645833333336)</f>
        <v>38464.64583</v>
      </c>
      <c r="B1329" s="1">
        <f>IFERROR(__xludf.DUMMYFUNCTION("""COMPUTED_VALUE"""),131.3)</f>
        <v>131.3</v>
      </c>
      <c r="C1329" s="1">
        <f>IFERROR(__xludf.DUMMYFUNCTION("""COMPUTED_VALUE"""),132.9)</f>
        <v>132.9</v>
      </c>
      <c r="D1329" s="1">
        <f>IFERROR(__xludf.DUMMYFUNCTION("""COMPUTED_VALUE"""),131.3)</f>
        <v>131.3</v>
      </c>
      <c r="E1329" s="1">
        <f>IFERROR(__xludf.DUMMYFUNCTION("""COMPUTED_VALUE"""),132.2)</f>
        <v>132.2</v>
      </c>
      <c r="F1329" s="1">
        <f>IFERROR(__xludf.DUMMYFUNCTION("""COMPUTED_VALUE"""),1134706.0)</f>
        <v>1134706</v>
      </c>
    </row>
    <row r="1330">
      <c r="A1330" s="2">
        <f>IFERROR(__xludf.DUMMYFUNCTION("""COMPUTED_VALUE"""),38467.645833333336)</f>
        <v>38467.64583</v>
      </c>
      <c r="B1330" s="1">
        <f>IFERROR(__xludf.DUMMYFUNCTION("""COMPUTED_VALUE"""),132.85)</f>
        <v>132.85</v>
      </c>
      <c r="C1330" s="1">
        <f>IFERROR(__xludf.DUMMYFUNCTION("""COMPUTED_VALUE"""),134.8)</f>
        <v>134.8</v>
      </c>
      <c r="D1330" s="1">
        <f>IFERROR(__xludf.DUMMYFUNCTION("""COMPUTED_VALUE"""),130.7)</f>
        <v>130.7</v>
      </c>
      <c r="E1330" s="1">
        <f>IFERROR(__xludf.DUMMYFUNCTION("""COMPUTED_VALUE"""),133.75)</f>
        <v>133.75</v>
      </c>
      <c r="F1330" s="1">
        <f>IFERROR(__xludf.DUMMYFUNCTION("""COMPUTED_VALUE"""),1415787.0)</f>
        <v>1415787</v>
      </c>
    </row>
    <row r="1331">
      <c r="A1331" s="2">
        <f>IFERROR(__xludf.DUMMYFUNCTION("""COMPUTED_VALUE"""),38468.645833333336)</f>
        <v>38468.64583</v>
      </c>
      <c r="B1331" s="1">
        <f>IFERROR(__xludf.DUMMYFUNCTION("""COMPUTED_VALUE"""),134.85)</f>
        <v>134.85</v>
      </c>
      <c r="C1331" s="1">
        <f>IFERROR(__xludf.DUMMYFUNCTION("""COMPUTED_VALUE"""),139.4)</f>
        <v>139.4</v>
      </c>
      <c r="D1331" s="1">
        <f>IFERROR(__xludf.DUMMYFUNCTION("""COMPUTED_VALUE"""),133.55)</f>
        <v>133.55</v>
      </c>
      <c r="E1331" s="1">
        <f>IFERROR(__xludf.DUMMYFUNCTION("""COMPUTED_VALUE"""),137.75)</f>
        <v>137.75</v>
      </c>
      <c r="F1331" s="1">
        <f>IFERROR(__xludf.DUMMYFUNCTION("""COMPUTED_VALUE"""),2469997.0)</f>
        <v>2469997</v>
      </c>
    </row>
    <row r="1332">
      <c r="A1332" s="2">
        <f>IFERROR(__xludf.DUMMYFUNCTION("""COMPUTED_VALUE"""),38469.645833333336)</f>
        <v>38469.64583</v>
      </c>
      <c r="B1332" s="1">
        <f>IFERROR(__xludf.DUMMYFUNCTION("""COMPUTED_VALUE"""),137.75)</f>
        <v>137.75</v>
      </c>
      <c r="C1332" s="1">
        <f>IFERROR(__xludf.DUMMYFUNCTION("""COMPUTED_VALUE"""),144.0)</f>
        <v>144</v>
      </c>
      <c r="D1332" s="1">
        <f>IFERROR(__xludf.DUMMYFUNCTION("""COMPUTED_VALUE"""),137.05)</f>
        <v>137.05</v>
      </c>
      <c r="E1332" s="1">
        <f>IFERROR(__xludf.DUMMYFUNCTION("""COMPUTED_VALUE"""),143.35)</f>
        <v>143.35</v>
      </c>
      <c r="F1332" s="1">
        <f>IFERROR(__xludf.DUMMYFUNCTION("""COMPUTED_VALUE"""),5232667.0)</f>
        <v>5232667</v>
      </c>
    </row>
    <row r="1333">
      <c r="A1333" s="2">
        <f>IFERROR(__xludf.DUMMYFUNCTION("""COMPUTED_VALUE"""),38470.645833333336)</f>
        <v>38470.64583</v>
      </c>
      <c r="B1333" s="1">
        <f>IFERROR(__xludf.DUMMYFUNCTION("""COMPUTED_VALUE"""),142.3)</f>
        <v>142.3</v>
      </c>
      <c r="C1333" s="1">
        <f>IFERROR(__xludf.DUMMYFUNCTION("""COMPUTED_VALUE"""),146.0)</f>
        <v>146</v>
      </c>
      <c r="D1333" s="1">
        <f>IFERROR(__xludf.DUMMYFUNCTION("""COMPUTED_VALUE"""),138.1)</f>
        <v>138.1</v>
      </c>
      <c r="E1333" s="1">
        <f>IFERROR(__xludf.DUMMYFUNCTION("""COMPUTED_VALUE"""),144.5)</f>
        <v>144.5</v>
      </c>
      <c r="F1333" s="1">
        <f>IFERROR(__xludf.DUMMYFUNCTION("""COMPUTED_VALUE"""),5265486.0)</f>
        <v>5265486</v>
      </c>
    </row>
    <row r="1334">
      <c r="A1334" s="2">
        <f>IFERROR(__xludf.DUMMYFUNCTION("""COMPUTED_VALUE"""),38471.645833333336)</f>
        <v>38471.64583</v>
      </c>
      <c r="B1334" s="1">
        <f>IFERROR(__xludf.DUMMYFUNCTION("""COMPUTED_VALUE"""),144.1)</f>
        <v>144.1</v>
      </c>
      <c r="C1334" s="1">
        <f>IFERROR(__xludf.DUMMYFUNCTION("""COMPUTED_VALUE"""),145.0)</f>
        <v>145</v>
      </c>
      <c r="D1334" s="1">
        <f>IFERROR(__xludf.DUMMYFUNCTION("""COMPUTED_VALUE"""),136.35)</f>
        <v>136.35</v>
      </c>
      <c r="E1334" s="1">
        <f>IFERROR(__xludf.DUMMYFUNCTION("""COMPUTED_VALUE"""),137.55)</f>
        <v>137.55</v>
      </c>
      <c r="F1334" s="1">
        <f>IFERROR(__xludf.DUMMYFUNCTION("""COMPUTED_VALUE"""),3425320.0)</f>
        <v>3425320</v>
      </c>
    </row>
    <row r="1335">
      <c r="A1335" s="2">
        <f>IFERROR(__xludf.DUMMYFUNCTION("""COMPUTED_VALUE"""),38474.645833333336)</f>
        <v>38474.64583</v>
      </c>
      <c r="B1335" s="1">
        <f>IFERROR(__xludf.DUMMYFUNCTION("""COMPUTED_VALUE"""),137.0)</f>
        <v>137</v>
      </c>
      <c r="C1335" s="1">
        <f>IFERROR(__xludf.DUMMYFUNCTION("""COMPUTED_VALUE"""),137.45)</f>
        <v>137.45</v>
      </c>
      <c r="D1335" s="1">
        <f>IFERROR(__xludf.DUMMYFUNCTION("""COMPUTED_VALUE"""),131.4)</f>
        <v>131.4</v>
      </c>
      <c r="E1335" s="1">
        <f>IFERROR(__xludf.DUMMYFUNCTION("""COMPUTED_VALUE"""),133.25)</f>
        <v>133.25</v>
      </c>
      <c r="F1335" s="1">
        <f>IFERROR(__xludf.DUMMYFUNCTION("""COMPUTED_VALUE"""),2026651.0)</f>
        <v>2026651</v>
      </c>
    </row>
    <row r="1336">
      <c r="A1336" s="2">
        <f>IFERROR(__xludf.DUMMYFUNCTION("""COMPUTED_VALUE"""),38475.645833333336)</f>
        <v>38475.64583</v>
      </c>
      <c r="B1336" s="1">
        <f>IFERROR(__xludf.DUMMYFUNCTION("""COMPUTED_VALUE"""),134.0)</f>
        <v>134</v>
      </c>
      <c r="C1336" s="1">
        <f>IFERROR(__xludf.DUMMYFUNCTION("""COMPUTED_VALUE"""),159.9)</f>
        <v>159.9</v>
      </c>
      <c r="D1336" s="1">
        <f>IFERROR(__xludf.DUMMYFUNCTION("""COMPUTED_VALUE"""),131.65)</f>
        <v>131.65</v>
      </c>
      <c r="E1336" s="1">
        <f>IFERROR(__xludf.DUMMYFUNCTION("""COMPUTED_VALUE"""),132.45)</f>
        <v>132.45</v>
      </c>
      <c r="F1336" s="1">
        <f>IFERROR(__xludf.DUMMYFUNCTION("""COMPUTED_VALUE"""),1492471.0)</f>
        <v>1492471</v>
      </c>
    </row>
    <row r="1337">
      <c r="A1337" s="2">
        <f>IFERROR(__xludf.DUMMYFUNCTION("""COMPUTED_VALUE"""),38476.645833333336)</f>
        <v>38476.64583</v>
      </c>
      <c r="B1337" s="1">
        <f>IFERROR(__xludf.DUMMYFUNCTION("""COMPUTED_VALUE"""),133.1)</f>
        <v>133.1</v>
      </c>
      <c r="C1337" s="1">
        <f>IFERROR(__xludf.DUMMYFUNCTION("""COMPUTED_VALUE"""),135.85)</f>
        <v>135.85</v>
      </c>
      <c r="D1337" s="1">
        <f>IFERROR(__xludf.DUMMYFUNCTION("""COMPUTED_VALUE"""),132.65)</f>
        <v>132.65</v>
      </c>
      <c r="E1337" s="1">
        <f>IFERROR(__xludf.DUMMYFUNCTION("""COMPUTED_VALUE"""),135.5)</f>
        <v>135.5</v>
      </c>
      <c r="F1337" s="1">
        <f>IFERROR(__xludf.DUMMYFUNCTION("""COMPUTED_VALUE"""),1479870.0)</f>
        <v>1479870</v>
      </c>
    </row>
    <row r="1338">
      <c r="A1338" s="2">
        <f>IFERROR(__xludf.DUMMYFUNCTION("""COMPUTED_VALUE"""),38477.645833333336)</f>
        <v>38477.64583</v>
      </c>
      <c r="B1338" s="1">
        <f>IFERROR(__xludf.DUMMYFUNCTION("""COMPUTED_VALUE"""),135.5)</f>
        <v>135.5</v>
      </c>
      <c r="C1338" s="1">
        <f>IFERROR(__xludf.DUMMYFUNCTION("""COMPUTED_VALUE"""),136.65)</f>
        <v>136.65</v>
      </c>
      <c r="D1338" s="1">
        <f>IFERROR(__xludf.DUMMYFUNCTION("""COMPUTED_VALUE"""),134.25)</f>
        <v>134.25</v>
      </c>
      <c r="E1338" s="1">
        <f>IFERROR(__xludf.DUMMYFUNCTION("""COMPUTED_VALUE"""),134.95)</f>
        <v>134.95</v>
      </c>
      <c r="F1338" s="1">
        <f>IFERROR(__xludf.DUMMYFUNCTION("""COMPUTED_VALUE"""),1441778.0)</f>
        <v>1441778</v>
      </c>
    </row>
    <row r="1339">
      <c r="A1339" s="2">
        <f>IFERROR(__xludf.DUMMYFUNCTION("""COMPUTED_VALUE"""),38478.645833333336)</f>
        <v>38478.64583</v>
      </c>
      <c r="B1339" s="1">
        <f>IFERROR(__xludf.DUMMYFUNCTION("""COMPUTED_VALUE"""),134.9)</f>
        <v>134.9</v>
      </c>
      <c r="C1339" s="1">
        <f>IFERROR(__xludf.DUMMYFUNCTION("""COMPUTED_VALUE"""),134.95)</f>
        <v>134.95</v>
      </c>
      <c r="D1339" s="1">
        <f>IFERROR(__xludf.DUMMYFUNCTION("""COMPUTED_VALUE"""),132.5)</f>
        <v>132.5</v>
      </c>
      <c r="E1339" s="1">
        <f>IFERROR(__xludf.DUMMYFUNCTION("""COMPUTED_VALUE"""),134.1)</f>
        <v>134.1</v>
      </c>
      <c r="F1339" s="1">
        <f>IFERROR(__xludf.DUMMYFUNCTION("""COMPUTED_VALUE"""),1632321.0)</f>
        <v>1632321</v>
      </c>
    </row>
    <row r="1340">
      <c r="A1340" s="2">
        <f>IFERROR(__xludf.DUMMYFUNCTION("""COMPUTED_VALUE"""),38481.645833333336)</f>
        <v>38481.64583</v>
      </c>
      <c r="B1340" s="1">
        <f>IFERROR(__xludf.DUMMYFUNCTION("""COMPUTED_VALUE"""),134.2)</f>
        <v>134.2</v>
      </c>
      <c r="C1340" s="1">
        <f>IFERROR(__xludf.DUMMYFUNCTION("""COMPUTED_VALUE"""),135.0)</f>
        <v>135</v>
      </c>
      <c r="D1340" s="1">
        <f>IFERROR(__xludf.DUMMYFUNCTION("""COMPUTED_VALUE"""),131.75)</f>
        <v>131.75</v>
      </c>
      <c r="E1340" s="1">
        <f>IFERROR(__xludf.DUMMYFUNCTION("""COMPUTED_VALUE"""),132.2)</f>
        <v>132.2</v>
      </c>
      <c r="F1340" s="1">
        <f>IFERROR(__xludf.DUMMYFUNCTION("""COMPUTED_VALUE"""),2568855.0)</f>
        <v>2568855</v>
      </c>
    </row>
    <row r="1341">
      <c r="A1341" s="2">
        <f>IFERROR(__xludf.DUMMYFUNCTION("""COMPUTED_VALUE"""),38482.645833333336)</f>
        <v>38482.64583</v>
      </c>
      <c r="B1341" s="1">
        <f>IFERROR(__xludf.DUMMYFUNCTION("""COMPUTED_VALUE"""),133.0)</f>
        <v>133</v>
      </c>
      <c r="C1341" s="1">
        <f>IFERROR(__xludf.DUMMYFUNCTION("""COMPUTED_VALUE"""),134.2)</f>
        <v>134.2</v>
      </c>
      <c r="D1341" s="1">
        <f>IFERROR(__xludf.DUMMYFUNCTION("""COMPUTED_VALUE"""),132.2)</f>
        <v>132.2</v>
      </c>
      <c r="E1341" s="1">
        <f>IFERROR(__xludf.DUMMYFUNCTION("""COMPUTED_VALUE"""),132.7)</f>
        <v>132.7</v>
      </c>
      <c r="F1341" s="1">
        <f>IFERROR(__xludf.DUMMYFUNCTION("""COMPUTED_VALUE"""),2197453.0)</f>
        <v>2197453</v>
      </c>
    </row>
    <row r="1342">
      <c r="A1342" s="2">
        <f>IFERROR(__xludf.DUMMYFUNCTION("""COMPUTED_VALUE"""),38483.645833333336)</f>
        <v>38483.64583</v>
      </c>
      <c r="B1342" s="1">
        <f>IFERROR(__xludf.DUMMYFUNCTION("""COMPUTED_VALUE"""),132.75)</f>
        <v>132.75</v>
      </c>
      <c r="C1342" s="1">
        <f>IFERROR(__xludf.DUMMYFUNCTION("""COMPUTED_VALUE"""),132.8)</f>
        <v>132.8</v>
      </c>
      <c r="D1342" s="1">
        <f>IFERROR(__xludf.DUMMYFUNCTION("""COMPUTED_VALUE"""),131.0)</f>
        <v>131</v>
      </c>
      <c r="E1342" s="1">
        <f>IFERROR(__xludf.DUMMYFUNCTION("""COMPUTED_VALUE"""),131.65)</f>
        <v>131.65</v>
      </c>
      <c r="F1342" s="1">
        <f>IFERROR(__xludf.DUMMYFUNCTION("""COMPUTED_VALUE"""),1189244.0)</f>
        <v>1189244</v>
      </c>
    </row>
    <row r="1343">
      <c r="A1343" s="2">
        <f>IFERROR(__xludf.DUMMYFUNCTION("""COMPUTED_VALUE"""),38484.645833333336)</f>
        <v>38484.64583</v>
      </c>
      <c r="B1343" s="1">
        <f>IFERROR(__xludf.DUMMYFUNCTION("""COMPUTED_VALUE"""),132.5)</f>
        <v>132.5</v>
      </c>
      <c r="C1343" s="1">
        <f>IFERROR(__xludf.DUMMYFUNCTION("""COMPUTED_VALUE"""),132.9)</f>
        <v>132.9</v>
      </c>
      <c r="D1343" s="1">
        <f>IFERROR(__xludf.DUMMYFUNCTION("""COMPUTED_VALUE"""),130.1)</f>
        <v>130.1</v>
      </c>
      <c r="E1343" s="1">
        <f>IFERROR(__xludf.DUMMYFUNCTION("""COMPUTED_VALUE"""),130.55)</f>
        <v>130.55</v>
      </c>
      <c r="F1343" s="1">
        <f>IFERROR(__xludf.DUMMYFUNCTION("""COMPUTED_VALUE"""),1661677.0)</f>
        <v>1661677</v>
      </c>
    </row>
    <row r="1344">
      <c r="A1344" s="2">
        <f>IFERROR(__xludf.DUMMYFUNCTION("""COMPUTED_VALUE"""),38485.645833333336)</f>
        <v>38485.64583</v>
      </c>
      <c r="B1344" s="1">
        <f>IFERROR(__xludf.DUMMYFUNCTION("""COMPUTED_VALUE"""),131.0)</f>
        <v>131</v>
      </c>
      <c r="C1344" s="1">
        <f>IFERROR(__xludf.DUMMYFUNCTION("""COMPUTED_VALUE"""),132.15)</f>
        <v>132.15</v>
      </c>
      <c r="D1344" s="1">
        <f>IFERROR(__xludf.DUMMYFUNCTION("""COMPUTED_VALUE"""),130.5)</f>
        <v>130.5</v>
      </c>
      <c r="E1344" s="1">
        <f>IFERROR(__xludf.DUMMYFUNCTION("""COMPUTED_VALUE"""),131.6)</f>
        <v>131.6</v>
      </c>
      <c r="F1344" s="1">
        <f>IFERROR(__xludf.DUMMYFUNCTION("""COMPUTED_VALUE"""),1213734.0)</f>
        <v>1213734</v>
      </c>
    </row>
    <row r="1345">
      <c r="A1345" s="2">
        <f>IFERROR(__xludf.DUMMYFUNCTION("""COMPUTED_VALUE"""),38488.645833333336)</f>
        <v>38488.64583</v>
      </c>
      <c r="B1345" s="1">
        <f>IFERROR(__xludf.DUMMYFUNCTION("""COMPUTED_VALUE"""),132.0)</f>
        <v>132</v>
      </c>
      <c r="C1345" s="1">
        <f>IFERROR(__xludf.DUMMYFUNCTION("""COMPUTED_VALUE"""),133.5)</f>
        <v>133.5</v>
      </c>
      <c r="D1345" s="1">
        <f>IFERROR(__xludf.DUMMYFUNCTION("""COMPUTED_VALUE"""),131.1)</f>
        <v>131.1</v>
      </c>
      <c r="E1345" s="1">
        <f>IFERROR(__xludf.DUMMYFUNCTION("""COMPUTED_VALUE"""),132.65)</f>
        <v>132.65</v>
      </c>
      <c r="F1345" s="1">
        <f>IFERROR(__xludf.DUMMYFUNCTION("""COMPUTED_VALUE"""),1251260.0)</f>
        <v>1251260</v>
      </c>
    </row>
    <row r="1346">
      <c r="A1346" s="2">
        <f>IFERROR(__xludf.DUMMYFUNCTION("""COMPUTED_VALUE"""),38489.645833333336)</f>
        <v>38489.64583</v>
      </c>
      <c r="B1346" s="1">
        <f>IFERROR(__xludf.DUMMYFUNCTION("""COMPUTED_VALUE"""),133.0)</f>
        <v>133</v>
      </c>
      <c r="C1346" s="1">
        <f>IFERROR(__xludf.DUMMYFUNCTION("""COMPUTED_VALUE"""),133.7)</f>
        <v>133.7</v>
      </c>
      <c r="D1346" s="1">
        <f>IFERROR(__xludf.DUMMYFUNCTION("""COMPUTED_VALUE"""),131.0)</f>
        <v>131</v>
      </c>
      <c r="E1346" s="1">
        <f>IFERROR(__xludf.DUMMYFUNCTION("""COMPUTED_VALUE"""),131.7)</f>
        <v>131.7</v>
      </c>
      <c r="F1346" s="1">
        <f>IFERROR(__xludf.DUMMYFUNCTION("""COMPUTED_VALUE"""),2002861.0)</f>
        <v>2002861</v>
      </c>
    </row>
    <row r="1347">
      <c r="A1347" s="2">
        <f>IFERROR(__xludf.DUMMYFUNCTION("""COMPUTED_VALUE"""),38490.645833333336)</f>
        <v>38490.64583</v>
      </c>
      <c r="B1347" s="1">
        <f>IFERROR(__xludf.DUMMYFUNCTION("""COMPUTED_VALUE"""),132.5)</f>
        <v>132.5</v>
      </c>
      <c r="C1347" s="1">
        <f>IFERROR(__xludf.DUMMYFUNCTION("""COMPUTED_VALUE"""),132.9)</f>
        <v>132.9</v>
      </c>
      <c r="D1347" s="1">
        <f>IFERROR(__xludf.DUMMYFUNCTION("""COMPUTED_VALUE"""),129.75)</f>
        <v>129.75</v>
      </c>
      <c r="E1347" s="1">
        <f>IFERROR(__xludf.DUMMYFUNCTION("""COMPUTED_VALUE"""),130.5)</f>
        <v>130.5</v>
      </c>
      <c r="F1347" s="1">
        <f>IFERROR(__xludf.DUMMYFUNCTION("""COMPUTED_VALUE"""),1609146.0)</f>
        <v>1609146</v>
      </c>
    </row>
    <row r="1348">
      <c r="A1348" s="2">
        <f>IFERROR(__xludf.DUMMYFUNCTION("""COMPUTED_VALUE"""),38491.645833333336)</f>
        <v>38491.64583</v>
      </c>
      <c r="B1348" s="1">
        <f>IFERROR(__xludf.DUMMYFUNCTION("""COMPUTED_VALUE"""),132.0)</f>
        <v>132</v>
      </c>
      <c r="C1348" s="1">
        <f>IFERROR(__xludf.DUMMYFUNCTION("""COMPUTED_VALUE"""),132.0)</f>
        <v>132</v>
      </c>
      <c r="D1348" s="1">
        <f>IFERROR(__xludf.DUMMYFUNCTION("""COMPUTED_VALUE"""),130.0)</f>
        <v>130</v>
      </c>
      <c r="E1348" s="1">
        <f>IFERROR(__xludf.DUMMYFUNCTION("""COMPUTED_VALUE"""),130.25)</f>
        <v>130.25</v>
      </c>
      <c r="F1348" s="1">
        <f>IFERROR(__xludf.DUMMYFUNCTION("""COMPUTED_VALUE"""),1097150.0)</f>
        <v>1097150</v>
      </c>
    </row>
    <row r="1349">
      <c r="A1349" s="2">
        <f>IFERROR(__xludf.DUMMYFUNCTION("""COMPUTED_VALUE"""),38492.645833333336)</f>
        <v>38492.64583</v>
      </c>
      <c r="B1349" s="1">
        <f>IFERROR(__xludf.DUMMYFUNCTION("""COMPUTED_VALUE"""),131.4)</f>
        <v>131.4</v>
      </c>
      <c r="C1349" s="1">
        <f>IFERROR(__xludf.DUMMYFUNCTION("""COMPUTED_VALUE"""),131.4)</f>
        <v>131.4</v>
      </c>
      <c r="D1349" s="1">
        <f>IFERROR(__xludf.DUMMYFUNCTION("""COMPUTED_VALUE"""),129.5)</f>
        <v>129.5</v>
      </c>
      <c r="E1349" s="1">
        <f>IFERROR(__xludf.DUMMYFUNCTION("""COMPUTED_VALUE"""),130.05)</f>
        <v>130.05</v>
      </c>
      <c r="F1349" s="1">
        <f>IFERROR(__xludf.DUMMYFUNCTION("""COMPUTED_VALUE"""),811403.0)</f>
        <v>811403</v>
      </c>
    </row>
    <row r="1350">
      <c r="A1350" s="2">
        <f>IFERROR(__xludf.DUMMYFUNCTION("""COMPUTED_VALUE"""),38495.645833333336)</f>
        <v>38495.64583</v>
      </c>
      <c r="B1350" s="1">
        <f>IFERROR(__xludf.DUMMYFUNCTION("""COMPUTED_VALUE"""),130.05)</f>
        <v>130.05</v>
      </c>
      <c r="C1350" s="1">
        <f>IFERROR(__xludf.DUMMYFUNCTION("""COMPUTED_VALUE"""),130.8)</f>
        <v>130.8</v>
      </c>
      <c r="D1350" s="1">
        <f>IFERROR(__xludf.DUMMYFUNCTION("""COMPUTED_VALUE"""),127.4)</f>
        <v>127.4</v>
      </c>
      <c r="E1350" s="1">
        <f>IFERROR(__xludf.DUMMYFUNCTION("""COMPUTED_VALUE"""),127.85)</f>
        <v>127.85</v>
      </c>
      <c r="F1350" s="1">
        <f>IFERROR(__xludf.DUMMYFUNCTION("""COMPUTED_VALUE"""),1412642.0)</f>
        <v>1412642</v>
      </c>
    </row>
    <row r="1351">
      <c r="A1351" s="2">
        <f>IFERROR(__xludf.DUMMYFUNCTION("""COMPUTED_VALUE"""),38496.645833333336)</f>
        <v>38496.64583</v>
      </c>
      <c r="B1351" s="1">
        <f>IFERROR(__xludf.DUMMYFUNCTION("""COMPUTED_VALUE"""),128.9)</f>
        <v>128.9</v>
      </c>
      <c r="C1351" s="1">
        <f>IFERROR(__xludf.DUMMYFUNCTION("""COMPUTED_VALUE"""),129.9)</f>
        <v>129.9</v>
      </c>
      <c r="D1351" s="1">
        <f>IFERROR(__xludf.DUMMYFUNCTION("""COMPUTED_VALUE"""),127.9)</f>
        <v>127.9</v>
      </c>
      <c r="E1351" s="1">
        <f>IFERROR(__xludf.DUMMYFUNCTION("""COMPUTED_VALUE"""),129.3)</f>
        <v>129.3</v>
      </c>
      <c r="F1351" s="1">
        <f>IFERROR(__xludf.DUMMYFUNCTION("""COMPUTED_VALUE"""),2228859.0)</f>
        <v>2228859</v>
      </c>
    </row>
    <row r="1352">
      <c r="A1352" s="2">
        <f>IFERROR(__xludf.DUMMYFUNCTION("""COMPUTED_VALUE"""),38497.645833333336)</f>
        <v>38497.64583</v>
      </c>
      <c r="B1352" s="1">
        <f>IFERROR(__xludf.DUMMYFUNCTION("""COMPUTED_VALUE"""),129.45)</f>
        <v>129.45</v>
      </c>
      <c r="C1352" s="1">
        <f>IFERROR(__xludf.DUMMYFUNCTION("""COMPUTED_VALUE"""),130.0)</f>
        <v>130</v>
      </c>
      <c r="D1352" s="1">
        <f>IFERROR(__xludf.DUMMYFUNCTION("""COMPUTED_VALUE"""),128.75)</f>
        <v>128.75</v>
      </c>
      <c r="E1352" s="1">
        <f>IFERROR(__xludf.DUMMYFUNCTION("""COMPUTED_VALUE"""),129.45)</f>
        <v>129.45</v>
      </c>
      <c r="F1352" s="1">
        <f>IFERROR(__xludf.DUMMYFUNCTION("""COMPUTED_VALUE"""),831238.0)</f>
        <v>831238</v>
      </c>
    </row>
    <row r="1353">
      <c r="A1353" s="2">
        <f>IFERROR(__xludf.DUMMYFUNCTION("""COMPUTED_VALUE"""),38498.645833333336)</f>
        <v>38498.64583</v>
      </c>
      <c r="B1353" s="1">
        <f>IFERROR(__xludf.DUMMYFUNCTION("""COMPUTED_VALUE"""),129.45)</f>
        <v>129.45</v>
      </c>
      <c r="C1353" s="1">
        <f>IFERROR(__xludf.DUMMYFUNCTION("""COMPUTED_VALUE"""),133.25)</f>
        <v>133.25</v>
      </c>
      <c r="D1353" s="1">
        <f>IFERROR(__xludf.DUMMYFUNCTION("""COMPUTED_VALUE"""),129.0)</f>
        <v>129</v>
      </c>
      <c r="E1353" s="1">
        <f>IFERROR(__xludf.DUMMYFUNCTION("""COMPUTED_VALUE"""),132.05)</f>
        <v>132.05</v>
      </c>
      <c r="F1353" s="1">
        <f>IFERROR(__xludf.DUMMYFUNCTION("""COMPUTED_VALUE"""),3204389.0)</f>
        <v>3204389</v>
      </c>
    </row>
    <row r="1354">
      <c r="A1354" s="2">
        <f>IFERROR(__xludf.DUMMYFUNCTION("""COMPUTED_VALUE"""),38499.645833333336)</f>
        <v>38499.64583</v>
      </c>
      <c r="B1354" s="1">
        <f>IFERROR(__xludf.DUMMYFUNCTION("""COMPUTED_VALUE"""),131.25)</f>
        <v>131.25</v>
      </c>
      <c r="C1354" s="1">
        <f>IFERROR(__xludf.DUMMYFUNCTION("""COMPUTED_VALUE"""),141.65)</f>
        <v>141.65</v>
      </c>
      <c r="D1354" s="1">
        <f>IFERROR(__xludf.DUMMYFUNCTION("""COMPUTED_VALUE"""),131.25)</f>
        <v>131.25</v>
      </c>
      <c r="E1354" s="1">
        <f>IFERROR(__xludf.DUMMYFUNCTION("""COMPUTED_VALUE"""),138.2)</f>
        <v>138.2</v>
      </c>
      <c r="F1354" s="1">
        <f>IFERROR(__xludf.DUMMYFUNCTION("""COMPUTED_VALUE"""),5288719.0)</f>
        <v>5288719</v>
      </c>
    </row>
    <row r="1355">
      <c r="A1355" s="2">
        <f>IFERROR(__xludf.DUMMYFUNCTION("""COMPUTED_VALUE"""),38502.645833333336)</f>
        <v>38502.64583</v>
      </c>
      <c r="B1355" s="1">
        <f>IFERROR(__xludf.DUMMYFUNCTION("""COMPUTED_VALUE"""),139.0)</f>
        <v>139</v>
      </c>
      <c r="C1355" s="1">
        <f>IFERROR(__xludf.DUMMYFUNCTION("""COMPUTED_VALUE"""),145.45)</f>
        <v>145.45</v>
      </c>
      <c r="D1355" s="1">
        <f>IFERROR(__xludf.DUMMYFUNCTION("""COMPUTED_VALUE"""),138.3)</f>
        <v>138.3</v>
      </c>
      <c r="E1355" s="1">
        <f>IFERROR(__xludf.DUMMYFUNCTION("""COMPUTED_VALUE"""),144.45)</f>
        <v>144.45</v>
      </c>
      <c r="F1355" s="1">
        <f>IFERROR(__xludf.DUMMYFUNCTION("""COMPUTED_VALUE"""),4787139.0)</f>
        <v>4787139</v>
      </c>
    </row>
    <row r="1356">
      <c r="A1356" s="2">
        <f>IFERROR(__xludf.DUMMYFUNCTION("""COMPUTED_VALUE"""),38503.645833333336)</f>
        <v>38503.64583</v>
      </c>
      <c r="B1356" s="1">
        <f>IFERROR(__xludf.DUMMYFUNCTION("""COMPUTED_VALUE"""),144.0)</f>
        <v>144</v>
      </c>
      <c r="C1356" s="1">
        <f>IFERROR(__xludf.DUMMYFUNCTION("""COMPUTED_VALUE"""),144.0)</f>
        <v>144</v>
      </c>
      <c r="D1356" s="1">
        <f>IFERROR(__xludf.DUMMYFUNCTION("""COMPUTED_VALUE"""),141.2)</f>
        <v>141.2</v>
      </c>
      <c r="E1356" s="1">
        <f>IFERROR(__xludf.DUMMYFUNCTION("""COMPUTED_VALUE"""),143.25)</f>
        <v>143.25</v>
      </c>
      <c r="F1356" s="1">
        <f>IFERROR(__xludf.DUMMYFUNCTION("""COMPUTED_VALUE"""),1495068.0)</f>
        <v>1495068</v>
      </c>
    </row>
    <row r="1357">
      <c r="A1357" s="2">
        <f>IFERROR(__xludf.DUMMYFUNCTION("""COMPUTED_VALUE"""),38504.645833333336)</f>
        <v>38504.64583</v>
      </c>
      <c r="B1357" s="1">
        <f>IFERROR(__xludf.DUMMYFUNCTION("""COMPUTED_VALUE"""),143.2)</f>
        <v>143.2</v>
      </c>
      <c r="C1357" s="1">
        <f>IFERROR(__xludf.DUMMYFUNCTION("""COMPUTED_VALUE"""),150.15)</f>
        <v>150.15</v>
      </c>
      <c r="D1357" s="1">
        <f>IFERROR(__xludf.DUMMYFUNCTION("""COMPUTED_VALUE"""),142.9)</f>
        <v>142.9</v>
      </c>
      <c r="E1357" s="1">
        <f>IFERROR(__xludf.DUMMYFUNCTION("""COMPUTED_VALUE"""),149.0)</f>
        <v>149</v>
      </c>
      <c r="F1357" s="1">
        <f>IFERROR(__xludf.DUMMYFUNCTION("""COMPUTED_VALUE"""),6428462.0)</f>
        <v>6428462</v>
      </c>
    </row>
    <row r="1358">
      <c r="A1358" s="2">
        <f>IFERROR(__xludf.DUMMYFUNCTION("""COMPUTED_VALUE"""),38505.645833333336)</f>
        <v>38505.64583</v>
      </c>
      <c r="B1358" s="1">
        <f>IFERROR(__xludf.DUMMYFUNCTION("""COMPUTED_VALUE"""),149.45)</f>
        <v>149.45</v>
      </c>
      <c r="C1358" s="1">
        <f>IFERROR(__xludf.DUMMYFUNCTION("""COMPUTED_VALUE"""),149.9)</f>
        <v>149.9</v>
      </c>
      <c r="D1358" s="1">
        <f>IFERROR(__xludf.DUMMYFUNCTION("""COMPUTED_VALUE"""),146.15)</f>
        <v>146.15</v>
      </c>
      <c r="E1358" s="1">
        <f>IFERROR(__xludf.DUMMYFUNCTION("""COMPUTED_VALUE"""),147.35)</f>
        <v>147.35</v>
      </c>
      <c r="F1358" s="1">
        <f>IFERROR(__xludf.DUMMYFUNCTION("""COMPUTED_VALUE"""),2549324.0)</f>
        <v>2549324</v>
      </c>
    </row>
    <row r="1359">
      <c r="A1359" s="2">
        <f>IFERROR(__xludf.DUMMYFUNCTION("""COMPUTED_VALUE"""),38506.645833333336)</f>
        <v>38506.64583</v>
      </c>
      <c r="B1359" s="1">
        <f>IFERROR(__xludf.DUMMYFUNCTION("""COMPUTED_VALUE"""),147.35)</f>
        <v>147.35</v>
      </c>
      <c r="C1359" s="1">
        <f>IFERROR(__xludf.DUMMYFUNCTION("""COMPUTED_VALUE"""),147.85)</f>
        <v>147.85</v>
      </c>
      <c r="D1359" s="1">
        <f>IFERROR(__xludf.DUMMYFUNCTION("""COMPUTED_VALUE"""),145.7)</f>
        <v>145.7</v>
      </c>
      <c r="E1359" s="1">
        <f>IFERROR(__xludf.DUMMYFUNCTION("""COMPUTED_VALUE"""),146.8)</f>
        <v>146.8</v>
      </c>
      <c r="F1359" s="1">
        <f>IFERROR(__xludf.DUMMYFUNCTION("""COMPUTED_VALUE"""),2616560.0)</f>
        <v>2616560</v>
      </c>
    </row>
    <row r="1360">
      <c r="A1360" s="2">
        <f>IFERROR(__xludf.DUMMYFUNCTION("""COMPUTED_VALUE"""),38509.645833333336)</f>
        <v>38509.64583</v>
      </c>
      <c r="B1360" s="1">
        <f>IFERROR(__xludf.DUMMYFUNCTION("""COMPUTED_VALUE"""),151.05)</f>
        <v>151.05</v>
      </c>
      <c r="C1360" s="1">
        <f>IFERROR(__xludf.DUMMYFUNCTION("""COMPUTED_VALUE"""),151.15)</f>
        <v>151.15</v>
      </c>
      <c r="D1360" s="1">
        <f>IFERROR(__xludf.DUMMYFUNCTION("""COMPUTED_VALUE"""),146.75)</f>
        <v>146.75</v>
      </c>
      <c r="E1360" s="1">
        <f>IFERROR(__xludf.DUMMYFUNCTION("""COMPUTED_VALUE"""),147.6)</f>
        <v>147.6</v>
      </c>
      <c r="F1360" s="1">
        <f>IFERROR(__xludf.DUMMYFUNCTION("""COMPUTED_VALUE"""),2101110.0)</f>
        <v>2101110</v>
      </c>
    </row>
    <row r="1361">
      <c r="A1361" s="2">
        <f>IFERROR(__xludf.DUMMYFUNCTION("""COMPUTED_VALUE"""),38510.645833333336)</f>
        <v>38510.64583</v>
      </c>
      <c r="B1361" s="1">
        <f>IFERROR(__xludf.DUMMYFUNCTION("""COMPUTED_VALUE"""),145.0)</f>
        <v>145</v>
      </c>
      <c r="C1361" s="1">
        <f>IFERROR(__xludf.DUMMYFUNCTION("""COMPUTED_VALUE"""),145.95)</f>
        <v>145.95</v>
      </c>
      <c r="D1361" s="1">
        <f>IFERROR(__xludf.DUMMYFUNCTION("""COMPUTED_VALUE"""),142.5)</f>
        <v>142.5</v>
      </c>
      <c r="E1361" s="1">
        <f>IFERROR(__xludf.DUMMYFUNCTION("""COMPUTED_VALUE"""),143.5)</f>
        <v>143.5</v>
      </c>
      <c r="F1361" s="1">
        <f>IFERROR(__xludf.DUMMYFUNCTION("""COMPUTED_VALUE"""),2079064.0)</f>
        <v>2079064</v>
      </c>
    </row>
    <row r="1362">
      <c r="A1362" s="2">
        <f>IFERROR(__xludf.DUMMYFUNCTION("""COMPUTED_VALUE"""),38511.645833333336)</f>
        <v>38511.64583</v>
      </c>
      <c r="B1362" s="1">
        <f>IFERROR(__xludf.DUMMYFUNCTION("""COMPUTED_VALUE"""),143.0)</f>
        <v>143</v>
      </c>
      <c r="C1362" s="1">
        <f>IFERROR(__xludf.DUMMYFUNCTION("""COMPUTED_VALUE"""),144.8)</f>
        <v>144.8</v>
      </c>
      <c r="D1362" s="1">
        <f>IFERROR(__xludf.DUMMYFUNCTION("""COMPUTED_VALUE"""),141.0)</f>
        <v>141</v>
      </c>
      <c r="E1362" s="1">
        <f>IFERROR(__xludf.DUMMYFUNCTION("""COMPUTED_VALUE"""),142.45)</f>
        <v>142.45</v>
      </c>
      <c r="F1362" s="1">
        <f>IFERROR(__xludf.DUMMYFUNCTION("""COMPUTED_VALUE"""),2300268.0)</f>
        <v>2300268</v>
      </c>
    </row>
    <row r="1363">
      <c r="A1363" s="2">
        <f>IFERROR(__xludf.DUMMYFUNCTION("""COMPUTED_VALUE"""),38512.645833333336)</f>
        <v>38512.64583</v>
      </c>
      <c r="B1363" s="1">
        <f>IFERROR(__xludf.DUMMYFUNCTION("""COMPUTED_VALUE"""),143.0)</f>
        <v>143</v>
      </c>
      <c r="C1363" s="1">
        <f>IFERROR(__xludf.DUMMYFUNCTION("""COMPUTED_VALUE"""),148.65)</f>
        <v>148.65</v>
      </c>
      <c r="D1363" s="1">
        <f>IFERROR(__xludf.DUMMYFUNCTION("""COMPUTED_VALUE"""),142.85)</f>
        <v>142.85</v>
      </c>
      <c r="E1363" s="1">
        <f>IFERROR(__xludf.DUMMYFUNCTION("""COMPUTED_VALUE"""),147.8)</f>
        <v>147.8</v>
      </c>
      <c r="F1363" s="1">
        <f>IFERROR(__xludf.DUMMYFUNCTION("""COMPUTED_VALUE"""),3097929.0)</f>
        <v>3097929</v>
      </c>
    </row>
    <row r="1364">
      <c r="A1364" s="2">
        <f>IFERROR(__xludf.DUMMYFUNCTION("""COMPUTED_VALUE"""),38513.645833333336)</f>
        <v>38513.64583</v>
      </c>
      <c r="B1364" s="1">
        <f>IFERROR(__xludf.DUMMYFUNCTION("""COMPUTED_VALUE"""),149.0)</f>
        <v>149</v>
      </c>
      <c r="C1364" s="1">
        <f>IFERROR(__xludf.DUMMYFUNCTION("""COMPUTED_VALUE"""),149.0)</f>
        <v>149</v>
      </c>
      <c r="D1364" s="1">
        <f>IFERROR(__xludf.DUMMYFUNCTION("""COMPUTED_VALUE"""),145.25)</f>
        <v>145.25</v>
      </c>
      <c r="E1364" s="1">
        <f>IFERROR(__xludf.DUMMYFUNCTION("""COMPUTED_VALUE"""),145.9)</f>
        <v>145.9</v>
      </c>
      <c r="F1364" s="1">
        <f>IFERROR(__xludf.DUMMYFUNCTION("""COMPUTED_VALUE"""),1253856.0)</f>
        <v>1253856</v>
      </c>
    </row>
    <row r="1365">
      <c r="A1365" s="2">
        <f>IFERROR(__xludf.DUMMYFUNCTION("""COMPUTED_VALUE"""),38516.645833333336)</f>
        <v>38516.64583</v>
      </c>
      <c r="B1365" s="1">
        <f>IFERROR(__xludf.DUMMYFUNCTION("""COMPUTED_VALUE"""),146.4)</f>
        <v>146.4</v>
      </c>
      <c r="C1365" s="1">
        <f>IFERROR(__xludf.DUMMYFUNCTION("""COMPUTED_VALUE"""),150.0)</f>
        <v>150</v>
      </c>
      <c r="D1365" s="1">
        <f>IFERROR(__xludf.DUMMYFUNCTION("""COMPUTED_VALUE"""),145.55)</f>
        <v>145.55</v>
      </c>
      <c r="E1365" s="1">
        <f>IFERROR(__xludf.DUMMYFUNCTION("""COMPUTED_VALUE"""),149.7)</f>
        <v>149.7</v>
      </c>
      <c r="F1365" s="1">
        <f>IFERROR(__xludf.DUMMYFUNCTION("""COMPUTED_VALUE"""),2287657.0)</f>
        <v>2287657</v>
      </c>
    </row>
    <row r="1366">
      <c r="A1366" s="2">
        <f>IFERROR(__xludf.DUMMYFUNCTION("""COMPUTED_VALUE"""),38517.645833333336)</f>
        <v>38517.64583</v>
      </c>
      <c r="B1366" s="1">
        <f>IFERROR(__xludf.DUMMYFUNCTION("""COMPUTED_VALUE"""),149.95)</f>
        <v>149.95</v>
      </c>
      <c r="C1366" s="1">
        <f>IFERROR(__xludf.DUMMYFUNCTION("""COMPUTED_VALUE"""),149.95)</f>
        <v>149.95</v>
      </c>
      <c r="D1366" s="1">
        <f>IFERROR(__xludf.DUMMYFUNCTION("""COMPUTED_VALUE"""),146.5)</f>
        <v>146.5</v>
      </c>
      <c r="E1366" s="1">
        <f>IFERROR(__xludf.DUMMYFUNCTION("""COMPUTED_VALUE"""),148.0)</f>
        <v>148</v>
      </c>
      <c r="F1366" s="1">
        <f>IFERROR(__xludf.DUMMYFUNCTION("""COMPUTED_VALUE"""),1194861.0)</f>
        <v>1194861</v>
      </c>
    </row>
    <row r="1367">
      <c r="A1367" s="2">
        <f>IFERROR(__xludf.DUMMYFUNCTION("""COMPUTED_VALUE"""),38518.645833333336)</f>
        <v>38518.64583</v>
      </c>
      <c r="B1367" s="1">
        <f>IFERROR(__xludf.DUMMYFUNCTION("""COMPUTED_VALUE"""),147.2)</f>
        <v>147.2</v>
      </c>
      <c r="C1367" s="1">
        <f>IFERROR(__xludf.DUMMYFUNCTION("""COMPUTED_VALUE"""),150.25)</f>
        <v>150.25</v>
      </c>
      <c r="D1367" s="1">
        <f>IFERROR(__xludf.DUMMYFUNCTION("""COMPUTED_VALUE"""),147.2)</f>
        <v>147.2</v>
      </c>
      <c r="E1367" s="1">
        <f>IFERROR(__xludf.DUMMYFUNCTION("""COMPUTED_VALUE"""),149.1)</f>
        <v>149.1</v>
      </c>
      <c r="F1367" s="1">
        <f>IFERROR(__xludf.DUMMYFUNCTION("""COMPUTED_VALUE"""),1998457.0)</f>
        <v>1998457</v>
      </c>
    </row>
    <row r="1368">
      <c r="A1368" s="2">
        <f>IFERROR(__xludf.DUMMYFUNCTION("""COMPUTED_VALUE"""),38519.645833333336)</f>
        <v>38519.64583</v>
      </c>
      <c r="B1368" s="1">
        <f>IFERROR(__xludf.DUMMYFUNCTION("""COMPUTED_VALUE"""),149.45)</f>
        <v>149.45</v>
      </c>
      <c r="C1368" s="1">
        <f>IFERROR(__xludf.DUMMYFUNCTION("""COMPUTED_VALUE"""),151.75)</f>
        <v>151.75</v>
      </c>
      <c r="D1368" s="1">
        <f>IFERROR(__xludf.DUMMYFUNCTION("""COMPUTED_VALUE"""),148.1)</f>
        <v>148.1</v>
      </c>
      <c r="E1368" s="1">
        <f>IFERROR(__xludf.DUMMYFUNCTION("""COMPUTED_VALUE"""),149.2)</f>
        <v>149.2</v>
      </c>
      <c r="F1368" s="1">
        <f>IFERROR(__xludf.DUMMYFUNCTION("""COMPUTED_VALUE"""),2752353.0)</f>
        <v>2752353</v>
      </c>
    </row>
    <row r="1369">
      <c r="A1369" s="2">
        <f>IFERROR(__xludf.DUMMYFUNCTION("""COMPUTED_VALUE"""),38520.645833333336)</f>
        <v>38520.64583</v>
      </c>
      <c r="B1369" s="1">
        <f>IFERROR(__xludf.DUMMYFUNCTION("""COMPUTED_VALUE"""),149.0)</f>
        <v>149</v>
      </c>
      <c r="C1369" s="1">
        <f>IFERROR(__xludf.DUMMYFUNCTION("""COMPUTED_VALUE"""),150.05)</f>
        <v>150.05</v>
      </c>
      <c r="D1369" s="1">
        <f>IFERROR(__xludf.DUMMYFUNCTION("""COMPUTED_VALUE"""),145.6)</f>
        <v>145.6</v>
      </c>
      <c r="E1369" s="1">
        <f>IFERROR(__xludf.DUMMYFUNCTION("""COMPUTED_VALUE"""),149.35)</f>
        <v>149.35</v>
      </c>
      <c r="F1369" s="1">
        <f>IFERROR(__xludf.DUMMYFUNCTION("""COMPUTED_VALUE"""),1493832.0)</f>
        <v>1493832</v>
      </c>
    </row>
    <row r="1370">
      <c r="A1370" s="2">
        <f>IFERROR(__xludf.DUMMYFUNCTION("""COMPUTED_VALUE"""),38523.645833333336)</f>
        <v>38523.64583</v>
      </c>
      <c r="B1370" s="1">
        <f>IFERROR(__xludf.DUMMYFUNCTION("""COMPUTED_VALUE"""),149.95)</f>
        <v>149.95</v>
      </c>
      <c r="C1370" s="1">
        <f>IFERROR(__xludf.DUMMYFUNCTION("""COMPUTED_VALUE"""),151.35)</f>
        <v>151.35</v>
      </c>
      <c r="D1370" s="1">
        <f>IFERROR(__xludf.DUMMYFUNCTION("""COMPUTED_VALUE"""),146.5)</f>
        <v>146.5</v>
      </c>
      <c r="E1370" s="1">
        <f>IFERROR(__xludf.DUMMYFUNCTION("""COMPUTED_VALUE"""),148.4)</f>
        <v>148.4</v>
      </c>
      <c r="F1370" s="1">
        <f>IFERROR(__xludf.DUMMYFUNCTION("""COMPUTED_VALUE"""),1544339.0)</f>
        <v>1544339</v>
      </c>
    </row>
    <row r="1371">
      <c r="A1371" s="2">
        <f>IFERROR(__xludf.DUMMYFUNCTION("""COMPUTED_VALUE"""),38524.645833333336)</f>
        <v>38524.64583</v>
      </c>
      <c r="B1371" s="1">
        <f>IFERROR(__xludf.DUMMYFUNCTION("""COMPUTED_VALUE"""),148.4)</f>
        <v>148.4</v>
      </c>
      <c r="C1371" s="1">
        <f>IFERROR(__xludf.DUMMYFUNCTION("""COMPUTED_VALUE"""),154.0)</f>
        <v>154</v>
      </c>
      <c r="D1371" s="1">
        <f>IFERROR(__xludf.DUMMYFUNCTION("""COMPUTED_VALUE"""),148.0)</f>
        <v>148</v>
      </c>
      <c r="E1371" s="1">
        <f>IFERROR(__xludf.DUMMYFUNCTION("""COMPUTED_VALUE"""),152.65)</f>
        <v>152.65</v>
      </c>
      <c r="F1371" s="1">
        <f>IFERROR(__xludf.DUMMYFUNCTION("""COMPUTED_VALUE"""),3042971.0)</f>
        <v>3042971</v>
      </c>
    </row>
    <row r="1372">
      <c r="A1372" s="2">
        <f>IFERROR(__xludf.DUMMYFUNCTION("""COMPUTED_VALUE"""),38525.645833333336)</f>
        <v>38525.64583</v>
      </c>
      <c r="B1372" s="1">
        <f>IFERROR(__xludf.DUMMYFUNCTION("""COMPUTED_VALUE"""),156.0)</f>
        <v>156</v>
      </c>
      <c r="C1372" s="1">
        <f>IFERROR(__xludf.DUMMYFUNCTION("""COMPUTED_VALUE"""),156.0)</f>
        <v>156</v>
      </c>
      <c r="D1372" s="1">
        <f>IFERROR(__xludf.DUMMYFUNCTION("""COMPUTED_VALUE"""),152.5)</f>
        <v>152.5</v>
      </c>
      <c r="E1372" s="1">
        <f>IFERROR(__xludf.DUMMYFUNCTION("""COMPUTED_VALUE"""),154.4)</f>
        <v>154.4</v>
      </c>
      <c r="F1372" s="1">
        <f>IFERROR(__xludf.DUMMYFUNCTION("""COMPUTED_VALUE"""),3502167.0)</f>
        <v>3502167</v>
      </c>
    </row>
    <row r="1373">
      <c r="A1373" s="2">
        <f>IFERROR(__xludf.DUMMYFUNCTION("""COMPUTED_VALUE"""),38526.645833333336)</f>
        <v>38526.64583</v>
      </c>
      <c r="B1373" s="1">
        <f>IFERROR(__xludf.DUMMYFUNCTION("""COMPUTED_VALUE"""),155.0)</f>
        <v>155</v>
      </c>
      <c r="C1373" s="1">
        <f>IFERROR(__xludf.DUMMYFUNCTION("""COMPUTED_VALUE"""),156.7)</f>
        <v>156.7</v>
      </c>
      <c r="D1373" s="1">
        <f>IFERROR(__xludf.DUMMYFUNCTION("""COMPUTED_VALUE"""),153.1)</f>
        <v>153.1</v>
      </c>
      <c r="E1373" s="1">
        <f>IFERROR(__xludf.DUMMYFUNCTION("""COMPUTED_VALUE"""),155.35)</f>
        <v>155.35</v>
      </c>
      <c r="F1373" s="1">
        <f>IFERROR(__xludf.DUMMYFUNCTION("""COMPUTED_VALUE"""),2414973.0)</f>
        <v>2414973</v>
      </c>
    </row>
    <row r="1374">
      <c r="A1374" s="2">
        <f>IFERROR(__xludf.DUMMYFUNCTION("""COMPUTED_VALUE"""),38527.645833333336)</f>
        <v>38527.64583</v>
      </c>
      <c r="B1374" s="1">
        <f>IFERROR(__xludf.DUMMYFUNCTION("""COMPUTED_VALUE"""),153.8)</f>
        <v>153.8</v>
      </c>
      <c r="C1374" s="1">
        <f>IFERROR(__xludf.DUMMYFUNCTION("""COMPUTED_VALUE"""),164.45)</f>
        <v>164.45</v>
      </c>
      <c r="D1374" s="1">
        <f>IFERROR(__xludf.DUMMYFUNCTION("""COMPUTED_VALUE"""),152.05)</f>
        <v>152.05</v>
      </c>
      <c r="E1374" s="1">
        <f>IFERROR(__xludf.DUMMYFUNCTION("""COMPUTED_VALUE"""),163.2)</f>
        <v>163.2</v>
      </c>
      <c r="F1374" s="1">
        <f>IFERROR(__xludf.DUMMYFUNCTION("""COMPUTED_VALUE"""),5712639.0)</f>
        <v>5712639</v>
      </c>
    </row>
    <row r="1375">
      <c r="A1375" s="2">
        <f>IFERROR(__xludf.DUMMYFUNCTION("""COMPUTED_VALUE"""),38530.645833333336)</f>
        <v>38530.64583</v>
      </c>
      <c r="B1375" s="1">
        <f>IFERROR(__xludf.DUMMYFUNCTION("""COMPUTED_VALUE"""),163.0)</f>
        <v>163</v>
      </c>
      <c r="C1375" s="1">
        <f>IFERROR(__xludf.DUMMYFUNCTION("""COMPUTED_VALUE"""),165.15)</f>
        <v>165.15</v>
      </c>
      <c r="D1375" s="1">
        <f>IFERROR(__xludf.DUMMYFUNCTION("""COMPUTED_VALUE"""),161.1)</f>
        <v>161.1</v>
      </c>
      <c r="E1375" s="1">
        <f>IFERROR(__xludf.DUMMYFUNCTION("""COMPUTED_VALUE"""),162.45)</f>
        <v>162.45</v>
      </c>
      <c r="F1375" s="1">
        <f>IFERROR(__xludf.DUMMYFUNCTION("""COMPUTED_VALUE"""),4164970.0)</f>
        <v>4164970</v>
      </c>
    </row>
    <row r="1376">
      <c r="A1376" s="2">
        <f>IFERROR(__xludf.DUMMYFUNCTION("""COMPUTED_VALUE"""),38531.645833333336)</f>
        <v>38531.64583</v>
      </c>
      <c r="B1376" s="1">
        <f>IFERROR(__xludf.DUMMYFUNCTION("""COMPUTED_VALUE"""),163.05)</f>
        <v>163.05</v>
      </c>
      <c r="C1376" s="1">
        <f>IFERROR(__xludf.DUMMYFUNCTION("""COMPUTED_VALUE"""),168.4)</f>
        <v>168.4</v>
      </c>
      <c r="D1376" s="1">
        <f>IFERROR(__xludf.DUMMYFUNCTION("""COMPUTED_VALUE"""),162.2)</f>
        <v>162.2</v>
      </c>
      <c r="E1376" s="1">
        <f>IFERROR(__xludf.DUMMYFUNCTION("""COMPUTED_VALUE"""),162.8)</f>
        <v>162.8</v>
      </c>
      <c r="F1376" s="1">
        <f>IFERROR(__xludf.DUMMYFUNCTION("""COMPUTED_VALUE"""),4347028.0)</f>
        <v>4347028</v>
      </c>
    </row>
    <row r="1377">
      <c r="A1377" s="2">
        <f>IFERROR(__xludf.DUMMYFUNCTION("""COMPUTED_VALUE"""),38532.645833333336)</f>
        <v>38532.64583</v>
      </c>
      <c r="B1377" s="1">
        <f>IFERROR(__xludf.DUMMYFUNCTION("""COMPUTED_VALUE"""),163.5)</f>
        <v>163.5</v>
      </c>
      <c r="C1377" s="1">
        <f>IFERROR(__xludf.DUMMYFUNCTION("""COMPUTED_VALUE"""),165.0)</f>
        <v>165</v>
      </c>
      <c r="D1377" s="1">
        <f>IFERROR(__xludf.DUMMYFUNCTION("""COMPUTED_VALUE"""),161.0)</f>
        <v>161</v>
      </c>
      <c r="E1377" s="1">
        <f>IFERROR(__xludf.DUMMYFUNCTION("""COMPUTED_VALUE"""),162.75)</f>
        <v>162.75</v>
      </c>
      <c r="F1377" s="1">
        <f>IFERROR(__xludf.DUMMYFUNCTION("""COMPUTED_VALUE"""),2080072.0)</f>
        <v>2080072</v>
      </c>
    </row>
    <row r="1378">
      <c r="A1378" s="2">
        <f>IFERROR(__xludf.DUMMYFUNCTION("""COMPUTED_VALUE"""),38533.645833333336)</f>
        <v>38533.64583</v>
      </c>
      <c r="B1378" s="1">
        <f>IFERROR(__xludf.DUMMYFUNCTION("""COMPUTED_VALUE"""),163.0)</f>
        <v>163</v>
      </c>
      <c r="C1378" s="1">
        <f>IFERROR(__xludf.DUMMYFUNCTION("""COMPUTED_VALUE"""),165.5)</f>
        <v>165.5</v>
      </c>
      <c r="D1378" s="1">
        <f>IFERROR(__xludf.DUMMYFUNCTION("""COMPUTED_VALUE"""),160.6)</f>
        <v>160.6</v>
      </c>
      <c r="E1378" s="1">
        <f>IFERROR(__xludf.DUMMYFUNCTION("""COMPUTED_VALUE"""),164.05)</f>
        <v>164.05</v>
      </c>
      <c r="F1378" s="1">
        <f>IFERROR(__xludf.DUMMYFUNCTION("""COMPUTED_VALUE"""),4314541.0)</f>
        <v>4314541</v>
      </c>
    </row>
    <row r="1379">
      <c r="A1379" s="2">
        <f>IFERROR(__xludf.DUMMYFUNCTION("""COMPUTED_VALUE"""),38534.645833333336)</f>
        <v>38534.64583</v>
      </c>
      <c r="B1379" s="1">
        <f>IFERROR(__xludf.DUMMYFUNCTION("""COMPUTED_VALUE"""),164.0)</f>
        <v>164</v>
      </c>
      <c r="C1379" s="1">
        <f>IFERROR(__xludf.DUMMYFUNCTION("""COMPUTED_VALUE"""),167.8)</f>
        <v>167.8</v>
      </c>
      <c r="D1379" s="1">
        <f>IFERROR(__xludf.DUMMYFUNCTION("""COMPUTED_VALUE"""),163.35)</f>
        <v>163.35</v>
      </c>
      <c r="E1379" s="1">
        <f>IFERROR(__xludf.DUMMYFUNCTION("""COMPUTED_VALUE"""),164.85)</f>
        <v>164.85</v>
      </c>
      <c r="F1379" s="1">
        <f>IFERROR(__xludf.DUMMYFUNCTION("""COMPUTED_VALUE"""),3786339.0)</f>
        <v>3786339</v>
      </c>
    </row>
    <row r="1380">
      <c r="A1380" s="2">
        <f>IFERROR(__xludf.DUMMYFUNCTION("""COMPUTED_VALUE"""),38537.645833333336)</f>
        <v>38537.64583</v>
      </c>
      <c r="B1380" s="1">
        <f>IFERROR(__xludf.DUMMYFUNCTION("""COMPUTED_VALUE"""),164.05)</f>
        <v>164.05</v>
      </c>
      <c r="C1380" s="1">
        <f>IFERROR(__xludf.DUMMYFUNCTION("""COMPUTED_VALUE"""),166.4)</f>
        <v>166.4</v>
      </c>
      <c r="D1380" s="1">
        <f>IFERROR(__xludf.DUMMYFUNCTION("""COMPUTED_VALUE"""),163.5)</f>
        <v>163.5</v>
      </c>
      <c r="E1380" s="1">
        <f>IFERROR(__xludf.DUMMYFUNCTION("""COMPUTED_VALUE"""),164.3)</f>
        <v>164.3</v>
      </c>
      <c r="F1380" s="1">
        <f>IFERROR(__xludf.DUMMYFUNCTION("""COMPUTED_VALUE"""),1639641.0)</f>
        <v>1639641</v>
      </c>
    </row>
    <row r="1381">
      <c r="A1381" s="2">
        <f>IFERROR(__xludf.DUMMYFUNCTION("""COMPUTED_VALUE"""),38538.645833333336)</f>
        <v>38538.64583</v>
      </c>
      <c r="B1381" s="1">
        <f>IFERROR(__xludf.DUMMYFUNCTION("""COMPUTED_VALUE"""),164.5)</f>
        <v>164.5</v>
      </c>
      <c r="C1381" s="1">
        <f>IFERROR(__xludf.DUMMYFUNCTION("""COMPUTED_VALUE"""),165.9)</f>
        <v>165.9</v>
      </c>
      <c r="D1381" s="1">
        <f>IFERROR(__xludf.DUMMYFUNCTION("""COMPUTED_VALUE"""),160.55)</f>
        <v>160.55</v>
      </c>
      <c r="E1381" s="1">
        <f>IFERROR(__xludf.DUMMYFUNCTION("""COMPUTED_VALUE"""),162.8)</f>
        <v>162.8</v>
      </c>
      <c r="F1381" s="1">
        <f>IFERROR(__xludf.DUMMYFUNCTION("""COMPUTED_VALUE"""),2436363.0)</f>
        <v>2436363</v>
      </c>
    </row>
    <row r="1382">
      <c r="A1382" s="2">
        <f>IFERROR(__xludf.DUMMYFUNCTION("""COMPUTED_VALUE"""),38539.645833333336)</f>
        <v>38539.64583</v>
      </c>
      <c r="B1382" s="1">
        <f>IFERROR(__xludf.DUMMYFUNCTION("""COMPUTED_VALUE"""),164.0)</f>
        <v>164</v>
      </c>
      <c r="C1382" s="1">
        <f>IFERROR(__xludf.DUMMYFUNCTION("""COMPUTED_VALUE"""),164.3)</f>
        <v>164.3</v>
      </c>
      <c r="D1382" s="1">
        <f>IFERROR(__xludf.DUMMYFUNCTION("""COMPUTED_VALUE"""),162.05)</f>
        <v>162.05</v>
      </c>
      <c r="E1382" s="1">
        <f>IFERROR(__xludf.DUMMYFUNCTION("""COMPUTED_VALUE"""),163.15)</f>
        <v>163.15</v>
      </c>
      <c r="F1382" s="1">
        <f>IFERROR(__xludf.DUMMYFUNCTION("""COMPUTED_VALUE"""),1970008.0)</f>
        <v>1970008</v>
      </c>
    </row>
    <row r="1383">
      <c r="A1383" s="2">
        <f>IFERROR(__xludf.DUMMYFUNCTION("""COMPUTED_VALUE"""),38540.645833333336)</f>
        <v>38540.64583</v>
      </c>
      <c r="B1383" s="1">
        <f>IFERROR(__xludf.DUMMYFUNCTION("""COMPUTED_VALUE"""),164.0)</f>
        <v>164</v>
      </c>
      <c r="C1383" s="1">
        <f>IFERROR(__xludf.DUMMYFUNCTION("""COMPUTED_VALUE"""),164.4)</f>
        <v>164.4</v>
      </c>
      <c r="D1383" s="1">
        <f>IFERROR(__xludf.DUMMYFUNCTION("""COMPUTED_VALUE"""),156.1)</f>
        <v>156.1</v>
      </c>
      <c r="E1383" s="1">
        <f>IFERROR(__xludf.DUMMYFUNCTION("""COMPUTED_VALUE"""),158.35)</f>
        <v>158.35</v>
      </c>
      <c r="F1383" s="1">
        <f>IFERROR(__xludf.DUMMYFUNCTION("""COMPUTED_VALUE"""),2121302.0)</f>
        <v>2121302</v>
      </c>
    </row>
    <row r="1384">
      <c r="A1384" s="2">
        <f>IFERROR(__xludf.DUMMYFUNCTION("""COMPUTED_VALUE"""),38541.645833333336)</f>
        <v>38541.64583</v>
      </c>
      <c r="B1384" s="1">
        <f>IFERROR(__xludf.DUMMYFUNCTION("""COMPUTED_VALUE"""),160.55)</f>
        <v>160.55</v>
      </c>
      <c r="C1384" s="1">
        <f>IFERROR(__xludf.DUMMYFUNCTION("""COMPUTED_VALUE"""),162.0)</f>
        <v>162</v>
      </c>
      <c r="D1384" s="1">
        <f>IFERROR(__xludf.DUMMYFUNCTION("""COMPUTED_VALUE"""),157.55)</f>
        <v>157.55</v>
      </c>
      <c r="E1384" s="1">
        <f>IFERROR(__xludf.DUMMYFUNCTION("""COMPUTED_VALUE"""),158.65)</f>
        <v>158.65</v>
      </c>
      <c r="F1384" s="1">
        <f>IFERROR(__xludf.DUMMYFUNCTION("""COMPUTED_VALUE"""),1246085.0)</f>
        <v>1246085</v>
      </c>
    </row>
    <row r="1385">
      <c r="A1385" s="2">
        <f>IFERROR(__xludf.DUMMYFUNCTION("""COMPUTED_VALUE"""),38544.645833333336)</f>
        <v>38544.64583</v>
      </c>
      <c r="B1385" s="1">
        <f>IFERROR(__xludf.DUMMYFUNCTION("""COMPUTED_VALUE"""),160.15)</f>
        <v>160.15</v>
      </c>
      <c r="C1385" s="1">
        <f>IFERROR(__xludf.DUMMYFUNCTION("""COMPUTED_VALUE"""),160.5)</f>
        <v>160.5</v>
      </c>
      <c r="D1385" s="1">
        <f>IFERROR(__xludf.DUMMYFUNCTION("""COMPUTED_VALUE"""),157.0)</f>
        <v>157</v>
      </c>
      <c r="E1385" s="1">
        <f>IFERROR(__xludf.DUMMYFUNCTION("""COMPUTED_VALUE"""),158.2)</f>
        <v>158.2</v>
      </c>
      <c r="F1385" s="1">
        <f>IFERROR(__xludf.DUMMYFUNCTION("""COMPUTED_VALUE"""),1533261.0)</f>
        <v>1533261</v>
      </c>
    </row>
    <row r="1386">
      <c r="A1386" s="2">
        <f>IFERROR(__xludf.DUMMYFUNCTION("""COMPUTED_VALUE"""),38545.645833333336)</f>
        <v>38545.64583</v>
      </c>
      <c r="B1386" s="1">
        <f>IFERROR(__xludf.DUMMYFUNCTION("""COMPUTED_VALUE"""),159.0)</f>
        <v>159</v>
      </c>
      <c r="C1386" s="1">
        <f>IFERROR(__xludf.DUMMYFUNCTION("""COMPUTED_VALUE"""),162.0)</f>
        <v>162</v>
      </c>
      <c r="D1386" s="1">
        <f>IFERROR(__xludf.DUMMYFUNCTION("""COMPUTED_VALUE"""),158.0)</f>
        <v>158</v>
      </c>
      <c r="E1386" s="1">
        <f>IFERROR(__xludf.DUMMYFUNCTION("""COMPUTED_VALUE"""),158.75)</f>
        <v>158.75</v>
      </c>
      <c r="F1386" s="1">
        <f>IFERROR(__xludf.DUMMYFUNCTION("""COMPUTED_VALUE"""),3436745.0)</f>
        <v>3436745</v>
      </c>
    </row>
    <row r="1387">
      <c r="A1387" s="2">
        <f>IFERROR(__xludf.DUMMYFUNCTION("""COMPUTED_VALUE"""),38546.645833333336)</f>
        <v>38546.64583</v>
      </c>
      <c r="B1387" s="1">
        <f>IFERROR(__xludf.DUMMYFUNCTION("""COMPUTED_VALUE"""),158.8)</f>
        <v>158.8</v>
      </c>
      <c r="C1387" s="1">
        <f>IFERROR(__xludf.DUMMYFUNCTION("""COMPUTED_VALUE"""),160.0)</f>
        <v>160</v>
      </c>
      <c r="D1387" s="1">
        <f>IFERROR(__xludf.DUMMYFUNCTION("""COMPUTED_VALUE"""),156.15)</f>
        <v>156.15</v>
      </c>
      <c r="E1387" s="1">
        <f>IFERROR(__xludf.DUMMYFUNCTION("""COMPUTED_VALUE"""),156.7)</f>
        <v>156.7</v>
      </c>
      <c r="F1387" s="1">
        <f>IFERROR(__xludf.DUMMYFUNCTION("""COMPUTED_VALUE"""),1061879.0)</f>
        <v>1061879</v>
      </c>
    </row>
    <row r="1388">
      <c r="A1388" s="2">
        <f>IFERROR(__xludf.DUMMYFUNCTION("""COMPUTED_VALUE"""),38547.645833333336)</f>
        <v>38547.64583</v>
      </c>
      <c r="B1388" s="1">
        <f>IFERROR(__xludf.DUMMYFUNCTION("""COMPUTED_VALUE"""),157.0)</f>
        <v>157</v>
      </c>
      <c r="C1388" s="1">
        <f>IFERROR(__xludf.DUMMYFUNCTION("""COMPUTED_VALUE"""),158.45)</f>
        <v>158.45</v>
      </c>
      <c r="D1388" s="1">
        <f>IFERROR(__xludf.DUMMYFUNCTION("""COMPUTED_VALUE"""),155.15)</f>
        <v>155.15</v>
      </c>
      <c r="E1388" s="1">
        <f>IFERROR(__xludf.DUMMYFUNCTION("""COMPUTED_VALUE"""),155.65)</f>
        <v>155.65</v>
      </c>
      <c r="F1388" s="1">
        <f>IFERROR(__xludf.DUMMYFUNCTION("""COMPUTED_VALUE"""),2005818.0)</f>
        <v>2005818</v>
      </c>
    </row>
    <row r="1389">
      <c r="A1389" s="2">
        <f>IFERROR(__xludf.DUMMYFUNCTION("""COMPUTED_VALUE"""),38548.645833333336)</f>
        <v>38548.64583</v>
      </c>
      <c r="B1389" s="1">
        <f>IFERROR(__xludf.DUMMYFUNCTION("""COMPUTED_VALUE"""),156.5)</f>
        <v>156.5</v>
      </c>
      <c r="C1389" s="1">
        <f>IFERROR(__xludf.DUMMYFUNCTION("""COMPUTED_VALUE"""),157.5)</f>
        <v>157.5</v>
      </c>
      <c r="D1389" s="1">
        <f>IFERROR(__xludf.DUMMYFUNCTION("""COMPUTED_VALUE"""),152.1)</f>
        <v>152.1</v>
      </c>
      <c r="E1389" s="1">
        <f>IFERROR(__xludf.DUMMYFUNCTION("""COMPUTED_VALUE"""),156.3)</f>
        <v>156.3</v>
      </c>
      <c r="F1389" s="1">
        <f>IFERROR(__xludf.DUMMYFUNCTION("""COMPUTED_VALUE"""),1650194.0)</f>
        <v>1650194</v>
      </c>
    </row>
    <row r="1390">
      <c r="A1390" s="2">
        <f>IFERROR(__xludf.DUMMYFUNCTION("""COMPUTED_VALUE"""),38551.645833333336)</f>
        <v>38551.64583</v>
      </c>
      <c r="B1390" s="1">
        <f>IFERROR(__xludf.DUMMYFUNCTION("""COMPUTED_VALUE"""),157.1)</f>
        <v>157.1</v>
      </c>
      <c r="C1390" s="1">
        <f>IFERROR(__xludf.DUMMYFUNCTION("""COMPUTED_VALUE"""),160.9)</f>
        <v>160.9</v>
      </c>
      <c r="D1390" s="1">
        <f>IFERROR(__xludf.DUMMYFUNCTION("""COMPUTED_VALUE"""),157.1)</f>
        <v>157.1</v>
      </c>
      <c r="E1390" s="1">
        <f>IFERROR(__xludf.DUMMYFUNCTION("""COMPUTED_VALUE"""),159.95)</f>
        <v>159.95</v>
      </c>
      <c r="F1390" s="1">
        <f>IFERROR(__xludf.DUMMYFUNCTION("""COMPUTED_VALUE"""),2644670.0)</f>
        <v>2644670</v>
      </c>
    </row>
    <row r="1391">
      <c r="A1391" s="2">
        <f>IFERROR(__xludf.DUMMYFUNCTION("""COMPUTED_VALUE"""),38552.645833333336)</f>
        <v>38552.64583</v>
      </c>
      <c r="B1391" s="1">
        <f>IFERROR(__xludf.DUMMYFUNCTION("""COMPUTED_VALUE"""),160.9)</f>
        <v>160.9</v>
      </c>
      <c r="C1391" s="1">
        <f>IFERROR(__xludf.DUMMYFUNCTION("""COMPUTED_VALUE"""),162.3)</f>
        <v>162.3</v>
      </c>
      <c r="D1391" s="1">
        <f>IFERROR(__xludf.DUMMYFUNCTION("""COMPUTED_VALUE"""),159.5)</f>
        <v>159.5</v>
      </c>
      <c r="E1391" s="1">
        <f>IFERROR(__xludf.DUMMYFUNCTION("""COMPUTED_VALUE"""),159.9)</f>
        <v>159.9</v>
      </c>
      <c r="F1391" s="1">
        <f>IFERROR(__xludf.DUMMYFUNCTION("""COMPUTED_VALUE"""),3522147.0)</f>
        <v>3522147</v>
      </c>
    </row>
    <row r="1392">
      <c r="A1392" s="2">
        <f>IFERROR(__xludf.DUMMYFUNCTION("""COMPUTED_VALUE"""),38553.645833333336)</f>
        <v>38553.64583</v>
      </c>
      <c r="B1392" s="1">
        <f>IFERROR(__xludf.DUMMYFUNCTION("""COMPUTED_VALUE"""),161.0)</f>
        <v>161</v>
      </c>
      <c r="C1392" s="1">
        <f>IFERROR(__xludf.DUMMYFUNCTION("""COMPUTED_VALUE"""),161.9)</f>
        <v>161.9</v>
      </c>
      <c r="D1392" s="1">
        <f>IFERROR(__xludf.DUMMYFUNCTION("""COMPUTED_VALUE"""),158.8)</f>
        <v>158.8</v>
      </c>
      <c r="E1392" s="1">
        <f>IFERROR(__xludf.DUMMYFUNCTION("""COMPUTED_VALUE"""),160.25)</f>
        <v>160.25</v>
      </c>
      <c r="F1392" s="1">
        <f>IFERROR(__xludf.DUMMYFUNCTION("""COMPUTED_VALUE"""),1393254.0)</f>
        <v>1393254</v>
      </c>
    </row>
    <row r="1393">
      <c r="A1393" s="2">
        <f>IFERROR(__xludf.DUMMYFUNCTION("""COMPUTED_VALUE"""),38554.645833333336)</f>
        <v>38554.64583</v>
      </c>
      <c r="B1393" s="1">
        <f>IFERROR(__xludf.DUMMYFUNCTION("""COMPUTED_VALUE"""),160.0)</f>
        <v>160</v>
      </c>
      <c r="C1393" s="1">
        <f>IFERROR(__xludf.DUMMYFUNCTION("""COMPUTED_VALUE"""),161.8)</f>
        <v>161.8</v>
      </c>
      <c r="D1393" s="1">
        <f>IFERROR(__xludf.DUMMYFUNCTION("""COMPUTED_VALUE"""),157.1)</f>
        <v>157.1</v>
      </c>
      <c r="E1393" s="1">
        <f>IFERROR(__xludf.DUMMYFUNCTION("""COMPUTED_VALUE"""),158.45)</f>
        <v>158.45</v>
      </c>
      <c r="F1393" s="1">
        <f>IFERROR(__xludf.DUMMYFUNCTION("""COMPUTED_VALUE"""),1596852.0)</f>
        <v>1596852</v>
      </c>
    </row>
    <row r="1394">
      <c r="A1394" s="2">
        <f>IFERROR(__xludf.DUMMYFUNCTION("""COMPUTED_VALUE"""),38555.645833333336)</f>
        <v>38555.64583</v>
      </c>
      <c r="B1394" s="1">
        <f>IFERROR(__xludf.DUMMYFUNCTION("""COMPUTED_VALUE"""),157.1)</f>
        <v>157.1</v>
      </c>
      <c r="C1394" s="1">
        <f>IFERROR(__xludf.DUMMYFUNCTION("""COMPUTED_VALUE"""),162.55)</f>
        <v>162.55</v>
      </c>
      <c r="D1394" s="1">
        <f>IFERROR(__xludf.DUMMYFUNCTION("""COMPUTED_VALUE"""),156.1)</f>
        <v>156.1</v>
      </c>
      <c r="E1394" s="1">
        <f>IFERROR(__xludf.DUMMYFUNCTION("""COMPUTED_VALUE"""),161.7)</f>
        <v>161.7</v>
      </c>
      <c r="F1394" s="1">
        <f>IFERROR(__xludf.DUMMYFUNCTION("""COMPUTED_VALUE"""),1175637.0)</f>
        <v>1175637</v>
      </c>
    </row>
    <row r="1395">
      <c r="A1395" s="2">
        <f>IFERROR(__xludf.DUMMYFUNCTION("""COMPUTED_VALUE"""),38558.645833333336)</f>
        <v>38558.64583</v>
      </c>
      <c r="B1395" s="1">
        <f>IFERROR(__xludf.DUMMYFUNCTION("""COMPUTED_VALUE"""),161.7)</f>
        <v>161.7</v>
      </c>
      <c r="C1395" s="1">
        <f>IFERROR(__xludf.DUMMYFUNCTION("""COMPUTED_VALUE"""),166.25)</f>
        <v>166.25</v>
      </c>
      <c r="D1395" s="1">
        <f>IFERROR(__xludf.DUMMYFUNCTION("""COMPUTED_VALUE"""),161.7)</f>
        <v>161.7</v>
      </c>
      <c r="E1395" s="1">
        <f>IFERROR(__xludf.DUMMYFUNCTION("""COMPUTED_VALUE"""),165.5)</f>
        <v>165.5</v>
      </c>
      <c r="F1395" s="1">
        <f>IFERROR(__xludf.DUMMYFUNCTION("""COMPUTED_VALUE"""),3520965.0)</f>
        <v>3520965</v>
      </c>
    </row>
    <row r="1396">
      <c r="A1396" s="2">
        <f>IFERROR(__xludf.DUMMYFUNCTION("""COMPUTED_VALUE"""),38559.645833333336)</f>
        <v>38559.64583</v>
      </c>
      <c r="B1396" s="1">
        <f>IFERROR(__xludf.DUMMYFUNCTION("""COMPUTED_VALUE"""),165.2)</f>
        <v>165.2</v>
      </c>
      <c r="C1396" s="1">
        <f>IFERROR(__xludf.DUMMYFUNCTION("""COMPUTED_VALUE"""),165.8)</f>
        <v>165.8</v>
      </c>
      <c r="D1396" s="1">
        <f>IFERROR(__xludf.DUMMYFUNCTION("""COMPUTED_VALUE"""),162.85)</f>
        <v>162.85</v>
      </c>
      <c r="E1396" s="1">
        <f>IFERROR(__xludf.DUMMYFUNCTION("""COMPUTED_VALUE"""),164.05)</f>
        <v>164.05</v>
      </c>
      <c r="F1396" s="1">
        <f>IFERROR(__xludf.DUMMYFUNCTION("""COMPUTED_VALUE"""),1549365.0)</f>
        <v>1549365</v>
      </c>
    </row>
    <row r="1397">
      <c r="A1397" s="2">
        <f>IFERROR(__xludf.DUMMYFUNCTION("""COMPUTED_VALUE"""),38560.645833333336)</f>
        <v>38560.64583</v>
      </c>
      <c r="B1397" s="1">
        <f>IFERROR(__xludf.DUMMYFUNCTION("""COMPUTED_VALUE"""),172.0)</f>
        <v>172</v>
      </c>
      <c r="C1397" s="1">
        <f>IFERROR(__xludf.DUMMYFUNCTION("""COMPUTED_VALUE"""),172.0)</f>
        <v>172</v>
      </c>
      <c r="D1397" s="1">
        <f>IFERROR(__xludf.DUMMYFUNCTION("""COMPUTED_VALUE"""),162.4)</f>
        <v>162.4</v>
      </c>
      <c r="E1397" s="1">
        <f>IFERROR(__xludf.DUMMYFUNCTION("""COMPUTED_VALUE"""),164.35)</f>
        <v>164.35</v>
      </c>
      <c r="F1397" s="1">
        <f>IFERROR(__xludf.DUMMYFUNCTION("""COMPUTED_VALUE"""),1285354.0)</f>
        <v>1285354</v>
      </c>
    </row>
    <row r="1398">
      <c r="A1398" s="2">
        <f>IFERROR(__xludf.DUMMYFUNCTION("""COMPUTED_VALUE"""),38562.645833333336)</f>
        <v>38562.64583</v>
      </c>
      <c r="B1398" s="1">
        <f>IFERROR(__xludf.DUMMYFUNCTION("""COMPUTED_VALUE"""),165.0)</f>
        <v>165</v>
      </c>
      <c r="C1398" s="1">
        <f>IFERROR(__xludf.DUMMYFUNCTION("""COMPUTED_VALUE"""),170.0)</f>
        <v>170</v>
      </c>
      <c r="D1398" s="1">
        <f>IFERROR(__xludf.DUMMYFUNCTION("""COMPUTED_VALUE"""),162.55)</f>
        <v>162.55</v>
      </c>
      <c r="E1398" s="1">
        <f>IFERROR(__xludf.DUMMYFUNCTION("""COMPUTED_VALUE"""),166.65)</f>
        <v>166.65</v>
      </c>
      <c r="F1398" s="1">
        <f>IFERROR(__xludf.DUMMYFUNCTION("""COMPUTED_VALUE"""),3528292.0)</f>
        <v>3528292</v>
      </c>
    </row>
    <row r="1399">
      <c r="A1399" s="2">
        <f>IFERROR(__xludf.DUMMYFUNCTION("""COMPUTED_VALUE"""),38565.645833333336)</f>
        <v>38565.64583</v>
      </c>
      <c r="B1399" s="1">
        <f>IFERROR(__xludf.DUMMYFUNCTION("""COMPUTED_VALUE"""),166.65)</f>
        <v>166.65</v>
      </c>
      <c r="C1399" s="1">
        <f>IFERROR(__xludf.DUMMYFUNCTION("""COMPUTED_VALUE"""),174.9)</f>
        <v>174.9</v>
      </c>
      <c r="D1399" s="1">
        <f>IFERROR(__xludf.DUMMYFUNCTION("""COMPUTED_VALUE"""),166.65)</f>
        <v>166.65</v>
      </c>
      <c r="E1399" s="1">
        <f>IFERROR(__xludf.DUMMYFUNCTION("""COMPUTED_VALUE"""),174.1)</f>
        <v>174.1</v>
      </c>
      <c r="F1399" s="1">
        <f>IFERROR(__xludf.DUMMYFUNCTION("""COMPUTED_VALUE"""),3682940.0)</f>
        <v>3682940</v>
      </c>
    </row>
    <row r="1400">
      <c r="A1400" s="2">
        <f>IFERROR(__xludf.DUMMYFUNCTION("""COMPUTED_VALUE"""),38566.645833333336)</f>
        <v>38566.64583</v>
      </c>
      <c r="B1400" s="1">
        <f>IFERROR(__xludf.DUMMYFUNCTION("""COMPUTED_VALUE"""),176.0)</f>
        <v>176</v>
      </c>
      <c r="C1400" s="1">
        <f>IFERROR(__xludf.DUMMYFUNCTION("""COMPUTED_VALUE"""),176.0)</f>
        <v>176</v>
      </c>
      <c r="D1400" s="1">
        <f>IFERROR(__xludf.DUMMYFUNCTION("""COMPUTED_VALUE"""),169.0)</f>
        <v>169</v>
      </c>
      <c r="E1400" s="1">
        <f>IFERROR(__xludf.DUMMYFUNCTION("""COMPUTED_VALUE"""),171.2)</f>
        <v>171.2</v>
      </c>
      <c r="F1400" s="1">
        <f>IFERROR(__xludf.DUMMYFUNCTION("""COMPUTED_VALUE"""),4839882.0)</f>
        <v>4839882</v>
      </c>
    </row>
    <row r="1401">
      <c r="A1401" s="2">
        <f>IFERROR(__xludf.DUMMYFUNCTION("""COMPUTED_VALUE"""),38567.645833333336)</f>
        <v>38567.64583</v>
      </c>
      <c r="B1401" s="1">
        <f>IFERROR(__xludf.DUMMYFUNCTION("""COMPUTED_VALUE"""),171.95)</f>
        <v>171.95</v>
      </c>
      <c r="C1401" s="1">
        <f>IFERROR(__xludf.DUMMYFUNCTION("""COMPUTED_VALUE"""),173.2)</f>
        <v>173.2</v>
      </c>
      <c r="D1401" s="1">
        <f>IFERROR(__xludf.DUMMYFUNCTION("""COMPUTED_VALUE"""),167.15)</f>
        <v>167.15</v>
      </c>
      <c r="E1401" s="1">
        <f>IFERROR(__xludf.DUMMYFUNCTION("""COMPUTED_VALUE"""),167.85)</f>
        <v>167.85</v>
      </c>
      <c r="F1401" s="1">
        <f>IFERROR(__xludf.DUMMYFUNCTION("""COMPUTED_VALUE"""),2905158.0)</f>
        <v>2905158</v>
      </c>
    </row>
    <row r="1402">
      <c r="A1402" s="2">
        <f>IFERROR(__xludf.DUMMYFUNCTION("""COMPUTED_VALUE"""),38568.645833333336)</f>
        <v>38568.64583</v>
      </c>
      <c r="B1402" s="1">
        <f>IFERROR(__xludf.DUMMYFUNCTION("""COMPUTED_VALUE"""),171.5)</f>
        <v>171.5</v>
      </c>
      <c r="C1402" s="1">
        <f>IFERROR(__xludf.DUMMYFUNCTION("""COMPUTED_VALUE"""),171.5)</f>
        <v>171.5</v>
      </c>
      <c r="D1402" s="1">
        <f>IFERROR(__xludf.DUMMYFUNCTION("""COMPUTED_VALUE"""),167.0)</f>
        <v>167</v>
      </c>
      <c r="E1402" s="1">
        <f>IFERROR(__xludf.DUMMYFUNCTION("""COMPUTED_VALUE"""),167.5)</f>
        <v>167.5</v>
      </c>
      <c r="F1402" s="1">
        <f>IFERROR(__xludf.DUMMYFUNCTION("""COMPUTED_VALUE"""),2055682.0)</f>
        <v>2055682</v>
      </c>
    </row>
    <row r="1403">
      <c r="A1403" s="2">
        <f>IFERROR(__xludf.DUMMYFUNCTION("""COMPUTED_VALUE"""),38569.645833333336)</f>
        <v>38569.64583</v>
      </c>
      <c r="B1403" s="1">
        <f>IFERROR(__xludf.DUMMYFUNCTION("""COMPUTED_VALUE"""),167.75)</f>
        <v>167.75</v>
      </c>
      <c r="C1403" s="1">
        <f>IFERROR(__xludf.DUMMYFUNCTION("""COMPUTED_VALUE"""),168.75)</f>
        <v>168.75</v>
      </c>
      <c r="D1403" s="1">
        <f>IFERROR(__xludf.DUMMYFUNCTION("""COMPUTED_VALUE"""),164.7)</f>
        <v>164.7</v>
      </c>
      <c r="E1403" s="1">
        <f>IFERROR(__xludf.DUMMYFUNCTION("""COMPUTED_VALUE"""),165.3)</f>
        <v>165.3</v>
      </c>
      <c r="F1403" s="1">
        <f>IFERROR(__xludf.DUMMYFUNCTION("""COMPUTED_VALUE"""),3333012.0)</f>
        <v>3333012</v>
      </c>
    </row>
    <row r="1404">
      <c r="A1404" s="2">
        <f>IFERROR(__xludf.DUMMYFUNCTION("""COMPUTED_VALUE"""),38572.645833333336)</f>
        <v>38572.64583</v>
      </c>
      <c r="B1404" s="1">
        <f>IFERROR(__xludf.DUMMYFUNCTION("""COMPUTED_VALUE"""),164.0)</f>
        <v>164</v>
      </c>
      <c r="C1404" s="1">
        <f>IFERROR(__xludf.DUMMYFUNCTION("""COMPUTED_VALUE"""),165.25)</f>
        <v>165.25</v>
      </c>
      <c r="D1404" s="1">
        <f>IFERROR(__xludf.DUMMYFUNCTION("""COMPUTED_VALUE"""),159.1)</f>
        <v>159.1</v>
      </c>
      <c r="E1404" s="1">
        <f>IFERROR(__xludf.DUMMYFUNCTION("""COMPUTED_VALUE"""),161.9)</f>
        <v>161.9</v>
      </c>
      <c r="F1404" s="1">
        <f>IFERROR(__xludf.DUMMYFUNCTION("""COMPUTED_VALUE"""),2619496.0)</f>
        <v>2619496</v>
      </c>
    </row>
    <row r="1405">
      <c r="A1405" s="2">
        <f>IFERROR(__xludf.DUMMYFUNCTION("""COMPUTED_VALUE"""),38573.645833333336)</f>
        <v>38573.64583</v>
      </c>
      <c r="B1405" s="1">
        <f>IFERROR(__xludf.DUMMYFUNCTION("""COMPUTED_VALUE"""),161.5)</f>
        <v>161.5</v>
      </c>
      <c r="C1405" s="1">
        <f>IFERROR(__xludf.DUMMYFUNCTION("""COMPUTED_VALUE"""),163.8)</f>
        <v>163.8</v>
      </c>
      <c r="D1405" s="1">
        <f>IFERROR(__xludf.DUMMYFUNCTION("""COMPUTED_VALUE"""),159.55)</f>
        <v>159.55</v>
      </c>
      <c r="E1405" s="1">
        <f>IFERROR(__xludf.DUMMYFUNCTION("""COMPUTED_VALUE"""),160.55)</f>
        <v>160.55</v>
      </c>
      <c r="F1405" s="1">
        <f>IFERROR(__xludf.DUMMYFUNCTION("""COMPUTED_VALUE"""),1597865.0)</f>
        <v>1597865</v>
      </c>
    </row>
    <row r="1406">
      <c r="A1406" s="2">
        <f>IFERROR(__xludf.DUMMYFUNCTION("""COMPUTED_VALUE"""),38574.645833333336)</f>
        <v>38574.64583</v>
      </c>
      <c r="B1406" s="1">
        <f>IFERROR(__xludf.DUMMYFUNCTION("""COMPUTED_VALUE"""),160.55)</f>
        <v>160.55</v>
      </c>
      <c r="C1406" s="1">
        <f>IFERROR(__xludf.DUMMYFUNCTION("""COMPUTED_VALUE"""),164.25)</f>
        <v>164.25</v>
      </c>
      <c r="D1406" s="1">
        <f>IFERROR(__xludf.DUMMYFUNCTION("""COMPUTED_VALUE"""),160.55)</f>
        <v>160.55</v>
      </c>
      <c r="E1406" s="1">
        <f>IFERROR(__xludf.DUMMYFUNCTION("""COMPUTED_VALUE"""),161.85)</f>
        <v>161.85</v>
      </c>
      <c r="F1406" s="1">
        <f>IFERROR(__xludf.DUMMYFUNCTION("""COMPUTED_VALUE"""),3760758.0)</f>
        <v>3760758</v>
      </c>
    </row>
    <row r="1407">
      <c r="A1407" s="2">
        <f>IFERROR(__xludf.DUMMYFUNCTION("""COMPUTED_VALUE"""),38575.645833333336)</f>
        <v>38575.64583</v>
      </c>
      <c r="B1407" s="1">
        <f>IFERROR(__xludf.DUMMYFUNCTION("""COMPUTED_VALUE"""),161.5)</f>
        <v>161.5</v>
      </c>
      <c r="C1407" s="1">
        <f>IFERROR(__xludf.DUMMYFUNCTION("""COMPUTED_VALUE"""),171.4)</f>
        <v>171.4</v>
      </c>
      <c r="D1407" s="1">
        <f>IFERROR(__xludf.DUMMYFUNCTION("""COMPUTED_VALUE"""),160.55)</f>
        <v>160.55</v>
      </c>
      <c r="E1407" s="1">
        <f>IFERROR(__xludf.DUMMYFUNCTION("""COMPUTED_VALUE"""),169.75)</f>
        <v>169.75</v>
      </c>
      <c r="F1407" s="1">
        <f>IFERROR(__xludf.DUMMYFUNCTION("""COMPUTED_VALUE"""),1.3874965E7)</f>
        <v>13874965</v>
      </c>
    </row>
    <row r="1408">
      <c r="A1408" s="2">
        <f>IFERROR(__xludf.DUMMYFUNCTION("""COMPUTED_VALUE"""),38576.645833333336)</f>
        <v>38576.64583</v>
      </c>
      <c r="B1408" s="1">
        <f>IFERROR(__xludf.DUMMYFUNCTION("""COMPUTED_VALUE"""),170.2)</f>
        <v>170.2</v>
      </c>
      <c r="C1408" s="1">
        <f>IFERROR(__xludf.DUMMYFUNCTION("""COMPUTED_VALUE"""),172.0)</f>
        <v>172</v>
      </c>
      <c r="D1408" s="1">
        <f>IFERROR(__xludf.DUMMYFUNCTION("""COMPUTED_VALUE"""),166.55)</f>
        <v>166.55</v>
      </c>
      <c r="E1408" s="1">
        <f>IFERROR(__xludf.DUMMYFUNCTION("""COMPUTED_VALUE"""),168.6)</f>
        <v>168.6</v>
      </c>
      <c r="F1408" s="1">
        <f>IFERROR(__xludf.DUMMYFUNCTION("""COMPUTED_VALUE"""),2908162.0)</f>
        <v>2908162</v>
      </c>
    </row>
    <row r="1409">
      <c r="A1409" s="2">
        <f>IFERROR(__xludf.DUMMYFUNCTION("""COMPUTED_VALUE"""),38580.645833333336)</f>
        <v>38580.64583</v>
      </c>
      <c r="B1409" s="1">
        <f>IFERROR(__xludf.DUMMYFUNCTION("""COMPUTED_VALUE"""),169.7)</f>
        <v>169.7</v>
      </c>
      <c r="C1409" s="1">
        <f>IFERROR(__xludf.DUMMYFUNCTION("""COMPUTED_VALUE"""),172.0)</f>
        <v>172</v>
      </c>
      <c r="D1409" s="1">
        <f>IFERROR(__xludf.DUMMYFUNCTION("""COMPUTED_VALUE"""),167.05)</f>
        <v>167.05</v>
      </c>
      <c r="E1409" s="1">
        <f>IFERROR(__xludf.DUMMYFUNCTION("""COMPUTED_VALUE"""),171.55)</f>
        <v>171.55</v>
      </c>
      <c r="F1409" s="1">
        <f>IFERROR(__xludf.DUMMYFUNCTION("""COMPUTED_VALUE"""),2752178.0)</f>
        <v>2752178</v>
      </c>
    </row>
    <row r="1410">
      <c r="A1410" s="2">
        <f>IFERROR(__xludf.DUMMYFUNCTION("""COMPUTED_VALUE"""),38581.645833333336)</f>
        <v>38581.64583</v>
      </c>
      <c r="B1410" s="1">
        <f>IFERROR(__xludf.DUMMYFUNCTION("""COMPUTED_VALUE"""),172.0)</f>
        <v>172</v>
      </c>
      <c r="C1410" s="1">
        <f>IFERROR(__xludf.DUMMYFUNCTION("""COMPUTED_VALUE"""),174.0)</f>
        <v>174</v>
      </c>
      <c r="D1410" s="1">
        <f>IFERROR(__xludf.DUMMYFUNCTION("""COMPUTED_VALUE"""),170.1)</f>
        <v>170.1</v>
      </c>
      <c r="E1410" s="1">
        <f>IFERROR(__xludf.DUMMYFUNCTION("""COMPUTED_VALUE"""),172.85)</f>
        <v>172.85</v>
      </c>
      <c r="F1410" s="1">
        <f>IFERROR(__xludf.DUMMYFUNCTION("""COMPUTED_VALUE"""),2685496.0)</f>
        <v>2685496</v>
      </c>
    </row>
    <row r="1411">
      <c r="A1411" s="2">
        <f>IFERROR(__xludf.DUMMYFUNCTION("""COMPUTED_VALUE"""),38582.645833333336)</f>
        <v>38582.64583</v>
      </c>
      <c r="B1411" s="1">
        <f>IFERROR(__xludf.DUMMYFUNCTION("""COMPUTED_VALUE"""),172.35)</f>
        <v>172.35</v>
      </c>
      <c r="C1411" s="1">
        <f>IFERROR(__xludf.DUMMYFUNCTION("""COMPUTED_VALUE"""),173.9)</f>
        <v>173.9</v>
      </c>
      <c r="D1411" s="1">
        <f>IFERROR(__xludf.DUMMYFUNCTION("""COMPUTED_VALUE"""),168.25)</f>
        <v>168.25</v>
      </c>
      <c r="E1411" s="1">
        <f>IFERROR(__xludf.DUMMYFUNCTION("""COMPUTED_VALUE"""),168.7)</f>
        <v>168.7</v>
      </c>
      <c r="F1411" s="1">
        <f>IFERROR(__xludf.DUMMYFUNCTION("""COMPUTED_VALUE"""),1951814.0)</f>
        <v>1951814</v>
      </c>
    </row>
    <row r="1412">
      <c r="A1412" s="2">
        <f>IFERROR(__xludf.DUMMYFUNCTION("""COMPUTED_VALUE"""),38583.645833333336)</f>
        <v>38583.64583</v>
      </c>
      <c r="B1412" s="1">
        <f>IFERROR(__xludf.DUMMYFUNCTION("""COMPUTED_VALUE"""),169.0)</f>
        <v>169</v>
      </c>
      <c r="C1412" s="1">
        <f>IFERROR(__xludf.DUMMYFUNCTION("""COMPUTED_VALUE"""),170.8)</f>
        <v>170.8</v>
      </c>
      <c r="D1412" s="1">
        <f>IFERROR(__xludf.DUMMYFUNCTION("""COMPUTED_VALUE"""),167.1)</f>
        <v>167.1</v>
      </c>
      <c r="E1412" s="1">
        <f>IFERROR(__xludf.DUMMYFUNCTION("""COMPUTED_VALUE"""),167.7)</f>
        <v>167.7</v>
      </c>
      <c r="F1412" s="1">
        <f>IFERROR(__xludf.DUMMYFUNCTION("""COMPUTED_VALUE"""),1463759.0)</f>
        <v>1463759</v>
      </c>
    </row>
    <row r="1413">
      <c r="A1413" s="2">
        <f>IFERROR(__xludf.DUMMYFUNCTION("""COMPUTED_VALUE"""),38586.645833333336)</f>
        <v>38586.64583</v>
      </c>
      <c r="B1413" s="1">
        <f>IFERROR(__xludf.DUMMYFUNCTION("""COMPUTED_VALUE"""),168.0)</f>
        <v>168</v>
      </c>
      <c r="C1413" s="1">
        <f>IFERROR(__xludf.DUMMYFUNCTION("""COMPUTED_VALUE"""),170.5)</f>
        <v>170.5</v>
      </c>
      <c r="D1413" s="1">
        <f>IFERROR(__xludf.DUMMYFUNCTION("""COMPUTED_VALUE"""),165.95)</f>
        <v>165.95</v>
      </c>
      <c r="E1413" s="1">
        <f>IFERROR(__xludf.DUMMYFUNCTION("""COMPUTED_VALUE"""),166.9)</f>
        <v>166.9</v>
      </c>
      <c r="F1413" s="1">
        <f>IFERROR(__xludf.DUMMYFUNCTION("""COMPUTED_VALUE"""),4240669.0)</f>
        <v>4240669</v>
      </c>
    </row>
    <row r="1414">
      <c r="A1414" s="2">
        <f>IFERROR(__xludf.DUMMYFUNCTION("""COMPUTED_VALUE"""),38587.645833333336)</f>
        <v>38587.64583</v>
      </c>
      <c r="B1414" s="1">
        <f>IFERROR(__xludf.DUMMYFUNCTION("""COMPUTED_VALUE"""),167.0)</f>
        <v>167</v>
      </c>
      <c r="C1414" s="1">
        <f>IFERROR(__xludf.DUMMYFUNCTION("""COMPUTED_VALUE"""),167.6)</f>
        <v>167.6</v>
      </c>
      <c r="D1414" s="1">
        <f>IFERROR(__xludf.DUMMYFUNCTION("""COMPUTED_VALUE"""),164.2)</f>
        <v>164.2</v>
      </c>
      <c r="E1414" s="1">
        <f>IFERROR(__xludf.DUMMYFUNCTION("""COMPUTED_VALUE"""),164.9)</f>
        <v>164.9</v>
      </c>
      <c r="F1414" s="1">
        <f>IFERROR(__xludf.DUMMYFUNCTION("""COMPUTED_VALUE"""),3254294.0)</f>
        <v>3254294</v>
      </c>
    </row>
    <row r="1415">
      <c r="A1415" s="2">
        <f>IFERROR(__xludf.DUMMYFUNCTION("""COMPUTED_VALUE"""),38588.645833333336)</f>
        <v>38588.64583</v>
      </c>
      <c r="B1415" s="1">
        <f>IFERROR(__xludf.DUMMYFUNCTION("""COMPUTED_VALUE"""),164.2)</f>
        <v>164.2</v>
      </c>
      <c r="C1415" s="1">
        <f>IFERROR(__xludf.DUMMYFUNCTION("""COMPUTED_VALUE"""),165.75)</f>
        <v>165.75</v>
      </c>
      <c r="D1415" s="1">
        <f>IFERROR(__xludf.DUMMYFUNCTION("""COMPUTED_VALUE"""),160.65)</f>
        <v>160.65</v>
      </c>
      <c r="E1415" s="1">
        <f>IFERROR(__xludf.DUMMYFUNCTION("""COMPUTED_VALUE"""),162.0)</f>
        <v>162</v>
      </c>
      <c r="F1415" s="1">
        <f>IFERROR(__xludf.DUMMYFUNCTION("""COMPUTED_VALUE"""),1816358.0)</f>
        <v>1816358</v>
      </c>
    </row>
    <row r="1416">
      <c r="A1416" s="2">
        <f>IFERROR(__xludf.DUMMYFUNCTION("""COMPUTED_VALUE"""),38589.645833333336)</f>
        <v>38589.64583</v>
      </c>
      <c r="B1416" s="1">
        <f>IFERROR(__xludf.DUMMYFUNCTION("""COMPUTED_VALUE"""),163.0)</f>
        <v>163</v>
      </c>
      <c r="C1416" s="1">
        <f>IFERROR(__xludf.DUMMYFUNCTION("""COMPUTED_VALUE"""),164.05)</f>
        <v>164.05</v>
      </c>
      <c r="D1416" s="1">
        <f>IFERROR(__xludf.DUMMYFUNCTION("""COMPUTED_VALUE"""),161.1)</f>
        <v>161.1</v>
      </c>
      <c r="E1416" s="1">
        <f>IFERROR(__xludf.DUMMYFUNCTION("""COMPUTED_VALUE"""),161.95)</f>
        <v>161.95</v>
      </c>
      <c r="F1416" s="1">
        <f>IFERROR(__xludf.DUMMYFUNCTION("""COMPUTED_VALUE"""),3023901.0)</f>
        <v>3023901</v>
      </c>
    </row>
    <row r="1417">
      <c r="A1417" s="2">
        <f>IFERROR(__xludf.DUMMYFUNCTION("""COMPUTED_VALUE"""),38590.645833333336)</f>
        <v>38590.64583</v>
      </c>
      <c r="B1417" s="1">
        <f>IFERROR(__xludf.DUMMYFUNCTION("""COMPUTED_VALUE"""),162.0)</f>
        <v>162</v>
      </c>
      <c r="C1417" s="1">
        <f>IFERROR(__xludf.DUMMYFUNCTION("""COMPUTED_VALUE"""),165.5)</f>
        <v>165.5</v>
      </c>
      <c r="D1417" s="1">
        <f>IFERROR(__xludf.DUMMYFUNCTION("""COMPUTED_VALUE"""),162.0)</f>
        <v>162</v>
      </c>
      <c r="E1417" s="1">
        <f>IFERROR(__xludf.DUMMYFUNCTION("""COMPUTED_VALUE"""),163.6)</f>
        <v>163.6</v>
      </c>
      <c r="F1417" s="1">
        <f>IFERROR(__xludf.DUMMYFUNCTION("""COMPUTED_VALUE"""),1917001.0)</f>
        <v>1917001</v>
      </c>
    </row>
    <row r="1418">
      <c r="A1418" s="2">
        <f>IFERROR(__xludf.DUMMYFUNCTION("""COMPUTED_VALUE"""),38593.645833333336)</f>
        <v>38593.64583</v>
      </c>
      <c r="B1418" s="1">
        <f>IFERROR(__xludf.DUMMYFUNCTION("""COMPUTED_VALUE"""),163.95)</f>
        <v>163.95</v>
      </c>
      <c r="C1418" s="1">
        <f>IFERROR(__xludf.DUMMYFUNCTION("""COMPUTED_VALUE"""),165.0)</f>
        <v>165</v>
      </c>
      <c r="D1418" s="1">
        <f>IFERROR(__xludf.DUMMYFUNCTION("""COMPUTED_VALUE"""),159.75)</f>
        <v>159.75</v>
      </c>
      <c r="E1418" s="1">
        <f>IFERROR(__xludf.DUMMYFUNCTION("""COMPUTED_VALUE"""),162.35)</f>
        <v>162.35</v>
      </c>
      <c r="F1418" s="1">
        <f>IFERROR(__xludf.DUMMYFUNCTION("""COMPUTED_VALUE"""),1334468.0)</f>
        <v>1334468</v>
      </c>
    </row>
    <row r="1419">
      <c r="A1419" s="2">
        <f>IFERROR(__xludf.DUMMYFUNCTION("""COMPUTED_VALUE"""),38594.645833333336)</f>
        <v>38594.64583</v>
      </c>
      <c r="B1419" s="1">
        <f>IFERROR(__xludf.DUMMYFUNCTION("""COMPUTED_VALUE"""),163.25)</f>
        <v>163.25</v>
      </c>
      <c r="C1419" s="1">
        <f>IFERROR(__xludf.DUMMYFUNCTION("""COMPUTED_VALUE"""),167.4)</f>
        <v>167.4</v>
      </c>
      <c r="D1419" s="1">
        <f>IFERROR(__xludf.DUMMYFUNCTION("""COMPUTED_VALUE"""),163.25)</f>
        <v>163.25</v>
      </c>
      <c r="E1419" s="1">
        <f>IFERROR(__xludf.DUMMYFUNCTION("""COMPUTED_VALUE"""),166.6)</f>
        <v>166.6</v>
      </c>
      <c r="F1419" s="1">
        <f>IFERROR(__xludf.DUMMYFUNCTION("""COMPUTED_VALUE"""),1507789.0)</f>
        <v>1507789</v>
      </c>
    </row>
    <row r="1420">
      <c r="A1420" s="2">
        <f>IFERROR(__xludf.DUMMYFUNCTION("""COMPUTED_VALUE"""),38595.645833333336)</f>
        <v>38595.64583</v>
      </c>
      <c r="B1420" s="1">
        <f>IFERROR(__xludf.DUMMYFUNCTION("""COMPUTED_VALUE"""),164.5)</f>
        <v>164.5</v>
      </c>
      <c r="C1420" s="1">
        <f>IFERROR(__xludf.DUMMYFUNCTION("""COMPUTED_VALUE"""),166.7)</f>
        <v>166.7</v>
      </c>
      <c r="D1420" s="1">
        <f>IFERROR(__xludf.DUMMYFUNCTION("""COMPUTED_VALUE"""),164.4)</f>
        <v>164.4</v>
      </c>
      <c r="E1420" s="1">
        <f>IFERROR(__xludf.DUMMYFUNCTION("""COMPUTED_VALUE"""),165.5)</f>
        <v>165.5</v>
      </c>
      <c r="F1420" s="1">
        <f>IFERROR(__xludf.DUMMYFUNCTION("""COMPUTED_VALUE"""),1058237.0)</f>
        <v>1058237</v>
      </c>
    </row>
    <row r="1421">
      <c r="A1421" s="2">
        <f>IFERROR(__xludf.DUMMYFUNCTION("""COMPUTED_VALUE"""),38596.645833333336)</f>
        <v>38596.64583</v>
      </c>
      <c r="B1421" s="1">
        <f>IFERROR(__xludf.DUMMYFUNCTION("""COMPUTED_VALUE"""),165.5)</f>
        <v>165.5</v>
      </c>
      <c r="C1421" s="1">
        <f>IFERROR(__xludf.DUMMYFUNCTION("""COMPUTED_VALUE"""),168.7)</f>
        <v>168.7</v>
      </c>
      <c r="D1421" s="1">
        <f>IFERROR(__xludf.DUMMYFUNCTION("""COMPUTED_VALUE"""),165.4)</f>
        <v>165.4</v>
      </c>
      <c r="E1421" s="1">
        <f>IFERROR(__xludf.DUMMYFUNCTION("""COMPUTED_VALUE"""),167.9)</f>
        <v>167.9</v>
      </c>
      <c r="F1421" s="1">
        <f>IFERROR(__xludf.DUMMYFUNCTION("""COMPUTED_VALUE"""),1507013.0)</f>
        <v>1507013</v>
      </c>
    </row>
    <row r="1422">
      <c r="A1422" s="2">
        <f>IFERROR(__xludf.DUMMYFUNCTION("""COMPUTED_VALUE"""),38597.645833333336)</f>
        <v>38597.64583</v>
      </c>
      <c r="B1422" s="1">
        <f>IFERROR(__xludf.DUMMYFUNCTION("""COMPUTED_VALUE"""),166.0)</f>
        <v>166</v>
      </c>
      <c r="C1422" s="1">
        <f>IFERROR(__xludf.DUMMYFUNCTION("""COMPUTED_VALUE"""),170.0)</f>
        <v>170</v>
      </c>
      <c r="D1422" s="1">
        <f>IFERROR(__xludf.DUMMYFUNCTION("""COMPUTED_VALUE"""),165.5)</f>
        <v>165.5</v>
      </c>
      <c r="E1422" s="1">
        <f>IFERROR(__xludf.DUMMYFUNCTION("""COMPUTED_VALUE"""),169.1)</f>
        <v>169.1</v>
      </c>
      <c r="F1422" s="1">
        <f>IFERROR(__xludf.DUMMYFUNCTION("""COMPUTED_VALUE"""),1646905.0)</f>
        <v>1646905</v>
      </c>
    </row>
    <row r="1423">
      <c r="A1423" s="2">
        <f>IFERROR(__xludf.DUMMYFUNCTION("""COMPUTED_VALUE"""),38600.645833333336)</f>
        <v>38600.64583</v>
      </c>
      <c r="B1423" s="1">
        <f>IFERROR(__xludf.DUMMYFUNCTION("""COMPUTED_VALUE"""),169.7)</f>
        <v>169.7</v>
      </c>
      <c r="C1423" s="1">
        <f>IFERROR(__xludf.DUMMYFUNCTION("""COMPUTED_VALUE"""),170.2)</f>
        <v>170.2</v>
      </c>
      <c r="D1423" s="1">
        <f>IFERROR(__xludf.DUMMYFUNCTION("""COMPUTED_VALUE"""),165.8)</f>
        <v>165.8</v>
      </c>
      <c r="E1423" s="1">
        <f>IFERROR(__xludf.DUMMYFUNCTION("""COMPUTED_VALUE"""),166.5)</f>
        <v>166.5</v>
      </c>
      <c r="F1423" s="1">
        <f>IFERROR(__xludf.DUMMYFUNCTION("""COMPUTED_VALUE"""),1357544.0)</f>
        <v>1357544</v>
      </c>
    </row>
    <row r="1424">
      <c r="A1424" s="2">
        <f>IFERROR(__xludf.DUMMYFUNCTION("""COMPUTED_VALUE"""),38601.645833333336)</f>
        <v>38601.64583</v>
      </c>
      <c r="B1424" s="1">
        <f>IFERROR(__xludf.DUMMYFUNCTION("""COMPUTED_VALUE"""),168.4)</f>
        <v>168.4</v>
      </c>
      <c r="C1424" s="1">
        <f>IFERROR(__xludf.DUMMYFUNCTION("""COMPUTED_VALUE"""),168.4)</f>
        <v>168.4</v>
      </c>
      <c r="D1424" s="1">
        <f>IFERROR(__xludf.DUMMYFUNCTION("""COMPUTED_VALUE"""),164.85)</f>
        <v>164.85</v>
      </c>
      <c r="E1424" s="1">
        <f>IFERROR(__xludf.DUMMYFUNCTION("""COMPUTED_VALUE"""),165.7)</f>
        <v>165.7</v>
      </c>
      <c r="F1424" s="1">
        <f>IFERROR(__xludf.DUMMYFUNCTION("""COMPUTED_VALUE"""),755506.0)</f>
        <v>755506</v>
      </c>
    </row>
    <row r="1425">
      <c r="A1425" s="2">
        <f>IFERROR(__xludf.DUMMYFUNCTION("""COMPUTED_VALUE"""),38603.645833333336)</f>
        <v>38603.64583</v>
      </c>
      <c r="B1425" s="1">
        <f>IFERROR(__xludf.DUMMYFUNCTION("""COMPUTED_VALUE"""),168.4)</f>
        <v>168.4</v>
      </c>
      <c r="C1425" s="1">
        <f>IFERROR(__xludf.DUMMYFUNCTION("""COMPUTED_VALUE"""),168.65)</f>
        <v>168.65</v>
      </c>
      <c r="D1425" s="1">
        <f>IFERROR(__xludf.DUMMYFUNCTION("""COMPUTED_VALUE"""),166.05)</f>
        <v>166.05</v>
      </c>
      <c r="E1425" s="1">
        <f>IFERROR(__xludf.DUMMYFUNCTION("""COMPUTED_VALUE"""),166.55)</f>
        <v>166.55</v>
      </c>
      <c r="F1425" s="1">
        <f>IFERROR(__xludf.DUMMYFUNCTION("""COMPUTED_VALUE"""),1827287.0)</f>
        <v>1827287</v>
      </c>
    </row>
    <row r="1426">
      <c r="A1426" s="2">
        <f>IFERROR(__xludf.DUMMYFUNCTION("""COMPUTED_VALUE"""),38604.645833333336)</f>
        <v>38604.64583</v>
      </c>
      <c r="B1426" s="1">
        <f>IFERROR(__xludf.DUMMYFUNCTION("""COMPUTED_VALUE"""),166.55)</f>
        <v>166.55</v>
      </c>
      <c r="C1426" s="1">
        <f>IFERROR(__xludf.DUMMYFUNCTION("""COMPUTED_VALUE"""),167.9)</f>
        <v>167.9</v>
      </c>
      <c r="D1426" s="1">
        <f>IFERROR(__xludf.DUMMYFUNCTION("""COMPUTED_VALUE"""),165.05)</f>
        <v>165.05</v>
      </c>
      <c r="E1426" s="1">
        <f>IFERROR(__xludf.DUMMYFUNCTION("""COMPUTED_VALUE"""),165.6)</f>
        <v>165.6</v>
      </c>
      <c r="F1426" s="1">
        <f>IFERROR(__xludf.DUMMYFUNCTION("""COMPUTED_VALUE"""),1204794.0)</f>
        <v>1204794</v>
      </c>
    </row>
    <row r="1427">
      <c r="A1427" s="2">
        <f>IFERROR(__xludf.DUMMYFUNCTION("""COMPUTED_VALUE"""),38607.645833333336)</f>
        <v>38607.64583</v>
      </c>
      <c r="B1427" s="1">
        <f>IFERROR(__xludf.DUMMYFUNCTION("""COMPUTED_VALUE"""),166.8)</f>
        <v>166.8</v>
      </c>
      <c r="C1427" s="1">
        <f>IFERROR(__xludf.DUMMYFUNCTION("""COMPUTED_VALUE"""),170.65)</f>
        <v>170.65</v>
      </c>
      <c r="D1427" s="1">
        <f>IFERROR(__xludf.DUMMYFUNCTION("""COMPUTED_VALUE"""),165.5)</f>
        <v>165.5</v>
      </c>
      <c r="E1427" s="1">
        <f>IFERROR(__xludf.DUMMYFUNCTION("""COMPUTED_VALUE"""),169.25)</f>
        <v>169.25</v>
      </c>
      <c r="F1427" s="1">
        <f>IFERROR(__xludf.DUMMYFUNCTION("""COMPUTED_VALUE"""),4035771.0)</f>
        <v>4035771</v>
      </c>
    </row>
    <row r="1428">
      <c r="A1428" s="2">
        <f>IFERROR(__xludf.DUMMYFUNCTION("""COMPUTED_VALUE"""),38608.645833333336)</f>
        <v>38608.64583</v>
      </c>
      <c r="B1428" s="1">
        <f>IFERROR(__xludf.DUMMYFUNCTION("""COMPUTED_VALUE"""),170.0)</f>
        <v>170</v>
      </c>
      <c r="C1428" s="1">
        <f>IFERROR(__xludf.DUMMYFUNCTION("""COMPUTED_VALUE"""),171.0)</f>
        <v>171</v>
      </c>
      <c r="D1428" s="1">
        <f>IFERROR(__xludf.DUMMYFUNCTION("""COMPUTED_VALUE"""),168.65)</f>
        <v>168.65</v>
      </c>
      <c r="E1428" s="1">
        <f>IFERROR(__xludf.DUMMYFUNCTION("""COMPUTED_VALUE"""),169.25)</f>
        <v>169.25</v>
      </c>
      <c r="F1428" s="1">
        <f>IFERROR(__xludf.DUMMYFUNCTION("""COMPUTED_VALUE"""),2705084.0)</f>
        <v>2705084</v>
      </c>
    </row>
    <row r="1429">
      <c r="A1429" s="2">
        <f>IFERROR(__xludf.DUMMYFUNCTION("""COMPUTED_VALUE"""),38609.645833333336)</f>
        <v>38609.64583</v>
      </c>
      <c r="B1429" s="1">
        <f>IFERROR(__xludf.DUMMYFUNCTION("""COMPUTED_VALUE"""),169.0)</f>
        <v>169</v>
      </c>
      <c r="C1429" s="1">
        <f>IFERROR(__xludf.DUMMYFUNCTION("""COMPUTED_VALUE"""),172.9)</f>
        <v>172.9</v>
      </c>
      <c r="D1429" s="1">
        <f>IFERROR(__xludf.DUMMYFUNCTION("""COMPUTED_VALUE"""),169.0)</f>
        <v>169</v>
      </c>
      <c r="E1429" s="1">
        <f>IFERROR(__xludf.DUMMYFUNCTION("""COMPUTED_VALUE"""),171.65)</f>
        <v>171.65</v>
      </c>
      <c r="F1429" s="1">
        <f>IFERROR(__xludf.DUMMYFUNCTION("""COMPUTED_VALUE"""),3659989.0)</f>
        <v>3659989</v>
      </c>
    </row>
    <row r="1430">
      <c r="A1430" s="2">
        <f>IFERROR(__xludf.DUMMYFUNCTION("""COMPUTED_VALUE"""),38610.645833333336)</f>
        <v>38610.64583</v>
      </c>
      <c r="B1430" s="1">
        <f>IFERROR(__xludf.DUMMYFUNCTION("""COMPUTED_VALUE"""),173.0)</f>
        <v>173</v>
      </c>
      <c r="C1430" s="1">
        <f>IFERROR(__xludf.DUMMYFUNCTION("""COMPUTED_VALUE"""),176.8)</f>
        <v>176.8</v>
      </c>
      <c r="D1430" s="1">
        <f>IFERROR(__xludf.DUMMYFUNCTION("""COMPUTED_VALUE"""),172.1)</f>
        <v>172.1</v>
      </c>
      <c r="E1430" s="1">
        <f>IFERROR(__xludf.DUMMYFUNCTION("""COMPUTED_VALUE"""),176.15)</f>
        <v>176.15</v>
      </c>
      <c r="F1430" s="1">
        <f>IFERROR(__xludf.DUMMYFUNCTION("""COMPUTED_VALUE"""),2781344.0)</f>
        <v>2781344</v>
      </c>
    </row>
    <row r="1431">
      <c r="A1431" s="2">
        <f>IFERROR(__xludf.DUMMYFUNCTION("""COMPUTED_VALUE"""),38611.645833333336)</f>
        <v>38611.64583</v>
      </c>
      <c r="B1431" s="1">
        <f>IFERROR(__xludf.DUMMYFUNCTION("""COMPUTED_VALUE"""),176.8)</f>
        <v>176.8</v>
      </c>
      <c r="C1431" s="1">
        <f>IFERROR(__xludf.DUMMYFUNCTION("""COMPUTED_VALUE"""),179.8)</f>
        <v>179.8</v>
      </c>
      <c r="D1431" s="1">
        <f>IFERROR(__xludf.DUMMYFUNCTION("""COMPUTED_VALUE"""),175.0)</f>
        <v>175</v>
      </c>
      <c r="E1431" s="1">
        <f>IFERROR(__xludf.DUMMYFUNCTION("""COMPUTED_VALUE"""),177.6)</f>
        <v>177.6</v>
      </c>
      <c r="F1431" s="1">
        <f>IFERROR(__xludf.DUMMYFUNCTION("""COMPUTED_VALUE"""),2765892.0)</f>
        <v>2765892</v>
      </c>
    </row>
    <row r="1432">
      <c r="A1432" s="2">
        <f>IFERROR(__xludf.DUMMYFUNCTION("""COMPUTED_VALUE"""),38614.645833333336)</f>
        <v>38614.64583</v>
      </c>
      <c r="B1432" s="1">
        <f>IFERROR(__xludf.DUMMYFUNCTION("""COMPUTED_VALUE"""),178.65)</f>
        <v>178.65</v>
      </c>
      <c r="C1432" s="1">
        <f>IFERROR(__xludf.DUMMYFUNCTION("""COMPUTED_VALUE"""),179.5)</f>
        <v>179.5</v>
      </c>
      <c r="D1432" s="1">
        <f>IFERROR(__xludf.DUMMYFUNCTION("""COMPUTED_VALUE"""),176.1)</f>
        <v>176.1</v>
      </c>
      <c r="E1432" s="1">
        <f>IFERROR(__xludf.DUMMYFUNCTION("""COMPUTED_VALUE"""),177.15)</f>
        <v>177.15</v>
      </c>
      <c r="F1432" s="1">
        <f>IFERROR(__xludf.DUMMYFUNCTION("""COMPUTED_VALUE"""),1449854.0)</f>
        <v>1449854</v>
      </c>
    </row>
    <row r="1433">
      <c r="A1433" s="2">
        <f>IFERROR(__xludf.DUMMYFUNCTION("""COMPUTED_VALUE"""),38615.645833333336)</f>
        <v>38615.64583</v>
      </c>
      <c r="B1433" s="1">
        <f>IFERROR(__xludf.DUMMYFUNCTION("""COMPUTED_VALUE"""),176.1)</f>
        <v>176.1</v>
      </c>
      <c r="C1433" s="1">
        <f>IFERROR(__xludf.DUMMYFUNCTION("""COMPUTED_VALUE"""),178.0)</f>
        <v>178</v>
      </c>
      <c r="D1433" s="1">
        <f>IFERROR(__xludf.DUMMYFUNCTION("""COMPUTED_VALUE"""),172.0)</f>
        <v>172</v>
      </c>
      <c r="E1433" s="1">
        <f>IFERROR(__xludf.DUMMYFUNCTION("""COMPUTED_VALUE"""),174.65)</f>
        <v>174.65</v>
      </c>
      <c r="F1433" s="1">
        <f>IFERROR(__xludf.DUMMYFUNCTION("""COMPUTED_VALUE"""),1234650.0)</f>
        <v>1234650</v>
      </c>
    </row>
    <row r="1434">
      <c r="A1434" s="2">
        <f>IFERROR(__xludf.DUMMYFUNCTION("""COMPUTED_VALUE"""),38616.645833333336)</f>
        <v>38616.64583</v>
      </c>
      <c r="B1434" s="1">
        <f>IFERROR(__xludf.DUMMYFUNCTION("""COMPUTED_VALUE"""),172.5)</f>
        <v>172.5</v>
      </c>
      <c r="C1434" s="1">
        <f>IFERROR(__xludf.DUMMYFUNCTION("""COMPUTED_VALUE"""),174.85)</f>
        <v>174.85</v>
      </c>
      <c r="D1434" s="1">
        <f>IFERROR(__xludf.DUMMYFUNCTION("""COMPUTED_VALUE"""),166.65)</f>
        <v>166.65</v>
      </c>
      <c r="E1434" s="1">
        <f>IFERROR(__xludf.DUMMYFUNCTION("""COMPUTED_VALUE"""),171.0)</f>
        <v>171</v>
      </c>
      <c r="F1434" s="1">
        <f>IFERROR(__xludf.DUMMYFUNCTION("""COMPUTED_VALUE"""),1967479.0)</f>
        <v>1967479</v>
      </c>
    </row>
    <row r="1435">
      <c r="A1435" s="2">
        <f>IFERROR(__xludf.DUMMYFUNCTION("""COMPUTED_VALUE"""),38617.645833333336)</f>
        <v>38617.64583</v>
      </c>
      <c r="B1435" s="1">
        <f>IFERROR(__xludf.DUMMYFUNCTION("""COMPUTED_VALUE"""),171.1)</f>
        <v>171.1</v>
      </c>
      <c r="C1435" s="1">
        <f>IFERROR(__xludf.DUMMYFUNCTION("""COMPUTED_VALUE"""),171.15)</f>
        <v>171.15</v>
      </c>
      <c r="D1435" s="1">
        <f>IFERROR(__xludf.DUMMYFUNCTION("""COMPUTED_VALUE"""),163.5)</f>
        <v>163.5</v>
      </c>
      <c r="E1435" s="1">
        <f>IFERROR(__xludf.DUMMYFUNCTION("""COMPUTED_VALUE"""),164.8)</f>
        <v>164.8</v>
      </c>
      <c r="F1435" s="1">
        <f>IFERROR(__xludf.DUMMYFUNCTION("""COMPUTED_VALUE"""),2676836.0)</f>
        <v>2676836</v>
      </c>
    </row>
    <row r="1436">
      <c r="A1436" s="2">
        <f>IFERROR(__xludf.DUMMYFUNCTION("""COMPUTED_VALUE"""),38618.645833333336)</f>
        <v>38618.64583</v>
      </c>
      <c r="B1436" s="1">
        <f>IFERROR(__xludf.DUMMYFUNCTION("""COMPUTED_VALUE"""),166.0)</f>
        <v>166</v>
      </c>
      <c r="C1436" s="1">
        <f>IFERROR(__xludf.DUMMYFUNCTION("""COMPUTED_VALUE"""),173.35)</f>
        <v>173.35</v>
      </c>
      <c r="D1436" s="1">
        <f>IFERROR(__xludf.DUMMYFUNCTION("""COMPUTED_VALUE"""),165.0)</f>
        <v>165</v>
      </c>
      <c r="E1436" s="1">
        <f>IFERROR(__xludf.DUMMYFUNCTION("""COMPUTED_VALUE"""),169.85)</f>
        <v>169.85</v>
      </c>
      <c r="F1436" s="1">
        <f>IFERROR(__xludf.DUMMYFUNCTION("""COMPUTED_VALUE"""),4961330.0)</f>
        <v>4961330</v>
      </c>
    </row>
    <row r="1437">
      <c r="A1437" s="2">
        <f>IFERROR(__xludf.DUMMYFUNCTION("""COMPUTED_VALUE"""),38621.645833333336)</f>
        <v>38621.64583</v>
      </c>
      <c r="B1437" s="1">
        <f>IFERROR(__xludf.DUMMYFUNCTION("""COMPUTED_VALUE"""),173.0)</f>
        <v>173</v>
      </c>
      <c r="C1437" s="1">
        <f>IFERROR(__xludf.DUMMYFUNCTION("""COMPUTED_VALUE"""),177.25)</f>
        <v>177.25</v>
      </c>
      <c r="D1437" s="1">
        <f>IFERROR(__xludf.DUMMYFUNCTION("""COMPUTED_VALUE"""),170.5)</f>
        <v>170.5</v>
      </c>
      <c r="E1437" s="1">
        <f>IFERROR(__xludf.DUMMYFUNCTION("""COMPUTED_VALUE"""),176.15)</f>
        <v>176.15</v>
      </c>
      <c r="F1437" s="1">
        <f>IFERROR(__xludf.DUMMYFUNCTION("""COMPUTED_VALUE"""),2641551.0)</f>
        <v>2641551</v>
      </c>
    </row>
    <row r="1438">
      <c r="A1438" s="2">
        <f>IFERROR(__xludf.DUMMYFUNCTION("""COMPUTED_VALUE"""),38622.645833333336)</f>
        <v>38622.64583</v>
      </c>
      <c r="B1438" s="1">
        <f>IFERROR(__xludf.DUMMYFUNCTION("""COMPUTED_VALUE"""),176.0)</f>
        <v>176</v>
      </c>
      <c r="C1438" s="1">
        <f>IFERROR(__xludf.DUMMYFUNCTION("""COMPUTED_VALUE"""),182.0)</f>
        <v>182</v>
      </c>
      <c r="D1438" s="1">
        <f>IFERROR(__xludf.DUMMYFUNCTION("""COMPUTED_VALUE"""),174.0)</f>
        <v>174</v>
      </c>
      <c r="E1438" s="1">
        <f>IFERROR(__xludf.DUMMYFUNCTION("""COMPUTED_VALUE"""),180.85)</f>
        <v>180.85</v>
      </c>
      <c r="F1438" s="1">
        <f>IFERROR(__xludf.DUMMYFUNCTION("""COMPUTED_VALUE"""),5086519.0)</f>
        <v>5086519</v>
      </c>
    </row>
    <row r="1439">
      <c r="A1439" s="2">
        <f>IFERROR(__xludf.DUMMYFUNCTION("""COMPUTED_VALUE"""),38623.645833333336)</f>
        <v>38623.64583</v>
      </c>
      <c r="B1439" s="1">
        <f>IFERROR(__xludf.DUMMYFUNCTION("""COMPUTED_VALUE"""),182.25)</f>
        <v>182.25</v>
      </c>
      <c r="C1439" s="1">
        <f>IFERROR(__xludf.DUMMYFUNCTION("""COMPUTED_VALUE"""),185.95)</f>
        <v>185.95</v>
      </c>
      <c r="D1439" s="1">
        <f>IFERROR(__xludf.DUMMYFUNCTION("""COMPUTED_VALUE"""),177.15)</f>
        <v>177.15</v>
      </c>
      <c r="E1439" s="1">
        <f>IFERROR(__xludf.DUMMYFUNCTION("""COMPUTED_VALUE"""),184.55)</f>
        <v>184.55</v>
      </c>
      <c r="F1439" s="1">
        <f>IFERROR(__xludf.DUMMYFUNCTION("""COMPUTED_VALUE"""),5192063.0)</f>
        <v>5192063</v>
      </c>
    </row>
    <row r="1440">
      <c r="A1440" s="2">
        <f>IFERROR(__xludf.DUMMYFUNCTION("""COMPUTED_VALUE"""),38624.645833333336)</f>
        <v>38624.64583</v>
      </c>
      <c r="B1440" s="1">
        <f>IFERROR(__xludf.DUMMYFUNCTION("""COMPUTED_VALUE"""),185.0)</f>
        <v>185</v>
      </c>
      <c r="C1440" s="1">
        <f>IFERROR(__xludf.DUMMYFUNCTION("""COMPUTED_VALUE"""),186.9)</f>
        <v>186.9</v>
      </c>
      <c r="D1440" s="1">
        <f>IFERROR(__xludf.DUMMYFUNCTION("""COMPUTED_VALUE"""),182.5)</f>
        <v>182.5</v>
      </c>
      <c r="E1440" s="1">
        <f>IFERROR(__xludf.DUMMYFUNCTION("""COMPUTED_VALUE"""),185.3)</f>
        <v>185.3</v>
      </c>
      <c r="F1440" s="1">
        <f>IFERROR(__xludf.DUMMYFUNCTION("""COMPUTED_VALUE"""),3925971.0)</f>
        <v>3925971</v>
      </c>
    </row>
    <row r="1441">
      <c r="A1441" s="2">
        <f>IFERROR(__xludf.DUMMYFUNCTION("""COMPUTED_VALUE"""),38625.645833333336)</f>
        <v>38625.64583</v>
      </c>
      <c r="B1441" s="1">
        <f>IFERROR(__xludf.DUMMYFUNCTION("""COMPUTED_VALUE"""),184.9)</f>
        <v>184.9</v>
      </c>
      <c r="C1441" s="1">
        <f>IFERROR(__xludf.DUMMYFUNCTION("""COMPUTED_VALUE"""),184.9)</f>
        <v>184.9</v>
      </c>
      <c r="D1441" s="1">
        <f>IFERROR(__xludf.DUMMYFUNCTION("""COMPUTED_VALUE"""),178.1)</f>
        <v>178.1</v>
      </c>
      <c r="E1441" s="1">
        <f>IFERROR(__xludf.DUMMYFUNCTION("""COMPUTED_VALUE"""),181.15)</f>
        <v>181.15</v>
      </c>
      <c r="F1441" s="1">
        <f>IFERROR(__xludf.DUMMYFUNCTION("""COMPUTED_VALUE"""),1895735.0)</f>
        <v>1895735</v>
      </c>
    </row>
    <row r="1442">
      <c r="A1442" s="2">
        <f>IFERROR(__xludf.DUMMYFUNCTION("""COMPUTED_VALUE"""),38628.645833333336)</f>
        <v>38628.64583</v>
      </c>
      <c r="B1442" s="1">
        <f>IFERROR(__xludf.DUMMYFUNCTION("""COMPUTED_VALUE"""),179.0)</f>
        <v>179</v>
      </c>
      <c r="C1442" s="1">
        <f>IFERROR(__xludf.DUMMYFUNCTION("""COMPUTED_VALUE"""),186.8)</f>
        <v>186.8</v>
      </c>
      <c r="D1442" s="1">
        <f>IFERROR(__xludf.DUMMYFUNCTION("""COMPUTED_VALUE"""),179.0)</f>
        <v>179</v>
      </c>
      <c r="E1442" s="1">
        <f>IFERROR(__xludf.DUMMYFUNCTION("""COMPUTED_VALUE"""),185.9)</f>
        <v>185.9</v>
      </c>
      <c r="F1442" s="1">
        <f>IFERROR(__xludf.DUMMYFUNCTION("""COMPUTED_VALUE"""),2447256.0)</f>
        <v>2447256</v>
      </c>
    </row>
    <row r="1443">
      <c r="A1443" s="2">
        <f>IFERROR(__xludf.DUMMYFUNCTION("""COMPUTED_VALUE"""),38629.645833333336)</f>
        <v>38629.64583</v>
      </c>
      <c r="B1443" s="1">
        <f>IFERROR(__xludf.DUMMYFUNCTION("""COMPUTED_VALUE"""),185.5)</f>
        <v>185.5</v>
      </c>
      <c r="C1443" s="1">
        <f>IFERROR(__xludf.DUMMYFUNCTION("""COMPUTED_VALUE"""),186.75)</f>
        <v>186.75</v>
      </c>
      <c r="D1443" s="1">
        <f>IFERROR(__xludf.DUMMYFUNCTION("""COMPUTED_VALUE"""),183.1)</f>
        <v>183.1</v>
      </c>
      <c r="E1443" s="1">
        <f>IFERROR(__xludf.DUMMYFUNCTION("""COMPUTED_VALUE"""),184.05)</f>
        <v>184.05</v>
      </c>
      <c r="F1443" s="1">
        <f>IFERROR(__xludf.DUMMYFUNCTION("""COMPUTED_VALUE"""),1714796.0)</f>
        <v>1714796</v>
      </c>
    </row>
    <row r="1444">
      <c r="A1444" s="2">
        <f>IFERROR(__xludf.DUMMYFUNCTION("""COMPUTED_VALUE"""),38630.645833333336)</f>
        <v>38630.64583</v>
      </c>
      <c r="B1444" s="1">
        <f>IFERROR(__xludf.DUMMYFUNCTION("""COMPUTED_VALUE"""),185.0)</f>
        <v>185</v>
      </c>
      <c r="C1444" s="1">
        <f>IFERROR(__xludf.DUMMYFUNCTION("""COMPUTED_VALUE"""),185.0)</f>
        <v>185</v>
      </c>
      <c r="D1444" s="1">
        <f>IFERROR(__xludf.DUMMYFUNCTION("""COMPUTED_VALUE"""),180.15)</f>
        <v>180.15</v>
      </c>
      <c r="E1444" s="1">
        <f>IFERROR(__xludf.DUMMYFUNCTION("""COMPUTED_VALUE"""),180.65)</f>
        <v>180.65</v>
      </c>
      <c r="F1444" s="1">
        <f>IFERROR(__xludf.DUMMYFUNCTION("""COMPUTED_VALUE"""),1077573.0)</f>
        <v>1077573</v>
      </c>
    </row>
    <row r="1445">
      <c r="A1445" s="2">
        <f>IFERROR(__xludf.DUMMYFUNCTION("""COMPUTED_VALUE"""),38631.645833333336)</f>
        <v>38631.64583</v>
      </c>
      <c r="B1445" s="1">
        <f>IFERROR(__xludf.DUMMYFUNCTION("""COMPUTED_VALUE"""),181.0)</f>
        <v>181</v>
      </c>
      <c r="C1445" s="1">
        <f>IFERROR(__xludf.DUMMYFUNCTION("""COMPUTED_VALUE"""),181.0)</f>
        <v>181</v>
      </c>
      <c r="D1445" s="1">
        <f>IFERROR(__xludf.DUMMYFUNCTION("""COMPUTED_VALUE"""),174.55)</f>
        <v>174.55</v>
      </c>
      <c r="E1445" s="1">
        <f>IFERROR(__xludf.DUMMYFUNCTION("""COMPUTED_VALUE"""),175.05)</f>
        <v>175.05</v>
      </c>
      <c r="F1445" s="1">
        <f>IFERROR(__xludf.DUMMYFUNCTION("""COMPUTED_VALUE"""),2292985.0)</f>
        <v>2292985</v>
      </c>
    </row>
    <row r="1446">
      <c r="A1446" s="2">
        <f>IFERROR(__xludf.DUMMYFUNCTION("""COMPUTED_VALUE"""),38632.645833333336)</f>
        <v>38632.64583</v>
      </c>
      <c r="B1446" s="1">
        <f>IFERROR(__xludf.DUMMYFUNCTION("""COMPUTED_VALUE"""),175.0)</f>
        <v>175</v>
      </c>
      <c r="C1446" s="1">
        <f>IFERROR(__xludf.DUMMYFUNCTION("""COMPUTED_VALUE"""),180.95)</f>
        <v>180.95</v>
      </c>
      <c r="D1446" s="1">
        <f>IFERROR(__xludf.DUMMYFUNCTION("""COMPUTED_VALUE"""),174.5)</f>
        <v>174.5</v>
      </c>
      <c r="E1446" s="1">
        <f>IFERROR(__xludf.DUMMYFUNCTION("""COMPUTED_VALUE"""),180.1)</f>
        <v>180.1</v>
      </c>
      <c r="F1446" s="1">
        <f>IFERROR(__xludf.DUMMYFUNCTION("""COMPUTED_VALUE"""),2406648.0)</f>
        <v>2406648</v>
      </c>
    </row>
    <row r="1447">
      <c r="A1447" s="2">
        <f>IFERROR(__xludf.DUMMYFUNCTION("""COMPUTED_VALUE"""),38635.645833333336)</f>
        <v>38635.64583</v>
      </c>
      <c r="B1447" s="1">
        <f>IFERROR(__xludf.DUMMYFUNCTION("""COMPUTED_VALUE"""),180.95)</f>
        <v>180.95</v>
      </c>
      <c r="C1447" s="1">
        <f>IFERROR(__xludf.DUMMYFUNCTION("""COMPUTED_VALUE"""),183.8)</f>
        <v>183.8</v>
      </c>
      <c r="D1447" s="1">
        <f>IFERROR(__xludf.DUMMYFUNCTION("""COMPUTED_VALUE"""),177.4)</f>
        <v>177.4</v>
      </c>
      <c r="E1447" s="1">
        <f>IFERROR(__xludf.DUMMYFUNCTION("""COMPUTED_VALUE"""),180.2)</f>
        <v>180.2</v>
      </c>
      <c r="F1447" s="1">
        <f>IFERROR(__xludf.DUMMYFUNCTION("""COMPUTED_VALUE"""),2481866.0)</f>
        <v>2481866</v>
      </c>
    </row>
    <row r="1448">
      <c r="A1448" s="2">
        <f>IFERROR(__xludf.DUMMYFUNCTION("""COMPUTED_VALUE"""),38636.645833333336)</f>
        <v>38636.64583</v>
      </c>
      <c r="B1448" s="1">
        <f>IFERROR(__xludf.DUMMYFUNCTION("""COMPUTED_VALUE"""),178.0)</f>
        <v>178</v>
      </c>
      <c r="C1448" s="1">
        <f>IFERROR(__xludf.DUMMYFUNCTION("""COMPUTED_VALUE"""),180.95)</f>
        <v>180.95</v>
      </c>
      <c r="D1448" s="1">
        <f>IFERROR(__xludf.DUMMYFUNCTION("""COMPUTED_VALUE"""),177.0)</f>
        <v>177</v>
      </c>
      <c r="E1448" s="1">
        <f>IFERROR(__xludf.DUMMYFUNCTION("""COMPUTED_VALUE"""),178.7)</f>
        <v>178.7</v>
      </c>
      <c r="F1448" s="1">
        <f>IFERROR(__xludf.DUMMYFUNCTION("""COMPUTED_VALUE"""),816547.0)</f>
        <v>816547</v>
      </c>
    </row>
    <row r="1449">
      <c r="A1449" s="2">
        <f>IFERROR(__xludf.DUMMYFUNCTION("""COMPUTED_VALUE"""),38638.645833333336)</f>
        <v>38638.64583</v>
      </c>
      <c r="B1449" s="1">
        <f>IFERROR(__xludf.DUMMYFUNCTION("""COMPUTED_VALUE"""),178.0)</f>
        <v>178</v>
      </c>
      <c r="C1449" s="1">
        <f>IFERROR(__xludf.DUMMYFUNCTION("""COMPUTED_VALUE"""),179.9)</f>
        <v>179.9</v>
      </c>
      <c r="D1449" s="1">
        <f>IFERROR(__xludf.DUMMYFUNCTION("""COMPUTED_VALUE"""),174.5)</f>
        <v>174.5</v>
      </c>
      <c r="E1449" s="1">
        <f>IFERROR(__xludf.DUMMYFUNCTION("""COMPUTED_VALUE"""),175.15)</f>
        <v>175.15</v>
      </c>
      <c r="F1449" s="1">
        <f>IFERROR(__xludf.DUMMYFUNCTION("""COMPUTED_VALUE"""),1771653.0)</f>
        <v>1771653</v>
      </c>
    </row>
    <row r="1450">
      <c r="A1450" s="2">
        <f>IFERROR(__xludf.DUMMYFUNCTION("""COMPUTED_VALUE"""),38639.645833333336)</f>
        <v>38639.64583</v>
      </c>
      <c r="B1450" s="1">
        <f>IFERROR(__xludf.DUMMYFUNCTION("""COMPUTED_VALUE"""),175.15)</f>
        <v>175.15</v>
      </c>
      <c r="C1450" s="1">
        <f>IFERROR(__xludf.DUMMYFUNCTION("""COMPUTED_VALUE"""),176.35)</f>
        <v>176.35</v>
      </c>
      <c r="D1450" s="1">
        <f>IFERROR(__xludf.DUMMYFUNCTION("""COMPUTED_VALUE"""),172.25)</f>
        <v>172.25</v>
      </c>
      <c r="E1450" s="1">
        <f>IFERROR(__xludf.DUMMYFUNCTION("""COMPUTED_VALUE"""),173.2)</f>
        <v>173.2</v>
      </c>
      <c r="F1450" s="1">
        <f>IFERROR(__xludf.DUMMYFUNCTION("""COMPUTED_VALUE"""),1433631.0)</f>
        <v>1433631</v>
      </c>
    </row>
    <row r="1451">
      <c r="A1451" s="2">
        <f>IFERROR(__xludf.DUMMYFUNCTION("""COMPUTED_VALUE"""),38642.645833333336)</f>
        <v>38642.64583</v>
      </c>
      <c r="B1451" s="1">
        <f>IFERROR(__xludf.DUMMYFUNCTION("""COMPUTED_VALUE"""),173.0)</f>
        <v>173</v>
      </c>
      <c r="C1451" s="1">
        <f>IFERROR(__xludf.DUMMYFUNCTION("""COMPUTED_VALUE"""),177.9)</f>
        <v>177.9</v>
      </c>
      <c r="D1451" s="1">
        <f>IFERROR(__xludf.DUMMYFUNCTION("""COMPUTED_VALUE"""),171.6)</f>
        <v>171.6</v>
      </c>
      <c r="E1451" s="1">
        <f>IFERROR(__xludf.DUMMYFUNCTION("""COMPUTED_VALUE"""),175.65)</f>
        <v>175.65</v>
      </c>
      <c r="F1451" s="1">
        <f>IFERROR(__xludf.DUMMYFUNCTION("""COMPUTED_VALUE"""),2434953.0)</f>
        <v>2434953</v>
      </c>
    </row>
    <row r="1452">
      <c r="A1452" s="2">
        <f>IFERROR(__xludf.DUMMYFUNCTION("""COMPUTED_VALUE"""),38643.645833333336)</f>
        <v>38643.64583</v>
      </c>
      <c r="B1452" s="1">
        <f>IFERROR(__xludf.DUMMYFUNCTION("""COMPUTED_VALUE"""),175.5)</f>
        <v>175.5</v>
      </c>
      <c r="C1452" s="1">
        <f>IFERROR(__xludf.DUMMYFUNCTION("""COMPUTED_VALUE"""),178.95)</f>
        <v>178.95</v>
      </c>
      <c r="D1452" s="1">
        <f>IFERROR(__xludf.DUMMYFUNCTION("""COMPUTED_VALUE"""),174.7)</f>
        <v>174.7</v>
      </c>
      <c r="E1452" s="1">
        <f>IFERROR(__xludf.DUMMYFUNCTION("""COMPUTED_VALUE"""),175.75)</f>
        <v>175.75</v>
      </c>
      <c r="F1452" s="1">
        <f>IFERROR(__xludf.DUMMYFUNCTION("""COMPUTED_VALUE"""),1722624.0)</f>
        <v>1722624</v>
      </c>
    </row>
    <row r="1453">
      <c r="A1453" s="2">
        <f>IFERROR(__xludf.DUMMYFUNCTION("""COMPUTED_VALUE"""),38644.645833333336)</f>
        <v>38644.64583</v>
      </c>
      <c r="B1453" s="1">
        <f>IFERROR(__xludf.DUMMYFUNCTION("""COMPUTED_VALUE"""),174.7)</f>
        <v>174.7</v>
      </c>
      <c r="C1453" s="1">
        <f>IFERROR(__xludf.DUMMYFUNCTION("""COMPUTED_VALUE"""),174.7)</f>
        <v>174.7</v>
      </c>
      <c r="D1453" s="1">
        <f>IFERROR(__xludf.DUMMYFUNCTION("""COMPUTED_VALUE"""),167.05)</f>
        <v>167.05</v>
      </c>
      <c r="E1453" s="1">
        <f>IFERROR(__xludf.DUMMYFUNCTION("""COMPUTED_VALUE"""),168.7)</f>
        <v>168.7</v>
      </c>
      <c r="F1453" s="1">
        <f>IFERROR(__xludf.DUMMYFUNCTION("""COMPUTED_VALUE"""),2005723.0)</f>
        <v>2005723</v>
      </c>
    </row>
    <row r="1454">
      <c r="A1454" s="2">
        <f>IFERROR(__xludf.DUMMYFUNCTION("""COMPUTED_VALUE"""),38645.645833333336)</f>
        <v>38645.64583</v>
      </c>
      <c r="B1454" s="1">
        <f>IFERROR(__xludf.DUMMYFUNCTION("""COMPUTED_VALUE"""),171.75)</f>
        <v>171.75</v>
      </c>
      <c r="C1454" s="1">
        <f>IFERROR(__xludf.DUMMYFUNCTION("""COMPUTED_VALUE"""),172.9)</f>
        <v>172.9</v>
      </c>
      <c r="D1454" s="1">
        <f>IFERROR(__xludf.DUMMYFUNCTION("""COMPUTED_VALUE"""),164.1)</f>
        <v>164.1</v>
      </c>
      <c r="E1454" s="1">
        <f>IFERROR(__xludf.DUMMYFUNCTION("""COMPUTED_VALUE"""),168.65)</f>
        <v>168.65</v>
      </c>
      <c r="F1454" s="1">
        <f>IFERROR(__xludf.DUMMYFUNCTION("""COMPUTED_VALUE"""),1861566.0)</f>
        <v>1861566</v>
      </c>
    </row>
    <row r="1455">
      <c r="A1455" s="2">
        <f>IFERROR(__xludf.DUMMYFUNCTION("""COMPUTED_VALUE"""),38646.645833333336)</f>
        <v>38646.64583</v>
      </c>
      <c r="B1455" s="1">
        <f>IFERROR(__xludf.DUMMYFUNCTION("""COMPUTED_VALUE"""),165.1)</f>
        <v>165.1</v>
      </c>
      <c r="C1455" s="1">
        <f>IFERROR(__xludf.DUMMYFUNCTION("""COMPUTED_VALUE"""),172.2)</f>
        <v>172.2</v>
      </c>
      <c r="D1455" s="1">
        <f>IFERROR(__xludf.DUMMYFUNCTION("""COMPUTED_VALUE"""),165.1)</f>
        <v>165.1</v>
      </c>
      <c r="E1455" s="1">
        <f>IFERROR(__xludf.DUMMYFUNCTION("""COMPUTED_VALUE"""),171.3)</f>
        <v>171.3</v>
      </c>
      <c r="F1455" s="1">
        <f>IFERROR(__xludf.DUMMYFUNCTION("""COMPUTED_VALUE"""),2853807.0)</f>
        <v>2853807</v>
      </c>
    </row>
    <row r="1456">
      <c r="A1456" s="2">
        <f>IFERROR(__xludf.DUMMYFUNCTION("""COMPUTED_VALUE"""),38649.645833333336)</f>
        <v>38649.64583</v>
      </c>
      <c r="B1456" s="1">
        <f>IFERROR(__xludf.DUMMYFUNCTION("""COMPUTED_VALUE"""),171.8)</f>
        <v>171.8</v>
      </c>
      <c r="C1456" s="1">
        <f>IFERROR(__xludf.DUMMYFUNCTION("""COMPUTED_VALUE"""),172.2)</f>
        <v>172.2</v>
      </c>
      <c r="D1456" s="1">
        <f>IFERROR(__xludf.DUMMYFUNCTION("""COMPUTED_VALUE"""),166.6)</f>
        <v>166.6</v>
      </c>
      <c r="E1456" s="1">
        <f>IFERROR(__xludf.DUMMYFUNCTION("""COMPUTED_VALUE"""),167.2)</f>
        <v>167.2</v>
      </c>
      <c r="F1456" s="1">
        <f>IFERROR(__xludf.DUMMYFUNCTION("""COMPUTED_VALUE"""),1014468.0)</f>
        <v>1014468</v>
      </c>
    </row>
    <row r="1457">
      <c r="A1457" s="2">
        <f>IFERROR(__xludf.DUMMYFUNCTION("""COMPUTED_VALUE"""),38650.645833333336)</f>
        <v>38650.64583</v>
      </c>
      <c r="B1457" s="1">
        <f>IFERROR(__xludf.DUMMYFUNCTION("""COMPUTED_VALUE"""),168.25)</f>
        <v>168.25</v>
      </c>
      <c r="C1457" s="1">
        <f>IFERROR(__xludf.DUMMYFUNCTION("""COMPUTED_VALUE"""),170.95)</f>
        <v>170.95</v>
      </c>
      <c r="D1457" s="1">
        <f>IFERROR(__xludf.DUMMYFUNCTION("""COMPUTED_VALUE"""),166.5)</f>
        <v>166.5</v>
      </c>
      <c r="E1457" s="1">
        <f>IFERROR(__xludf.DUMMYFUNCTION("""COMPUTED_VALUE"""),167.45)</f>
        <v>167.45</v>
      </c>
      <c r="F1457" s="1">
        <f>IFERROR(__xludf.DUMMYFUNCTION("""COMPUTED_VALUE"""),2072100.0)</f>
        <v>2072100</v>
      </c>
    </row>
    <row r="1458">
      <c r="A1458" s="2">
        <f>IFERROR(__xludf.DUMMYFUNCTION("""COMPUTED_VALUE"""),38651.645833333336)</f>
        <v>38651.64583</v>
      </c>
      <c r="B1458" s="1">
        <f>IFERROR(__xludf.DUMMYFUNCTION("""COMPUTED_VALUE"""),167.0)</f>
        <v>167</v>
      </c>
      <c r="C1458" s="1">
        <f>IFERROR(__xludf.DUMMYFUNCTION("""COMPUTED_VALUE"""),169.2)</f>
        <v>169.2</v>
      </c>
      <c r="D1458" s="1">
        <f>IFERROR(__xludf.DUMMYFUNCTION("""COMPUTED_VALUE"""),164.6)</f>
        <v>164.6</v>
      </c>
      <c r="E1458" s="1">
        <f>IFERROR(__xludf.DUMMYFUNCTION("""COMPUTED_VALUE"""),165.35)</f>
        <v>165.35</v>
      </c>
      <c r="F1458" s="1">
        <f>IFERROR(__xludf.DUMMYFUNCTION("""COMPUTED_VALUE"""),1625718.0)</f>
        <v>1625718</v>
      </c>
    </row>
    <row r="1459">
      <c r="A1459" s="2">
        <f>IFERROR(__xludf.DUMMYFUNCTION("""COMPUTED_VALUE"""),38652.645833333336)</f>
        <v>38652.64583</v>
      </c>
      <c r="B1459" s="1">
        <f>IFERROR(__xludf.DUMMYFUNCTION("""COMPUTED_VALUE"""),165.9)</f>
        <v>165.9</v>
      </c>
      <c r="C1459" s="1">
        <f>IFERROR(__xludf.DUMMYFUNCTION("""COMPUTED_VALUE"""),166.6)</f>
        <v>166.6</v>
      </c>
      <c r="D1459" s="1">
        <f>IFERROR(__xludf.DUMMYFUNCTION("""COMPUTED_VALUE"""),159.0)</f>
        <v>159</v>
      </c>
      <c r="E1459" s="1">
        <f>IFERROR(__xludf.DUMMYFUNCTION("""COMPUTED_VALUE"""),162.3)</f>
        <v>162.3</v>
      </c>
      <c r="F1459" s="1">
        <f>IFERROR(__xludf.DUMMYFUNCTION("""COMPUTED_VALUE"""),3388599.0)</f>
        <v>3388599</v>
      </c>
    </row>
    <row r="1460">
      <c r="A1460" s="2">
        <f>IFERROR(__xludf.DUMMYFUNCTION("""COMPUTED_VALUE"""),38653.645833333336)</f>
        <v>38653.64583</v>
      </c>
      <c r="B1460" s="1">
        <f>IFERROR(__xludf.DUMMYFUNCTION("""COMPUTED_VALUE"""),159.0)</f>
        <v>159</v>
      </c>
      <c r="C1460" s="1">
        <f>IFERROR(__xludf.DUMMYFUNCTION("""COMPUTED_VALUE"""),163.75)</f>
        <v>163.75</v>
      </c>
      <c r="D1460" s="1">
        <f>IFERROR(__xludf.DUMMYFUNCTION("""COMPUTED_VALUE"""),156.7)</f>
        <v>156.7</v>
      </c>
      <c r="E1460" s="1">
        <f>IFERROR(__xludf.DUMMYFUNCTION("""COMPUTED_VALUE"""),157.65)</f>
        <v>157.65</v>
      </c>
      <c r="F1460" s="1">
        <f>IFERROR(__xludf.DUMMYFUNCTION("""COMPUTED_VALUE"""),2188084.0)</f>
        <v>2188084</v>
      </c>
    </row>
    <row r="1461">
      <c r="A1461" s="2">
        <f>IFERROR(__xludf.DUMMYFUNCTION("""COMPUTED_VALUE"""),38656.645833333336)</f>
        <v>38656.64583</v>
      </c>
      <c r="B1461" s="1">
        <f>IFERROR(__xludf.DUMMYFUNCTION("""COMPUTED_VALUE"""),159.0)</f>
        <v>159</v>
      </c>
      <c r="C1461" s="1">
        <f>IFERROR(__xludf.DUMMYFUNCTION("""COMPUTED_VALUE"""),162.35)</f>
        <v>162.35</v>
      </c>
      <c r="D1461" s="1">
        <f>IFERROR(__xludf.DUMMYFUNCTION("""COMPUTED_VALUE"""),158.05)</f>
        <v>158.05</v>
      </c>
      <c r="E1461" s="1">
        <f>IFERROR(__xludf.DUMMYFUNCTION("""COMPUTED_VALUE"""),161.45)</f>
        <v>161.45</v>
      </c>
      <c r="F1461" s="1">
        <f>IFERROR(__xludf.DUMMYFUNCTION("""COMPUTED_VALUE"""),2136416.0)</f>
        <v>2136416</v>
      </c>
    </row>
    <row r="1462">
      <c r="A1462" s="2">
        <f>IFERROR(__xludf.DUMMYFUNCTION("""COMPUTED_VALUE"""),38657.645833333336)</f>
        <v>38657.64583</v>
      </c>
      <c r="B1462" s="1">
        <f>IFERROR(__xludf.DUMMYFUNCTION("""COMPUTED_VALUE"""),152.55)</f>
        <v>152.55</v>
      </c>
      <c r="C1462" s="1">
        <f>IFERROR(__xludf.DUMMYFUNCTION("""COMPUTED_VALUE"""),172.8)</f>
        <v>172.8</v>
      </c>
      <c r="D1462" s="1">
        <f>IFERROR(__xludf.DUMMYFUNCTION("""COMPUTED_VALUE"""),152.55)</f>
        <v>152.55</v>
      </c>
      <c r="E1462" s="1">
        <f>IFERROR(__xludf.DUMMYFUNCTION("""COMPUTED_VALUE"""),162.4)</f>
        <v>162.4</v>
      </c>
      <c r="F1462" s="1">
        <f>IFERROR(__xludf.DUMMYFUNCTION("""COMPUTED_VALUE"""),441260.0)</f>
        <v>441260</v>
      </c>
    </row>
    <row r="1463">
      <c r="A1463" s="2">
        <f>IFERROR(__xludf.DUMMYFUNCTION("""COMPUTED_VALUE"""),38658.645833333336)</f>
        <v>38658.64583</v>
      </c>
      <c r="B1463" s="1">
        <f>IFERROR(__xludf.DUMMYFUNCTION("""COMPUTED_VALUE"""),163.0)</f>
        <v>163</v>
      </c>
      <c r="C1463" s="1">
        <f>IFERROR(__xludf.DUMMYFUNCTION("""COMPUTED_VALUE"""),165.6)</f>
        <v>165.6</v>
      </c>
      <c r="D1463" s="1">
        <f>IFERROR(__xludf.DUMMYFUNCTION("""COMPUTED_VALUE"""),162.4)</f>
        <v>162.4</v>
      </c>
      <c r="E1463" s="1">
        <f>IFERROR(__xludf.DUMMYFUNCTION("""COMPUTED_VALUE"""),164.95)</f>
        <v>164.95</v>
      </c>
      <c r="F1463" s="1">
        <f>IFERROR(__xludf.DUMMYFUNCTION("""COMPUTED_VALUE"""),1995793.0)</f>
        <v>1995793</v>
      </c>
    </row>
    <row r="1464">
      <c r="A1464" s="2">
        <f>IFERROR(__xludf.DUMMYFUNCTION("""COMPUTED_VALUE"""),38663.645833333336)</f>
        <v>38663.64583</v>
      </c>
      <c r="B1464" s="1">
        <f>IFERROR(__xludf.DUMMYFUNCTION("""COMPUTED_VALUE"""),162.35)</f>
        <v>162.35</v>
      </c>
      <c r="C1464" s="1">
        <f>IFERROR(__xludf.DUMMYFUNCTION("""COMPUTED_VALUE"""),167.8)</f>
        <v>167.8</v>
      </c>
      <c r="D1464" s="1">
        <f>IFERROR(__xludf.DUMMYFUNCTION("""COMPUTED_VALUE"""),162.35)</f>
        <v>162.35</v>
      </c>
      <c r="E1464" s="1">
        <f>IFERROR(__xludf.DUMMYFUNCTION("""COMPUTED_VALUE"""),167.15)</f>
        <v>167.15</v>
      </c>
      <c r="F1464" s="1">
        <f>IFERROR(__xludf.DUMMYFUNCTION("""COMPUTED_VALUE"""),1601904.0)</f>
        <v>1601904</v>
      </c>
    </row>
    <row r="1465">
      <c r="A1465" s="2">
        <f>IFERROR(__xludf.DUMMYFUNCTION("""COMPUTED_VALUE"""),38664.645833333336)</f>
        <v>38664.64583</v>
      </c>
      <c r="B1465" s="1">
        <f>IFERROR(__xludf.DUMMYFUNCTION("""COMPUTED_VALUE"""),167.4)</f>
        <v>167.4</v>
      </c>
      <c r="C1465" s="1">
        <f>IFERROR(__xludf.DUMMYFUNCTION("""COMPUTED_VALUE"""),170.75)</f>
        <v>170.75</v>
      </c>
      <c r="D1465" s="1">
        <f>IFERROR(__xludf.DUMMYFUNCTION("""COMPUTED_VALUE"""),166.05)</f>
        <v>166.05</v>
      </c>
      <c r="E1465" s="1">
        <f>IFERROR(__xludf.DUMMYFUNCTION("""COMPUTED_VALUE"""),169.65)</f>
        <v>169.65</v>
      </c>
      <c r="F1465" s="1">
        <f>IFERROR(__xludf.DUMMYFUNCTION("""COMPUTED_VALUE"""),3368603.0)</f>
        <v>3368603</v>
      </c>
    </row>
    <row r="1466">
      <c r="A1466" s="2">
        <f>IFERROR(__xludf.DUMMYFUNCTION("""COMPUTED_VALUE"""),38665.645833333336)</f>
        <v>38665.64583</v>
      </c>
      <c r="B1466" s="1">
        <f>IFERROR(__xludf.DUMMYFUNCTION("""COMPUTED_VALUE"""),169.5)</f>
        <v>169.5</v>
      </c>
      <c r="C1466" s="1">
        <f>IFERROR(__xludf.DUMMYFUNCTION("""COMPUTED_VALUE"""),173.5)</f>
        <v>173.5</v>
      </c>
      <c r="D1466" s="1">
        <f>IFERROR(__xludf.DUMMYFUNCTION("""COMPUTED_VALUE"""),166.8)</f>
        <v>166.8</v>
      </c>
      <c r="E1466" s="1">
        <f>IFERROR(__xludf.DUMMYFUNCTION("""COMPUTED_VALUE"""),172.45)</f>
        <v>172.45</v>
      </c>
      <c r="F1466" s="1">
        <f>IFERROR(__xludf.DUMMYFUNCTION("""COMPUTED_VALUE"""),1884264.0)</f>
        <v>1884264</v>
      </c>
    </row>
    <row r="1467">
      <c r="A1467" s="2">
        <f>IFERROR(__xludf.DUMMYFUNCTION("""COMPUTED_VALUE"""),38666.645833333336)</f>
        <v>38666.64583</v>
      </c>
      <c r="B1467" s="1">
        <f>IFERROR(__xludf.DUMMYFUNCTION("""COMPUTED_VALUE"""),173.0)</f>
        <v>173</v>
      </c>
      <c r="C1467" s="1">
        <f>IFERROR(__xludf.DUMMYFUNCTION("""COMPUTED_VALUE"""),173.5)</f>
        <v>173.5</v>
      </c>
      <c r="D1467" s="1">
        <f>IFERROR(__xludf.DUMMYFUNCTION("""COMPUTED_VALUE"""),167.6)</f>
        <v>167.6</v>
      </c>
      <c r="E1467" s="1">
        <f>IFERROR(__xludf.DUMMYFUNCTION("""COMPUTED_VALUE"""),168.6)</f>
        <v>168.6</v>
      </c>
      <c r="F1467" s="1">
        <f>IFERROR(__xludf.DUMMYFUNCTION("""COMPUTED_VALUE"""),2369044.0)</f>
        <v>2369044</v>
      </c>
    </row>
    <row r="1468">
      <c r="A1468" s="2">
        <f>IFERROR(__xludf.DUMMYFUNCTION("""COMPUTED_VALUE"""),38667.645833333336)</f>
        <v>38667.64583</v>
      </c>
      <c r="B1468" s="1">
        <f>IFERROR(__xludf.DUMMYFUNCTION("""COMPUTED_VALUE"""),173.5)</f>
        <v>173.5</v>
      </c>
      <c r="C1468" s="1">
        <f>IFERROR(__xludf.DUMMYFUNCTION("""COMPUTED_VALUE"""),173.95)</f>
        <v>173.95</v>
      </c>
      <c r="D1468" s="1">
        <f>IFERROR(__xludf.DUMMYFUNCTION("""COMPUTED_VALUE"""),169.1)</f>
        <v>169.1</v>
      </c>
      <c r="E1468" s="1">
        <f>IFERROR(__xludf.DUMMYFUNCTION("""COMPUTED_VALUE"""),172.2)</f>
        <v>172.2</v>
      </c>
      <c r="F1468" s="1">
        <f>IFERROR(__xludf.DUMMYFUNCTION("""COMPUTED_VALUE"""),1990827.0)</f>
        <v>1990827</v>
      </c>
    </row>
    <row r="1469">
      <c r="A1469" s="2">
        <f>IFERROR(__xludf.DUMMYFUNCTION("""COMPUTED_VALUE"""),38670.645833333336)</f>
        <v>38670.64583</v>
      </c>
      <c r="B1469" s="1">
        <f>IFERROR(__xludf.DUMMYFUNCTION("""COMPUTED_VALUE"""),173.95)</f>
        <v>173.95</v>
      </c>
      <c r="C1469" s="1">
        <f>IFERROR(__xludf.DUMMYFUNCTION("""COMPUTED_VALUE"""),179.8)</f>
        <v>179.8</v>
      </c>
      <c r="D1469" s="1">
        <f>IFERROR(__xludf.DUMMYFUNCTION("""COMPUTED_VALUE"""),168.5)</f>
        <v>168.5</v>
      </c>
      <c r="E1469" s="1">
        <f>IFERROR(__xludf.DUMMYFUNCTION("""COMPUTED_VALUE"""),170.75)</f>
        <v>170.75</v>
      </c>
      <c r="F1469" s="1">
        <f>IFERROR(__xludf.DUMMYFUNCTION("""COMPUTED_VALUE"""),1953179.0)</f>
        <v>1953179</v>
      </c>
    </row>
    <row r="1470">
      <c r="A1470" s="2">
        <f>IFERROR(__xludf.DUMMYFUNCTION("""COMPUTED_VALUE"""),38672.645833333336)</f>
        <v>38672.64583</v>
      </c>
      <c r="B1470" s="1">
        <f>IFERROR(__xludf.DUMMYFUNCTION("""COMPUTED_VALUE"""),170.75)</f>
        <v>170.75</v>
      </c>
      <c r="C1470" s="1">
        <f>IFERROR(__xludf.DUMMYFUNCTION("""COMPUTED_VALUE"""),172.0)</f>
        <v>172</v>
      </c>
      <c r="D1470" s="1">
        <f>IFERROR(__xludf.DUMMYFUNCTION("""COMPUTED_VALUE"""),168.5)</f>
        <v>168.5</v>
      </c>
      <c r="E1470" s="1">
        <f>IFERROR(__xludf.DUMMYFUNCTION("""COMPUTED_VALUE"""),168.9)</f>
        <v>168.9</v>
      </c>
      <c r="F1470" s="1">
        <f>IFERROR(__xludf.DUMMYFUNCTION("""COMPUTED_VALUE"""),1763130.0)</f>
        <v>1763130</v>
      </c>
    </row>
    <row r="1471">
      <c r="A1471" s="2">
        <f>IFERROR(__xludf.DUMMYFUNCTION("""COMPUTED_VALUE"""),38673.645833333336)</f>
        <v>38673.64583</v>
      </c>
      <c r="B1471" s="1">
        <f>IFERROR(__xludf.DUMMYFUNCTION("""COMPUTED_VALUE"""),169.0)</f>
        <v>169</v>
      </c>
      <c r="C1471" s="1">
        <f>IFERROR(__xludf.DUMMYFUNCTION("""COMPUTED_VALUE"""),170.5)</f>
        <v>170.5</v>
      </c>
      <c r="D1471" s="1">
        <f>IFERROR(__xludf.DUMMYFUNCTION("""COMPUTED_VALUE"""),168.05)</f>
        <v>168.05</v>
      </c>
      <c r="E1471" s="1">
        <f>IFERROR(__xludf.DUMMYFUNCTION("""COMPUTED_VALUE"""),169.65)</f>
        <v>169.65</v>
      </c>
      <c r="F1471" s="1">
        <f>IFERROR(__xludf.DUMMYFUNCTION("""COMPUTED_VALUE"""),1743736.0)</f>
        <v>1743736</v>
      </c>
    </row>
    <row r="1472">
      <c r="A1472" s="2">
        <f>IFERROR(__xludf.DUMMYFUNCTION("""COMPUTED_VALUE"""),38674.645833333336)</f>
        <v>38674.64583</v>
      </c>
      <c r="B1472" s="1">
        <f>IFERROR(__xludf.DUMMYFUNCTION("""COMPUTED_VALUE"""),170.5)</f>
        <v>170.5</v>
      </c>
      <c r="C1472" s="1">
        <f>IFERROR(__xludf.DUMMYFUNCTION("""COMPUTED_VALUE"""),173.7)</f>
        <v>173.7</v>
      </c>
      <c r="D1472" s="1">
        <f>IFERROR(__xludf.DUMMYFUNCTION("""COMPUTED_VALUE"""),169.0)</f>
        <v>169</v>
      </c>
      <c r="E1472" s="1">
        <f>IFERROR(__xludf.DUMMYFUNCTION("""COMPUTED_VALUE"""),172.65)</f>
        <v>172.65</v>
      </c>
      <c r="F1472" s="1">
        <f>IFERROR(__xludf.DUMMYFUNCTION("""COMPUTED_VALUE"""),2810835.0)</f>
        <v>2810835</v>
      </c>
    </row>
    <row r="1473">
      <c r="A1473" s="2">
        <f>IFERROR(__xludf.DUMMYFUNCTION("""COMPUTED_VALUE"""),38677.645833333336)</f>
        <v>38677.64583</v>
      </c>
      <c r="B1473" s="1">
        <f>IFERROR(__xludf.DUMMYFUNCTION("""COMPUTED_VALUE"""),172.75)</f>
        <v>172.75</v>
      </c>
      <c r="C1473" s="1">
        <f>IFERROR(__xludf.DUMMYFUNCTION("""COMPUTED_VALUE"""),174.0)</f>
        <v>174</v>
      </c>
      <c r="D1473" s="1">
        <f>IFERROR(__xludf.DUMMYFUNCTION("""COMPUTED_VALUE"""),169.1)</f>
        <v>169.1</v>
      </c>
      <c r="E1473" s="1">
        <f>IFERROR(__xludf.DUMMYFUNCTION("""COMPUTED_VALUE"""),170.4)</f>
        <v>170.4</v>
      </c>
      <c r="F1473" s="1">
        <f>IFERROR(__xludf.DUMMYFUNCTION("""COMPUTED_VALUE"""),2179567.0)</f>
        <v>2179567</v>
      </c>
    </row>
    <row r="1474">
      <c r="A1474" s="2">
        <f>IFERROR(__xludf.DUMMYFUNCTION("""COMPUTED_VALUE"""),38678.645833333336)</f>
        <v>38678.64583</v>
      </c>
      <c r="B1474" s="1">
        <f>IFERROR(__xludf.DUMMYFUNCTION("""COMPUTED_VALUE"""),170.9)</f>
        <v>170.9</v>
      </c>
      <c r="C1474" s="1">
        <f>IFERROR(__xludf.DUMMYFUNCTION("""COMPUTED_VALUE"""),172.65)</f>
        <v>172.65</v>
      </c>
      <c r="D1474" s="1">
        <f>IFERROR(__xludf.DUMMYFUNCTION("""COMPUTED_VALUE"""),168.2)</f>
        <v>168.2</v>
      </c>
      <c r="E1474" s="1">
        <f>IFERROR(__xludf.DUMMYFUNCTION("""COMPUTED_VALUE"""),169.45)</f>
        <v>169.45</v>
      </c>
      <c r="F1474" s="1">
        <f>IFERROR(__xludf.DUMMYFUNCTION("""COMPUTED_VALUE"""),1564713.0)</f>
        <v>1564713</v>
      </c>
    </row>
    <row r="1475">
      <c r="A1475" s="2">
        <f>IFERROR(__xludf.DUMMYFUNCTION("""COMPUTED_VALUE"""),38679.645833333336)</f>
        <v>38679.64583</v>
      </c>
      <c r="B1475" s="1">
        <f>IFERROR(__xludf.DUMMYFUNCTION("""COMPUTED_VALUE"""),169.25)</f>
        <v>169.25</v>
      </c>
      <c r="C1475" s="1">
        <f>IFERROR(__xludf.DUMMYFUNCTION("""COMPUTED_VALUE"""),172.8)</f>
        <v>172.8</v>
      </c>
      <c r="D1475" s="1">
        <f>IFERROR(__xludf.DUMMYFUNCTION("""COMPUTED_VALUE"""),169.25)</f>
        <v>169.25</v>
      </c>
      <c r="E1475" s="1">
        <f>IFERROR(__xludf.DUMMYFUNCTION("""COMPUTED_VALUE"""),172.3)</f>
        <v>172.3</v>
      </c>
      <c r="F1475" s="1">
        <f>IFERROR(__xludf.DUMMYFUNCTION("""COMPUTED_VALUE"""),1358860.0)</f>
        <v>1358860</v>
      </c>
    </row>
    <row r="1476">
      <c r="A1476" s="2">
        <f>IFERROR(__xludf.DUMMYFUNCTION("""COMPUTED_VALUE"""),38680.645833333336)</f>
        <v>38680.64583</v>
      </c>
      <c r="B1476" s="1">
        <f>IFERROR(__xludf.DUMMYFUNCTION("""COMPUTED_VALUE"""),172.3)</f>
        <v>172.3</v>
      </c>
      <c r="C1476" s="1">
        <f>IFERROR(__xludf.DUMMYFUNCTION("""COMPUTED_VALUE"""),177.5)</f>
        <v>177.5</v>
      </c>
      <c r="D1476" s="1">
        <f>IFERROR(__xludf.DUMMYFUNCTION("""COMPUTED_VALUE"""),172.3)</f>
        <v>172.3</v>
      </c>
      <c r="E1476" s="1">
        <f>IFERROR(__xludf.DUMMYFUNCTION("""COMPUTED_VALUE"""),176.95)</f>
        <v>176.95</v>
      </c>
      <c r="F1476" s="1">
        <f>IFERROR(__xludf.DUMMYFUNCTION("""COMPUTED_VALUE"""),4591645.0)</f>
        <v>4591645</v>
      </c>
    </row>
    <row r="1477">
      <c r="A1477" s="2">
        <f>IFERROR(__xludf.DUMMYFUNCTION("""COMPUTED_VALUE"""),38681.645833333336)</f>
        <v>38681.64583</v>
      </c>
      <c r="B1477" s="1">
        <f>IFERROR(__xludf.DUMMYFUNCTION("""COMPUTED_VALUE"""),177.0)</f>
        <v>177</v>
      </c>
      <c r="C1477" s="1">
        <f>IFERROR(__xludf.DUMMYFUNCTION("""COMPUTED_VALUE"""),188.9)</f>
        <v>188.9</v>
      </c>
      <c r="D1477" s="1">
        <f>IFERROR(__xludf.DUMMYFUNCTION("""COMPUTED_VALUE"""),176.5)</f>
        <v>176.5</v>
      </c>
      <c r="E1477" s="1">
        <f>IFERROR(__xludf.DUMMYFUNCTION("""COMPUTED_VALUE"""),186.7)</f>
        <v>186.7</v>
      </c>
      <c r="F1477" s="1">
        <f>IFERROR(__xludf.DUMMYFUNCTION("""COMPUTED_VALUE"""),5064539.0)</f>
        <v>5064539</v>
      </c>
    </row>
    <row r="1478">
      <c r="A1478" s="2">
        <f>IFERROR(__xludf.DUMMYFUNCTION("""COMPUTED_VALUE"""),38684.645833333336)</f>
        <v>38684.64583</v>
      </c>
      <c r="B1478" s="1">
        <f>IFERROR(__xludf.DUMMYFUNCTION("""COMPUTED_VALUE"""),187.5)</f>
        <v>187.5</v>
      </c>
      <c r="C1478" s="1">
        <f>IFERROR(__xludf.DUMMYFUNCTION("""COMPUTED_VALUE"""),193.0)</f>
        <v>193</v>
      </c>
      <c r="D1478" s="1">
        <f>IFERROR(__xludf.DUMMYFUNCTION("""COMPUTED_VALUE"""),186.7)</f>
        <v>186.7</v>
      </c>
      <c r="E1478" s="1">
        <f>IFERROR(__xludf.DUMMYFUNCTION("""COMPUTED_VALUE"""),191.7)</f>
        <v>191.7</v>
      </c>
      <c r="F1478" s="1">
        <f>IFERROR(__xludf.DUMMYFUNCTION("""COMPUTED_VALUE"""),4498819.0)</f>
        <v>4498819</v>
      </c>
    </row>
    <row r="1479">
      <c r="A1479" s="2">
        <f>IFERROR(__xludf.DUMMYFUNCTION("""COMPUTED_VALUE"""),38685.645833333336)</f>
        <v>38685.64583</v>
      </c>
      <c r="B1479" s="1">
        <f>IFERROR(__xludf.DUMMYFUNCTION("""COMPUTED_VALUE"""),192.0)</f>
        <v>192</v>
      </c>
      <c r="C1479" s="1">
        <f>IFERROR(__xludf.DUMMYFUNCTION("""COMPUTED_VALUE"""),192.0)</f>
        <v>192</v>
      </c>
      <c r="D1479" s="1">
        <f>IFERROR(__xludf.DUMMYFUNCTION("""COMPUTED_VALUE"""),185.8)</f>
        <v>185.8</v>
      </c>
      <c r="E1479" s="1">
        <f>IFERROR(__xludf.DUMMYFUNCTION("""COMPUTED_VALUE"""),187.65)</f>
        <v>187.65</v>
      </c>
      <c r="F1479" s="1">
        <f>IFERROR(__xludf.DUMMYFUNCTION("""COMPUTED_VALUE"""),4608345.0)</f>
        <v>4608345</v>
      </c>
    </row>
    <row r="1480">
      <c r="A1480" s="2">
        <f>IFERROR(__xludf.DUMMYFUNCTION("""COMPUTED_VALUE"""),38686.645833333336)</f>
        <v>38686.64583</v>
      </c>
      <c r="B1480" s="1">
        <f>IFERROR(__xludf.DUMMYFUNCTION("""COMPUTED_VALUE"""),188.0)</f>
        <v>188</v>
      </c>
      <c r="C1480" s="1">
        <f>IFERROR(__xludf.DUMMYFUNCTION("""COMPUTED_VALUE"""),190.95)</f>
        <v>190.95</v>
      </c>
      <c r="D1480" s="1">
        <f>IFERROR(__xludf.DUMMYFUNCTION("""COMPUTED_VALUE"""),181.15)</f>
        <v>181.15</v>
      </c>
      <c r="E1480" s="1">
        <f>IFERROR(__xludf.DUMMYFUNCTION("""COMPUTED_VALUE"""),182.1)</f>
        <v>182.1</v>
      </c>
      <c r="F1480" s="1">
        <f>IFERROR(__xludf.DUMMYFUNCTION("""COMPUTED_VALUE"""),3613935.0)</f>
        <v>3613935</v>
      </c>
    </row>
    <row r="1481">
      <c r="A1481" s="2">
        <f>IFERROR(__xludf.DUMMYFUNCTION("""COMPUTED_VALUE"""),38687.645833333336)</f>
        <v>38687.64583</v>
      </c>
      <c r="B1481" s="1">
        <f>IFERROR(__xludf.DUMMYFUNCTION("""COMPUTED_VALUE"""),183.0)</f>
        <v>183</v>
      </c>
      <c r="C1481" s="1">
        <f>IFERROR(__xludf.DUMMYFUNCTION("""COMPUTED_VALUE"""),186.8)</f>
        <v>186.8</v>
      </c>
      <c r="D1481" s="1">
        <f>IFERROR(__xludf.DUMMYFUNCTION("""COMPUTED_VALUE"""),180.55)</f>
        <v>180.55</v>
      </c>
      <c r="E1481" s="1">
        <f>IFERROR(__xludf.DUMMYFUNCTION("""COMPUTED_VALUE"""),185.95)</f>
        <v>185.95</v>
      </c>
      <c r="F1481" s="1">
        <f>IFERROR(__xludf.DUMMYFUNCTION("""COMPUTED_VALUE"""),1728271.0)</f>
        <v>1728271</v>
      </c>
    </row>
    <row r="1482">
      <c r="A1482" s="2">
        <f>IFERROR(__xludf.DUMMYFUNCTION("""COMPUTED_VALUE"""),38688.645833333336)</f>
        <v>38688.64583</v>
      </c>
      <c r="B1482" s="1">
        <f>IFERROR(__xludf.DUMMYFUNCTION("""COMPUTED_VALUE"""),198.0)</f>
        <v>198</v>
      </c>
      <c r="C1482" s="1">
        <f>IFERROR(__xludf.DUMMYFUNCTION("""COMPUTED_VALUE"""),198.0)</f>
        <v>198</v>
      </c>
      <c r="D1482" s="1">
        <f>IFERROR(__xludf.DUMMYFUNCTION("""COMPUTED_VALUE"""),184.55)</f>
        <v>184.55</v>
      </c>
      <c r="E1482" s="1">
        <f>IFERROR(__xludf.DUMMYFUNCTION("""COMPUTED_VALUE"""),185.6)</f>
        <v>185.6</v>
      </c>
      <c r="F1482" s="1">
        <f>IFERROR(__xludf.DUMMYFUNCTION("""COMPUTED_VALUE"""),1641947.0)</f>
        <v>1641947</v>
      </c>
    </row>
    <row r="1483">
      <c r="A1483" s="2">
        <f>IFERROR(__xludf.DUMMYFUNCTION("""COMPUTED_VALUE"""),38691.645833333336)</f>
        <v>38691.64583</v>
      </c>
      <c r="B1483" s="1">
        <f>IFERROR(__xludf.DUMMYFUNCTION("""COMPUTED_VALUE"""),186.9)</f>
        <v>186.9</v>
      </c>
      <c r="C1483" s="1">
        <f>IFERROR(__xludf.DUMMYFUNCTION("""COMPUTED_VALUE"""),188.8)</f>
        <v>188.8</v>
      </c>
      <c r="D1483" s="1">
        <f>IFERROR(__xludf.DUMMYFUNCTION("""COMPUTED_VALUE"""),185.75)</f>
        <v>185.75</v>
      </c>
      <c r="E1483" s="1">
        <f>IFERROR(__xludf.DUMMYFUNCTION("""COMPUTED_VALUE"""),187.6)</f>
        <v>187.6</v>
      </c>
      <c r="F1483" s="1">
        <f>IFERROR(__xludf.DUMMYFUNCTION("""COMPUTED_VALUE"""),2415977.0)</f>
        <v>2415977</v>
      </c>
    </row>
    <row r="1484">
      <c r="A1484" s="2">
        <f>IFERROR(__xludf.DUMMYFUNCTION("""COMPUTED_VALUE"""),38692.645833333336)</f>
        <v>38692.64583</v>
      </c>
      <c r="B1484" s="1">
        <f>IFERROR(__xludf.DUMMYFUNCTION("""COMPUTED_VALUE"""),188.0)</f>
        <v>188</v>
      </c>
      <c r="C1484" s="1">
        <f>IFERROR(__xludf.DUMMYFUNCTION("""COMPUTED_VALUE"""),188.0)</f>
        <v>188</v>
      </c>
      <c r="D1484" s="1">
        <f>IFERROR(__xludf.DUMMYFUNCTION("""COMPUTED_VALUE"""),182.65)</f>
        <v>182.65</v>
      </c>
      <c r="E1484" s="1">
        <f>IFERROR(__xludf.DUMMYFUNCTION("""COMPUTED_VALUE"""),185.65)</f>
        <v>185.65</v>
      </c>
      <c r="F1484" s="1">
        <f>IFERROR(__xludf.DUMMYFUNCTION("""COMPUTED_VALUE"""),2289880.0)</f>
        <v>2289880</v>
      </c>
    </row>
    <row r="1485">
      <c r="A1485" s="2">
        <f>IFERROR(__xludf.DUMMYFUNCTION("""COMPUTED_VALUE"""),38693.645833333336)</f>
        <v>38693.64583</v>
      </c>
      <c r="B1485" s="1">
        <f>IFERROR(__xludf.DUMMYFUNCTION("""COMPUTED_VALUE"""),186.0)</f>
        <v>186</v>
      </c>
      <c r="C1485" s="1">
        <f>IFERROR(__xludf.DUMMYFUNCTION("""COMPUTED_VALUE"""),188.2)</f>
        <v>188.2</v>
      </c>
      <c r="D1485" s="1">
        <f>IFERROR(__xludf.DUMMYFUNCTION("""COMPUTED_VALUE"""),184.6)</f>
        <v>184.6</v>
      </c>
      <c r="E1485" s="1">
        <f>IFERROR(__xludf.DUMMYFUNCTION("""COMPUTED_VALUE"""),187.95)</f>
        <v>187.95</v>
      </c>
      <c r="F1485" s="1">
        <f>IFERROR(__xludf.DUMMYFUNCTION("""COMPUTED_VALUE"""),2052245.0)</f>
        <v>2052245</v>
      </c>
    </row>
    <row r="1486">
      <c r="A1486" s="2">
        <f>IFERROR(__xludf.DUMMYFUNCTION("""COMPUTED_VALUE"""),38694.645833333336)</f>
        <v>38694.64583</v>
      </c>
      <c r="B1486" s="1">
        <f>IFERROR(__xludf.DUMMYFUNCTION("""COMPUTED_VALUE"""),188.2)</f>
        <v>188.2</v>
      </c>
      <c r="C1486" s="1">
        <f>IFERROR(__xludf.DUMMYFUNCTION("""COMPUTED_VALUE"""),189.1)</f>
        <v>189.1</v>
      </c>
      <c r="D1486" s="1">
        <f>IFERROR(__xludf.DUMMYFUNCTION("""COMPUTED_VALUE"""),184.5)</f>
        <v>184.5</v>
      </c>
      <c r="E1486" s="1">
        <f>IFERROR(__xludf.DUMMYFUNCTION("""COMPUTED_VALUE"""),188.0)</f>
        <v>188</v>
      </c>
      <c r="F1486" s="1">
        <f>IFERROR(__xludf.DUMMYFUNCTION("""COMPUTED_VALUE"""),2235155.0)</f>
        <v>2235155</v>
      </c>
    </row>
    <row r="1487">
      <c r="A1487" s="2">
        <f>IFERROR(__xludf.DUMMYFUNCTION("""COMPUTED_VALUE"""),38695.645833333336)</f>
        <v>38695.64583</v>
      </c>
      <c r="B1487" s="1">
        <f>IFERROR(__xludf.DUMMYFUNCTION("""COMPUTED_VALUE"""),188.5)</f>
        <v>188.5</v>
      </c>
      <c r="C1487" s="1">
        <f>IFERROR(__xludf.DUMMYFUNCTION("""COMPUTED_VALUE"""),190.4)</f>
        <v>190.4</v>
      </c>
      <c r="D1487" s="1">
        <f>IFERROR(__xludf.DUMMYFUNCTION("""COMPUTED_VALUE"""),188.15)</f>
        <v>188.15</v>
      </c>
      <c r="E1487" s="1">
        <f>IFERROR(__xludf.DUMMYFUNCTION("""COMPUTED_VALUE"""),188.95)</f>
        <v>188.95</v>
      </c>
      <c r="F1487" s="1">
        <f>IFERROR(__xludf.DUMMYFUNCTION("""COMPUTED_VALUE"""),1606941.0)</f>
        <v>1606941</v>
      </c>
    </row>
    <row r="1488">
      <c r="A1488" s="2">
        <f>IFERROR(__xludf.DUMMYFUNCTION("""COMPUTED_VALUE"""),38698.645833333336)</f>
        <v>38698.64583</v>
      </c>
      <c r="B1488" s="1">
        <f>IFERROR(__xludf.DUMMYFUNCTION("""COMPUTED_VALUE"""),189.5)</f>
        <v>189.5</v>
      </c>
      <c r="C1488" s="1">
        <f>IFERROR(__xludf.DUMMYFUNCTION("""COMPUTED_VALUE"""),191.45)</f>
        <v>191.45</v>
      </c>
      <c r="D1488" s="1">
        <f>IFERROR(__xludf.DUMMYFUNCTION("""COMPUTED_VALUE"""),185.65)</f>
        <v>185.65</v>
      </c>
      <c r="E1488" s="1">
        <f>IFERROR(__xludf.DUMMYFUNCTION("""COMPUTED_VALUE"""),186.3)</f>
        <v>186.3</v>
      </c>
      <c r="F1488" s="1">
        <f>IFERROR(__xludf.DUMMYFUNCTION("""COMPUTED_VALUE"""),1614055.0)</f>
        <v>1614055</v>
      </c>
    </row>
    <row r="1489">
      <c r="A1489" s="2">
        <f>IFERROR(__xludf.DUMMYFUNCTION("""COMPUTED_VALUE"""),38699.645833333336)</f>
        <v>38699.64583</v>
      </c>
      <c r="B1489" s="1">
        <f>IFERROR(__xludf.DUMMYFUNCTION("""COMPUTED_VALUE"""),186.8)</f>
        <v>186.8</v>
      </c>
      <c r="C1489" s="1">
        <f>IFERROR(__xludf.DUMMYFUNCTION("""COMPUTED_VALUE"""),190.0)</f>
        <v>190</v>
      </c>
      <c r="D1489" s="1">
        <f>IFERROR(__xludf.DUMMYFUNCTION("""COMPUTED_VALUE"""),185.4)</f>
        <v>185.4</v>
      </c>
      <c r="E1489" s="1">
        <f>IFERROR(__xludf.DUMMYFUNCTION("""COMPUTED_VALUE"""),188.5)</f>
        <v>188.5</v>
      </c>
      <c r="F1489" s="1">
        <f>IFERROR(__xludf.DUMMYFUNCTION("""COMPUTED_VALUE"""),3687521.0)</f>
        <v>3687521</v>
      </c>
    </row>
    <row r="1490">
      <c r="A1490" s="2">
        <f>IFERROR(__xludf.DUMMYFUNCTION("""COMPUTED_VALUE"""),38700.645833333336)</f>
        <v>38700.64583</v>
      </c>
      <c r="B1490" s="1">
        <f>IFERROR(__xludf.DUMMYFUNCTION("""COMPUTED_VALUE"""),188.0)</f>
        <v>188</v>
      </c>
      <c r="C1490" s="1">
        <f>IFERROR(__xludf.DUMMYFUNCTION("""COMPUTED_VALUE"""),189.9)</f>
        <v>189.9</v>
      </c>
      <c r="D1490" s="1">
        <f>IFERROR(__xludf.DUMMYFUNCTION("""COMPUTED_VALUE"""),185.15)</f>
        <v>185.15</v>
      </c>
      <c r="E1490" s="1">
        <f>IFERROR(__xludf.DUMMYFUNCTION("""COMPUTED_VALUE"""),187.6)</f>
        <v>187.6</v>
      </c>
      <c r="F1490" s="1">
        <f>IFERROR(__xludf.DUMMYFUNCTION("""COMPUTED_VALUE"""),1224205.0)</f>
        <v>1224205</v>
      </c>
    </row>
    <row r="1491">
      <c r="A1491" s="2">
        <f>IFERROR(__xludf.DUMMYFUNCTION("""COMPUTED_VALUE"""),38701.645833333336)</f>
        <v>38701.64583</v>
      </c>
      <c r="B1491" s="1">
        <f>IFERROR(__xludf.DUMMYFUNCTION("""COMPUTED_VALUE"""),188.0)</f>
        <v>188</v>
      </c>
      <c r="C1491" s="1">
        <f>IFERROR(__xludf.DUMMYFUNCTION("""COMPUTED_VALUE"""),190.8)</f>
        <v>190.8</v>
      </c>
      <c r="D1491" s="1">
        <f>IFERROR(__xludf.DUMMYFUNCTION("""COMPUTED_VALUE"""),186.15)</f>
        <v>186.15</v>
      </c>
      <c r="E1491" s="1">
        <f>IFERROR(__xludf.DUMMYFUNCTION("""COMPUTED_VALUE"""),187.1)</f>
        <v>187.1</v>
      </c>
      <c r="F1491" s="1">
        <f>IFERROR(__xludf.DUMMYFUNCTION("""COMPUTED_VALUE"""),1614607.0)</f>
        <v>1614607</v>
      </c>
    </row>
    <row r="1492">
      <c r="A1492" s="2">
        <f>IFERROR(__xludf.DUMMYFUNCTION("""COMPUTED_VALUE"""),38702.645833333336)</f>
        <v>38702.64583</v>
      </c>
      <c r="B1492" s="1">
        <f>IFERROR(__xludf.DUMMYFUNCTION("""COMPUTED_VALUE"""),188.0)</f>
        <v>188</v>
      </c>
      <c r="C1492" s="1">
        <f>IFERROR(__xludf.DUMMYFUNCTION("""COMPUTED_VALUE"""),189.8)</f>
        <v>189.8</v>
      </c>
      <c r="D1492" s="1">
        <f>IFERROR(__xludf.DUMMYFUNCTION("""COMPUTED_VALUE"""),185.5)</f>
        <v>185.5</v>
      </c>
      <c r="E1492" s="1">
        <f>IFERROR(__xludf.DUMMYFUNCTION("""COMPUTED_VALUE"""),188.35)</f>
        <v>188.35</v>
      </c>
      <c r="F1492" s="1">
        <f>IFERROR(__xludf.DUMMYFUNCTION("""COMPUTED_VALUE"""),1888306.0)</f>
        <v>1888306</v>
      </c>
    </row>
    <row r="1493">
      <c r="A1493" s="2">
        <f>IFERROR(__xludf.DUMMYFUNCTION("""COMPUTED_VALUE"""),38705.645833333336)</f>
        <v>38705.64583</v>
      </c>
      <c r="B1493" s="1">
        <f>IFERROR(__xludf.DUMMYFUNCTION("""COMPUTED_VALUE"""),189.0)</f>
        <v>189</v>
      </c>
      <c r="C1493" s="1">
        <f>IFERROR(__xludf.DUMMYFUNCTION("""COMPUTED_VALUE"""),196.5)</f>
        <v>196.5</v>
      </c>
      <c r="D1493" s="1">
        <f>IFERROR(__xludf.DUMMYFUNCTION("""COMPUTED_VALUE"""),187.1)</f>
        <v>187.1</v>
      </c>
      <c r="E1493" s="1">
        <f>IFERROR(__xludf.DUMMYFUNCTION("""COMPUTED_VALUE"""),195.4)</f>
        <v>195.4</v>
      </c>
      <c r="F1493" s="1">
        <f>IFERROR(__xludf.DUMMYFUNCTION("""COMPUTED_VALUE"""),4464717.0)</f>
        <v>4464717</v>
      </c>
    </row>
    <row r="1494">
      <c r="A1494" s="2">
        <f>IFERROR(__xludf.DUMMYFUNCTION("""COMPUTED_VALUE"""),38706.645833333336)</f>
        <v>38706.64583</v>
      </c>
      <c r="B1494" s="1">
        <f>IFERROR(__xludf.DUMMYFUNCTION("""COMPUTED_VALUE"""),194.0)</f>
        <v>194</v>
      </c>
      <c r="C1494" s="1">
        <f>IFERROR(__xludf.DUMMYFUNCTION("""COMPUTED_VALUE"""),198.0)</f>
        <v>198</v>
      </c>
      <c r="D1494" s="1">
        <f>IFERROR(__xludf.DUMMYFUNCTION("""COMPUTED_VALUE"""),192.55)</f>
        <v>192.55</v>
      </c>
      <c r="E1494" s="1">
        <f>IFERROR(__xludf.DUMMYFUNCTION("""COMPUTED_VALUE"""),194.55)</f>
        <v>194.55</v>
      </c>
      <c r="F1494" s="1">
        <f>IFERROR(__xludf.DUMMYFUNCTION("""COMPUTED_VALUE"""),2666707.0)</f>
        <v>2666707</v>
      </c>
    </row>
    <row r="1495">
      <c r="A1495" s="2">
        <f>IFERROR(__xludf.DUMMYFUNCTION("""COMPUTED_VALUE"""),38707.645833333336)</f>
        <v>38707.64583</v>
      </c>
      <c r="B1495" s="1">
        <f>IFERROR(__xludf.DUMMYFUNCTION("""COMPUTED_VALUE"""),195.0)</f>
        <v>195</v>
      </c>
      <c r="C1495" s="1">
        <f>IFERROR(__xludf.DUMMYFUNCTION("""COMPUTED_VALUE"""),199.15)</f>
        <v>199.15</v>
      </c>
      <c r="D1495" s="1">
        <f>IFERROR(__xludf.DUMMYFUNCTION("""COMPUTED_VALUE"""),194.1)</f>
        <v>194.1</v>
      </c>
      <c r="E1495" s="1">
        <f>IFERROR(__xludf.DUMMYFUNCTION("""COMPUTED_VALUE"""),195.6)</f>
        <v>195.6</v>
      </c>
      <c r="F1495" s="1">
        <f>IFERROR(__xludf.DUMMYFUNCTION("""COMPUTED_VALUE"""),2489455.0)</f>
        <v>2489455</v>
      </c>
    </row>
    <row r="1496">
      <c r="A1496" s="2">
        <f>IFERROR(__xludf.DUMMYFUNCTION("""COMPUTED_VALUE"""),38708.645833333336)</f>
        <v>38708.64583</v>
      </c>
      <c r="B1496" s="1">
        <f>IFERROR(__xludf.DUMMYFUNCTION("""COMPUTED_VALUE"""),197.0)</f>
        <v>197</v>
      </c>
      <c r="C1496" s="1">
        <f>IFERROR(__xludf.DUMMYFUNCTION("""COMPUTED_VALUE"""),197.0)</f>
        <v>197</v>
      </c>
      <c r="D1496" s="1">
        <f>IFERROR(__xludf.DUMMYFUNCTION("""COMPUTED_VALUE"""),194.1)</f>
        <v>194.1</v>
      </c>
      <c r="E1496" s="1">
        <f>IFERROR(__xludf.DUMMYFUNCTION("""COMPUTED_VALUE"""),195.1)</f>
        <v>195.1</v>
      </c>
      <c r="F1496" s="1">
        <f>IFERROR(__xludf.DUMMYFUNCTION("""COMPUTED_VALUE"""),1797619.0)</f>
        <v>1797619</v>
      </c>
    </row>
    <row r="1497">
      <c r="A1497" s="2">
        <f>IFERROR(__xludf.DUMMYFUNCTION("""COMPUTED_VALUE"""),38709.645833333336)</f>
        <v>38709.64583</v>
      </c>
      <c r="B1497" s="1">
        <f>IFERROR(__xludf.DUMMYFUNCTION("""COMPUTED_VALUE"""),196.0)</f>
        <v>196</v>
      </c>
      <c r="C1497" s="1">
        <f>IFERROR(__xludf.DUMMYFUNCTION("""COMPUTED_VALUE"""),198.4)</f>
        <v>198.4</v>
      </c>
      <c r="D1497" s="1">
        <f>IFERROR(__xludf.DUMMYFUNCTION("""COMPUTED_VALUE"""),191.65)</f>
        <v>191.65</v>
      </c>
      <c r="E1497" s="1">
        <f>IFERROR(__xludf.DUMMYFUNCTION("""COMPUTED_VALUE"""),193.1)</f>
        <v>193.1</v>
      </c>
      <c r="F1497" s="1">
        <f>IFERROR(__xludf.DUMMYFUNCTION("""COMPUTED_VALUE"""),1868235.0)</f>
        <v>1868235</v>
      </c>
    </row>
    <row r="1498">
      <c r="A1498" s="2">
        <f>IFERROR(__xludf.DUMMYFUNCTION("""COMPUTED_VALUE"""),38712.645833333336)</f>
        <v>38712.64583</v>
      </c>
      <c r="B1498" s="1">
        <f>IFERROR(__xludf.DUMMYFUNCTION("""COMPUTED_VALUE"""),193.5)</f>
        <v>193.5</v>
      </c>
      <c r="C1498" s="1">
        <f>IFERROR(__xludf.DUMMYFUNCTION("""COMPUTED_VALUE"""),193.9)</f>
        <v>193.9</v>
      </c>
      <c r="D1498" s="1">
        <f>IFERROR(__xludf.DUMMYFUNCTION("""COMPUTED_VALUE"""),187.2)</f>
        <v>187.2</v>
      </c>
      <c r="E1498" s="1">
        <f>IFERROR(__xludf.DUMMYFUNCTION("""COMPUTED_VALUE"""),188.95)</f>
        <v>188.95</v>
      </c>
      <c r="F1498" s="1">
        <f>IFERROR(__xludf.DUMMYFUNCTION("""COMPUTED_VALUE"""),1580571.0)</f>
        <v>1580571</v>
      </c>
    </row>
    <row r="1499">
      <c r="A1499" s="2">
        <f>IFERROR(__xludf.DUMMYFUNCTION("""COMPUTED_VALUE"""),38713.645833333336)</f>
        <v>38713.64583</v>
      </c>
      <c r="B1499" s="1">
        <f>IFERROR(__xludf.DUMMYFUNCTION("""COMPUTED_VALUE"""),189.0)</f>
        <v>189</v>
      </c>
      <c r="C1499" s="1">
        <f>IFERROR(__xludf.DUMMYFUNCTION("""COMPUTED_VALUE"""),193.95)</f>
        <v>193.95</v>
      </c>
      <c r="D1499" s="1">
        <f>IFERROR(__xludf.DUMMYFUNCTION("""COMPUTED_VALUE"""),186.0)</f>
        <v>186</v>
      </c>
      <c r="E1499" s="1">
        <f>IFERROR(__xludf.DUMMYFUNCTION("""COMPUTED_VALUE"""),192.35)</f>
        <v>192.35</v>
      </c>
      <c r="F1499" s="1">
        <f>IFERROR(__xludf.DUMMYFUNCTION("""COMPUTED_VALUE"""),1668140.0)</f>
        <v>1668140</v>
      </c>
    </row>
    <row r="1500">
      <c r="A1500" s="2">
        <f>IFERROR(__xludf.DUMMYFUNCTION("""COMPUTED_VALUE"""),38714.645833333336)</f>
        <v>38714.64583</v>
      </c>
      <c r="B1500" s="1">
        <f>IFERROR(__xludf.DUMMYFUNCTION("""COMPUTED_VALUE"""),193.8)</f>
        <v>193.8</v>
      </c>
      <c r="C1500" s="1">
        <f>IFERROR(__xludf.DUMMYFUNCTION("""COMPUTED_VALUE"""),194.8)</f>
        <v>194.8</v>
      </c>
      <c r="D1500" s="1">
        <f>IFERROR(__xludf.DUMMYFUNCTION("""COMPUTED_VALUE"""),189.35)</f>
        <v>189.35</v>
      </c>
      <c r="E1500" s="1">
        <f>IFERROR(__xludf.DUMMYFUNCTION("""COMPUTED_VALUE"""),193.4)</f>
        <v>193.4</v>
      </c>
      <c r="F1500" s="1">
        <f>IFERROR(__xludf.DUMMYFUNCTION("""COMPUTED_VALUE"""),1085392.0)</f>
        <v>1085392</v>
      </c>
    </row>
    <row r="1501">
      <c r="A1501" s="2">
        <f>IFERROR(__xludf.DUMMYFUNCTION("""COMPUTED_VALUE"""),38715.645833333336)</f>
        <v>38715.64583</v>
      </c>
      <c r="B1501" s="1">
        <f>IFERROR(__xludf.DUMMYFUNCTION("""COMPUTED_VALUE"""),194.0)</f>
        <v>194</v>
      </c>
      <c r="C1501" s="1">
        <f>IFERROR(__xludf.DUMMYFUNCTION("""COMPUTED_VALUE"""),195.5)</f>
        <v>195.5</v>
      </c>
      <c r="D1501" s="1">
        <f>IFERROR(__xludf.DUMMYFUNCTION("""COMPUTED_VALUE"""),192.1)</f>
        <v>192.1</v>
      </c>
      <c r="E1501" s="1">
        <f>IFERROR(__xludf.DUMMYFUNCTION("""COMPUTED_VALUE"""),195.1)</f>
        <v>195.1</v>
      </c>
      <c r="F1501" s="1">
        <f>IFERROR(__xludf.DUMMYFUNCTION("""COMPUTED_VALUE"""),2046918.0)</f>
        <v>2046918</v>
      </c>
    </row>
    <row r="1502">
      <c r="A1502" s="2">
        <f>IFERROR(__xludf.DUMMYFUNCTION("""COMPUTED_VALUE"""),38716.645833333336)</f>
        <v>38716.64583</v>
      </c>
      <c r="B1502" s="1">
        <f>IFERROR(__xludf.DUMMYFUNCTION("""COMPUTED_VALUE"""),195.1)</f>
        <v>195.1</v>
      </c>
      <c r="C1502" s="1">
        <f>IFERROR(__xludf.DUMMYFUNCTION("""COMPUTED_VALUE"""),200.8)</f>
        <v>200.8</v>
      </c>
      <c r="D1502" s="1">
        <f>IFERROR(__xludf.DUMMYFUNCTION("""COMPUTED_VALUE"""),193.8)</f>
        <v>193.8</v>
      </c>
      <c r="E1502" s="1">
        <f>IFERROR(__xludf.DUMMYFUNCTION("""COMPUTED_VALUE"""),197.2)</f>
        <v>197.2</v>
      </c>
      <c r="F1502" s="1">
        <f>IFERROR(__xludf.DUMMYFUNCTION("""COMPUTED_VALUE"""),5193162.0)</f>
        <v>5193162</v>
      </c>
    </row>
    <row r="1503">
      <c r="A1503" s="2">
        <f>IFERROR(__xludf.DUMMYFUNCTION("""COMPUTED_VALUE"""),38719.645833333336)</f>
        <v>38719.64583</v>
      </c>
      <c r="B1503" s="1">
        <f>IFERROR(__xludf.DUMMYFUNCTION("""COMPUTED_VALUE"""),199.5)</f>
        <v>199.5</v>
      </c>
      <c r="C1503" s="1">
        <f>IFERROR(__xludf.DUMMYFUNCTION("""COMPUTED_VALUE"""),199.5)</f>
        <v>199.5</v>
      </c>
      <c r="D1503" s="1">
        <f>IFERROR(__xludf.DUMMYFUNCTION("""COMPUTED_VALUE"""),194.55)</f>
        <v>194.55</v>
      </c>
      <c r="E1503" s="1">
        <f>IFERROR(__xludf.DUMMYFUNCTION("""COMPUTED_VALUE"""),195.1)</f>
        <v>195.1</v>
      </c>
      <c r="F1503" s="1">
        <f>IFERROR(__xludf.DUMMYFUNCTION("""COMPUTED_VALUE"""),855427.0)</f>
        <v>855427</v>
      </c>
    </row>
    <row r="1504">
      <c r="A1504" s="2">
        <f>IFERROR(__xludf.DUMMYFUNCTION("""COMPUTED_VALUE"""),38720.645833333336)</f>
        <v>38720.64583</v>
      </c>
      <c r="B1504" s="1">
        <f>IFERROR(__xludf.DUMMYFUNCTION("""COMPUTED_VALUE"""),195.5)</f>
        <v>195.5</v>
      </c>
      <c r="C1504" s="1">
        <f>IFERROR(__xludf.DUMMYFUNCTION("""COMPUTED_VALUE"""),197.45)</f>
        <v>197.45</v>
      </c>
      <c r="D1504" s="1">
        <f>IFERROR(__xludf.DUMMYFUNCTION("""COMPUTED_VALUE"""),194.65)</f>
        <v>194.65</v>
      </c>
      <c r="E1504" s="1">
        <f>IFERROR(__xludf.DUMMYFUNCTION("""COMPUTED_VALUE"""),196.25)</f>
        <v>196.25</v>
      </c>
      <c r="F1504" s="1">
        <f>IFERROR(__xludf.DUMMYFUNCTION("""COMPUTED_VALUE"""),956939.0)</f>
        <v>956939</v>
      </c>
    </row>
    <row r="1505">
      <c r="A1505" s="2">
        <f>IFERROR(__xludf.DUMMYFUNCTION("""COMPUTED_VALUE"""),38721.645833333336)</f>
        <v>38721.64583</v>
      </c>
      <c r="B1505" s="1">
        <f>IFERROR(__xludf.DUMMYFUNCTION("""COMPUTED_VALUE"""),196.25)</f>
        <v>196.25</v>
      </c>
      <c r="C1505" s="1">
        <f>IFERROR(__xludf.DUMMYFUNCTION("""COMPUTED_VALUE"""),197.1)</f>
        <v>197.1</v>
      </c>
      <c r="D1505" s="1">
        <f>IFERROR(__xludf.DUMMYFUNCTION("""COMPUTED_VALUE"""),194.55)</f>
        <v>194.55</v>
      </c>
      <c r="E1505" s="1">
        <f>IFERROR(__xludf.DUMMYFUNCTION("""COMPUTED_VALUE"""),195.05)</f>
        <v>195.05</v>
      </c>
      <c r="F1505" s="1">
        <f>IFERROR(__xludf.DUMMYFUNCTION("""COMPUTED_VALUE"""),1652591.0)</f>
        <v>1652591</v>
      </c>
    </row>
    <row r="1506">
      <c r="A1506" s="2">
        <f>IFERROR(__xludf.DUMMYFUNCTION("""COMPUTED_VALUE"""),38722.645833333336)</f>
        <v>38722.64583</v>
      </c>
      <c r="B1506" s="1">
        <f>IFERROR(__xludf.DUMMYFUNCTION("""COMPUTED_VALUE"""),195.9)</f>
        <v>195.9</v>
      </c>
      <c r="C1506" s="1">
        <f>IFERROR(__xludf.DUMMYFUNCTION("""COMPUTED_VALUE"""),196.8)</f>
        <v>196.8</v>
      </c>
      <c r="D1506" s="1">
        <f>IFERROR(__xludf.DUMMYFUNCTION("""COMPUTED_VALUE"""),194.1)</f>
        <v>194.1</v>
      </c>
      <c r="E1506" s="1">
        <f>IFERROR(__xludf.DUMMYFUNCTION("""COMPUTED_VALUE"""),194.8)</f>
        <v>194.8</v>
      </c>
      <c r="F1506" s="1">
        <f>IFERROR(__xludf.DUMMYFUNCTION("""COMPUTED_VALUE"""),1142455.0)</f>
        <v>1142455</v>
      </c>
    </row>
    <row r="1507">
      <c r="A1507" s="2">
        <f>IFERROR(__xludf.DUMMYFUNCTION("""COMPUTED_VALUE"""),38723.645833333336)</f>
        <v>38723.64583</v>
      </c>
      <c r="B1507" s="1">
        <f>IFERROR(__xludf.DUMMYFUNCTION("""COMPUTED_VALUE"""),194.25)</f>
        <v>194.25</v>
      </c>
      <c r="C1507" s="1">
        <f>IFERROR(__xludf.DUMMYFUNCTION("""COMPUTED_VALUE"""),195.45)</f>
        <v>195.45</v>
      </c>
      <c r="D1507" s="1">
        <f>IFERROR(__xludf.DUMMYFUNCTION("""COMPUTED_VALUE"""),190.25)</f>
        <v>190.25</v>
      </c>
      <c r="E1507" s="1">
        <f>IFERROR(__xludf.DUMMYFUNCTION("""COMPUTED_VALUE"""),193.5)</f>
        <v>193.5</v>
      </c>
      <c r="F1507" s="1">
        <f>IFERROR(__xludf.DUMMYFUNCTION("""COMPUTED_VALUE"""),1892812.0)</f>
        <v>1892812</v>
      </c>
    </row>
    <row r="1508">
      <c r="A1508" s="2">
        <f>IFERROR(__xludf.DUMMYFUNCTION("""COMPUTED_VALUE"""),38726.645833333336)</f>
        <v>38726.64583</v>
      </c>
      <c r="B1508" s="1">
        <f>IFERROR(__xludf.DUMMYFUNCTION("""COMPUTED_VALUE"""),193.5)</f>
        <v>193.5</v>
      </c>
      <c r="C1508" s="1">
        <f>IFERROR(__xludf.DUMMYFUNCTION("""COMPUTED_VALUE"""),194.7)</f>
        <v>194.7</v>
      </c>
      <c r="D1508" s="1">
        <f>IFERROR(__xludf.DUMMYFUNCTION("""COMPUTED_VALUE"""),190.55)</f>
        <v>190.55</v>
      </c>
      <c r="E1508" s="1">
        <f>IFERROR(__xludf.DUMMYFUNCTION("""COMPUTED_VALUE"""),193.25)</f>
        <v>193.25</v>
      </c>
      <c r="F1508" s="1">
        <f>IFERROR(__xludf.DUMMYFUNCTION("""COMPUTED_VALUE"""),2006029.0)</f>
        <v>2006029</v>
      </c>
    </row>
    <row r="1509">
      <c r="A1509" s="2">
        <f>IFERROR(__xludf.DUMMYFUNCTION("""COMPUTED_VALUE"""),38727.645833333336)</f>
        <v>38727.64583</v>
      </c>
      <c r="B1509" s="1">
        <f>IFERROR(__xludf.DUMMYFUNCTION("""COMPUTED_VALUE"""),192.0)</f>
        <v>192</v>
      </c>
      <c r="C1509" s="1">
        <f>IFERROR(__xludf.DUMMYFUNCTION("""COMPUTED_VALUE"""),192.0)</f>
        <v>192</v>
      </c>
      <c r="D1509" s="1">
        <f>IFERROR(__xludf.DUMMYFUNCTION("""COMPUTED_VALUE"""),188.3)</f>
        <v>188.3</v>
      </c>
      <c r="E1509" s="1">
        <f>IFERROR(__xludf.DUMMYFUNCTION("""COMPUTED_VALUE"""),189.05)</f>
        <v>189.05</v>
      </c>
      <c r="F1509" s="1">
        <f>IFERROR(__xludf.DUMMYFUNCTION("""COMPUTED_VALUE"""),871184.0)</f>
        <v>871184</v>
      </c>
    </row>
    <row r="1510">
      <c r="A1510" s="2">
        <f>IFERROR(__xludf.DUMMYFUNCTION("""COMPUTED_VALUE"""),38729.645833333336)</f>
        <v>38729.64583</v>
      </c>
      <c r="B1510" s="1">
        <f>IFERROR(__xludf.DUMMYFUNCTION("""COMPUTED_VALUE"""),189.0)</f>
        <v>189</v>
      </c>
      <c r="C1510" s="1">
        <f>IFERROR(__xludf.DUMMYFUNCTION("""COMPUTED_VALUE"""),191.5)</f>
        <v>191.5</v>
      </c>
      <c r="D1510" s="1">
        <f>IFERROR(__xludf.DUMMYFUNCTION("""COMPUTED_VALUE"""),186.1)</f>
        <v>186.1</v>
      </c>
      <c r="E1510" s="1">
        <f>IFERROR(__xludf.DUMMYFUNCTION("""COMPUTED_VALUE"""),187.7)</f>
        <v>187.7</v>
      </c>
      <c r="F1510" s="1">
        <f>IFERROR(__xludf.DUMMYFUNCTION("""COMPUTED_VALUE"""),2038424.0)</f>
        <v>2038424</v>
      </c>
    </row>
    <row r="1511">
      <c r="A1511" s="2">
        <f>IFERROR(__xludf.DUMMYFUNCTION("""COMPUTED_VALUE"""),38730.645833333336)</f>
        <v>38730.64583</v>
      </c>
      <c r="B1511" s="1">
        <f>IFERROR(__xludf.DUMMYFUNCTION("""COMPUTED_VALUE"""),188.85)</f>
        <v>188.85</v>
      </c>
      <c r="C1511" s="1">
        <f>IFERROR(__xludf.DUMMYFUNCTION("""COMPUTED_VALUE"""),190.35)</f>
        <v>190.35</v>
      </c>
      <c r="D1511" s="1">
        <f>IFERROR(__xludf.DUMMYFUNCTION("""COMPUTED_VALUE"""),185.75)</f>
        <v>185.75</v>
      </c>
      <c r="E1511" s="1">
        <f>IFERROR(__xludf.DUMMYFUNCTION("""COMPUTED_VALUE"""),186.65)</f>
        <v>186.65</v>
      </c>
      <c r="F1511" s="1">
        <f>IFERROR(__xludf.DUMMYFUNCTION("""COMPUTED_VALUE"""),1985644.0)</f>
        <v>1985644</v>
      </c>
    </row>
    <row r="1512">
      <c r="A1512" s="2">
        <f>IFERROR(__xludf.DUMMYFUNCTION("""COMPUTED_VALUE"""),38733.645833333336)</f>
        <v>38733.64583</v>
      </c>
      <c r="B1512" s="1">
        <f>IFERROR(__xludf.DUMMYFUNCTION("""COMPUTED_VALUE"""),189.9)</f>
        <v>189.9</v>
      </c>
      <c r="C1512" s="1">
        <f>IFERROR(__xludf.DUMMYFUNCTION("""COMPUTED_VALUE"""),189.9)</f>
        <v>189.9</v>
      </c>
      <c r="D1512" s="1">
        <f>IFERROR(__xludf.DUMMYFUNCTION("""COMPUTED_VALUE"""),185.65)</f>
        <v>185.65</v>
      </c>
      <c r="E1512" s="1">
        <f>IFERROR(__xludf.DUMMYFUNCTION("""COMPUTED_VALUE"""),186.6)</f>
        <v>186.6</v>
      </c>
      <c r="F1512" s="1">
        <f>IFERROR(__xludf.DUMMYFUNCTION("""COMPUTED_VALUE"""),1005123.0)</f>
        <v>1005123</v>
      </c>
    </row>
    <row r="1513">
      <c r="A1513" s="2">
        <f>IFERROR(__xludf.DUMMYFUNCTION("""COMPUTED_VALUE"""),38734.645833333336)</f>
        <v>38734.64583</v>
      </c>
      <c r="B1513" s="1">
        <f>IFERROR(__xludf.DUMMYFUNCTION("""COMPUTED_VALUE"""),188.0)</f>
        <v>188</v>
      </c>
      <c r="C1513" s="1">
        <f>IFERROR(__xludf.DUMMYFUNCTION("""COMPUTED_VALUE"""),189.5)</f>
        <v>189.5</v>
      </c>
      <c r="D1513" s="1">
        <f>IFERROR(__xludf.DUMMYFUNCTION("""COMPUTED_VALUE"""),184.25)</f>
        <v>184.25</v>
      </c>
      <c r="E1513" s="1">
        <f>IFERROR(__xludf.DUMMYFUNCTION("""COMPUTED_VALUE"""),186.05)</f>
        <v>186.05</v>
      </c>
      <c r="F1513" s="1">
        <f>IFERROR(__xludf.DUMMYFUNCTION("""COMPUTED_VALUE"""),996234.0)</f>
        <v>996234</v>
      </c>
    </row>
    <row r="1514">
      <c r="A1514" s="2">
        <f>IFERROR(__xludf.DUMMYFUNCTION("""COMPUTED_VALUE"""),38735.645833333336)</f>
        <v>38735.64583</v>
      </c>
      <c r="B1514" s="1">
        <f>IFERROR(__xludf.DUMMYFUNCTION("""COMPUTED_VALUE"""),186.0)</f>
        <v>186</v>
      </c>
      <c r="C1514" s="1">
        <f>IFERROR(__xludf.DUMMYFUNCTION("""COMPUTED_VALUE"""),186.0)</f>
        <v>186</v>
      </c>
      <c r="D1514" s="1">
        <f>IFERROR(__xludf.DUMMYFUNCTION("""COMPUTED_VALUE"""),181.05)</f>
        <v>181.05</v>
      </c>
      <c r="E1514" s="1">
        <f>IFERROR(__xludf.DUMMYFUNCTION("""COMPUTED_VALUE"""),184.6)</f>
        <v>184.6</v>
      </c>
      <c r="F1514" s="1">
        <f>IFERROR(__xludf.DUMMYFUNCTION("""COMPUTED_VALUE"""),1559920.0)</f>
        <v>1559920</v>
      </c>
    </row>
    <row r="1515">
      <c r="A1515" s="2">
        <f>IFERROR(__xludf.DUMMYFUNCTION("""COMPUTED_VALUE"""),38736.645833333336)</f>
        <v>38736.64583</v>
      </c>
      <c r="B1515" s="1">
        <f>IFERROR(__xludf.DUMMYFUNCTION("""COMPUTED_VALUE"""),186.0)</f>
        <v>186</v>
      </c>
      <c r="C1515" s="1">
        <f>IFERROR(__xludf.DUMMYFUNCTION("""COMPUTED_VALUE"""),188.25)</f>
        <v>188.25</v>
      </c>
      <c r="D1515" s="1">
        <f>IFERROR(__xludf.DUMMYFUNCTION("""COMPUTED_VALUE"""),183.0)</f>
        <v>183</v>
      </c>
      <c r="E1515" s="1">
        <f>IFERROR(__xludf.DUMMYFUNCTION("""COMPUTED_VALUE"""),187.65)</f>
        <v>187.65</v>
      </c>
      <c r="F1515" s="1">
        <f>IFERROR(__xludf.DUMMYFUNCTION("""COMPUTED_VALUE"""),837862.0)</f>
        <v>837862</v>
      </c>
    </row>
    <row r="1516">
      <c r="A1516" s="2">
        <f>IFERROR(__xludf.DUMMYFUNCTION("""COMPUTED_VALUE"""),38737.645833333336)</f>
        <v>38737.64583</v>
      </c>
      <c r="B1516" s="1">
        <f>IFERROR(__xludf.DUMMYFUNCTION("""COMPUTED_VALUE"""),188.5)</f>
        <v>188.5</v>
      </c>
      <c r="C1516" s="1">
        <f>IFERROR(__xludf.DUMMYFUNCTION("""COMPUTED_VALUE"""),189.0)</f>
        <v>189</v>
      </c>
      <c r="D1516" s="1">
        <f>IFERROR(__xludf.DUMMYFUNCTION("""COMPUTED_VALUE"""),185.15)</f>
        <v>185.15</v>
      </c>
      <c r="E1516" s="1">
        <f>IFERROR(__xludf.DUMMYFUNCTION("""COMPUTED_VALUE"""),186.4)</f>
        <v>186.4</v>
      </c>
      <c r="F1516" s="1">
        <f>IFERROR(__xludf.DUMMYFUNCTION("""COMPUTED_VALUE"""),608038.0)</f>
        <v>608038</v>
      </c>
    </row>
    <row r="1517">
      <c r="A1517" s="2">
        <f>IFERROR(__xludf.DUMMYFUNCTION("""COMPUTED_VALUE"""),38740.645833333336)</f>
        <v>38740.64583</v>
      </c>
      <c r="B1517" s="1">
        <f>IFERROR(__xludf.DUMMYFUNCTION("""COMPUTED_VALUE"""),185.15)</f>
        <v>185.15</v>
      </c>
      <c r="C1517" s="1">
        <f>IFERROR(__xludf.DUMMYFUNCTION("""COMPUTED_VALUE"""),189.0)</f>
        <v>189</v>
      </c>
      <c r="D1517" s="1">
        <f>IFERROR(__xludf.DUMMYFUNCTION("""COMPUTED_VALUE"""),183.55)</f>
        <v>183.55</v>
      </c>
      <c r="E1517" s="1">
        <f>IFERROR(__xludf.DUMMYFUNCTION("""COMPUTED_VALUE"""),188.0)</f>
        <v>188</v>
      </c>
      <c r="F1517" s="1">
        <f>IFERROR(__xludf.DUMMYFUNCTION("""COMPUTED_VALUE"""),1536513.0)</f>
        <v>1536513</v>
      </c>
    </row>
    <row r="1518">
      <c r="A1518" s="2">
        <f>IFERROR(__xludf.DUMMYFUNCTION("""COMPUTED_VALUE"""),38741.645833333336)</f>
        <v>38741.64583</v>
      </c>
      <c r="B1518" s="1">
        <f>IFERROR(__xludf.DUMMYFUNCTION("""COMPUTED_VALUE"""),188.95)</f>
        <v>188.95</v>
      </c>
      <c r="C1518" s="1">
        <f>IFERROR(__xludf.DUMMYFUNCTION("""COMPUTED_VALUE"""),190.3)</f>
        <v>190.3</v>
      </c>
      <c r="D1518" s="1">
        <f>IFERROR(__xludf.DUMMYFUNCTION("""COMPUTED_VALUE"""),187.05)</f>
        <v>187.05</v>
      </c>
      <c r="E1518" s="1">
        <f>IFERROR(__xludf.DUMMYFUNCTION("""COMPUTED_VALUE"""),188.3)</f>
        <v>188.3</v>
      </c>
      <c r="F1518" s="1">
        <f>IFERROR(__xludf.DUMMYFUNCTION("""COMPUTED_VALUE"""),1234824.0)</f>
        <v>1234824</v>
      </c>
    </row>
    <row r="1519">
      <c r="A1519" s="2">
        <f>IFERROR(__xludf.DUMMYFUNCTION("""COMPUTED_VALUE"""),38742.645833333336)</f>
        <v>38742.64583</v>
      </c>
      <c r="B1519" s="1">
        <f>IFERROR(__xludf.DUMMYFUNCTION("""COMPUTED_VALUE"""),188.5)</f>
        <v>188.5</v>
      </c>
      <c r="C1519" s="1">
        <f>IFERROR(__xludf.DUMMYFUNCTION("""COMPUTED_VALUE"""),197.2)</f>
        <v>197.2</v>
      </c>
      <c r="D1519" s="1">
        <f>IFERROR(__xludf.DUMMYFUNCTION("""COMPUTED_VALUE"""),188.5)</f>
        <v>188.5</v>
      </c>
      <c r="E1519" s="1">
        <f>IFERROR(__xludf.DUMMYFUNCTION("""COMPUTED_VALUE"""),196.2)</f>
        <v>196.2</v>
      </c>
      <c r="F1519" s="1">
        <f>IFERROR(__xludf.DUMMYFUNCTION("""COMPUTED_VALUE"""),6759837.0)</f>
        <v>6759837</v>
      </c>
    </row>
    <row r="1520">
      <c r="A1520" s="2">
        <f>IFERROR(__xludf.DUMMYFUNCTION("""COMPUTED_VALUE"""),38744.645833333336)</f>
        <v>38744.64583</v>
      </c>
      <c r="B1520" s="1">
        <f>IFERROR(__xludf.DUMMYFUNCTION("""COMPUTED_VALUE"""),196.25)</f>
        <v>196.25</v>
      </c>
      <c r="C1520" s="1">
        <f>IFERROR(__xludf.DUMMYFUNCTION("""COMPUTED_VALUE"""),201.05)</f>
        <v>201.05</v>
      </c>
      <c r="D1520" s="1">
        <f>IFERROR(__xludf.DUMMYFUNCTION("""COMPUTED_VALUE"""),194.65)</f>
        <v>194.65</v>
      </c>
      <c r="E1520" s="1">
        <f>IFERROR(__xludf.DUMMYFUNCTION("""COMPUTED_VALUE"""),195.1)</f>
        <v>195.1</v>
      </c>
      <c r="F1520" s="1">
        <f>IFERROR(__xludf.DUMMYFUNCTION("""COMPUTED_VALUE"""),3509648.0)</f>
        <v>3509648</v>
      </c>
    </row>
    <row r="1521">
      <c r="A1521" s="2">
        <f>IFERROR(__xludf.DUMMYFUNCTION("""COMPUTED_VALUE"""),38747.645833333336)</f>
        <v>38747.64583</v>
      </c>
      <c r="B1521" s="1">
        <f>IFERROR(__xludf.DUMMYFUNCTION("""COMPUTED_VALUE"""),197.15)</f>
        <v>197.15</v>
      </c>
      <c r="C1521" s="1">
        <f>IFERROR(__xludf.DUMMYFUNCTION("""COMPUTED_VALUE"""),197.5)</f>
        <v>197.5</v>
      </c>
      <c r="D1521" s="1">
        <f>IFERROR(__xludf.DUMMYFUNCTION("""COMPUTED_VALUE"""),191.3)</f>
        <v>191.3</v>
      </c>
      <c r="E1521" s="1">
        <f>IFERROR(__xludf.DUMMYFUNCTION("""COMPUTED_VALUE"""),192.15)</f>
        <v>192.15</v>
      </c>
      <c r="F1521" s="1">
        <f>IFERROR(__xludf.DUMMYFUNCTION("""COMPUTED_VALUE"""),1365592.0)</f>
        <v>1365592</v>
      </c>
    </row>
    <row r="1522">
      <c r="A1522" s="2">
        <f>IFERROR(__xludf.DUMMYFUNCTION("""COMPUTED_VALUE"""),38748.645833333336)</f>
        <v>38748.64583</v>
      </c>
      <c r="B1522" s="1">
        <f>IFERROR(__xludf.DUMMYFUNCTION("""COMPUTED_VALUE"""),193.6)</f>
        <v>193.6</v>
      </c>
      <c r="C1522" s="1">
        <f>IFERROR(__xludf.DUMMYFUNCTION("""COMPUTED_VALUE"""),195.75)</f>
        <v>195.75</v>
      </c>
      <c r="D1522" s="1">
        <f>IFERROR(__xludf.DUMMYFUNCTION("""COMPUTED_VALUE"""),191.75)</f>
        <v>191.75</v>
      </c>
      <c r="E1522" s="1">
        <f>IFERROR(__xludf.DUMMYFUNCTION("""COMPUTED_VALUE"""),195.25)</f>
        <v>195.25</v>
      </c>
      <c r="F1522" s="1">
        <f>IFERROR(__xludf.DUMMYFUNCTION("""COMPUTED_VALUE"""),2632805.0)</f>
        <v>2632805</v>
      </c>
    </row>
    <row r="1523">
      <c r="A1523" s="2">
        <f>IFERROR(__xludf.DUMMYFUNCTION("""COMPUTED_VALUE"""),38749.645833333336)</f>
        <v>38749.64583</v>
      </c>
      <c r="B1523" s="1">
        <f>IFERROR(__xludf.DUMMYFUNCTION("""COMPUTED_VALUE"""),194.2)</f>
        <v>194.2</v>
      </c>
      <c r="C1523" s="1">
        <f>IFERROR(__xludf.DUMMYFUNCTION("""COMPUTED_VALUE"""),196.8)</f>
        <v>196.8</v>
      </c>
      <c r="D1523" s="1">
        <f>IFERROR(__xludf.DUMMYFUNCTION("""COMPUTED_VALUE"""),190.15)</f>
        <v>190.15</v>
      </c>
      <c r="E1523" s="1">
        <f>IFERROR(__xludf.DUMMYFUNCTION("""COMPUTED_VALUE"""),191.6)</f>
        <v>191.6</v>
      </c>
      <c r="F1523" s="1">
        <f>IFERROR(__xludf.DUMMYFUNCTION("""COMPUTED_VALUE"""),1922016.0)</f>
        <v>1922016</v>
      </c>
    </row>
    <row r="1524">
      <c r="A1524" s="2">
        <f>IFERROR(__xludf.DUMMYFUNCTION("""COMPUTED_VALUE"""),38750.645833333336)</f>
        <v>38750.64583</v>
      </c>
      <c r="B1524" s="1">
        <f>IFERROR(__xludf.DUMMYFUNCTION("""COMPUTED_VALUE"""),193.0)</f>
        <v>193</v>
      </c>
      <c r="C1524" s="1">
        <f>IFERROR(__xludf.DUMMYFUNCTION("""COMPUTED_VALUE"""),199.3)</f>
        <v>199.3</v>
      </c>
      <c r="D1524" s="1">
        <f>IFERROR(__xludf.DUMMYFUNCTION("""COMPUTED_VALUE"""),191.6)</f>
        <v>191.6</v>
      </c>
      <c r="E1524" s="1">
        <f>IFERROR(__xludf.DUMMYFUNCTION("""COMPUTED_VALUE"""),193.55)</f>
        <v>193.55</v>
      </c>
      <c r="F1524" s="1">
        <f>IFERROR(__xludf.DUMMYFUNCTION("""COMPUTED_VALUE"""),4984634.0)</f>
        <v>4984634</v>
      </c>
    </row>
    <row r="1525">
      <c r="A1525" s="2">
        <f>IFERROR(__xludf.DUMMYFUNCTION("""COMPUTED_VALUE"""),38751.645833333336)</f>
        <v>38751.64583</v>
      </c>
      <c r="B1525" s="1">
        <f>IFERROR(__xludf.DUMMYFUNCTION("""COMPUTED_VALUE"""),193.9)</f>
        <v>193.9</v>
      </c>
      <c r="C1525" s="1">
        <f>IFERROR(__xludf.DUMMYFUNCTION("""COMPUTED_VALUE"""),194.25)</f>
        <v>194.25</v>
      </c>
      <c r="D1525" s="1">
        <f>IFERROR(__xludf.DUMMYFUNCTION("""COMPUTED_VALUE"""),189.5)</f>
        <v>189.5</v>
      </c>
      <c r="E1525" s="1">
        <f>IFERROR(__xludf.DUMMYFUNCTION("""COMPUTED_VALUE"""),190.3)</f>
        <v>190.3</v>
      </c>
      <c r="F1525" s="1">
        <f>IFERROR(__xludf.DUMMYFUNCTION("""COMPUTED_VALUE"""),2316006.0)</f>
        <v>2316006</v>
      </c>
    </row>
    <row r="1526">
      <c r="A1526" s="2">
        <f>IFERROR(__xludf.DUMMYFUNCTION("""COMPUTED_VALUE"""),38754.645833333336)</f>
        <v>38754.64583</v>
      </c>
      <c r="B1526" s="1">
        <f>IFERROR(__xludf.DUMMYFUNCTION("""COMPUTED_VALUE"""),191.0)</f>
        <v>191</v>
      </c>
      <c r="C1526" s="1">
        <f>IFERROR(__xludf.DUMMYFUNCTION("""COMPUTED_VALUE"""),196.0)</f>
        <v>196</v>
      </c>
      <c r="D1526" s="1">
        <f>IFERROR(__xludf.DUMMYFUNCTION("""COMPUTED_VALUE"""),188.0)</f>
        <v>188</v>
      </c>
      <c r="E1526" s="1">
        <f>IFERROR(__xludf.DUMMYFUNCTION("""COMPUTED_VALUE"""),194.65)</f>
        <v>194.65</v>
      </c>
      <c r="F1526" s="1">
        <f>IFERROR(__xludf.DUMMYFUNCTION("""COMPUTED_VALUE"""),2376792.0)</f>
        <v>2376792</v>
      </c>
    </row>
    <row r="1527">
      <c r="A1527" s="2">
        <f>IFERROR(__xludf.DUMMYFUNCTION("""COMPUTED_VALUE"""),38755.645833333336)</f>
        <v>38755.64583</v>
      </c>
      <c r="B1527" s="1">
        <f>IFERROR(__xludf.DUMMYFUNCTION("""COMPUTED_VALUE"""),195.9)</f>
        <v>195.9</v>
      </c>
      <c r="C1527" s="1">
        <f>IFERROR(__xludf.DUMMYFUNCTION("""COMPUTED_VALUE"""),198.4)</f>
        <v>198.4</v>
      </c>
      <c r="D1527" s="1">
        <f>IFERROR(__xludf.DUMMYFUNCTION("""COMPUTED_VALUE"""),194.55)</f>
        <v>194.55</v>
      </c>
      <c r="E1527" s="1">
        <f>IFERROR(__xludf.DUMMYFUNCTION("""COMPUTED_VALUE"""),197.8)</f>
        <v>197.8</v>
      </c>
      <c r="F1527" s="1">
        <f>IFERROR(__xludf.DUMMYFUNCTION("""COMPUTED_VALUE"""),2188701.0)</f>
        <v>2188701</v>
      </c>
    </row>
    <row r="1528">
      <c r="A1528" s="2">
        <f>IFERROR(__xludf.DUMMYFUNCTION("""COMPUTED_VALUE"""),38756.645833333336)</f>
        <v>38756.64583</v>
      </c>
      <c r="B1528" s="1">
        <f>IFERROR(__xludf.DUMMYFUNCTION("""COMPUTED_VALUE"""),197.05)</f>
        <v>197.05</v>
      </c>
      <c r="C1528" s="1">
        <f>IFERROR(__xludf.DUMMYFUNCTION("""COMPUTED_VALUE"""),198.15)</f>
        <v>198.15</v>
      </c>
      <c r="D1528" s="1">
        <f>IFERROR(__xludf.DUMMYFUNCTION("""COMPUTED_VALUE"""),190.1)</f>
        <v>190.1</v>
      </c>
      <c r="E1528" s="1">
        <f>IFERROR(__xludf.DUMMYFUNCTION("""COMPUTED_VALUE"""),197.2)</f>
        <v>197.2</v>
      </c>
      <c r="F1528" s="1">
        <f>IFERROR(__xludf.DUMMYFUNCTION("""COMPUTED_VALUE"""),2114139.0)</f>
        <v>2114139</v>
      </c>
    </row>
    <row r="1529">
      <c r="A1529" s="2">
        <f>IFERROR(__xludf.DUMMYFUNCTION("""COMPUTED_VALUE"""),38758.645833333336)</f>
        <v>38758.64583</v>
      </c>
      <c r="B1529" s="1">
        <f>IFERROR(__xludf.DUMMYFUNCTION("""COMPUTED_VALUE"""),198.15)</f>
        <v>198.15</v>
      </c>
      <c r="C1529" s="1">
        <f>IFERROR(__xludf.DUMMYFUNCTION("""COMPUTED_VALUE"""),209.4)</f>
        <v>209.4</v>
      </c>
      <c r="D1529" s="1">
        <f>IFERROR(__xludf.DUMMYFUNCTION("""COMPUTED_VALUE"""),197.25)</f>
        <v>197.25</v>
      </c>
      <c r="E1529" s="1">
        <f>IFERROR(__xludf.DUMMYFUNCTION("""COMPUTED_VALUE"""),208.05)</f>
        <v>208.05</v>
      </c>
      <c r="F1529" s="1">
        <f>IFERROR(__xludf.DUMMYFUNCTION("""COMPUTED_VALUE"""),9290620.0)</f>
        <v>9290620</v>
      </c>
    </row>
    <row r="1530">
      <c r="A1530" s="2">
        <f>IFERROR(__xludf.DUMMYFUNCTION("""COMPUTED_VALUE"""),38761.645833333336)</f>
        <v>38761.64583</v>
      </c>
      <c r="B1530" s="1">
        <f>IFERROR(__xludf.DUMMYFUNCTION("""COMPUTED_VALUE"""),207.0)</f>
        <v>207</v>
      </c>
      <c r="C1530" s="1">
        <f>IFERROR(__xludf.DUMMYFUNCTION("""COMPUTED_VALUE"""),210.1)</f>
        <v>210.1</v>
      </c>
      <c r="D1530" s="1">
        <f>IFERROR(__xludf.DUMMYFUNCTION("""COMPUTED_VALUE"""),203.4)</f>
        <v>203.4</v>
      </c>
      <c r="E1530" s="1">
        <f>IFERROR(__xludf.DUMMYFUNCTION("""COMPUTED_VALUE"""),209.5)</f>
        <v>209.5</v>
      </c>
      <c r="F1530" s="1">
        <f>IFERROR(__xludf.DUMMYFUNCTION("""COMPUTED_VALUE"""),4404005.0)</f>
        <v>4404005</v>
      </c>
    </row>
    <row r="1531">
      <c r="A1531" s="2">
        <f>IFERROR(__xludf.DUMMYFUNCTION("""COMPUTED_VALUE"""),38762.645833333336)</f>
        <v>38762.64583</v>
      </c>
      <c r="B1531" s="1">
        <f>IFERROR(__xludf.DUMMYFUNCTION("""COMPUTED_VALUE"""),210.0)</f>
        <v>210</v>
      </c>
      <c r="C1531" s="1">
        <f>IFERROR(__xludf.DUMMYFUNCTION("""COMPUTED_VALUE"""),226.8)</f>
        <v>226.8</v>
      </c>
      <c r="D1531" s="1">
        <f>IFERROR(__xludf.DUMMYFUNCTION("""COMPUTED_VALUE"""),205.75)</f>
        <v>205.75</v>
      </c>
      <c r="E1531" s="1">
        <f>IFERROR(__xludf.DUMMYFUNCTION("""COMPUTED_VALUE"""),224.45)</f>
        <v>224.45</v>
      </c>
      <c r="F1531" s="1">
        <f>IFERROR(__xludf.DUMMYFUNCTION("""COMPUTED_VALUE"""),1.8132894E7)</f>
        <v>18132894</v>
      </c>
    </row>
    <row r="1532">
      <c r="A1532" s="2">
        <f>IFERROR(__xludf.DUMMYFUNCTION("""COMPUTED_VALUE"""),38763.645833333336)</f>
        <v>38763.64583</v>
      </c>
      <c r="B1532" s="1">
        <f>IFERROR(__xludf.DUMMYFUNCTION("""COMPUTED_VALUE"""),226.3)</f>
        <v>226.3</v>
      </c>
      <c r="C1532" s="1">
        <f>IFERROR(__xludf.DUMMYFUNCTION("""COMPUTED_VALUE"""),236.7)</f>
        <v>236.7</v>
      </c>
      <c r="D1532" s="1">
        <f>IFERROR(__xludf.DUMMYFUNCTION("""COMPUTED_VALUE"""),226.0)</f>
        <v>226</v>
      </c>
      <c r="E1532" s="1">
        <f>IFERROR(__xludf.DUMMYFUNCTION("""COMPUTED_VALUE"""),235.9)</f>
        <v>235.9</v>
      </c>
      <c r="F1532" s="1">
        <f>IFERROR(__xludf.DUMMYFUNCTION("""COMPUTED_VALUE"""),1.2458318E7)</f>
        <v>12458318</v>
      </c>
    </row>
    <row r="1533">
      <c r="A1533" s="2">
        <f>IFERROR(__xludf.DUMMYFUNCTION("""COMPUTED_VALUE"""),38764.645833333336)</f>
        <v>38764.64583</v>
      </c>
      <c r="B1533" s="1">
        <f>IFERROR(__xludf.DUMMYFUNCTION("""COMPUTED_VALUE"""),235.0)</f>
        <v>235</v>
      </c>
      <c r="C1533" s="1">
        <f>IFERROR(__xludf.DUMMYFUNCTION("""COMPUTED_VALUE"""),239.9)</f>
        <v>239.9</v>
      </c>
      <c r="D1533" s="1">
        <f>IFERROR(__xludf.DUMMYFUNCTION("""COMPUTED_VALUE"""),230.5)</f>
        <v>230.5</v>
      </c>
      <c r="E1533" s="1">
        <f>IFERROR(__xludf.DUMMYFUNCTION("""COMPUTED_VALUE"""),238.45)</f>
        <v>238.45</v>
      </c>
      <c r="F1533" s="1">
        <f>IFERROR(__xludf.DUMMYFUNCTION("""COMPUTED_VALUE"""),6278927.0)</f>
        <v>6278927</v>
      </c>
    </row>
    <row r="1534">
      <c r="A1534" s="2">
        <f>IFERROR(__xludf.DUMMYFUNCTION("""COMPUTED_VALUE"""),38765.645833333336)</f>
        <v>38765.64583</v>
      </c>
      <c r="B1534" s="1">
        <f>IFERROR(__xludf.DUMMYFUNCTION("""COMPUTED_VALUE"""),238.8)</f>
        <v>238.8</v>
      </c>
      <c r="C1534" s="1">
        <f>IFERROR(__xludf.DUMMYFUNCTION("""COMPUTED_VALUE"""),238.8)</f>
        <v>238.8</v>
      </c>
      <c r="D1534" s="1">
        <f>IFERROR(__xludf.DUMMYFUNCTION("""COMPUTED_VALUE"""),229.6)</f>
        <v>229.6</v>
      </c>
      <c r="E1534" s="1">
        <f>IFERROR(__xludf.DUMMYFUNCTION("""COMPUTED_VALUE"""),230.7)</f>
        <v>230.7</v>
      </c>
      <c r="F1534" s="1">
        <f>IFERROR(__xludf.DUMMYFUNCTION("""COMPUTED_VALUE"""),3513037.0)</f>
        <v>3513037</v>
      </c>
    </row>
    <row r="1535">
      <c r="A1535" s="2">
        <f>IFERROR(__xludf.DUMMYFUNCTION("""COMPUTED_VALUE"""),38768.645833333336)</f>
        <v>38768.64583</v>
      </c>
      <c r="B1535" s="1">
        <f>IFERROR(__xludf.DUMMYFUNCTION("""COMPUTED_VALUE"""),232.6)</f>
        <v>232.6</v>
      </c>
      <c r="C1535" s="1">
        <f>IFERROR(__xludf.DUMMYFUNCTION("""COMPUTED_VALUE"""),241.0)</f>
        <v>241</v>
      </c>
      <c r="D1535" s="1">
        <f>IFERROR(__xludf.DUMMYFUNCTION("""COMPUTED_VALUE"""),227.5)</f>
        <v>227.5</v>
      </c>
      <c r="E1535" s="1">
        <f>IFERROR(__xludf.DUMMYFUNCTION("""COMPUTED_VALUE"""),238.5)</f>
        <v>238.5</v>
      </c>
      <c r="F1535" s="1">
        <f>IFERROR(__xludf.DUMMYFUNCTION("""COMPUTED_VALUE"""),4451097.0)</f>
        <v>4451097</v>
      </c>
    </row>
    <row r="1536">
      <c r="A1536" s="2">
        <f>IFERROR(__xludf.DUMMYFUNCTION("""COMPUTED_VALUE"""),38769.645833333336)</f>
        <v>38769.64583</v>
      </c>
      <c r="B1536" s="1">
        <f>IFERROR(__xludf.DUMMYFUNCTION("""COMPUTED_VALUE"""),238.5)</f>
        <v>238.5</v>
      </c>
      <c r="C1536" s="1">
        <f>IFERROR(__xludf.DUMMYFUNCTION("""COMPUTED_VALUE"""),243.4)</f>
        <v>243.4</v>
      </c>
      <c r="D1536" s="1">
        <f>IFERROR(__xludf.DUMMYFUNCTION("""COMPUTED_VALUE"""),234.15)</f>
        <v>234.15</v>
      </c>
      <c r="E1536" s="1">
        <f>IFERROR(__xludf.DUMMYFUNCTION("""COMPUTED_VALUE"""),237.0)</f>
        <v>237</v>
      </c>
      <c r="F1536" s="1">
        <f>IFERROR(__xludf.DUMMYFUNCTION("""COMPUTED_VALUE"""),4564546.0)</f>
        <v>4564546</v>
      </c>
    </row>
    <row r="1537">
      <c r="A1537" s="2">
        <f>IFERROR(__xludf.DUMMYFUNCTION("""COMPUTED_VALUE"""),38770.645833333336)</f>
        <v>38770.64583</v>
      </c>
      <c r="B1537" s="1">
        <f>IFERROR(__xludf.DUMMYFUNCTION("""COMPUTED_VALUE"""),236.8)</f>
        <v>236.8</v>
      </c>
      <c r="C1537" s="1">
        <f>IFERROR(__xludf.DUMMYFUNCTION("""COMPUTED_VALUE"""),242.65)</f>
        <v>242.65</v>
      </c>
      <c r="D1537" s="1">
        <f>IFERROR(__xludf.DUMMYFUNCTION("""COMPUTED_VALUE"""),236.0)</f>
        <v>236</v>
      </c>
      <c r="E1537" s="1">
        <f>IFERROR(__xludf.DUMMYFUNCTION("""COMPUTED_VALUE"""),241.5)</f>
        <v>241.5</v>
      </c>
      <c r="F1537" s="1">
        <f>IFERROR(__xludf.DUMMYFUNCTION("""COMPUTED_VALUE"""),5658324.0)</f>
        <v>5658324</v>
      </c>
    </row>
    <row r="1538">
      <c r="A1538" s="2">
        <f>IFERROR(__xludf.DUMMYFUNCTION("""COMPUTED_VALUE"""),38771.645833333336)</f>
        <v>38771.64583</v>
      </c>
      <c r="B1538" s="1">
        <f>IFERROR(__xludf.DUMMYFUNCTION("""COMPUTED_VALUE"""),241.95)</f>
        <v>241.95</v>
      </c>
      <c r="C1538" s="1">
        <f>IFERROR(__xludf.DUMMYFUNCTION("""COMPUTED_VALUE"""),252.65)</f>
        <v>252.65</v>
      </c>
      <c r="D1538" s="1">
        <f>IFERROR(__xludf.DUMMYFUNCTION("""COMPUTED_VALUE"""),241.5)</f>
        <v>241.5</v>
      </c>
      <c r="E1538" s="1">
        <f>IFERROR(__xludf.DUMMYFUNCTION("""COMPUTED_VALUE"""),247.05)</f>
        <v>247.05</v>
      </c>
      <c r="F1538" s="1">
        <f>IFERROR(__xludf.DUMMYFUNCTION("""COMPUTED_VALUE"""),1.0900196E7)</f>
        <v>10900196</v>
      </c>
    </row>
    <row r="1539">
      <c r="A1539" s="2">
        <f>IFERROR(__xludf.DUMMYFUNCTION("""COMPUTED_VALUE"""),38772.645833333336)</f>
        <v>38772.64583</v>
      </c>
      <c r="B1539" s="1">
        <f>IFERROR(__xludf.DUMMYFUNCTION("""COMPUTED_VALUE"""),248.3)</f>
        <v>248.3</v>
      </c>
      <c r="C1539" s="1">
        <f>IFERROR(__xludf.DUMMYFUNCTION("""COMPUTED_VALUE"""),249.9)</f>
        <v>249.9</v>
      </c>
      <c r="D1539" s="1">
        <f>IFERROR(__xludf.DUMMYFUNCTION("""COMPUTED_VALUE"""),241.65)</f>
        <v>241.65</v>
      </c>
      <c r="E1539" s="1">
        <f>IFERROR(__xludf.DUMMYFUNCTION("""COMPUTED_VALUE"""),242.2)</f>
        <v>242.2</v>
      </c>
      <c r="F1539" s="1">
        <f>IFERROR(__xludf.DUMMYFUNCTION("""COMPUTED_VALUE"""),2666147.0)</f>
        <v>2666147</v>
      </c>
    </row>
    <row r="1540">
      <c r="A1540" s="2">
        <f>IFERROR(__xludf.DUMMYFUNCTION("""COMPUTED_VALUE"""),38775.645833333336)</f>
        <v>38775.64583</v>
      </c>
      <c r="B1540" s="1">
        <f>IFERROR(__xludf.DUMMYFUNCTION("""COMPUTED_VALUE"""),243.9)</f>
        <v>243.9</v>
      </c>
      <c r="C1540" s="1">
        <f>IFERROR(__xludf.DUMMYFUNCTION("""COMPUTED_VALUE"""),244.85)</f>
        <v>244.85</v>
      </c>
      <c r="D1540" s="1">
        <f>IFERROR(__xludf.DUMMYFUNCTION("""COMPUTED_VALUE"""),237.85)</f>
        <v>237.85</v>
      </c>
      <c r="E1540" s="1">
        <f>IFERROR(__xludf.DUMMYFUNCTION("""COMPUTED_VALUE"""),238.65)</f>
        <v>238.65</v>
      </c>
      <c r="F1540" s="1">
        <f>IFERROR(__xludf.DUMMYFUNCTION("""COMPUTED_VALUE"""),2944955.0)</f>
        <v>2944955</v>
      </c>
    </row>
    <row r="1541">
      <c r="A1541" s="2">
        <f>IFERROR(__xludf.DUMMYFUNCTION("""COMPUTED_VALUE"""),38776.645833333336)</f>
        <v>38776.64583</v>
      </c>
      <c r="B1541" s="1">
        <f>IFERROR(__xludf.DUMMYFUNCTION("""COMPUTED_VALUE"""),241.0)</f>
        <v>241</v>
      </c>
      <c r="C1541" s="1">
        <f>IFERROR(__xludf.DUMMYFUNCTION("""COMPUTED_VALUE"""),246.4)</f>
        <v>246.4</v>
      </c>
      <c r="D1541" s="1">
        <f>IFERROR(__xludf.DUMMYFUNCTION("""COMPUTED_VALUE"""),239.05)</f>
        <v>239.05</v>
      </c>
      <c r="E1541" s="1">
        <f>IFERROR(__xludf.DUMMYFUNCTION("""COMPUTED_VALUE"""),243.7)</f>
        <v>243.7</v>
      </c>
      <c r="F1541" s="1">
        <f>IFERROR(__xludf.DUMMYFUNCTION("""COMPUTED_VALUE"""),4857106.0)</f>
        <v>4857106</v>
      </c>
    </row>
    <row r="1542">
      <c r="A1542" s="2">
        <f>IFERROR(__xludf.DUMMYFUNCTION("""COMPUTED_VALUE"""),38777.645833333336)</f>
        <v>38777.64583</v>
      </c>
      <c r="B1542" s="1">
        <f>IFERROR(__xludf.DUMMYFUNCTION("""COMPUTED_VALUE"""),243.0)</f>
        <v>243</v>
      </c>
      <c r="C1542" s="1">
        <f>IFERROR(__xludf.DUMMYFUNCTION("""COMPUTED_VALUE"""),247.5)</f>
        <v>247.5</v>
      </c>
      <c r="D1542" s="1">
        <f>IFERROR(__xludf.DUMMYFUNCTION("""COMPUTED_VALUE"""),242.5)</f>
        <v>242.5</v>
      </c>
      <c r="E1542" s="1">
        <f>IFERROR(__xludf.DUMMYFUNCTION("""COMPUTED_VALUE"""),245.45)</f>
        <v>245.45</v>
      </c>
      <c r="F1542" s="1">
        <f>IFERROR(__xludf.DUMMYFUNCTION("""COMPUTED_VALUE"""),3424694.0)</f>
        <v>3424694</v>
      </c>
    </row>
    <row r="1543">
      <c r="A1543" s="2">
        <f>IFERROR(__xludf.DUMMYFUNCTION("""COMPUTED_VALUE"""),38778.645833333336)</f>
        <v>38778.64583</v>
      </c>
      <c r="B1543" s="1">
        <f>IFERROR(__xludf.DUMMYFUNCTION("""COMPUTED_VALUE"""),245.0)</f>
        <v>245</v>
      </c>
      <c r="C1543" s="1">
        <f>IFERROR(__xludf.DUMMYFUNCTION("""COMPUTED_VALUE"""),248.95)</f>
        <v>248.95</v>
      </c>
      <c r="D1543" s="1">
        <f>IFERROR(__xludf.DUMMYFUNCTION("""COMPUTED_VALUE"""),243.0)</f>
        <v>243</v>
      </c>
      <c r="E1543" s="1">
        <f>IFERROR(__xludf.DUMMYFUNCTION("""COMPUTED_VALUE"""),244.2)</f>
        <v>244.2</v>
      </c>
      <c r="F1543" s="1">
        <f>IFERROR(__xludf.DUMMYFUNCTION("""COMPUTED_VALUE"""),2257987.0)</f>
        <v>2257987</v>
      </c>
    </row>
    <row r="1544">
      <c r="A1544" s="2">
        <f>IFERROR(__xludf.DUMMYFUNCTION("""COMPUTED_VALUE"""),38779.645833333336)</f>
        <v>38779.64583</v>
      </c>
      <c r="B1544" s="1">
        <f>IFERROR(__xludf.DUMMYFUNCTION("""COMPUTED_VALUE"""),245.0)</f>
        <v>245</v>
      </c>
      <c r="C1544" s="1">
        <f>IFERROR(__xludf.DUMMYFUNCTION("""COMPUTED_VALUE"""),246.95)</f>
        <v>246.95</v>
      </c>
      <c r="D1544" s="1">
        <f>IFERROR(__xludf.DUMMYFUNCTION("""COMPUTED_VALUE"""),242.0)</f>
        <v>242</v>
      </c>
      <c r="E1544" s="1">
        <f>IFERROR(__xludf.DUMMYFUNCTION("""COMPUTED_VALUE"""),244.25)</f>
        <v>244.25</v>
      </c>
      <c r="F1544" s="1">
        <f>IFERROR(__xludf.DUMMYFUNCTION("""COMPUTED_VALUE"""),2205740.0)</f>
        <v>2205740</v>
      </c>
    </row>
    <row r="1545">
      <c r="A1545" s="2">
        <f>IFERROR(__xludf.DUMMYFUNCTION("""COMPUTED_VALUE"""),38782.645833333336)</f>
        <v>38782.64583</v>
      </c>
      <c r="B1545" s="1">
        <f>IFERROR(__xludf.DUMMYFUNCTION("""COMPUTED_VALUE"""),245.5)</f>
        <v>245.5</v>
      </c>
      <c r="C1545" s="1">
        <f>IFERROR(__xludf.DUMMYFUNCTION("""COMPUTED_VALUE"""),247.4)</f>
        <v>247.4</v>
      </c>
      <c r="D1545" s="1">
        <f>IFERROR(__xludf.DUMMYFUNCTION("""COMPUTED_VALUE"""),242.75)</f>
        <v>242.75</v>
      </c>
      <c r="E1545" s="1">
        <f>IFERROR(__xludf.DUMMYFUNCTION("""COMPUTED_VALUE"""),243.45)</f>
        <v>243.45</v>
      </c>
      <c r="F1545" s="1">
        <f>IFERROR(__xludf.DUMMYFUNCTION("""COMPUTED_VALUE"""),2717915.0)</f>
        <v>2717915</v>
      </c>
    </row>
    <row r="1546">
      <c r="A1546" s="2">
        <f>IFERROR(__xludf.DUMMYFUNCTION("""COMPUTED_VALUE"""),38783.645833333336)</f>
        <v>38783.64583</v>
      </c>
      <c r="B1546" s="1">
        <f>IFERROR(__xludf.DUMMYFUNCTION("""COMPUTED_VALUE"""),245.9)</f>
        <v>245.9</v>
      </c>
      <c r="C1546" s="1">
        <f>IFERROR(__xludf.DUMMYFUNCTION("""COMPUTED_VALUE"""),254.1)</f>
        <v>254.1</v>
      </c>
      <c r="D1546" s="1">
        <f>IFERROR(__xludf.DUMMYFUNCTION("""COMPUTED_VALUE"""),245.9)</f>
        <v>245.9</v>
      </c>
      <c r="E1546" s="1">
        <f>IFERROR(__xludf.DUMMYFUNCTION("""COMPUTED_VALUE"""),252.3)</f>
        <v>252.3</v>
      </c>
      <c r="F1546" s="1">
        <f>IFERROR(__xludf.DUMMYFUNCTION("""COMPUTED_VALUE"""),7592715.0)</f>
        <v>7592715</v>
      </c>
    </row>
    <row r="1547">
      <c r="A1547" s="2">
        <f>IFERROR(__xludf.DUMMYFUNCTION("""COMPUTED_VALUE"""),38784.645833333336)</f>
        <v>38784.64583</v>
      </c>
      <c r="B1547" s="1">
        <f>IFERROR(__xludf.DUMMYFUNCTION("""COMPUTED_VALUE"""),250.0)</f>
        <v>250</v>
      </c>
      <c r="C1547" s="1">
        <f>IFERROR(__xludf.DUMMYFUNCTION("""COMPUTED_VALUE"""),252.9)</f>
        <v>252.9</v>
      </c>
      <c r="D1547" s="1">
        <f>IFERROR(__xludf.DUMMYFUNCTION("""COMPUTED_VALUE"""),241.25)</f>
        <v>241.25</v>
      </c>
      <c r="E1547" s="1">
        <f>IFERROR(__xludf.DUMMYFUNCTION("""COMPUTED_VALUE"""),242.75)</f>
        <v>242.75</v>
      </c>
      <c r="F1547" s="1">
        <f>IFERROR(__xludf.DUMMYFUNCTION("""COMPUTED_VALUE"""),4099375.0)</f>
        <v>4099375</v>
      </c>
    </row>
    <row r="1548">
      <c r="A1548" s="2">
        <f>IFERROR(__xludf.DUMMYFUNCTION("""COMPUTED_VALUE"""),38785.645833333336)</f>
        <v>38785.64583</v>
      </c>
      <c r="B1548" s="1">
        <f>IFERROR(__xludf.DUMMYFUNCTION("""COMPUTED_VALUE"""),242.9)</f>
        <v>242.9</v>
      </c>
      <c r="C1548" s="1">
        <f>IFERROR(__xludf.DUMMYFUNCTION("""COMPUTED_VALUE"""),245.9)</f>
        <v>245.9</v>
      </c>
      <c r="D1548" s="1">
        <f>IFERROR(__xludf.DUMMYFUNCTION("""COMPUTED_VALUE"""),238.4)</f>
        <v>238.4</v>
      </c>
      <c r="E1548" s="1">
        <f>IFERROR(__xludf.DUMMYFUNCTION("""COMPUTED_VALUE"""),244.55)</f>
        <v>244.55</v>
      </c>
      <c r="F1548" s="1">
        <f>IFERROR(__xludf.DUMMYFUNCTION("""COMPUTED_VALUE"""),3280634.0)</f>
        <v>3280634</v>
      </c>
    </row>
    <row r="1549">
      <c r="A1549" s="2">
        <f>IFERROR(__xludf.DUMMYFUNCTION("""COMPUTED_VALUE"""),38786.645833333336)</f>
        <v>38786.64583</v>
      </c>
      <c r="B1549" s="1">
        <f>IFERROR(__xludf.DUMMYFUNCTION("""COMPUTED_VALUE"""),246.7)</f>
        <v>246.7</v>
      </c>
      <c r="C1549" s="1">
        <f>IFERROR(__xludf.DUMMYFUNCTION("""COMPUTED_VALUE"""),252.95)</f>
        <v>252.95</v>
      </c>
      <c r="D1549" s="1">
        <f>IFERROR(__xludf.DUMMYFUNCTION("""COMPUTED_VALUE"""),245.45)</f>
        <v>245.45</v>
      </c>
      <c r="E1549" s="1">
        <f>IFERROR(__xludf.DUMMYFUNCTION("""COMPUTED_VALUE"""),252.0)</f>
        <v>252</v>
      </c>
      <c r="F1549" s="1">
        <f>IFERROR(__xludf.DUMMYFUNCTION("""COMPUTED_VALUE"""),1891848.0)</f>
        <v>1891848</v>
      </c>
    </row>
    <row r="1550">
      <c r="A1550" s="2">
        <f>IFERROR(__xludf.DUMMYFUNCTION("""COMPUTED_VALUE"""),38789.645833333336)</f>
        <v>38789.64583</v>
      </c>
      <c r="B1550" s="1">
        <f>IFERROR(__xludf.DUMMYFUNCTION("""COMPUTED_VALUE"""),252.0)</f>
        <v>252</v>
      </c>
      <c r="C1550" s="1">
        <f>IFERROR(__xludf.DUMMYFUNCTION("""COMPUTED_VALUE"""),256.8)</f>
        <v>256.8</v>
      </c>
      <c r="D1550" s="1">
        <f>IFERROR(__xludf.DUMMYFUNCTION("""COMPUTED_VALUE"""),250.0)</f>
        <v>250</v>
      </c>
      <c r="E1550" s="1">
        <f>IFERROR(__xludf.DUMMYFUNCTION("""COMPUTED_VALUE"""),252.9)</f>
        <v>252.9</v>
      </c>
      <c r="F1550" s="1">
        <f>IFERROR(__xludf.DUMMYFUNCTION("""COMPUTED_VALUE"""),2017250.0)</f>
        <v>2017250</v>
      </c>
    </row>
    <row r="1551">
      <c r="A1551" s="2">
        <f>IFERROR(__xludf.DUMMYFUNCTION("""COMPUTED_VALUE"""),38790.645833333336)</f>
        <v>38790.64583</v>
      </c>
      <c r="B1551" s="1">
        <f>IFERROR(__xludf.DUMMYFUNCTION("""COMPUTED_VALUE"""),252.25)</f>
        <v>252.25</v>
      </c>
      <c r="C1551" s="1">
        <f>IFERROR(__xludf.DUMMYFUNCTION("""COMPUTED_VALUE"""),259.9)</f>
        <v>259.9</v>
      </c>
      <c r="D1551" s="1">
        <f>IFERROR(__xludf.DUMMYFUNCTION("""COMPUTED_VALUE"""),250.8)</f>
        <v>250.8</v>
      </c>
      <c r="E1551" s="1">
        <f>IFERROR(__xludf.DUMMYFUNCTION("""COMPUTED_VALUE"""),257.9)</f>
        <v>257.9</v>
      </c>
      <c r="F1551" s="1">
        <f>IFERROR(__xludf.DUMMYFUNCTION("""COMPUTED_VALUE"""),2724839.0)</f>
        <v>2724839</v>
      </c>
    </row>
    <row r="1552">
      <c r="A1552" s="2">
        <f>IFERROR(__xludf.DUMMYFUNCTION("""COMPUTED_VALUE"""),38792.645833333336)</f>
        <v>38792.64583</v>
      </c>
      <c r="B1552" s="1">
        <f>IFERROR(__xludf.DUMMYFUNCTION("""COMPUTED_VALUE"""),258.5)</f>
        <v>258.5</v>
      </c>
      <c r="C1552" s="1">
        <f>IFERROR(__xludf.DUMMYFUNCTION("""COMPUTED_VALUE"""),260.0)</f>
        <v>260</v>
      </c>
      <c r="D1552" s="1">
        <f>IFERROR(__xludf.DUMMYFUNCTION("""COMPUTED_VALUE"""),253.6)</f>
        <v>253.6</v>
      </c>
      <c r="E1552" s="1">
        <f>IFERROR(__xludf.DUMMYFUNCTION("""COMPUTED_VALUE"""),258.45)</f>
        <v>258.45</v>
      </c>
      <c r="F1552" s="1">
        <f>IFERROR(__xludf.DUMMYFUNCTION("""COMPUTED_VALUE"""),2406134.0)</f>
        <v>2406134</v>
      </c>
    </row>
    <row r="1553">
      <c r="A1553" s="2">
        <f>IFERROR(__xludf.DUMMYFUNCTION("""COMPUTED_VALUE"""),38793.645833333336)</f>
        <v>38793.64583</v>
      </c>
      <c r="B1553" s="1">
        <f>IFERROR(__xludf.DUMMYFUNCTION("""COMPUTED_VALUE"""),259.0)</f>
        <v>259</v>
      </c>
      <c r="C1553" s="1">
        <f>IFERROR(__xludf.DUMMYFUNCTION("""COMPUTED_VALUE"""),259.8)</f>
        <v>259.8</v>
      </c>
      <c r="D1553" s="1">
        <f>IFERROR(__xludf.DUMMYFUNCTION("""COMPUTED_VALUE"""),253.0)</f>
        <v>253</v>
      </c>
      <c r="E1553" s="1">
        <f>IFERROR(__xludf.DUMMYFUNCTION("""COMPUTED_VALUE"""),254.05)</f>
        <v>254.05</v>
      </c>
      <c r="F1553" s="1">
        <f>IFERROR(__xludf.DUMMYFUNCTION("""COMPUTED_VALUE"""),957433.0)</f>
        <v>957433</v>
      </c>
    </row>
    <row r="1554">
      <c r="A1554" s="2">
        <f>IFERROR(__xludf.DUMMYFUNCTION("""COMPUTED_VALUE"""),38796.645833333336)</f>
        <v>38796.64583</v>
      </c>
      <c r="B1554" s="1">
        <f>IFERROR(__xludf.DUMMYFUNCTION("""COMPUTED_VALUE"""),254.5)</f>
        <v>254.5</v>
      </c>
      <c r="C1554" s="1">
        <f>IFERROR(__xludf.DUMMYFUNCTION("""COMPUTED_VALUE"""),256.8)</f>
        <v>256.8</v>
      </c>
      <c r="D1554" s="1">
        <f>IFERROR(__xludf.DUMMYFUNCTION("""COMPUTED_VALUE"""),251.6)</f>
        <v>251.6</v>
      </c>
      <c r="E1554" s="1">
        <f>IFERROR(__xludf.DUMMYFUNCTION("""COMPUTED_VALUE"""),252.65)</f>
        <v>252.65</v>
      </c>
      <c r="F1554" s="1">
        <f>IFERROR(__xludf.DUMMYFUNCTION("""COMPUTED_VALUE"""),1689511.0)</f>
        <v>1689511</v>
      </c>
    </row>
    <row r="1555">
      <c r="A1555" s="2">
        <f>IFERROR(__xludf.DUMMYFUNCTION("""COMPUTED_VALUE"""),38797.645833333336)</f>
        <v>38797.64583</v>
      </c>
      <c r="B1555" s="1">
        <f>IFERROR(__xludf.DUMMYFUNCTION("""COMPUTED_VALUE"""),256.8)</f>
        <v>256.8</v>
      </c>
      <c r="C1555" s="1">
        <f>IFERROR(__xludf.DUMMYFUNCTION("""COMPUTED_VALUE"""),256.8)</f>
        <v>256.8</v>
      </c>
      <c r="D1555" s="1">
        <f>IFERROR(__xludf.DUMMYFUNCTION("""COMPUTED_VALUE"""),250.2)</f>
        <v>250.2</v>
      </c>
      <c r="E1555" s="1">
        <f>IFERROR(__xludf.DUMMYFUNCTION("""COMPUTED_VALUE"""),252.1)</f>
        <v>252.1</v>
      </c>
      <c r="F1555" s="1">
        <f>IFERROR(__xludf.DUMMYFUNCTION("""COMPUTED_VALUE"""),1952787.0)</f>
        <v>1952787</v>
      </c>
    </row>
    <row r="1556">
      <c r="A1556" s="2">
        <f>IFERROR(__xludf.DUMMYFUNCTION("""COMPUTED_VALUE"""),38798.645833333336)</f>
        <v>38798.64583</v>
      </c>
      <c r="B1556" s="1">
        <f>IFERROR(__xludf.DUMMYFUNCTION("""COMPUTED_VALUE"""),252.3)</f>
        <v>252.3</v>
      </c>
      <c r="C1556" s="1">
        <f>IFERROR(__xludf.DUMMYFUNCTION("""COMPUTED_VALUE"""),256.9)</f>
        <v>256.9</v>
      </c>
      <c r="D1556" s="1">
        <f>IFERROR(__xludf.DUMMYFUNCTION("""COMPUTED_VALUE"""),248.15)</f>
        <v>248.15</v>
      </c>
      <c r="E1556" s="1">
        <f>IFERROR(__xludf.DUMMYFUNCTION("""COMPUTED_VALUE"""),255.3)</f>
        <v>255.3</v>
      </c>
      <c r="F1556" s="1">
        <f>IFERROR(__xludf.DUMMYFUNCTION("""COMPUTED_VALUE"""),3314419.0)</f>
        <v>3314419</v>
      </c>
    </row>
    <row r="1557">
      <c r="A1557" s="2">
        <f>IFERROR(__xludf.DUMMYFUNCTION("""COMPUTED_VALUE"""),38799.645833333336)</f>
        <v>38799.64583</v>
      </c>
      <c r="B1557" s="1">
        <f>IFERROR(__xludf.DUMMYFUNCTION("""COMPUTED_VALUE"""),256.1)</f>
        <v>256.1</v>
      </c>
      <c r="C1557" s="1">
        <f>IFERROR(__xludf.DUMMYFUNCTION("""COMPUTED_VALUE"""),257.05)</f>
        <v>257.05</v>
      </c>
      <c r="D1557" s="1">
        <f>IFERROR(__xludf.DUMMYFUNCTION("""COMPUTED_VALUE"""),253.25)</f>
        <v>253.25</v>
      </c>
      <c r="E1557" s="1">
        <f>IFERROR(__xludf.DUMMYFUNCTION("""COMPUTED_VALUE"""),255.25)</f>
        <v>255.25</v>
      </c>
      <c r="F1557" s="1">
        <f>IFERROR(__xludf.DUMMYFUNCTION("""COMPUTED_VALUE"""),1979587.0)</f>
        <v>1979587</v>
      </c>
    </row>
    <row r="1558">
      <c r="A1558" s="2">
        <f>IFERROR(__xludf.DUMMYFUNCTION("""COMPUTED_VALUE"""),38800.645833333336)</f>
        <v>38800.64583</v>
      </c>
      <c r="B1558" s="1">
        <f>IFERROR(__xludf.DUMMYFUNCTION("""COMPUTED_VALUE"""),255.0)</f>
        <v>255</v>
      </c>
      <c r="C1558" s="1">
        <f>IFERROR(__xludf.DUMMYFUNCTION("""COMPUTED_VALUE"""),257.95)</f>
        <v>257.95</v>
      </c>
      <c r="D1558" s="1">
        <f>IFERROR(__xludf.DUMMYFUNCTION("""COMPUTED_VALUE"""),254.15)</f>
        <v>254.15</v>
      </c>
      <c r="E1558" s="1">
        <f>IFERROR(__xludf.DUMMYFUNCTION("""COMPUTED_VALUE"""),255.65)</f>
        <v>255.65</v>
      </c>
      <c r="F1558" s="1">
        <f>IFERROR(__xludf.DUMMYFUNCTION("""COMPUTED_VALUE"""),2820491.0)</f>
        <v>2820491</v>
      </c>
    </row>
    <row r="1559">
      <c r="A1559" s="2">
        <f>IFERROR(__xludf.DUMMYFUNCTION("""COMPUTED_VALUE"""),38803.645833333336)</f>
        <v>38803.64583</v>
      </c>
      <c r="B1559" s="1">
        <f>IFERROR(__xludf.DUMMYFUNCTION("""COMPUTED_VALUE"""),255.0)</f>
        <v>255</v>
      </c>
      <c r="C1559" s="1">
        <f>IFERROR(__xludf.DUMMYFUNCTION("""COMPUTED_VALUE"""),269.2)</f>
        <v>269.2</v>
      </c>
      <c r="D1559" s="1">
        <f>IFERROR(__xludf.DUMMYFUNCTION("""COMPUTED_VALUE"""),255.0)</f>
        <v>255</v>
      </c>
      <c r="E1559" s="1">
        <f>IFERROR(__xludf.DUMMYFUNCTION("""COMPUTED_VALUE"""),268.55)</f>
        <v>268.55</v>
      </c>
      <c r="F1559" s="1">
        <f>IFERROR(__xludf.DUMMYFUNCTION("""COMPUTED_VALUE"""),6033276.0)</f>
        <v>6033276</v>
      </c>
    </row>
    <row r="1560">
      <c r="A1560" s="2">
        <f>IFERROR(__xludf.DUMMYFUNCTION("""COMPUTED_VALUE"""),38804.645833333336)</f>
        <v>38804.64583</v>
      </c>
      <c r="B1560" s="1">
        <f>IFERROR(__xludf.DUMMYFUNCTION("""COMPUTED_VALUE"""),270.0)</f>
        <v>270</v>
      </c>
      <c r="C1560" s="1">
        <f>IFERROR(__xludf.DUMMYFUNCTION("""COMPUTED_VALUE"""),274.0)</f>
        <v>274</v>
      </c>
      <c r="D1560" s="1">
        <f>IFERROR(__xludf.DUMMYFUNCTION("""COMPUTED_VALUE"""),266.3)</f>
        <v>266.3</v>
      </c>
      <c r="E1560" s="1">
        <f>IFERROR(__xludf.DUMMYFUNCTION("""COMPUTED_VALUE"""),267.8)</f>
        <v>267.8</v>
      </c>
      <c r="F1560" s="1">
        <f>IFERROR(__xludf.DUMMYFUNCTION("""COMPUTED_VALUE"""),5058902.0)</f>
        <v>5058902</v>
      </c>
    </row>
    <row r="1561">
      <c r="A1561" s="2">
        <f>IFERROR(__xludf.DUMMYFUNCTION("""COMPUTED_VALUE"""),38805.645833333336)</f>
        <v>38805.64583</v>
      </c>
      <c r="B1561" s="1">
        <f>IFERROR(__xludf.DUMMYFUNCTION("""COMPUTED_VALUE"""),270.0)</f>
        <v>270</v>
      </c>
      <c r="C1561" s="1">
        <f>IFERROR(__xludf.DUMMYFUNCTION("""COMPUTED_VALUE"""),270.75)</f>
        <v>270.75</v>
      </c>
      <c r="D1561" s="1">
        <f>IFERROR(__xludf.DUMMYFUNCTION("""COMPUTED_VALUE"""),264.3)</f>
        <v>264.3</v>
      </c>
      <c r="E1561" s="1">
        <f>IFERROR(__xludf.DUMMYFUNCTION("""COMPUTED_VALUE"""),266.5)</f>
        <v>266.5</v>
      </c>
      <c r="F1561" s="1">
        <f>IFERROR(__xludf.DUMMYFUNCTION("""COMPUTED_VALUE"""),3872861.0)</f>
        <v>3872861</v>
      </c>
    </row>
    <row r="1562">
      <c r="A1562" s="2">
        <f>IFERROR(__xludf.DUMMYFUNCTION("""COMPUTED_VALUE"""),38806.645833333336)</f>
        <v>38806.64583</v>
      </c>
      <c r="B1562" s="1">
        <f>IFERROR(__xludf.DUMMYFUNCTION("""COMPUTED_VALUE"""),270.75)</f>
        <v>270.75</v>
      </c>
      <c r="C1562" s="1">
        <f>IFERROR(__xludf.DUMMYFUNCTION("""COMPUTED_VALUE"""),279.0)</f>
        <v>279</v>
      </c>
      <c r="D1562" s="1">
        <f>IFERROR(__xludf.DUMMYFUNCTION("""COMPUTED_VALUE"""),261.3)</f>
        <v>261.3</v>
      </c>
      <c r="E1562" s="1">
        <f>IFERROR(__xludf.DUMMYFUNCTION("""COMPUTED_VALUE"""),273.2)</f>
        <v>273.2</v>
      </c>
      <c r="F1562" s="1">
        <f>IFERROR(__xludf.DUMMYFUNCTION("""COMPUTED_VALUE"""),5253775.0)</f>
        <v>5253775</v>
      </c>
    </row>
    <row r="1563">
      <c r="A1563" s="2">
        <f>IFERROR(__xludf.DUMMYFUNCTION("""COMPUTED_VALUE"""),38807.645833333336)</f>
        <v>38807.64583</v>
      </c>
      <c r="B1563" s="1">
        <f>IFERROR(__xludf.DUMMYFUNCTION("""COMPUTED_VALUE"""),275.0)</f>
        <v>275</v>
      </c>
      <c r="C1563" s="1">
        <f>IFERROR(__xludf.DUMMYFUNCTION("""COMPUTED_VALUE"""),275.0)</f>
        <v>275</v>
      </c>
      <c r="D1563" s="1">
        <f>IFERROR(__xludf.DUMMYFUNCTION("""COMPUTED_VALUE"""),266.25)</f>
        <v>266.25</v>
      </c>
      <c r="E1563" s="1">
        <f>IFERROR(__xludf.DUMMYFUNCTION("""COMPUTED_VALUE"""),272.0)</f>
        <v>272</v>
      </c>
      <c r="F1563" s="1">
        <f>IFERROR(__xludf.DUMMYFUNCTION("""COMPUTED_VALUE"""),2917132.0)</f>
        <v>2917132</v>
      </c>
    </row>
    <row r="1564">
      <c r="A1564" s="2">
        <f>IFERROR(__xludf.DUMMYFUNCTION("""COMPUTED_VALUE"""),38810.645833333336)</f>
        <v>38810.64583</v>
      </c>
      <c r="B1564" s="1">
        <f>IFERROR(__xludf.DUMMYFUNCTION("""COMPUTED_VALUE"""),270.05)</f>
        <v>270.05</v>
      </c>
      <c r="C1564" s="1">
        <f>IFERROR(__xludf.DUMMYFUNCTION("""COMPUTED_VALUE"""),280.4)</f>
        <v>280.4</v>
      </c>
      <c r="D1564" s="1">
        <f>IFERROR(__xludf.DUMMYFUNCTION("""COMPUTED_VALUE"""),270.05)</f>
        <v>270.05</v>
      </c>
      <c r="E1564" s="1">
        <f>IFERROR(__xludf.DUMMYFUNCTION("""COMPUTED_VALUE"""),279.3)</f>
        <v>279.3</v>
      </c>
      <c r="F1564" s="1">
        <f>IFERROR(__xludf.DUMMYFUNCTION("""COMPUTED_VALUE"""),1937373.0)</f>
        <v>1937373</v>
      </c>
    </row>
    <row r="1565">
      <c r="A1565" s="2">
        <f>IFERROR(__xludf.DUMMYFUNCTION("""COMPUTED_VALUE"""),38811.645833333336)</f>
        <v>38811.64583</v>
      </c>
      <c r="B1565" s="1">
        <f>IFERROR(__xludf.DUMMYFUNCTION("""COMPUTED_VALUE"""),279.9)</f>
        <v>279.9</v>
      </c>
      <c r="C1565" s="1">
        <f>IFERROR(__xludf.DUMMYFUNCTION("""COMPUTED_VALUE"""),282.95)</f>
        <v>282.95</v>
      </c>
      <c r="D1565" s="1">
        <f>IFERROR(__xludf.DUMMYFUNCTION("""COMPUTED_VALUE"""),275.4)</f>
        <v>275.4</v>
      </c>
      <c r="E1565" s="1">
        <f>IFERROR(__xludf.DUMMYFUNCTION("""COMPUTED_VALUE"""),281.6)</f>
        <v>281.6</v>
      </c>
      <c r="F1565" s="1">
        <f>IFERROR(__xludf.DUMMYFUNCTION("""COMPUTED_VALUE"""),2193660.0)</f>
        <v>2193660</v>
      </c>
    </row>
    <row r="1566">
      <c r="A1566" s="2">
        <f>IFERROR(__xludf.DUMMYFUNCTION("""COMPUTED_VALUE"""),38812.645833333336)</f>
        <v>38812.64583</v>
      </c>
      <c r="B1566" s="1">
        <f>IFERROR(__xludf.DUMMYFUNCTION("""COMPUTED_VALUE"""),283.0)</f>
        <v>283</v>
      </c>
      <c r="C1566" s="1">
        <f>IFERROR(__xludf.DUMMYFUNCTION("""COMPUTED_VALUE"""),292.0)</f>
        <v>292</v>
      </c>
      <c r="D1566" s="1">
        <f>IFERROR(__xludf.DUMMYFUNCTION("""COMPUTED_VALUE"""),278.25)</f>
        <v>278.25</v>
      </c>
      <c r="E1566" s="1">
        <f>IFERROR(__xludf.DUMMYFUNCTION("""COMPUTED_VALUE"""),288.9)</f>
        <v>288.9</v>
      </c>
      <c r="F1566" s="1">
        <f>IFERROR(__xludf.DUMMYFUNCTION("""COMPUTED_VALUE"""),3947120.0)</f>
        <v>3947120</v>
      </c>
    </row>
    <row r="1567">
      <c r="A1567" s="2">
        <f>IFERROR(__xludf.DUMMYFUNCTION("""COMPUTED_VALUE"""),38814.645833333336)</f>
        <v>38814.64583</v>
      </c>
      <c r="B1567" s="1">
        <f>IFERROR(__xludf.DUMMYFUNCTION("""COMPUTED_VALUE"""),289.1)</f>
        <v>289.1</v>
      </c>
      <c r="C1567" s="1">
        <f>IFERROR(__xludf.DUMMYFUNCTION("""COMPUTED_VALUE"""),295.3)</f>
        <v>295.3</v>
      </c>
      <c r="D1567" s="1">
        <f>IFERROR(__xludf.DUMMYFUNCTION("""COMPUTED_VALUE"""),279.05)</f>
        <v>279.05</v>
      </c>
      <c r="E1567" s="1">
        <f>IFERROR(__xludf.DUMMYFUNCTION("""COMPUTED_VALUE"""),281.5)</f>
        <v>281.5</v>
      </c>
      <c r="F1567" s="1">
        <f>IFERROR(__xludf.DUMMYFUNCTION("""COMPUTED_VALUE"""),6272666.0)</f>
        <v>6272666</v>
      </c>
    </row>
    <row r="1568">
      <c r="A1568" s="2">
        <f>IFERROR(__xludf.DUMMYFUNCTION("""COMPUTED_VALUE"""),38817.645833333336)</f>
        <v>38817.64583</v>
      </c>
      <c r="B1568" s="1">
        <f>IFERROR(__xludf.DUMMYFUNCTION("""COMPUTED_VALUE"""),282.95)</f>
        <v>282.95</v>
      </c>
      <c r="C1568" s="1">
        <f>IFERROR(__xludf.DUMMYFUNCTION("""COMPUTED_VALUE"""),284.75)</f>
        <v>284.75</v>
      </c>
      <c r="D1568" s="1">
        <f>IFERROR(__xludf.DUMMYFUNCTION("""COMPUTED_VALUE"""),276.7)</f>
        <v>276.7</v>
      </c>
      <c r="E1568" s="1">
        <f>IFERROR(__xludf.DUMMYFUNCTION("""COMPUTED_VALUE"""),280.0)</f>
        <v>280</v>
      </c>
      <c r="F1568" s="1">
        <f>IFERROR(__xludf.DUMMYFUNCTION("""COMPUTED_VALUE"""),4936334.0)</f>
        <v>4936334</v>
      </c>
    </row>
    <row r="1569">
      <c r="A1569" s="2">
        <f>IFERROR(__xludf.DUMMYFUNCTION("""COMPUTED_VALUE"""),38819.645833333336)</f>
        <v>38819.64583</v>
      </c>
      <c r="B1569" s="1">
        <f>IFERROR(__xludf.DUMMYFUNCTION("""COMPUTED_VALUE"""),281.0)</f>
        <v>281</v>
      </c>
      <c r="C1569" s="1">
        <f>IFERROR(__xludf.DUMMYFUNCTION("""COMPUTED_VALUE"""),285.0)</f>
        <v>285</v>
      </c>
      <c r="D1569" s="1">
        <f>IFERROR(__xludf.DUMMYFUNCTION("""COMPUTED_VALUE"""),272.0)</f>
        <v>272</v>
      </c>
      <c r="E1569" s="1">
        <f>IFERROR(__xludf.DUMMYFUNCTION("""COMPUTED_VALUE"""),273.55)</f>
        <v>273.55</v>
      </c>
      <c r="F1569" s="1">
        <f>IFERROR(__xludf.DUMMYFUNCTION("""COMPUTED_VALUE"""),3646533.0)</f>
        <v>3646533</v>
      </c>
    </row>
    <row r="1570">
      <c r="A1570" s="2">
        <f>IFERROR(__xludf.DUMMYFUNCTION("""COMPUTED_VALUE"""),38820.645833333336)</f>
        <v>38820.64583</v>
      </c>
      <c r="B1570" s="1">
        <f>IFERROR(__xludf.DUMMYFUNCTION("""COMPUTED_VALUE"""),272.0)</f>
        <v>272</v>
      </c>
      <c r="C1570" s="1">
        <f>IFERROR(__xludf.DUMMYFUNCTION("""COMPUTED_VALUE"""),276.3)</f>
        <v>276.3</v>
      </c>
      <c r="D1570" s="1">
        <f>IFERROR(__xludf.DUMMYFUNCTION("""COMPUTED_VALUE"""),263.3)</f>
        <v>263.3</v>
      </c>
      <c r="E1570" s="1">
        <f>IFERROR(__xludf.DUMMYFUNCTION("""COMPUTED_VALUE"""),271.6)</f>
        <v>271.6</v>
      </c>
      <c r="F1570" s="1">
        <f>IFERROR(__xludf.DUMMYFUNCTION("""COMPUTED_VALUE"""),2873466.0)</f>
        <v>2873466</v>
      </c>
    </row>
    <row r="1571">
      <c r="A1571" s="2">
        <f>IFERROR(__xludf.DUMMYFUNCTION("""COMPUTED_VALUE"""),38824.645833333336)</f>
        <v>38824.64583</v>
      </c>
      <c r="B1571" s="1">
        <f>IFERROR(__xludf.DUMMYFUNCTION("""COMPUTED_VALUE"""),272.0)</f>
        <v>272</v>
      </c>
      <c r="C1571" s="1">
        <f>IFERROR(__xludf.DUMMYFUNCTION("""COMPUTED_VALUE"""),276.0)</f>
        <v>276</v>
      </c>
      <c r="D1571" s="1">
        <f>IFERROR(__xludf.DUMMYFUNCTION("""COMPUTED_VALUE"""),265.25)</f>
        <v>265.25</v>
      </c>
      <c r="E1571" s="1">
        <f>IFERROR(__xludf.DUMMYFUNCTION("""COMPUTED_VALUE"""),275.2)</f>
        <v>275.2</v>
      </c>
      <c r="F1571" s="1">
        <f>IFERROR(__xludf.DUMMYFUNCTION("""COMPUTED_VALUE"""),1714037.0)</f>
        <v>1714037</v>
      </c>
    </row>
    <row r="1572">
      <c r="A1572" s="2">
        <f>IFERROR(__xludf.DUMMYFUNCTION("""COMPUTED_VALUE"""),38825.645833333336)</f>
        <v>38825.64583</v>
      </c>
      <c r="B1572" s="1">
        <f>IFERROR(__xludf.DUMMYFUNCTION("""COMPUTED_VALUE"""),276.0)</f>
        <v>276</v>
      </c>
      <c r="C1572" s="1">
        <f>IFERROR(__xludf.DUMMYFUNCTION("""COMPUTED_VALUE"""),283.4)</f>
        <v>283.4</v>
      </c>
      <c r="D1572" s="1">
        <f>IFERROR(__xludf.DUMMYFUNCTION("""COMPUTED_VALUE"""),275.1)</f>
        <v>275.1</v>
      </c>
      <c r="E1572" s="1">
        <f>IFERROR(__xludf.DUMMYFUNCTION("""COMPUTED_VALUE"""),279.7)</f>
        <v>279.7</v>
      </c>
      <c r="F1572" s="1">
        <f>IFERROR(__xludf.DUMMYFUNCTION("""COMPUTED_VALUE"""),4725735.0)</f>
        <v>4725735</v>
      </c>
    </row>
    <row r="1573">
      <c r="A1573" s="2">
        <f>IFERROR(__xludf.DUMMYFUNCTION("""COMPUTED_VALUE"""),38826.645833333336)</f>
        <v>38826.64583</v>
      </c>
      <c r="B1573" s="1">
        <f>IFERROR(__xludf.DUMMYFUNCTION("""COMPUTED_VALUE"""),282.8)</f>
        <v>282.8</v>
      </c>
      <c r="C1573" s="1">
        <f>IFERROR(__xludf.DUMMYFUNCTION("""COMPUTED_VALUE"""),284.8)</f>
        <v>284.8</v>
      </c>
      <c r="D1573" s="1">
        <f>IFERROR(__xludf.DUMMYFUNCTION("""COMPUTED_VALUE"""),274.15)</f>
        <v>274.15</v>
      </c>
      <c r="E1573" s="1">
        <f>IFERROR(__xludf.DUMMYFUNCTION("""COMPUTED_VALUE"""),277.05)</f>
        <v>277.05</v>
      </c>
      <c r="F1573" s="1">
        <f>IFERROR(__xludf.DUMMYFUNCTION("""COMPUTED_VALUE"""),5101682.0)</f>
        <v>5101682</v>
      </c>
    </row>
    <row r="1574">
      <c r="A1574" s="2">
        <f>IFERROR(__xludf.DUMMYFUNCTION("""COMPUTED_VALUE"""),38827.645833333336)</f>
        <v>38827.64583</v>
      </c>
      <c r="B1574" s="1">
        <f>IFERROR(__xludf.DUMMYFUNCTION("""COMPUTED_VALUE"""),277.6)</f>
        <v>277.6</v>
      </c>
      <c r="C1574" s="1">
        <f>IFERROR(__xludf.DUMMYFUNCTION("""COMPUTED_VALUE"""),278.0)</f>
        <v>278</v>
      </c>
      <c r="D1574" s="1">
        <f>IFERROR(__xludf.DUMMYFUNCTION("""COMPUTED_VALUE"""),274.4)</f>
        <v>274.4</v>
      </c>
      <c r="E1574" s="1">
        <f>IFERROR(__xludf.DUMMYFUNCTION("""COMPUTED_VALUE"""),276.55)</f>
        <v>276.55</v>
      </c>
      <c r="F1574" s="1">
        <f>IFERROR(__xludf.DUMMYFUNCTION("""COMPUTED_VALUE"""),3375295.0)</f>
        <v>3375295</v>
      </c>
    </row>
    <row r="1575">
      <c r="A1575" s="2">
        <f>IFERROR(__xludf.DUMMYFUNCTION("""COMPUTED_VALUE"""),38828.645833333336)</f>
        <v>38828.64583</v>
      </c>
      <c r="B1575" s="1">
        <f>IFERROR(__xludf.DUMMYFUNCTION("""COMPUTED_VALUE"""),276.1)</f>
        <v>276.1</v>
      </c>
      <c r="C1575" s="1">
        <f>IFERROR(__xludf.DUMMYFUNCTION("""COMPUTED_VALUE"""),285.75)</f>
        <v>285.75</v>
      </c>
      <c r="D1575" s="1">
        <f>IFERROR(__xludf.DUMMYFUNCTION("""COMPUTED_VALUE"""),276.1)</f>
        <v>276.1</v>
      </c>
      <c r="E1575" s="1">
        <f>IFERROR(__xludf.DUMMYFUNCTION("""COMPUTED_VALUE"""),284.8)</f>
        <v>284.8</v>
      </c>
      <c r="F1575" s="1">
        <f>IFERROR(__xludf.DUMMYFUNCTION("""COMPUTED_VALUE"""),5496179.0)</f>
        <v>5496179</v>
      </c>
    </row>
    <row r="1576">
      <c r="A1576" s="2">
        <f>IFERROR(__xludf.DUMMYFUNCTION("""COMPUTED_VALUE"""),38831.645833333336)</f>
        <v>38831.64583</v>
      </c>
      <c r="B1576" s="1">
        <f>IFERROR(__xludf.DUMMYFUNCTION("""COMPUTED_VALUE"""),285.5)</f>
        <v>285.5</v>
      </c>
      <c r="C1576" s="1">
        <f>IFERROR(__xludf.DUMMYFUNCTION("""COMPUTED_VALUE"""),290.8)</f>
        <v>290.8</v>
      </c>
      <c r="D1576" s="1">
        <f>IFERROR(__xludf.DUMMYFUNCTION("""COMPUTED_VALUE"""),284.8)</f>
        <v>284.8</v>
      </c>
      <c r="E1576" s="1">
        <f>IFERROR(__xludf.DUMMYFUNCTION("""COMPUTED_VALUE"""),285.85)</f>
        <v>285.85</v>
      </c>
      <c r="F1576" s="1">
        <f>IFERROR(__xludf.DUMMYFUNCTION("""COMPUTED_VALUE"""),3613597.0)</f>
        <v>3613597</v>
      </c>
    </row>
    <row r="1577">
      <c r="A1577" s="2">
        <f>IFERROR(__xludf.DUMMYFUNCTION("""COMPUTED_VALUE"""),38832.645833333336)</f>
        <v>38832.64583</v>
      </c>
      <c r="B1577" s="1">
        <f>IFERROR(__xludf.DUMMYFUNCTION("""COMPUTED_VALUE"""),286.85)</f>
        <v>286.85</v>
      </c>
      <c r="C1577" s="1">
        <f>IFERROR(__xludf.DUMMYFUNCTION("""COMPUTED_VALUE"""),289.0)</f>
        <v>289</v>
      </c>
      <c r="D1577" s="1">
        <f>IFERROR(__xludf.DUMMYFUNCTION("""COMPUTED_VALUE"""),276.3)</f>
        <v>276.3</v>
      </c>
      <c r="E1577" s="1">
        <f>IFERROR(__xludf.DUMMYFUNCTION("""COMPUTED_VALUE"""),278.25)</f>
        <v>278.25</v>
      </c>
      <c r="F1577" s="1">
        <f>IFERROR(__xludf.DUMMYFUNCTION("""COMPUTED_VALUE"""),2812310.0)</f>
        <v>2812310</v>
      </c>
    </row>
    <row r="1578">
      <c r="A1578" s="2">
        <f>IFERROR(__xludf.DUMMYFUNCTION("""COMPUTED_VALUE"""),38833.645833333336)</f>
        <v>38833.64583</v>
      </c>
      <c r="B1578" s="1">
        <f>IFERROR(__xludf.DUMMYFUNCTION("""COMPUTED_VALUE"""),278.1)</f>
        <v>278.1</v>
      </c>
      <c r="C1578" s="1">
        <f>IFERROR(__xludf.DUMMYFUNCTION("""COMPUTED_VALUE"""),291.1)</f>
        <v>291.1</v>
      </c>
      <c r="D1578" s="1">
        <f>IFERROR(__xludf.DUMMYFUNCTION("""COMPUTED_VALUE"""),274.3)</f>
        <v>274.3</v>
      </c>
      <c r="E1578" s="1">
        <f>IFERROR(__xludf.DUMMYFUNCTION("""COMPUTED_VALUE"""),289.65)</f>
        <v>289.65</v>
      </c>
      <c r="F1578" s="1">
        <f>IFERROR(__xludf.DUMMYFUNCTION("""COMPUTED_VALUE"""),3398593.0)</f>
        <v>3398593</v>
      </c>
    </row>
    <row r="1579">
      <c r="A1579" s="2">
        <f>IFERROR(__xludf.DUMMYFUNCTION("""COMPUTED_VALUE"""),38834.645833333336)</f>
        <v>38834.64583</v>
      </c>
      <c r="B1579" s="1">
        <f>IFERROR(__xludf.DUMMYFUNCTION("""COMPUTED_VALUE"""),291.1)</f>
        <v>291.1</v>
      </c>
      <c r="C1579" s="1">
        <f>IFERROR(__xludf.DUMMYFUNCTION("""COMPUTED_VALUE"""),296.0)</f>
        <v>296</v>
      </c>
      <c r="D1579" s="1">
        <f>IFERROR(__xludf.DUMMYFUNCTION("""COMPUTED_VALUE"""),285.25)</f>
        <v>285.25</v>
      </c>
      <c r="E1579" s="1">
        <f>IFERROR(__xludf.DUMMYFUNCTION("""COMPUTED_VALUE"""),288.2)</f>
        <v>288.2</v>
      </c>
      <c r="F1579" s="1">
        <f>IFERROR(__xludf.DUMMYFUNCTION("""COMPUTED_VALUE"""),3150162.0)</f>
        <v>3150162</v>
      </c>
    </row>
    <row r="1580">
      <c r="A1580" s="2">
        <f>IFERROR(__xludf.DUMMYFUNCTION("""COMPUTED_VALUE"""),38835.645833333336)</f>
        <v>38835.64583</v>
      </c>
      <c r="B1580" s="1">
        <f>IFERROR(__xludf.DUMMYFUNCTION("""COMPUTED_VALUE"""),284.9)</f>
        <v>284.9</v>
      </c>
      <c r="C1580" s="1">
        <f>IFERROR(__xludf.DUMMYFUNCTION("""COMPUTED_VALUE"""),294.8)</f>
        <v>294.8</v>
      </c>
      <c r="D1580" s="1">
        <f>IFERROR(__xludf.DUMMYFUNCTION("""COMPUTED_VALUE"""),270.5)</f>
        <v>270.5</v>
      </c>
      <c r="E1580" s="1">
        <f>IFERROR(__xludf.DUMMYFUNCTION("""COMPUTED_VALUE"""),290.55)</f>
        <v>290.55</v>
      </c>
      <c r="F1580" s="1">
        <f>IFERROR(__xludf.DUMMYFUNCTION("""COMPUTED_VALUE"""),1.1405086E7)</f>
        <v>11405086</v>
      </c>
    </row>
    <row r="1581">
      <c r="A1581" s="2">
        <f>IFERROR(__xludf.DUMMYFUNCTION("""COMPUTED_VALUE"""),38839.645833333336)</f>
        <v>38839.64583</v>
      </c>
      <c r="B1581" s="1">
        <f>IFERROR(__xludf.DUMMYFUNCTION("""COMPUTED_VALUE"""),287.1)</f>
        <v>287.1</v>
      </c>
      <c r="C1581" s="1">
        <f>IFERROR(__xludf.DUMMYFUNCTION("""COMPUTED_VALUE"""),294.0)</f>
        <v>294</v>
      </c>
      <c r="D1581" s="1">
        <f>IFERROR(__xludf.DUMMYFUNCTION("""COMPUTED_VALUE"""),277.3)</f>
        <v>277.3</v>
      </c>
      <c r="E1581" s="1">
        <f>IFERROR(__xludf.DUMMYFUNCTION("""COMPUTED_VALUE"""),292.35)</f>
        <v>292.35</v>
      </c>
      <c r="F1581" s="1">
        <f>IFERROR(__xludf.DUMMYFUNCTION("""COMPUTED_VALUE"""),4693130.0)</f>
        <v>4693130</v>
      </c>
    </row>
    <row r="1582">
      <c r="A1582" s="2">
        <f>IFERROR(__xludf.DUMMYFUNCTION("""COMPUTED_VALUE"""),38840.645833333336)</f>
        <v>38840.64583</v>
      </c>
      <c r="B1582" s="1">
        <f>IFERROR(__xludf.DUMMYFUNCTION("""COMPUTED_VALUE"""),290.0)</f>
        <v>290</v>
      </c>
      <c r="C1582" s="1">
        <f>IFERROR(__xludf.DUMMYFUNCTION("""COMPUTED_VALUE"""),295.85)</f>
        <v>295.85</v>
      </c>
      <c r="D1582" s="1">
        <f>IFERROR(__xludf.DUMMYFUNCTION("""COMPUTED_VALUE"""),288.6)</f>
        <v>288.6</v>
      </c>
      <c r="E1582" s="1">
        <f>IFERROR(__xludf.DUMMYFUNCTION("""COMPUTED_VALUE"""),293.75)</f>
        <v>293.75</v>
      </c>
      <c r="F1582" s="1">
        <f>IFERROR(__xludf.DUMMYFUNCTION("""COMPUTED_VALUE"""),3223349.0)</f>
        <v>3223349</v>
      </c>
    </row>
    <row r="1583">
      <c r="A1583" s="2">
        <f>IFERROR(__xludf.DUMMYFUNCTION("""COMPUTED_VALUE"""),38841.645833333336)</f>
        <v>38841.64583</v>
      </c>
      <c r="B1583" s="1">
        <f>IFERROR(__xludf.DUMMYFUNCTION("""COMPUTED_VALUE"""),295.85)</f>
        <v>295.85</v>
      </c>
      <c r="C1583" s="1">
        <f>IFERROR(__xludf.DUMMYFUNCTION("""COMPUTED_VALUE"""),295.85)</f>
        <v>295.85</v>
      </c>
      <c r="D1583" s="1">
        <f>IFERROR(__xludf.DUMMYFUNCTION("""COMPUTED_VALUE"""),287.05)</f>
        <v>287.05</v>
      </c>
      <c r="E1583" s="1">
        <f>IFERROR(__xludf.DUMMYFUNCTION("""COMPUTED_VALUE"""),292.95)</f>
        <v>292.95</v>
      </c>
      <c r="F1583" s="1">
        <f>IFERROR(__xludf.DUMMYFUNCTION("""COMPUTED_VALUE"""),2379987.0)</f>
        <v>2379987</v>
      </c>
    </row>
    <row r="1584">
      <c r="A1584" s="2">
        <f>IFERROR(__xludf.DUMMYFUNCTION("""COMPUTED_VALUE"""),38842.645833333336)</f>
        <v>38842.64583</v>
      </c>
      <c r="B1584" s="1">
        <f>IFERROR(__xludf.DUMMYFUNCTION("""COMPUTED_VALUE"""),290.05)</f>
        <v>290.05</v>
      </c>
      <c r="C1584" s="1">
        <f>IFERROR(__xludf.DUMMYFUNCTION("""COMPUTED_VALUE"""),293.9)</f>
        <v>293.9</v>
      </c>
      <c r="D1584" s="1">
        <f>IFERROR(__xludf.DUMMYFUNCTION("""COMPUTED_VALUE"""),284.0)</f>
        <v>284</v>
      </c>
      <c r="E1584" s="1">
        <f>IFERROR(__xludf.DUMMYFUNCTION("""COMPUTED_VALUE"""),284.9)</f>
        <v>284.9</v>
      </c>
      <c r="F1584" s="1">
        <f>IFERROR(__xludf.DUMMYFUNCTION("""COMPUTED_VALUE"""),1866519.0)</f>
        <v>1866519</v>
      </c>
    </row>
    <row r="1585">
      <c r="A1585" s="2">
        <f>IFERROR(__xludf.DUMMYFUNCTION("""COMPUTED_VALUE"""),38845.645833333336)</f>
        <v>38845.64583</v>
      </c>
      <c r="B1585" s="1">
        <f>IFERROR(__xludf.DUMMYFUNCTION("""COMPUTED_VALUE"""),286.0)</f>
        <v>286</v>
      </c>
      <c r="C1585" s="1">
        <f>IFERROR(__xludf.DUMMYFUNCTION("""COMPUTED_VALUE"""),287.8)</f>
        <v>287.8</v>
      </c>
      <c r="D1585" s="1">
        <f>IFERROR(__xludf.DUMMYFUNCTION("""COMPUTED_VALUE"""),280.05)</f>
        <v>280.05</v>
      </c>
      <c r="E1585" s="1">
        <f>IFERROR(__xludf.DUMMYFUNCTION("""COMPUTED_VALUE"""),283.0)</f>
        <v>283</v>
      </c>
      <c r="F1585" s="1">
        <f>IFERROR(__xludf.DUMMYFUNCTION("""COMPUTED_VALUE"""),2904345.0)</f>
        <v>2904345</v>
      </c>
    </row>
    <row r="1586">
      <c r="A1586" s="2">
        <f>IFERROR(__xludf.DUMMYFUNCTION("""COMPUTED_VALUE"""),38846.645833333336)</f>
        <v>38846.64583</v>
      </c>
      <c r="B1586" s="1">
        <f>IFERROR(__xludf.DUMMYFUNCTION("""COMPUTED_VALUE"""),283.0)</f>
        <v>283</v>
      </c>
      <c r="C1586" s="1">
        <f>IFERROR(__xludf.DUMMYFUNCTION("""COMPUTED_VALUE"""),284.95)</f>
        <v>284.95</v>
      </c>
      <c r="D1586" s="1">
        <f>IFERROR(__xludf.DUMMYFUNCTION("""COMPUTED_VALUE"""),277.5)</f>
        <v>277.5</v>
      </c>
      <c r="E1586" s="1">
        <f>IFERROR(__xludf.DUMMYFUNCTION("""COMPUTED_VALUE"""),279.25)</f>
        <v>279.25</v>
      </c>
      <c r="F1586" s="1">
        <f>IFERROR(__xludf.DUMMYFUNCTION("""COMPUTED_VALUE"""),4274559.0)</f>
        <v>4274559</v>
      </c>
    </row>
    <row r="1587">
      <c r="A1587" s="2">
        <f>IFERROR(__xludf.DUMMYFUNCTION("""COMPUTED_VALUE"""),38847.645833333336)</f>
        <v>38847.64583</v>
      </c>
      <c r="B1587" s="1">
        <f>IFERROR(__xludf.DUMMYFUNCTION("""COMPUTED_VALUE"""),284.0)</f>
        <v>284</v>
      </c>
      <c r="C1587" s="1">
        <f>IFERROR(__xludf.DUMMYFUNCTION("""COMPUTED_VALUE"""),284.0)</f>
        <v>284</v>
      </c>
      <c r="D1587" s="1">
        <f>IFERROR(__xludf.DUMMYFUNCTION("""COMPUTED_VALUE"""),278.0)</f>
        <v>278</v>
      </c>
      <c r="E1587" s="1">
        <f>IFERROR(__xludf.DUMMYFUNCTION("""COMPUTED_VALUE"""),279.85)</f>
        <v>279.85</v>
      </c>
      <c r="F1587" s="1">
        <f>IFERROR(__xludf.DUMMYFUNCTION("""COMPUTED_VALUE"""),4392581.0)</f>
        <v>4392581</v>
      </c>
    </row>
    <row r="1588">
      <c r="A1588" s="2">
        <f>IFERROR(__xludf.DUMMYFUNCTION("""COMPUTED_VALUE"""),38848.645833333336)</f>
        <v>38848.64583</v>
      </c>
      <c r="B1588" s="1">
        <f>IFERROR(__xludf.DUMMYFUNCTION("""COMPUTED_VALUE"""),281.6)</f>
        <v>281.6</v>
      </c>
      <c r="C1588" s="1">
        <f>IFERROR(__xludf.DUMMYFUNCTION("""COMPUTED_VALUE"""),282.45)</f>
        <v>282.45</v>
      </c>
      <c r="D1588" s="1">
        <f>IFERROR(__xludf.DUMMYFUNCTION("""COMPUTED_VALUE"""),277.0)</f>
        <v>277</v>
      </c>
      <c r="E1588" s="1">
        <f>IFERROR(__xludf.DUMMYFUNCTION("""COMPUTED_VALUE"""),278.3)</f>
        <v>278.3</v>
      </c>
      <c r="F1588" s="1">
        <f>IFERROR(__xludf.DUMMYFUNCTION("""COMPUTED_VALUE"""),1899511.0)</f>
        <v>1899511</v>
      </c>
    </row>
    <row r="1589">
      <c r="A1589" s="2">
        <f>IFERROR(__xludf.DUMMYFUNCTION("""COMPUTED_VALUE"""),38849.645833333336)</f>
        <v>38849.64583</v>
      </c>
      <c r="B1589" s="1">
        <f>IFERROR(__xludf.DUMMYFUNCTION("""COMPUTED_VALUE"""),277.0)</f>
        <v>277</v>
      </c>
      <c r="C1589" s="1">
        <f>IFERROR(__xludf.DUMMYFUNCTION("""COMPUTED_VALUE"""),277.95)</f>
        <v>277.95</v>
      </c>
      <c r="D1589" s="1">
        <f>IFERROR(__xludf.DUMMYFUNCTION("""COMPUTED_VALUE"""),272.6)</f>
        <v>272.6</v>
      </c>
      <c r="E1589" s="1">
        <f>IFERROR(__xludf.DUMMYFUNCTION("""COMPUTED_VALUE"""),273.5)</f>
        <v>273.5</v>
      </c>
      <c r="F1589" s="1">
        <f>IFERROR(__xludf.DUMMYFUNCTION("""COMPUTED_VALUE"""),1123309.0)</f>
        <v>1123309</v>
      </c>
    </row>
    <row r="1590">
      <c r="A1590" s="2">
        <f>IFERROR(__xludf.DUMMYFUNCTION("""COMPUTED_VALUE"""),38852.645833333336)</f>
        <v>38852.64583</v>
      </c>
      <c r="B1590" s="1">
        <f>IFERROR(__xludf.DUMMYFUNCTION("""COMPUTED_VALUE"""),273.8)</f>
        <v>273.8</v>
      </c>
      <c r="C1590" s="1">
        <f>IFERROR(__xludf.DUMMYFUNCTION("""COMPUTED_VALUE"""),273.8)</f>
        <v>273.8</v>
      </c>
      <c r="D1590" s="1">
        <f>IFERROR(__xludf.DUMMYFUNCTION("""COMPUTED_VALUE"""),260.0)</f>
        <v>260</v>
      </c>
      <c r="E1590" s="1">
        <f>IFERROR(__xludf.DUMMYFUNCTION("""COMPUTED_VALUE"""),262.2)</f>
        <v>262.2</v>
      </c>
      <c r="F1590" s="1">
        <f>IFERROR(__xludf.DUMMYFUNCTION("""COMPUTED_VALUE"""),2572981.0)</f>
        <v>2572981</v>
      </c>
    </row>
    <row r="1591">
      <c r="A1591" s="2">
        <f>IFERROR(__xludf.DUMMYFUNCTION("""COMPUTED_VALUE"""),38853.645833333336)</f>
        <v>38853.64583</v>
      </c>
      <c r="B1591" s="1">
        <f>IFERROR(__xludf.DUMMYFUNCTION("""COMPUTED_VALUE"""),263.0)</f>
        <v>263</v>
      </c>
      <c r="C1591" s="1">
        <f>IFERROR(__xludf.DUMMYFUNCTION("""COMPUTED_VALUE"""),275.3)</f>
        <v>275.3</v>
      </c>
      <c r="D1591" s="1">
        <f>IFERROR(__xludf.DUMMYFUNCTION("""COMPUTED_VALUE"""),252.25)</f>
        <v>252.25</v>
      </c>
      <c r="E1591" s="1">
        <f>IFERROR(__xludf.DUMMYFUNCTION("""COMPUTED_VALUE"""),270.65)</f>
        <v>270.65</v>
      </c>
      <c r="F1591" s="1">
        <f>IFERROR(__xludf.DUMMYFUNCTION("""COMPUTED_VALUE"""),3100547.0)</f>
        <v>3100547</v>
      </c>
    </row>
    <row r="1592">
      <c r="A1592" s="2">
        <f>IFERROR(__xludf.DUMMYFUNCTION("""COMPUTED_VALUE"""),38854.645833333336)</f>
        <v>38854.64583</v>
      </c>
      <c r="B1592" s="1">
        <f>IFERROR(__xludf.DUMMYFUNCTION("""COMPUTED_VALUE"""),273.2)</f>
        <v>273.2</v>
      </c>
      <c r="C1592" s="1">
        <f>IFERROR(__xludf.DUMMYFUNCTION("""COMPUTED_VALUE"""),280.0)</f>
        <v>280</v>
      </c>
      <c r="D1592" s="1">
        <f>IFERROR(__xludf.DUMMYFUNCTION("""COMPUTED_VALUE"""),271.0)</f>
        <v>271</v>
      </c>
      <c r="E1592" s="1">
        <f>IFERROR(__xludf.DUMMYFUNCTION("""COMPUTED_VALUE"""),275.45)</f>
        <v>275.45</v>
      </c>
      <c r="F1592" s="1">
        <f>IFERROR(__xludf.DUMMYFUNCTION("""COMPUTED_VALUE"""),1959354.0)</f>
        <v>1959354</v>
      </c>
    </row>
    <row r="1593">
      <c r="A1593" s="2">
        <f>IFERROR(__xludf.DUMMYFUNCTION("""COMPUTED_VALUE"""),38855.645833333336)</f>
        <v>38855.64583</v>
      </c>
      <c r="B1593" s="1">
        <f>IFERROR(__xludf.DUMMYFUNCTION("""COMPUTED_VALUE"""),274.0)</f>
        <v>274</v>
      </c>
      <c r="C1593" s="1">
        <f>IFERROR(__xludf.DUMMYFUNCTION("""COMPUTED_VALUE"""),274.0)</f>
        <v>274</v>
      </c>
      <c r="D1593" s="1">
        <f>IFERROR(__xludf.DUMMYFUNCTION("""COMPUTED_VALUE"""),254.0)</f>
        <v>254</v>
      </c>
      <c r="E1593" s="1">
        <f>IFERROR(__xludf.DUMMYFUNCTION("""COMPUTED_VALUE"""),258.25)</f>
        <v>258.25</v>
      </c>
      <c r="F1593" s="1">
        <f>IFERROR(__xludf.DUMMYFUNCTION("""COMPUTED_VALUE"""),2172999.0)</f>
        <v>2172999</v>
      </c>
    </row>
    <row r="1594">
      <c r="A1594" s="2">
        <f>IFERROR(__xludf.DUMMYFUNCTION("""COMPUTED_VALUE"""),38856.645833333336)</f>
        <v>38856.64583</v>
      </c>
      <c r="B1594" s="1">
        <f>IFERROR(__xludf.DUMMYFUNCTION("""COMPUTED_VALUE"""),261.3)</f>
        <v>261.3</v>
      </c>
      <c r="C1594" s="1">
        <f>IFERROR(__xludf.DUMMYFUNCTION("""COMPUTED_VALUE"""),266.0)</f>
        <v>266</v>
      </c>
      <c r="D1594" s="1">
        <f>IFERROR(__xludf.DUMMYFUNCTION("""COMPUTED_VALUE"""),240.0)</f>
        <v>240</v>
      </c>
      <c r="E1594" s="1">
        <f>IFERROR(__xludf.DUMMYFUNCTION("""COMPUTED_VALUE"""),243.05)</f>
        <v>243.05</v>
      </c>
      <c r="F1594" s="1">
        <f>IFERROR(__xludf.DUMMYFUNCTION("""COMPUTED_VALUE"""),2656982.0)</f>
        <v>2656982</v>
      </c>
    </row>
    <row r="1595">
      <c r="A1595" s="2">
        <f>IFERROR(__xludf.DUMMYFUNCTION("""COMPUTED_VALUE"""),38859.645833333336)</f>
        <v>38859.64583</v>
      </c>
      <c r="B1595" s="1">
        <f>IFERROR(__xludf.DUMMYFUNCTION("""COMPUTED_VALUE"""),245.0)</f>
        <v>245</v>
      </c>
      <c r="C1595" s="1">
        <f>IFERROR(__xludf.DUMMYFUNCTION("""COMPUTED_VALUE"""),249.85)</f>
        <v>249.85</v>
      </c>
      <c r="D1595" s="1">
        <f>IFERROR(__xludf.DUMMYFUNCTION("""COMPUTED_VALUE"""),215.0)</f>
        <v>215</v>
      </c>
      <c r="E1595" s="1">
        <f>IFERROR(__xludf.DUMMYFUNCTION("""COMPUTED_VALUE"""),238.05)</f>
        <v>238.05</v>
      </c>
      <c r="F1595" s="1">
        <f>IFERROR(__xludf.DUMMYFUNCTION("""COMPUTED_VALUE"""),5134693.0)</f>
        <v>5134693</v>
      </c>
    </row>
    <row r="1596">
      <c r="A1596" s="2">
        <f>IFERROR(__xludf.DUMMYFUNCTION("""COMPUTED_VALUE"""),38860.645833333336)</f>
        <v>38860.64583</v>
      </c>
      <c r="B1596" s="1">
        <f>IFERROR(__xludf.DUMMYFUNCTION("""COMPUTED_VALUE"""),238.4)</f>
        <v>238.4</v>
      </c>
      <c r="C1596" s="1">
        <f>IFERROR(__xludf.DUMMYFUNCTION("""COMPUTED_VALUE"""),242.5)</f>
        <v>242.5</v>
      </c>
      <c r="D1596" s="1">
        <f>IFERROR(__xludf.DUMMYFUNCTION("""COMPUTED_VALUE"""),225.5)</f>
        <v>225.5</v>
      </c>
      <c r="E1596" s="1">
        <f>IFERROR(__xludf.DUMMYFUNCTION("""COMPUTED_VALUE"""),238.15)</f>
        <v>238.15</v>
      </c>
      <c r="F1596" s="1">
        <f>IFERROR(__xludf.DUMMYFUNCTION("""COMPUTED_VALUE"""),4210227.0)</f>
        <v>4210227</v>
      </c>
    </row>
    <row r="1597">
      <c r="A1597" s="2">
        <f>IFERROR(__xludf.DUMMYFUNCTION("""COMPUTED_VALUE"""),38861.645833333336)</f>
        <v>38861.64583</v>
      </c>
      <c r="B1597" s="1">
        <f>IFERROR(__xludf.DUMMYFUNCTION("""COMPUTED_VALUE"""),241.0)</f>
        <v>241</v>
      </c>
      <c r="C1597" s="1">
        <f>IFERROR(__xludf.DUMMYFUNCTION("""COMPUTED_VALUE"""),247.35)</f>
        <v>247.35</v>
      </c>
      <c r="D1597" s="1">
        <f>IFERROR(__xludf.DUMMYFUNCTION("""COMPUTED_VALUE"""),220.1)</f>
        <v>220.1</v>
      </c>
      <c r="E1597" s="1">
        <f>IFERROR(__xludf.DUMMYFUNCTION("""COMPUTED_VALUE"""),226.9)</f>
        <v>226.9</v>
      </c>
      <c r="F1597" s="1">
        <f>IFERROR(__xludf.DUMMYFUNCTION("""COMPUTED_VALUE"""),5435140.0)</f>
        <v>5435140</v>
      </c>
    </row>
    <row r="1598">
      <c r="A1598" s="2">
        <f>IFERROR(__xludf.DUMMYFUNCTION("""COMPUTED_VALUE"""),38862.645833333336)</f>
        <v>38862.64583</v>
      </c>
      <c r="B1598" s="1">
        <f>IFERROR(__xludf.DUMMYFUNCTION("""COMPUTED_VALUE"""),225.0)</f>
        <v>225</v>
      </c>
      <c r="C1598" s="1">
        <f>IFERROR(__xludf.DUMMYFUNCTION("""COMPUTED_VALUE"""),240.4)</f>
        <v>240.4</v>
      </c>
      <c r="D1598" s="1">
        <f>IFERROR(__xludf.DUMMYFUNCTION("""COMPUTED_VALUE"""),218.0)</f>
        <v>218</v>
      </c>
      <c r="E1598" s="1">
        <f>IFERROR(__xludf.DUMMYFUNCTION("""COMPUTED_VALUE"""),236.8)</f>
        <v>236.8</v>
      </c>
      <c r="F1598" s="1">
        <f>IFERROR(__xludf.DUMMYFUNCTION("""COMPUTED_VALUE"""),5162953.0)</f>
        <v>5162953</v>
      </c>
    </row>
    <row r="1599">
      <c r="A1599" s="2">
        <f>IFERROR(__xludf.DUMMYFUNCTION("""COMPUTED_VALUE"""),38863.645833333336)</f>
        <v>38863.64583</v>
      </c>
      <c r="B1599" s="1">
        <f>IFERROR(__xludf.DUMMYFUNCTION("""COMPUTED_VALUE"""),240.0)</f>
        <v>240</v>
      </c>
      <c r="C1599" s="1">
        <f>IFERROR(__xludf.DUMMYFUNCTION("""COMPUTED_VALUE"""),248.85)</f>
        <v>248.85</v>
      </c>
      <c r="D1599" s="1">
        <f>IFERROR(__xludf.DUMMYFUNCTION("""COMPUTED_VALUE"""),239.5)</f>
        <v>239.5</v>
      </c>
      <c r="E1599" s="1">
        <f>IFERROR(__xludf.DUMMYFUNCTION("""COMPUTED_VALUE"""),243.55)</f>
        <v>243.55</v>
      </c>
      <c r="F1599" s="1">
        <f>IFERROR(__xludf.DUMMYFUNCTION("""COMPUTED_VALUE"""),3475280.0)</f>
        <v>3475280</v>
      </c>
    </row>
    <row r="1600">
      <c r="A1600" s="2">
        <f>IFERROR(__xludf.DUMMYFUNCTION("""COMPUTED_VALUE"""),38866.645833333336)</f>
        <v>38866.64583</v>
      </c>
      <c r="B1600" s="1">
        <f>IFERROR(__xludf.DUMMYFUNCTION("""COMPUTED_VALUE"""),246.7)</f>
        <v>246.7</v>
      </c>
      <c r="C1600" s="1">
        <f>IFERROR(__xludf.DUMMYFUNCTION("""COMPUTED_VALUE"""),248.5)</f>
        <v>248.5</v>
      </c>
      <c r="D1600" s="1">
        <f>IFERROR(__xludf.DUMMYFUNCTION("""COMPUTED_VALUE"""),239.45)</f>
        <v>239.45</v>
      </c>
      <c r="E1600" s="1">
        <f>IFERROR(__xludf.DUMMYFUNCTION("""COMPUTED_VALUE"""),241.45)</f>
        <v>241.45</v>
      </c>
      <c r="F1600" s="1">
        <f>IFERROR(__xludf.DUMMYFUNCTION("""COMPUTED_VALUE"""),1064963.0)</f>
        <v>1064963</v>
      </c>
    </row>
    <row r="1601">
      <c r="A1601" s="2">
        <f>IFERROR(__xludf.DUMMYFUNCTION("""COMPUTED_VALUE"""),38867.645833333336)</f>
        <v>38867.64583</v>
      </c>
      <c r="B1601" s="1">
        <f>IFERROR(__xludf.DUMMYFUNCTION("""COMPUTED_VALUE"""),243.0)</f>
        <v>243</v>
      </c>
      <c r="C1601" s="1">
        <f>IFERROR(__xludf.DUMMYFUNCTION("""COMPUTED_VALUE"""),244.9)</f>
        <v>244.9</v>
      </c>
      <c r="D1601" s="1">
        <f>IFERROR(__xludf.DUMMYFUNCTION("""COMPUTED_VALUE"""),234.55)</f>
        <v>234.55</v>
      </c>
      <c r="E1601" s="1">
        <f>IFERROR(__xludf.DUMMYFUNCTION("""COMPUTED_VALUE"""),241.6)</f>
        <v>241.6</v>
      </c>
      <c r="F1601" s="1">
        <f>IFERROR(__xludf.DUMMYFUNCTION("""COMPUTED_VALUE"""),2753149.0)</f>
        <v>2753149</v>
      </c>
    </row>
    <row r="1602">
      <c r="A1602" s="2">
        <f>IFERROR(__xludf.DUMMYFUNCTION("""COMPUTED_VALUE"""),38868.645833333336)</f>
        <v>38868.64583</v>
      </c>
      <c r="B1602" s="1">
        <f>IFERROR(__xludf.DUMMYFUNCTION("""COMPUTED_VALUE"""),234.55)</f>
        <v>234.55</v>
      </c>
      <c r="C1602" s="1">
        <f>IFERROR(__xludf.DUMMYFUNCTION("""COMPUTED_VALUE"""),236.8)</f>
        <v>236.8</v>
      </c>
      <c r="D1602" s="1">
        <f>IFERROR(__xludf.DUMMYFUNCTION("""COMPUTED_VALUE"""),223.6)</f>
        <v>223.6</v>
      </c>
      <c r="E1602" s="1">
        <f>IFERROR(__xludf.DUMMYFUNCTION("""COMPUTED_VALUE"""),233.45)</f>
        <v>233.45</v>
      </c>
      <c r="F1602" s="1">
        <f>IFERROR(__xludf.DUMMYFUNCTION("""COMPUTED_VALUE"""),3035801.0)</f>
        <v>3035801</v>
      </c>
    </row>
    <row r="1603">
      <c r="A1603" s="2">
        <f>IFERROR(__xludf.DUMMYFUNCTION("""COMPUTED_VALUE"""),38869.645833333336)</f>
        <v>38869.64583</v>
      </c>
      <c r="B1603" s="1">
        <f>IFERROR(__xludf.DUMMYFUNCTION("""COMPUTED_VALUE"""),235.0)</f>
        <v>235</v>
      </c>
      <c r="C1603" s="1">
        <f>IFERROR(__xludf.DUMMYFUNCTION("""COMPUTED_VALUE"""),237.0)</f>
        <v>237</v>
      </c>
      <c r="D1603" s="1">
        <f>IFERROR(__xludf.DUMMYFUNCTION("""COMPUTED_VALUE"""),223.0)</f>
        <v>223</v>
      </c>
      <c r="E1603" s="1">
        <f>IFERROR(__xludf.DUMMYFUNCTION("""COMPUTED_VALUE"""),225.0)</f>
        <v>225</v>
      </c>
      <c r="F1603" s="1">
        <f>IFERROR(__xludf.DUMMYFUNCTION("""COMPUTED_VALUE"""),3875425.0)</f>
        <v>3875425</v>
      </c>
    </row>
    <row r="1604">
      <c r="A1604" s="2">
        <f>IFERROR(__xludf.DUMMYFUNCTION("""COMPUTED_VALUE"""),38870.645833333336)</f>
        <v>38870.64583</v>
      </c>
      <c r="B1604" s="1">
        <f>IFERROR(__xludf.DUMMYFUNCTION("""COMPUTED_VALUE"""),226.0)</f>
        <v>226</v>
      </c>
      <c r="C1604" s="1">
        <f>IFERROR(__xludf.DUMMYFUNCTION("""COMPUTED_VALUE"""),244.9)</f>
        <v>244.9</v>
      </c>
      <c r="D1604" s="1">
        <f>IFERROR(__xludf.DUMMYFUNCTION("""COMPUTED_VALUE"""),224.0)</f>
        <v>224</v>
      </c>
      <c r="E1604" s="1">
        <f>IFERROR(__xludf.DUMMYFUNCTION("""COMPUTED_VALUE"""),242.0)</f>
        <v>242</v>
      </c>
      <c r="F1604" s="1">
        <f>IFERROR(__xludf.DUMMYFUNCTION("""COMPUTED_VALUE"""),3356747.0)</f>
        <v>3356747</v>
      </c>
    </row>
    <row r="1605">
      <c r="A1605" s="2">
        <f>IFERROR(__xludf.DUMMYFUNCTION("""COMPUTED_VALUE"""),38873.645833333336)</f>
        <v>38873.64583</v>
      </c>
      <c r="B1605" s="1">
        <f>IFERROR(__xludf.DUMMYFUNCTION("""COMPUTED_VALUE"""),245.1)</f>
        <v>245.1</v>
      </c>
      <c r="C1605" s="1">
        <f>IFERROR(__xludf.DUMMYFUNCTION("""COMPUTED_VALUE"""),245.1)</f>
        <v>245.1</v>
      </c>
      <c r="D1605" s="1">
        <f>IFERROR(__xludf.DUMMYFUNCTION("""COMPUTED_VALUE"""),233.05)</f>
        <v>233.05</v>
      </c>
      <c r="E1605" s="1">
        <f>IFERROR(__xludf.DUMMYFUNCTION("""COMPUTED_VALUE"""),235.65)</f>
        <v>235.65</v>
      </c>
      <c r="F1605" s="1">
        <f>IFERROR(__xludf.DUMMYFUNCTION("""COMPUTED_VALUE"""),2511187.0)</f>
        <v>2511187</v>
      </c>
    </row>
    <row r="1606">
      <c r="A1606" s="2">
        <f>IFERROR(__xludf.DUMMYFUNCTION("""COMPUTED_VALUE"""),38874.645833333336)</f>
        <v>38874.64583</v>
      </c>
      <c r="B1606" s="1">
        <f>IFERROR(__xludf.DUMMYFUNCTION("""COMPUTED_VALUE"""),230.0)</f>
        <v>230</v>
      </c>
      <c r="C1606" s="1">
        <f>IFERROR(__xludf.DUMMYFUNCTION("""COMPUTED_VALUE"""),231.5)</f>
        <v>231.5</v>
      </c>
      <c r="D1606" s="1">
        <f>IFERROR(__xludf.DUMMYFUNCTION("""COMPUTED_VALUE"""),222.05)</f>
        <v>222.05</v>
      </c>
      <c r="E1606" s="1">
        <f>IFERROR(__xludf.DUMMYFUNCTION("""COMPUTED_VALUE"""),224.6)</f>
        <v>224.6</v>
      </c>
      <c r="F1606" s="1">
        <f>IFERROR(__xludf.DUMMYFUNCTION("""COMPUTED_VALUE"""),2594742.0)</f>
        <v>2594742</v>
      </c>
    </row>
    <row r="1607">
      <c r="A1607" s="2">
        <f>IFERROR(__xludf.DUMMYFUNCTION("""COMPUTED_VALUE"""),38875.645833333336)</f>
        <v>38875.64583</v>
      </c>
      <c r="B1607" s="1">
        <f>IFERROR(__xludf.DUMMYFUNCTION("""COMPUTED_VALUE"""),224.0)</f>
        <v>224</v>
      </c>
      <c r="C1607" s="1">
        <f>IFERROR(__xludf.DUMMYFUNCTION("""COMPUTED_VALUE"""),227.9)</f>
        <v>227.9</v>
      </c>
      <c r="D1607" s="1">
        <f>IFERROR(__xludf.DUMMYFUNCTION("""COMPUTED_VALUE"""),217.55)</f>
        <v>217.55</v>
      </c>
      <c r="E1607" s="1">
        <f>IFERROR(__xludf.DUMMYFUNCTION("""COMPUTED_VALUE"""),220.45)</f>
        <v>220.45</v>
      </c>
      <c r="F1607" s="1">
        <f>IFERROR(__xludf.DUMMYFUNCTION("""COMPUTED_VALUE"""),2885547.0)</f>
        <v>2885547</v>
      </c>
    </row>
    <row r="1608">
      <c r="A1608" s="2">
        <f>IFERROR(__xludf.DUMMYFUNCTION("""COMPUTED_VALUE"""),38876.645833333336)</f>
        <v>38876.64583</v>
      </c>
      <c r="B1608" s="1">
        <f>IFERROR(__xludf.DUMMYFUNCTION("""COMPUTED_VALUE"""),219.85)</f>
        <v>219.85</v>
      </c>
      <c r="C1608" s="1">
        <f>IFERROR(__xludf.DUMMYFUNCTION("""COMPUTED_VALUE"""),219.85)</f>
        <v>219.85</v>
      </c>
      <c r="D1608" s="1">
        <f>IFERROR(__xludf.DUMMYFUNCTION("""COMPUTED_VALUE"""),195.2)</f>
        <v>195.2</v>
      </c>
      <c r="E1608" s="1">
        <f>IFERROR(__xludf.DUMMYFUNCTION("""COMPUTED_VALUE"""),204.45)</f>
        <v>204.45</v>
      </c>
      <c r="F1608" s="1">
        <f>IFERROR(__xludf.DUMMYFUNCTION("""COMPUTED_VALUE"""),5969615.0)</f>
        <v>5969615</v>
      </c>
    </row>
    <row r="1609">
      <c r="A1609" s="2">
        <f>IFERROR(__xludf.DUMMYFUNCTION("""COMPUTED_VALUE"""),38877.645833333336)</f>
        <v>38877.64583</v>
      </c>
      <c r="B1609" s="1">
        <f>IFERROR(__xludf.DUMMYFUNCTION("""COMPUTED_VALUE"""),203.5)</f>
        <v>203.5</v>
      </c>
      <c r="C1609" s="1">
        <f>IFERROR(__xludf.DUMMYFUNCTION("""COMPUTED_VALUE"""),213.25)</f>
        <v>213.25</v>
      </c>
      <c r="D1609" s="1">
        <f>IFERROR(__xludf.DUMMYFUNCTION("""COMPUTED_VALUE"""),201.0)</f>
        <v>201</v>
      </c>
      <c r="E1609" s="1">
        <f>IFERROR(__xludf.DUMMYFUNCTION("""COMPUTED_VALUE"""),206.15)</f>
        <v>206.15</v>
      </c>
      <c r="F1609" s="1">
        <f>IFERROR(__xludf.DUMMYFUNCTION("""COMPUTED_VALUE"""),3710239.0)</f>
        <v>3710239</v>
      </c>
    </row>
    <row r="1610">
      <c r="A1610" s="2">
        <f>IFERROR(__xludf.DUMMYFUNCTION("""COMPUTED_VALUE"""),38880.645833333336)</f>
        <v>38880.64583</v>
      </c>
      <c r="B1610" s="1">
        <f>IFERROR(__xludf.DUMMYFUNCTION("""COMPUTED_VALUE"""),207.95)</f>
        <v>207.95</v>
      </c>
      <c r="C1610" s="1">
        <f>IFERROR(__xludf.DUMMYFUNCTION("""COMPUTED_VALUE"""),207.95)</f>
        <v>207.95</v>
      </c>
      <c r="D1610" s="1">
        <f>IFERROR(__xludf.DUMMYFUNCTION("""COMPUTED_VALUE"""),194.1)</f>
        <v>194.1</v>
      </c>
      <c r="E1610" s="1">
        <f>IFERROR(__xludf.DUMMYFUNCTION("""COMPUTED_VALUE"""),196.7)</f>
        <v>196.7</v>
      </c>
      <c r="F1610" s="1">
        <f>IFERROR(__xludf.DUMMYFUNCTION("""COMPUTED_VALUE"""),3062773.0)</f>
        <v>3062773</v>
      </c>
    </row>
    <row r="1611">
      <c r="A1611" s="2">
        <f>IFERROR(__xludf.DUMMYFUNCTION("""COMPUTED_VALUE"""),38881.645833333336)</f>
        <v>38881.64583</v>
      </c>
      <c r="B1611" s="1">
        <f>IFERROR(__xludf.DUMMYFUNCTION("""COMPUTED_VALUE"""),194.1)</f>
        <v>194.1</v>
      </c>
      <c r="C1611" s="1">
        <f>IFERROR(__xludf.DUMMYFUNCTION("""COMPUTED_VALUE"""),194.1)</f>
        <v>194.1</v>
      </c>
      <c r="D1611" s="1">
        <f>IFERROR(__xludf.DUMMYFUNCTION("""COMPUTED_VALUE"""),185.35)</f>
        <v>185.35</v>
      </c>
      <c r="E1611" s="1">
        <f>IFERROR(__xludf.DUMMYFUNCTION("""COMPUTED_VALUE"""),188.3)</f>
        <v>188.3</v>
      </c>
      <c r="F1611" s="1">
        <f>IFERROR(__xludf.DUMMYFUNCTION("""COMPUTED_VALUE"""),3546241.0)</f>
        <v>3546241</v>
      </c>
    </row>
    <row r="1612">
      <c r="A1612" s="2">
        <f>IFERROR(__xludf.DUMMYFUNCTION("""COMPUTED_VALUE"""),38882.645833333336)</f>
        <v>38882.64583</v>
      </c>
      <c r="B1612" s="1">
        <f>IFERROR(__xludf.DUMMYFUNCTION("""COMPUTED_VALUE"""),190.0)</f>
        <v>190</v>
      </c>
      <c r="C1612" s="1">
        <f>IFERROR(__xludf.DUMMYFUNCTION("""COMPUTED_VALUE"""),196.2)</f>
        <v>196.2</v>
      </c>
      <c r="D1612" s="1">
        <f>IFERROR(__xludf.DUMMYFUNCTION("""COMPUTED_VALUE"""),180.0)</f>
        <v>180</v>
      </c>
      <c r="E1612" s="1">
        <f>IFERROR(__xludf.DUMMYFUNCTION("""COMPUTED_VALUE"""),186.35)</f>
        <v>186.35</v>
      </c>
      <c r="F1612" s="1">
        <f>IFERROR(__xludf.DUMMYFUNCTION("""COMPUTED_VALUE"""),2952791.0)</f>
        <v>2952791</v>
      </c>
    </row>
    <row r="1613">
      <c r="A1613" s="2">
        <f>IFERROR(__xludf.DUMMYFUNCTION("""COMPUTED_VALUE"""),38883.645833333336)</f>
        <v>38883.64583</v>
      </c>
      <c r="B1613" s="1">
        <f>IFERROR(__xludf.DUMMYFUNCTION("""COMPUTED_VALUE"""),190.0)</f>
        <v>190</v>
      </c>
      <c r="C1613" s="1">
        <f>IFERROR(__xludf.DUMMYFUNCTION("""COMPUTED_VALUE"""),204.4)</f>
        <v>204.4</v>
      </c>
      <c r="D1613" s="1">
        <f>IFERROR(__xludf.DUMMYFUNCTION("""COMPUTED_VALUE"""),190.0)</f>
        <v>190</v>
      </c>
      <c r="E1613" s="1">
        <f>IFERROR(__xludf.DUMMYFUNCTION("""COMPUTED_VALUE"""),201.85)</f>
        <v>201.85</v>
      </c>
      <c r="F1613" s="1">
        <f>IFERROR(__xludf.DUMMYFUNCTION("""COMPUTED_VALUE"""),3577377.0)</f>
        <v>3577377</v>
      </c>
    </row>
    <row r="1614">
      <c r="A1614" s="2">
        <f>IFERROR(__xludf.DUMMYFUNCTION("""COMPUTED_VALUE"""),38884.645833333336)</f>
        <v>38884.64583</v>
      </c>
      <c r="B1614" s="1">
        <f>IFERROR(__xludf.DUMMYFUNCTION("""COMPUTED_VALUE"""),204.4)</f>
        <v>204.4</v>
      </c>
      <c r="C1614" s="1">
        <f>IFERROR(__xludf.DUMMYFUNCTION("""COMPUTED_VALUE"""),220.0)</f>
        <v>220</v>
      </c>
      <c r="D1614" s="1">
        <f>IFERROR(__xludf.DUMMYFUNCTION("""COMPUTED_VALUE"""),204.4)</f>
        <v>204.4</v>
      </c>
      <c r="E1614" s="1">
        <f>IFERROR(__xludf.DUMMYFUNCTION("""COMPUTED_VALUE"""),215.65)</f>
        <v>215.65</v>
      </c>
      <c r="F1614" s="1">
        <f>IFERROR(__xludf.DUMMYFUNCTION("""COMPUTED_VALUE"""),3316245.0)</f>
        <v>3316245</v>
      </c>
    </row>
    <row r="1615">
      <c r="A1615" s="2">
        <f>IFERROR(__xludf.DUMMYFUNCTION("""COMPUTED_VALUE"""),38887.645833333336)</f>
        <v>38887.64583</v>
      </c>
      <c r="B1615" s="1">
        <f>IFERROR(__xludf.DUMMYFUNCTION("""COMPUTED_VALUE"""),211.05)</f>
        <v>211.05</v>
      </c>
      <c r="C1615" s="1">
        <f>IFERROR(__xludf.DUMMYFUNCTION("""COMPUTED_VALUE"""),226.0)</f>
        <v>226</v>
      </c>
      <c r="D1615" s="1">
        <f>IFERROR(__xludf.DUMMYFUNCTION("""COMPUTED_VALUE"""),210.65)</f>
        <v>210.65</v>
      </c>
      <c r="E1615" s="1">
        <f>IFERROR(__xludf.DUMMYFUNCTION("""COMPUTED_VALUE"""),222.75)</f>
        <v>222.75</v>
      </c>
      <c r="F1615" s="1">
        <f>IFERROR(__xludf.DUMMYFUNCTION("""COMPUTED_VALUE"""),1361116.0)</f>
        <v>1361116</v>
      </c>
    </row>
    <row r="1616">
      <c r="A1616" s="2">
        <f>IFERROR(__xludf.DUMMYFUNCTION("""COMPUTED_VALUE"""),38888.645833333336)</f>
        <v>38888.64583</v>
      </c>
      <c r="B1616" s="1">
        <f>IFERROR(__xludf.DUMMYFUNCTION("""COMPUTED_VALUE"""),216.0)</f>
        <v>216</v>
      </c>
      <c r="C1616" s="1">
        <f>IFERROR(__xludf.DUMMYFUNCTION("""COMPUTED_VALUE"""),219.0)</f>
        <v>219</v>
      </c>
      <c r="D1616" s="1">
        <f>IFERROR(__xludf.DUMMYFUNCTION("""COMPUTED_VALUE"""),210.2)</f>
        <v>210.2</v>
      </c>
      <c r="E1616" s="1">
        <f>IFERROR(__xludf.DUMMYFUNCTION("""COMPUTED_VALUE"""),216.6)</f>
        <v>216.6</v>
      </c>
      <c r="F1616" s="1">
        <f>IFERROR(__xludf.DUMMYFUNCTION("""COMPUTED_VALUE"""),2431904.0)</f>
        <v>2431904</v>
      </c>
    </row>
    <row r="1617">
      <c r="A1617" s="2">
        <f>IFERROR(__xludf.DUMMYFUNCTION("""COMPUTED_VALUE"""),38889.645833333336)</f>
        <v>38889.64583</v>
      </c>
      <c r="B1617" s="1">
        <f>IFERROR(__xludf.DUMMYFUNCTION("""COMPUTED_VALUE"""),215.0)</f>
        <v>215</v>
      </c>
      <c r="C1617" s="1">
        <f>IFERROR(__xludf.DUMMYFUNCTION("""COMPUTED_VALUE"""),219.85)</f>
        <v>219.85</v>
      </c>
      <c r="D1617" s="1">
        <f>IFERROR(__xludf.DUMMYFUNCTION("""COMPUTED_VALUE"""),211.2)</f>
        <v>211.2</v>
      </c>
      <c r="E1617" s="1">
        <f>IFERROR(__xludf.DUMMYFUNCTION("""COMPUTED_VALUE"""),218.45)</f>
        <v>218.45</v>
      </c>
      <c r="F1617" s="1">
        <f>IFERROR(__xludf.DUMMYFUNCTION("""COMPUTED_VALUE"""),2960164.0)</f>
        <v>2960164</v>
      </c>
    </row>
    <row r="1618">
      <c r="A1618" s="2">
        <f>IFERROR(__xludf.DUMMYFUNCTION("""COMPUTED_VALUE"""),38890.645833333336)</f>
        <v>38890.64583</v>
      </c>
      <c r="B1618" s="1">
        <f>IFERROR(__xludf.DUMMYFUNCTION("""COMPUTED_VALUE"""),219.85)</f>
        <v>219.85</v>
      </c>
      <c r="C1618" s="1">
        <f>IFERROR(__xludf.DUMMYFUNCTION("""COMPUTED_VALUE"""),225.9)</f>
        <v>225.9</v>
      </c>
      <c r="D1618" s="1">
        <f>IFERROR(__xludf.DUMMYFUNCTION("""COMPUTED_VALUE"""),217.4)</f>
        <v>217.4</v>
      </c>
      <c r="E1618" s="1">
        <f>IFERROR(__xludf.DUMMYFUNCTION("""COMPUTED_VALUE"""),218.65)</f>
        <v>218.65</v>
      </c>
      <c r="F1618" s="1">
        <f>IFERROR(__xludf.DUMMYFUNCTION("""COMPUTED_VALUE"""),1633922.0)</f>
        <v>1633922</v>
      </c>
    </row>
    <row r="1619">
      <c r="A1619" s="2">
        <f>IFERROR(__xludf.DUMMYFUNCTION("""COMPUTED_VALUE"""),38891.645833333336)</f>
        <v>38891.64583</v>
      </c>
      <c r="B1619" s="1">
        <f>IFERROR(__xludf.DUMMYFUNCTION("""COMPUTED_VALUE"""),217.4)</f>
        <v>217.4</v>
      </c>
      <c r="C1619" s="1">
        <f>IFERROR(__xludf.DUMMYFUNCTION("""COMPUTED_VALUE"""),223.4)</f>
        <v>223.4</v>
      </c>
      <c r="D1619" s="1">
        <f>IFERROR(__xludf.DUMMYFUNCTION("""COMPUTED_VALUE"""),210.05)</f>
        <v>210.05</v>
      </c>
      <c r="E1619" s="1">
        <f>IFERROR(__xludf.DUMMYFUNCTION("""COMPUTED_VALUE"""),221.85)</f>
        <v>221.85</v>
      </c>
      <c r="F1619" s="1">
        <f>IFERROR(__xludf.DUMMYFUNCTION("""COMPUTED_VALUE"""),2060869.0)</f>
        <v>2060869</v>
      </c>
    </row>
    <row r="1620">
      <c r="A1620" s="2">
        <f>IFERROR(__xludf.DUMMYFUNCTION("""COMPUTED_VALUE"""),38894.645833333336)</f>
        <v>38894.64583</v>
      </c>
      <c r="B1620" s="1">
        <f>IFERROR(__xludf.DUMMYFUNCTION("""COMPUTED_VALUE"""),223.0)</f>
        <v>223</v>
      </c>
      <c r="C1620" s="1">
        <f>IFERROR(__xludf.DUMMYFUNCTION("""COMPUTED_VALUE"""),223.0)</f>
        <v>223</v>
      </c>
      <c r="D1620" s="1">
        <f>IFERROR(__xludf.DUMMYFUNCTION("""COMPUTED_VALUE"""),210.2)</f>
        <v>210.2</v>
      </c>
      <c r="E1620" s="1">
        <f>IFERROR(__xludf.DUMMYFUNCTION("""COMPUTED_VALUE"""),213.3)</f>
        <v>213.3</v>
      </c>
      <c r="F1620" s="1">
        <f>IFERROR(__xludf.DUMMYFUNCTION("""COMPUTED_VALUE"""),2009260.0)</f>
        <v>2009260</v>
      </c>
    </row>
    <row r="1621">
      <c r="A1621" s="2">
        <f>IFERROR(__xludf.DUMMYFUNCTION("""COMPUTED_VALUE"""),38895.645833333336)</f>
        <v>38895.64583</v>
      </c>
      <c r="B1621" s="1">
        <f>IFERROR(__xludf.DUMMYFUNCTION("""COMPUTED_VALUE"""),215.0)</f>
        <v>215</v>
      </c>
      <c r="C1621" s="1">
        <f>IFERROR(__xludf.DUMMYFUNCTION("""COMPUTED_VALUE"""),222.0)</f>
        <v>222</v>
      </c>
      <c r="D1621" s="1">
        <f>IFERROR(__xludf.DUMMYFUNCTION("""COMPUTED_VALUE"""),210.35)</f>
        <v>210.35</v>
      </c>
      <c r="E1621" s="1">
        <f>IFERROR(__xludf.DUMMYFUNCTION("""COMPUTED_VALUE"""),220.0)</f>
        <v>220</v>
      </c>
      <c r="F1621" s="1">
        <f>IFERROR(__xludf.DUMMYFUNCTION("""COMPUTED_VALUE"""),2816967.0)</f>
        <v>2816967</v>
      </c>
    </row>
    <row r="1622">
      <c r="A1622" s="2">
        <f>IFERROR(__xludf.DUMMYFUNCTION("""COMPUTED_VALUE"""),38896.645833333336)</f>
        <v>38896.64583</v>
      </c>
      <c r="B1622" s="1">
        <f>IFERROR(__xludf.DUMMYFUNCTION("""COMPUTED_VALUE"""),214.0)</f>
        <v>214</v>
      </c>
      <c r="C1622" s="1">
        <f>IFERROR(__xludf.DUMMYFUNCTION("""COMPUTED_VALUE"""),221.5)</f>
        <v>221.5</v>
      </c>
      <c r="D1622" s="1">
        <f>IFERROR(__xludf.DUMMYFUNCTION("""COMPUTED_VALUE"""),212.55)</f>
        <v>212.55</v>
      </c>
      <c r="E1622" s="1">
        <f>IFERROR(__xludf.DUMMYFUNCTION("""COMPUTED_VALUE"""),216.15)</f>
        <v>216.15</v>
      </c>
      <c r="F1622" s="1">
        <f>IFERROR(__xludf.DUMMYFUNCTION("""COMPUTED_VALUE"""),2447981.0)</f>
        <v>2447981</v>
      </c>
    </row>
    <row r="1623">
      <c r="A1623" s="2">
        <f>IFERROR(__xludf.DUMMYFUNCTION("""COMPUTED_VALUE"""),38897.645833333336)</f>
        <v>38897.64583</v>
      </c>
      <c r="B1623" s="1">
        <f>IFERROR(__xludf.DUMMYFUNCTION("""COMPUTED_VALUE"""),216.9)</f>
        <v>216.9</v>
      </c>
      <c r="C1623" s="1">
        <f>IFERROR(__xludf.DUMMYFUNCTION("""COMPUTED_VALUE"""),220.05)</f>
        <v>220.05</v>
      </c>
      <c r="D1623" s="1">
        <f>IFERROR(__xludf.DUMMYFUNCTION("""COMPUTED_VALUE"""),205.35)</f>
        <v>205.35</v>
      </c>
      <c r="E1623" s="1">
        <f>IFERROR(__xludf.DUMMYFUNCTION("""COMPUTED_VALUE"""),209.55)</f>
        <v>209.55</v>
      </c>
      <c r="F1623" s="1">
        <f>IFERROR(__xludf.DUMMYFUNCTION("""COMPUTED_VALUE"""),3924629.0)</f>
        <v>3924629</v>
      </c>
    </row>
    <row r="1624">
      <c r="A1624" s="2">
        <f>IFERROR(__xludf.DUMMYFUNCTION("""COMPUTED_VALUE"""),38898.645833333336)</f>
        <v>38898.64583</v>
      </c>
      <c r="B1624" s="1">
        <f>IFERROR(__xludf.DUMMYFUNCTION("""COMPUTED_VALUE"""),220.0)</f>
        <v>220</v>
      </c>
      <c r="C1624" s="1">
        <f>IFERROR(__xludf.DUMMYFUNCTION("""COMPUTED_VALUE"""),230.8)</f>
        <v>230.8</v>
      </c>
      <c r="D1624" s="1">
        <f>IFERROR(__xludf.DUMMYFUNCTION("""COMPUTED_VALUE"""),215.75)</f>
        <v>215.75</v>
      </c>
      <c r="E1624" s="1">
        <f>IFERROR(__xludf.DUMMYFUNCTION("""COMPUTED_VALUE"""),229.05)</f>
        <v>229.05</v>
      </c>
      <c r="F1624" s="1">
        <f>IFERROR(__xludf.DUMMYFUNCTION("""COMPUTED_VALUE"""),5349696.0)</f>
        <v>5349696</v>
      </c>
    </row>
    <row r="1625">
      <c r="A1625" s="2">
        <f>IFERROR(__xludf.DUMMYFUNCTION("""COMPUTED_VALUE"""),38901.645833333336)</f>
        <v>38901.64583</v>
      </c>
      <c r="B1625" s="1">
        <f>IFERROR(__xludf.DUMMYFUNCTION("""COMPUTED_VALUE"""),230.1)</f>
        <v>230.1</v>
      </c>
      <c r="C1625" s="1">
        <f>IFERROR(__xludf.DUMMYFUNCTION("""COMPUTED_VALUE"""),239.85)</f>
        <v>239.85</v>
      </c>
      <c r="D1625" s="1">
        <f>IFERROR(__xludf.DUMMYFUNCTION("""COMPUTED_VALUE"""),227.4)</f>
        <v>227.4</v>
      </c>
      <c r="E1625" s="1">
        <f>IFERROR(__xludf.DUMMYFUNCTION("""COMPUTED_VALUE"""),236.55)</f>
        <v>236.55</v>
      </c>
      <c r="F1625" s="1">
        <f>IFERROR(__xludf.DUMMYFUNCTION("""COMPUTED_VALUE"""),5182651.0)</f>
        <v>5182651</v>
      </c>
    </row>
    <row r="1626">
      <c r="A1626" s="2">
        <f>IFERROR(__xludf.DUMMYFUNCTION("""COMPUTED_VALUE"""),38902.645833333336)</f>
        <v>38902.64583</v>
      </c>
      <c r="B1626" s="1">
        <f>IFERROR(__xludf.DUMMYFUNCTION("""COMPUTED_VALUE"""),238.9)</f>
        <v>238.9</v>
      </c>
      <c r="C1626" s="1">
        <f>IFERROR(__xludf.DUMMYFUNCTION("""COMPUTED_VALUE"""),239.0)</f>
        <v>239</v>
      </c>
      <c r="D1626" s="1">
        <f>IFERROR(__xludf.DUMMYFUNCTION("""COMPUTED_VALUE"""),231.55)</f>
        <v>231.55</v>
      </c>
      <c r="E1626" s="1">
        <f>IFERROR(__xludf.DUMMYFUNCTION("""COMPUTED_VALUE"""),233.0)</f>
        <v>233</v>
      </c>
      <c r="F1626" s="1">
        <f>IFERROR(__xludf.DUMMYFUNCTION("""COMPUTED_VALUE"""),1847743.0)</f>
        <v>1847743</v>
      </c>
    </row>
    <row r="1627">
      <c r="A1627" s="2">
        <f>IFERROR(__xludf.DUMMYFUNCTION("""COMPUTED_VALUE"""),38903.645833333336)</f>
        <v>38903.64583</v>
      </c>
      <c r="B1627" s="1">
        <f>IFERROR(__xludf.DUMMYFUNCTION("""COMPUTED_VALUE"""),233.0)</f>
        <v>233</v>
      </c>
      <c r="C1627" s="1">
        <f>IFERROR(__xludf.DUMMYFUNCTION("""COMPUTED_VALUE"""),244.45)</f>
        <v>244.45</v>
      </c>
      <c r="D1627" s="1">
        <f>IFERROR(__xludf.DUMMYFUNCTION("""COMPUTED_VALUE"""),231.0)</f>
        <v>231</v>
      </c>
      <c r="E1627" s="1">
        <f>IFERROR(__xludf.DUMMYFUNCTION("""COMPUTED_VALUE"""),242.25)</f>
        <v>242.25</v>
      </c>
      <c r="F1627" s="1">
        <f>IFERROR(__xludf.DUMMYFUNCTION("""COMPUTED_VALUE"""),6459786.0)</f>
        <v>6459786</v>
      </c>
    </row>
    <row r="1628">
      <c r="A1628" s="2">
        <f>IFERROR(__xludf.DUMMYFUNCTION("""COMPUTED_VALUE"""),38904.645833333336)</f>
        <v>38904.64583</v>
      </c>
      <c r="B1628" s="1">
        <f>IFERROR(__xludf.DUMMYFUNCTION("""COMPUTED_VALUE"""),243.0)</f>
        <v>243</v>
      </c>
      <c r="C1628" s="1">
        <f>IFERROR(__xludf.DUMMYFUNCTION("""COMPUTED_VALUE"""),246.2)</f>
        <v>246.2</v>
      </c>
      <c r="D1628" s="1">
        <f>IFERROR(__xludf.DUMMYFUNCTION("""COMPUTED_VALUE"""),234.2)</f>
        <v>234.2</v>
      </c>
      <c r="E1628" s="1">
        <f>IFERROR(__xludf.DUMMYFUNCTION("""COMPUTED_VALUE"""),242.7)</f>
        <v>242.7</v>
      </c>
      <c r="F1628" s="1">
        <f>IFERROR(__xludf.DUMMYFUNCTION("""COMPUTED_VALUE"""),4547527.0)</f>
        <v>4547527</v>
      </c>
    </row>
    <row r="1629">
      <c r="A1629" s="2">
        <f>IFERROR(__xludf.DUMMYFUNCTION("""COMPUTED_VALUE"""),38905.645833333336)</f>
        <v>38905.64583</v>
      </c>
      <c r="B1629" s="1">
        <f>IFERROR(__xludf.DUMMYFUNCTION("""COMPUTED_VALUE"""),243.0)</f>
        <v>243</v>
      </c>
      <c r="C1629" s="1">
        <f>IFERROR(__xludf.DUMMYFUNCTION("""COMPUTED_VALUE"""),244.95)</f>
        <v>244.95</v>
      </c>
      <c r="D1629" s="1">
        <f>IFERROR(__xludf.DUMMYFUNCTION("""COMPUTED_VALUE"""),235.6)</f>
        <v>235.6</v>
      </c>
      <c r="E1629" s="1">
        <f>IFERROR(__xludf.DUMMYFUNCTION("""COMPUTED_VALUE"""),237.7)</f>
        <v>237.7</v>
      </c>
      <c r="F1629" s="1">
        <f>IFERROR(__xludf.DUMMYFUNCTION("""COMPUTED_VALUE"""),2656781.0)</f>
        <v>2656781</v>
      </c>
    </row>
    <row r="1630">
      <c r="A1630" s="2">
        <f>IFERROR(__xludf.DUMMYFUNCTION("""COMPUTED_VALUE"""),38908.645833333336)</f>
        <v>38908.64583</v>
      </c>
      <c r="B1630" s="1">
        <f>IFERROR(__xludf.DUMMYFUNCTION("""COMPUTED_VALUE"""),235.6)</f>
        <v>235.6</v>
      </c>
      <c r="C1630" s="1">
        <f>IFERROR(__xludf.DUMMYFUNCTION("""COMPUTED_VALUE"""),241.85)</f>
        <v>241.85</v>
      </c>
      <c r="D1630" s="1">
        <f>IFERROR(__xludf.DUMMYFUNCTION("""COMPUTED_VALUE"""),232.1)</f>
        <v>232.1</v>
      </c>
      <c r="E1630" s="1">
        <f>IFERROR(__xludf.DUMMYFUNCTION("""COMPUTED_VALUE"""),240.05)</f>
        <v>240.05</v>
      </c>
      <c r="F1630" s="1">
        <f>IFERROR(__xludf.DUMMYFUNCTION("""COMPUTED_VALUE"""),2157531.0)</f>
        <v>2157531</v>
      </c>
    </row>
    <row r="1631">
      <c r="A1631" s="2">
        <f>IFERROR(__xludf.DUMMYFUNCTION("""COMPUTED_VALUE"""),38909.645833333336)</f>
        <v>38909.64583</v>
      </c>
      <c r="B1631" s="1">
        <f>IFERROR(__xludf.DUMMYFUNCTION("""COMPUTED_VALUE"""),240.0)</f>
        <v>240</v>
      </c>
      <c r="C1631" s="1">
        <f>IFERROR(__xludf.DUMMYFUNCTION("""COMPUTED_VALUE"""),245.0)</f>
        <v>245</v>
      </c>
      <c r="D1631" s="1">
        <f>IFERROR(__xludf.DUMMYFUNCTION("""COMPUTED_VALUE"""),234.1)</f>
        <v>234.1</v>
      </c>
      <c r="E1631" s="1">
        <f>IFERROR(__xludf.DUMMYFUNCTION("""COMPUTED_VALUE"""),235.4)</f>
        <v>235.4</v>
      </c>
      <c r="F1631" s="1">
        <f>IFERROR(__xludf.DUMMYFUNCTION("""COMPUTED_VALUE"""),2247841.0)</f>
        <v>2247841</v>
      </c>
    </row>
    <row r="1632">
      <c r="A1632" s="2">
        <f>IFERROR(__xludf.DUMMYFUNCTION("""COMPUTED_VALUE"""),38910.645833333336)</f>
        <v>38910.64583</v>
      </c>
      <c r="B1632" s="1">
        <f>IFERROR(__xludf.DUMMYFUNCTION("""COMPUTED_VALUE"""),234.1)</f>
        <v>234.1</v>
      </c>
      <c r="C1632" s="1">
        <f>IFERROR(__xludf.DUMMYFUNCTION("""COMPUTED_VALUE"""),240.0)</f>
        <v>240</v>
      </c>
      <c r="D1632" s="1">
        <f>IFERROR(__xludf.DUMMYFUNCTION("""COMPUTED_VALUE"""),225.5)</f>
        <v>225.5</v>
      </c>
      <c r="E1632" s="1">
        <f>IFERROR(__xludf.DUMMYFUNCTION("""COMPUTED_VALUE"""),237.95)</f>
        <v>237.95</v>
      </c>
      <c r="F1632" s="1">
        <f>IFERROR(__xludf.DUMMYFUNCTION("""COMPUTED_VALUE"""),2848037.0)</f>
        <v>2848037</v>
      </c>
    </row>
    <row r="1633">
      <c r="A1633" s="2">
        <f>IFERROR(__xludf.DUMMYFUNCTION("""COMPUTED_VALUE"""),38911.645833333336)</f>
        <v>38911.64583</v>
      </c>
      <c r="B1633" s="1">
        <f>IFERROR(__xludf.DUMMYFUNCTION("""COMPUTED_VALUE"""),235.0)</f>
        <v>235</v>
      </c>
      <c r="C1633" s="1">
        <f>IFERROR(__xludf.DUMMYFUNCTION("""COMPUTED_VALUE"""),244.8)</f>
        <v>244.8</v>
      </c>
      <c r="D1633" s="1">
        <f>IFERROR(__xludf.DUMMYFUNCTION("""COMPUTED_VALUE"""),235.0)</f>
        <v>235</v>
      </c>
      <c r="E1633" s="1">
        <f>IFERROR(__xludf.DUMMYFUNCTION("""COMPUTED_VALUE"""),243.8)</f>
        <v>243.8</v>
      </c>
      <c r="F1633" s="1">
        <f>IFERROR(__xludf.DUMMYFUNCTION("""COMPUTED_VALUE"""),4593614.0)</f>
        <v>4593614</v>
      </c>
    </row>
    <row r="1634">
      <c r="A1634" s="2">
        <f>IFERROR(__xludf.DUMMYFUNCTION("""COMPUTED_VALUE"""),38912.645833333336)</f>
        <v>38912.64583</v>
      </c>
      <c r="B1634" s="1">
        <f>IFERROR(__xludf.DUMMYFUNCTION("""COMPUTED_VALUE"""),241.0)</f>
        <v>241</v>
      </c>
      <c r="C1634" s="1">
        <f>IFERROR(__xludf.DUMMYFUNCTION("""COMPUTED_VALUE"""),243.4)</f>
        <v>243.4</v>
      </c>
      <c r="D1634" s="1">
        <f>IFERROR(__xludf.DUMMYFUNCTION("""COMPUTED_VALUE"""),238.0)</f>
        <v>238</v>
      </c>
      <c r="E1634" s="1">
        <f>IFERROR(__xludf.DUMMYFUNCTION("""COMPUTED_VALUE"""),241.3)</f>
        <v>241.3</v>
      </c>
      <c r="F1634" s="1">
        <f>IFERROR(__xludf.DUMMYFUNCTION("""COMPUTED_VALUE"""),2107593.0)</f>
        <v>2107593</v>
      </c>
    </row>
    <row r="1635">
      <c r="A1635" s="2">
        <f>IFERROR(__xludf.DUMMYFUNCTION("""COMPUTED_VALUE"""),38915.645833333336)</f>
        <v>38915.64583</v>
      </c>
      <c r="B1635" s="1">
        <f>IFERROR(__xludf.DUMMYFUNCTION("""COMPUTED_VALUE"""),241.0)</f>
        <v>241</v>
      </c>
      <c r="C1635" s="1">
        <f>IFERROR(__xludf.DUMMYFUNCTION("""COMPUTED_VALUE"""),241.0)</f>
        <v>241</v>
      </c>
      <c r="D1635" s="1">
        <f>IFERROR(__xludf.DUMMYFUNCTION("""COMPUTED_VALUE"""),228.3)</f>
        <v>228.3</v>
      </c>
      <c r="E1635" s="1">
        <f>IFERROR(__xludf.DUMMYFUNCTION("""COMPUTED_VALUE"""),230.5)</f>
        <v>230.5</v>
      </c>
      <c r="F1635" s="1">
        <f>IFERROR(__xludf.DUMMYFUNCTION("""COMPUTED_VALUE"""),1863581.0)</f>
        <v>1863581</v>
      </c>
    </row>
    <row r="1636">
      <c r="A1636" s="2">
        <f>IFERROR(__xludf.DUMMYFUNCTION("""COMPUTED_VALUE"""),38916.645833333336)</f>
        <v>38916.64583</v>
      </c>
      <c r="B1636" s="1">
        <f>IFERROR(__xludf.DUMMYFUNCTION("""COMPUTED_VALUE"""),230.0)</f>
        <v>230</v>
      </c>
      <c r="C1636" s="1">
        <f>IFERROR(__xludf.DUMMYFUNCTION("""COMPUTED_VALUE"""),234.45)</f>
        <v>234.45</v>
      </c>
      <c r="D1636" s="1">
        <f>IFERROR(__xludf.DUMMYFUNCTION("""COMPUTED_VALUE"""),226.1)</f>
        <v>226.1</v>
      </c>
      <c r="E1636" s="1">
        <f>IFERROR(__xludf.DUMMYFUNCTION("""COMPUTED_VALUE"""),230.75)</f>
        <v>230.75</v>
      </c>
      <c r="F1636" s="1">
        <f>IFERROR(__xludf.DUMMYFUNCTION("""COMPUTED_VALUE"""),2732662.0)</f>
        <v>2732662</v>
      </c>
    </row>
    <row r="1637">
      <c r="A1637" s="2">
        <f>IFERROR(__xludf.DUMMYFUNCTION("""COMPUTED_VALUE"""),38917.645833333336)</f>
        <v>38917.64583</v>
      </c>
      <c r="B1637" s="1">
        <f>IFERROR(__xludf.DUMMYFUNCTION("""COMPUTED_VALUE"""),233.1)</f>
        <v>233.1</v>
      </c>
      <c r="C1637" s="1">
        <f>IFERROR(__xludf.DUMMYFUNCTION("""COMPUTED_VALUE"""),233.95)</f>
        <v>233.95</v>
      </c>
      <c r="D1637" s="1">
        <f>IFERROR(__xludf.DUMMYFUNCTION("""COMPUTED_VALUE"""),222.15)</f>
        <v>222.15</v>
      </c>
      <c r="E1637" s="1">
        <f>IFERROR(__xludf.DUMMYFUNCTION("""COMPUTED_VALUE"""),223.7)</f>
        <v>223.7</v>
      </c>
      <c r="F1637" s="1">
        <f>IFERROR(__xludf.DUMMYFUNCTION("""COMPUTED_VALUE"""),1389211.0)</f>
        <v>1389211</v>
      </c>
    </row>
    <row r="1638">
      <c r="A1638" s="2">
        <f>IFERROR(__xludf.DUMMYFUNCTION("""COMPUTED_VALUE"""),38918.645833333336)</f>
        <v>38918.64583</v>
      </c>
      <c r="B1638" s="1">
        <f>IFERROR(__xludf.DUMMYFUNCTION("""COMPUTED_VALUE"""),228.0)</f>
        <v>228</v>
      </c>
      <c r="C1638" s="1">
        <f>IFERROR(__xludf.DUMMYFUNCTION("""COMPUTED_VALUE"""),233.4)</f>
        <v>233.4</v>
      </c>
      <c r="D1638" s="1">
        <f>IFERROR(__xludf.DUMMYFUNCTION("""COMPUTED_VALUE"""),225.15)</f>
        <v>225.15</v>
      </c>
      <c r="E1638" s="1">
        <f>IFERROR(__xludf.DUMMYFUNCTION("""COMPUTED_VALUE"""),231.3)</f>
        <v>231.3</v>
      </c>
      <c r="F1638" s="1">
        <f>IFERROR(__xludf.DUMMYFUNCTION("""COMPUTED_VALUE"""),1617694.0)</f>
        <v>1617694</v>
      </c>
    </row>
    <row r="1639">
      <c r="A1639" s="2">
        <f>IFERROR(__xludf.DUMMYFUNCTION("""COMPUTED_VALUE"""),38919.645833333336)</f>
        <v>38919.64583</v>
      </c>
      <c r="B1639" s="1">
        <f>IFERROR(__xludf.DUMMYFUNCTION("""COMPUTED_VALUE"""),230.3)</f>
        <v>230.3</v>
      </c>
      <c r="C1639" s="1">
        <f>IFERROR(__xludf.DUMMYFUNCTION("""COMPUTED_VALUE"""),230.3)</f>
        <v>230.3</v>
      </c>
      <c r="D1639" s="1">
        <f>IFERROR(__xludf.DUMMYFUNCTION("""COMPUTED_VALUE"""),222.05)</f>
        <v>222.05</v>
      </c>
      <c r="E1639" s="1">
        <f>IFERROR(__xludf.DUMMYFUNCTION("""COMPUTED_VALUE"""),223.55)</f>
        <v>223.55</v>
      </c>
      <c r="F1639" s="1">
        <f>IFERROR(__xludf.DUMMYFUNCTION("""COMPUTED_VALUE"""),1049948.0)</f>
        <v>1049948</v>
      </c>
    </row>
    <row r="1640">
      <c r="A1640" s="2">
        <f>IFERROR(__xludf.DUMMYFUNCTION("""COMPUTED_VALUE"""),38922.645833333336)</f>
        <v>38922.64583</v>
      </c>
      <c r="B1640" s="1">
        <f>IFERROR(__xludf.DUMMYFUNCTION("""COMPUTED_VALUE"""),221.3)</f>
        <v>221.3</v>
      </c>
      <c r="C1640" s="1">
        <f>IFERROR(__xludf.DUMMYFUNCTION("""COMPUTED_VALUE"""),229.8)</f>
        <v>229.8</v>
      </c>
      <c r="D1640" s="1">
        <f>IFERROR(__xludf.DUMMYFUNCTION("""COMPUTED_VALUE"""),216.35)</f>
        <v>216.35</v>
      </c>
      <c r="E1640" s="1">
        <f>IFERROR(__xludf.DUMMYFUNCTION("""COMPUTED_VALUE"""),228.15)</f>
        <v>228.15</v>
      </c>
      <c r="F1640" s="1">
        <f>IFERROR(__xludf.DUMMYFUNCTION("""COMPUTED_VALUE"""),1731694.0)</f>
        <v>1731694</v>
      </c>
    </row>
    <row r="1641">
      <c r="A1641" s="2">
        <f>IFERROR(__xludf.DUMMYFUNCTION("""COMPUTED_VALUE"""),38923.645833333336)</f>
        <v>38923.64583</v>
      </c>
      <c r="B1641" s="1">
        <f>IFERROR(__xludf.DUMMYFUNCTION("""COMPUTED_VALUE"""),230.0)</f>
        <v>230</v>
      </c>
      <c r="C1641" s="1">
        <f>IFERROR(__xludf.DUMMYFUNCTION("""COMPUTED_VALUE"""),236.75)</f>
        <v>236.75</v>
      </c>
      <c r="D1641" s="1">
        <f>IFERROR(__xludf.DUMMYFUNCTION("""COMPUTED_VALUE"""),230.0)</f>
        <v>230</v>
      </c>
      <c r="E1641" s="1">
        <f>IFERROR(__xludf.DUMMYFUNCTION("""COMPUTED_VALUE"""),234.35)</f>
        <v>234.35</v>
      </c>
      <c r="F1641" s="1">
        <f>IFERROR(__xludf.DUMMYFUNCTION("""COMPUTED_VALUE"""),2227262.0)</f>
        <v>2227262</v>
      </c>
    </row>
    <row r="1642">
      <c r="A1642" s="2">
        <f>IFERROR(__xludf.DUMMYFUNCTION("""COMPUTED_VALUE"""),38924.645833333336)</f>
        <v>38924.64583</v>
      </c>
      <c r="B1642" s="1">
        <f>IFERROR(__xludf.DUMMYFUNCTION("""COMPUTED_VALUE"""),233.35)</f>
        <v>233.35</v>
      </c>
      <c r="C1642" s="1">
        <f>IFERROR(__xludf.DUMMYFUNCTION("""COMPUTED_VALUE"""),242.8)</f>
        <v>242.8</v>
      </c>
      <c r="D1642" s="1">
        <f>IFERROR(__xludf.DUMMYFUNCTION("""COMPUTED_VALUE"""),231.55)</f>
        <v>231.55</v>
      </c>
      <c r="E1642" s="1">
        <f>IFERROR(__xludf.DUMMYFUNCTION("""COMPUTED_VALUE"""),240.8)</f>
        <v>240.8</v>
      </c>
      <c r="F1642" s="1">
        <f>IFERROR(__xludf.DUMMYFUNCTION("""COMPUTED_VALUE"""),2516275.0)</f>
        <v>2516275</v>
      </c>
    </row>
    <row r="1643">
      <c r="A1643" s="2">
        <f>IFERROR(__xludf.DUMMYFUNCTION("""COMPUTED_VALUE"""),38925.645833333336)</f>
        <v>38925.64583</v>
      </c>
      <c r="B1643" s="1">
        <f>IFERROR(__xludf.DUMMYFUNCTION("""COMPUTED_VALUE"""),241.0)</f>
        <v>241</v>
      </c>
      <c r="C1643" s="1">
        <f>IFERROR(__xludf.DUMMYFUNCTION("""COMPUTED_VALUE"""),247.5)</f>
        <v>247.5</v>
      </c>
      <c r="D1643" s="1">
        <f>IFERROR(__xludf.DUMMYFUNCTION("""COMPUTED_VALUE"""),239.8)</f>
        <v>239.8</v>
      </c>
      <c r="E1643" s="1">
        <f>IFERROR(__xludf.DUMMYFUNCTION("""COMPUTED_VALUE"""),246.3)</f>
        <v>246.3</v>
      </c>
      <c r="F1643" s="1">
        <f>IFERROR(__xludf.DUMMYFUNCTION("""COMPUTED_VALUE"""),4393516.0)</f>
        <v>4393516</v>
      </c>
    </row>
    <row r="1644">
      <c r="A1644" s="2">
        <f>IFERROR(__xludf.DUMMYFUNCTION("""COMPUTED_VALUE"""),38926.645833333336)</f>
        <v>38926.64583</v>
      </c>
      <c r="B1644" s="1">
        <f>IFERROR(__xludf.DUMMYFUNCTION("""COMPUTED_VALUE"""),247.5)</f>
        <v>247.5</v>
      </c>
      <c r="C1644" s="1">
        <f>IFERROR(__xludf.DUMMYFUNCTION("""COMPUTED_VALUE"""),249.3)</f>
        <v>249.3</v>
      </c>
      <c r="D1644" s="1">
        <f>IFERROR(__xludf.DUMMYFUNCTION("""COMPUTED_VALUE"""),240.0)</f>
        <v>240</v>
      </c>
      <c r="E1644" s="1">
        <f>IFERROR(__xludf.DUMMYFUNCTION("""COMPUTED_VALUE"""),242.7)</f>
        <v>242.7</v>
      </c>
      <c r="F1644" s="1">
        <f>IFERROR(__xludf.DUMMYFUNCTION("""COMPUTED_VALUE"""),2072121.0)</f>
        <v>2072121</v>
      </c>
    </row>
    <row r="1645">
      <c r="A1645" s="2">
        <f>IFERROR(__xludf.DUMMYFUNCTION("""COMPUTED_VALUE"""),38929.645833333336)</f>
        <v>38929.64583</v>
      </c>
      <c r="B1645" s="1">
        <f>IFERROR(__xludf.DUMMYFUNCTION("""COMPUTED_VALUE"""),246.0)</f>
        <v>246</v>
      </c>
      <c r="C1645" s="1">
        <f>IFERROR(__xludf.DUMMYFUNCTION("""COMPUTED_VALUE"""),249.5)</f>
        <v>249.5</v>
      </c>
      <c r="D1645" s="1">
        <f>IFERROR(__xludf.DUMMYFUNCTION("""COMPUTED_VALUE"""),230.2)</f>
        <v>230.2</v>
      </c>
      <c r="E1645" s="1">
        <f>IFERROR(__xludf.DUMMYFUNCTION("""COMPUTED_VALUE"""),232.7)</f>
        <v>232.7</v>
      </c>
      <c r="F1645" s="1">
        <f>IFERROR(__xludf.DUMMYFUNCTION("""COMPUTED_VALUE"""),3441611.0)</f>
        <v>3441611</v>
      </c>
    </row>
    <row r="1646">
      <c r="A1646" s="2">
        <f>IFERROR(__xludf.DUMMYFUNCTION("""COMPUTED_VALUE"""),38930.645833333336)</f>
        <v>38930.64583</v>
      </c>
      <c r="B1646" s="1">
        <f>IFERROR(__xludf.DUMMYFUNCTION("""COMPUTED_VALUE"""),230.8)</f>
        <v>230.8</v>
      </c>
      <c r="C1646" s="1">
        <f>IFERROR(__xludf.DUMMYFUNCTION("""COMPUTED_VALUE"""),236.4)</f>
        <v>236.4</v>
      </c>
      <c r="D1646" s="1">
        <f>IFERROR(__xludf.DUMMYFUNCTION("""COMPUTED_VALUE"""),226.15)</f>
        <v>226.15</v>
      </c>
      <c r="E1646" s="1">
        <f>IFERROR(__xludf.DUMMYFUNCTION("""COMPUTED_VALUE"""),228.8)</f>
        <v>228.8</v>
      </c>
      <c r="F1646" s="1">
        <f>IFERROR(__xludf.DUMMYFUNCTION("""COMPUTED_VALUE"""),3565829.0)</f>
        <v>3565829</v>
      </c>
    </row>
    <row r="1647">
      <c r="A1647" s="2">
        <f>IFERROR(__xludf.DUMMYFUNCTION("""COMPUTED_VALUE"""),38931.645833333336)</f>
        <v>38931.64583</v>
      </c>
      <c r="B1647" s="1">
        <f>IFERROR(__xludf.DUMMYFUNCTION("""COMPUTED_VALUE"""),229.85)</f>
        <v>229.85</v>
      </c>
      <c r="C1647" s="1">
        <f>IFERROR(__xludf.DUMMYFUNCTION("""COMPUTED_VALUE"""),232.0)</f>
        <v>232</v>
      </c>
      <c r="D1647" s="1">
        <f>IFERROR(__xludf.DUMMYFUNCTION("""COMPUTED_VALUE"""),225.35)</f>
        <v>225.35</v>
      </c>
      <c r="E1647" s="1">
        <f>IFERROR(__xludf.DUMMYFUNCTION("""COMPUTED_VALUE"""),228.15)</f>
        <v>228.15</v>
      </c>
      <c r="F1647" s="1">
        <f>IFERROR(__xludf.DUMMYFUNCTION("""COMPUTED_VALUE"""),3168861.0)</f>
        <v>3168861</v>
      </c>
    </row>
    <row r="1648">
      <c r="A1648" s="2">
        <f>IFERROR(__xludf.DUMMYFUNCTION("""COMPUTED_VALUE"""),38932.645833333336)</f>
        <v>38932.64583</v>
      </c>
      <c r="B1648" s="1">
        <f>IFERROR(__xludf.DUMMYFUNCTION("""COMPUTED_VALUE"""),231.0)</f>
        <v>231</v>
      </c>
      <c r="C1648" s="1">
        <f>IFERROR(__xludf.DUMMYFUNCTION("""COMPUTED_VALUE"""),232.75)</f>
        <v>232.75</v>
      </c>
      <c r="D1648" s="1">
        <f>IFERROR(__xludf.DUMMYFUNCTION("""COMPUTED_VALUE"""),223.0)</f>
        <v>223</v>
      </c>
      <c r="E1648" s="1">
        <f>IFERROR(__xludf.DUMMYFUNCTION("""COMPUTED_VALUE"""),224.7)</f>
        <v>224.7</v>
      </c>
      <c r="F1648" s="1">
        <f>IFERROR(__xludf.DUMMYFUNCTION("""COMPUTED_VALUE"""),4151094.0)</f>
        <v>4151094</v>
      </c>
    </row>
    <row r="1649">
      <c r="A1649" s="2">
        <f>IFERROR(__xludf.DUMMYFUNCTION("""COMPUTED_VALUE"""),38933.645833333336)</f>
        <v>38933.64583</v>
      </c>
      <c r="B1649" s="1">
        <f>IFERROR(__xludf.DUMMYFUNCTION("""COMPUTED_VALUE"""),225.0)</f>
        <v>225</v>
      </c>
      <c r="C1649" s="1">
        <f>IFERROR(__xludf.DUMMYFUNCTION("""COMPUTED_VALUE"""),227.9)</f>
        <v>227.9</v>
      </c>
      <c r="D1649" s="1">
        <f>IFERROR(__xludf.DUMMYFUNCTION("""COMPUTED_VALUE"""),219.1)</f>
        <v>219.1</v>
      </c>
      <c r="E1649" s="1">
        <f>IFERROR(__xludf.DUMMYFUNCTION("""COMPUTED_VALUE"""),220.5)</f>
        <v>220.5</v>
      </c>
      <c r="F1649" s="1">
        <f>IFERROR(__xludf.DUMMYFUNCTION("""COMPUTED_VALUE"""),5298788.0)</f>
        <v>5298788</v>
      </c>
    </row>
    <row r="1650">
      <c r="A1650" s="2">
        <f>IFERROR(__xludf.DUMMYFUNCTION("""COMPUTED_VALUE"""),38936.645833333336)</f>
        <v>38936.64583</v>
      </c>
      <c r="B1650" s="1">
        <f>IFERROR(__xludf.DUMMYFUNCTION("""COMPUTED_VALUE"""),221.25)</f>
        <v>221.25</v>
      </c>
      <c r="C1650" s="1">
        <f>IFERROR(__xludf.DUMMYFUNCTION("""COMPUTED_VALUE"""),223.5)</f>
        <v>223.5</v>
      </c>
      <c r="D1650" s="1">
        <f>IFERROR(__xludf.DUMMYFUNCTION("""COMPUTED_VALUE"""),218.15)</f>
        <v>218.15</v>
      </c>
      <c r="E1650" s="1">
        <f>IFERROR(__xludf.DUMMYFUNCTION("""COMPUTED_VALUE"""),219.45)</f>
        <v>219.45</v>
      </c>
      <c r="F1650" s="1">
        <f>IFERROR(__xludf.DUMMYFUNCTION("""COMPUTED_VALUE"""),2795761.0)</f>
        <v>2795761</v>
      </c>
    </row>
    <row r="1651">
      <c r="A1651" s="2">
        <f>IFERROR(__xludf.DUMMYFUNCTION("""COMPUTED_VALUE"""),38937.645833333336)</f>
        <v>38937.64583</v>
      </c>
      <c r="B1651" s="1">
        <f>IFERROR(__xludf.DUMMYFUNCTION("""COMPUTED_VALUE"""),218.95)</f>
        <v>218.95</v>
      </c>
      <c r="C1651" s="1">
        <f>IFERROR(__xludf.DUMMYFUNCTION("""COMPUTED_VALUE"""),223.95)</f>
        <v>223.95</v>
      </c>
      <c r="D1651" s="1">
        <f>IFERROR(__xludf.DUMMYFUNCTION("""COMPUTED_VALUE"""),217.9)</f>
        <v>217.9</v>
      </c>
      <c r="E1651" s="1">
        <f>IFERROR(__xludf.DUMMYFUNCTION("""COMPUTED_VALUE"""),223.05)</f>
        <v>223.05</v>
      </c>
      <c r="F1651" s="1">
        <f>IFERROR(__xludf.DUMMYFUNCTION("""COMPUTED_VALUE"""),4036452.0)</f>
        <v>4036452</v>
      </c>
    </row>
    <row r="1652">
      <c r="A1652" s="2">
        <f>IFERROR(__xludf.DUMMYFUNCTION("""COMPUTED_VALUE"""),38938.645833333336)</f>
        <v>38938.64583</v>
      </c>
      <c r="B1652" s="1">
        <f>IFERROR(__xludf.DUMMYFUNCTION("""COMPUTED_VALUE"""),223.45)</f>
        <v>223.45</v>
      </c>
      <c r="C1652" s="1">
        <f>IFERROR(__xludf.DUMMYFUNCTION("""COMPUTED_VALUE"""),227.85)</f>
        <v>227.85</v>
      </c>
      <c r="D1652" s="1">
        <f>IFERROR(__xludf.DUMMYFUNCTION("""COMPUTED_VALUE"""),221.1)</f>
        <v>221.1</v>
      </c>
      <c r="E1652" s="1">
        <f>IFERROR(__xludf.DUMMYFUNCTION("""COMPUTED_VALUE"""),224.05)</f>
        <v>224.05</v>
      </c>
      <c r="F1652" s="1">
        <f>IFERROR(__xludf.DUMMYFUNCTION("""COMPUTED_VALUE"""),3846584.0)</f>
        <v>3846584</v>
      </c>
    </row>
    <row r="1653">
      <c r="A1653" s="2">
        <f>IFERROR(__xludf.DUMMYFUNCTION("""COMPUTED_VALUE"""),38939.645833333336)</f>
        <v>38939.64583</v>
      </c>
      <c r="B1653" s="1">
        <f>IFERROR(__xludf.DUMMYFUNCTION("""COMPUTED_VALUE"""),224.4)</f>
        <v>224.4</v>
      </c>
      <c r="C1653" s="1">
        <f>IFERROR(__xludf.DUMMYFUNCTION("""COMPUTED_VALUE"""),227.7)</f>
        <v>227.7</v>
      </c>
      <c r="D1653" s="1">
        <f>IFERROR(__xludf.DUMMYFUNCTION("""COMPUTED_VALUE"""),222.05)</f>
        <v>222.05</v>
      </c>
      <c r="E1653" s="1">
        <f>IFERROR(__xludf.DUMMYFUNCTION("""COMPUTED_VALUE"""),223.45)</f>
        <v>223.45</v>
      </c>
      <c r="F1653" s="1">
        <f>IFERROR(__xludf.DUMMYFUNCTION("""COMPUTED_VALUE"""),2596178.0)</f>
        <v>2596178</v>
      </c>
    </row>
    <row r="1654">
      <c r="A1654" s="2">
        <f>IFERROR(__xludf.DUMMYFUNCTION("""COMPUTED_VALUE"""),38940.645833333336)</f>
        <v>38940.64583</v>
      </c>
      <c r="B1654" s="1">
        <f>IFERROR(__xludf.DUMMYFUNCTION("""COMPUTED_VALUE"""),225.1)</f>
        <v>225.1</v>
      </c>
      <c r="C1654" s="1">
        <f>IFERROR(__xludf.DUMMYFUNCTION("""COMPUTED_VALUE"""),226.6)</f>
        <v>226.6</v>
      </c>
      <c r="D1654" s="1">
        <f>IFERROR(__xludf.DUMMYFUNCTION("""COMPUTED_VALUE"""),221.1)</f>
        <v>221.1</v>
      </c>
      <c r="E1654" s="1">
        <f>IFERROR(__xludf.DUMMYFUNCTION("""COMPUTED_VALUE"""),223.2)</f>
        <v>223.2</v>
      </c>
      <c r="F1654" s="1">
        <f>IFERROR(__xludf.DUMMYFUNCTION("""COMPUTED_VALUE"""),2798537.0)</f>
        <v>2798537</v>
      </c>
    </row>
    <row r="1655">
      <c r="A1655" s="2">
        <f>IFERROR(__xludf.DUMMYFUNCTION("""COMPUTED_VALUE"""),38943.645833333336)</f>
        <v>38943.64583</v>
      </c>
      <c r="B1655" s="1">
        <f>IFERROR(__xludf.DUMMYFUNCTION("""COMPUTED_VALUE"""),224.5)</f>
        <v>224.5</v>
      </c>
      <c r="C1655" s="1">
        <f>IFERROR(__xludf.DUMMYFUNCTION("""COMPUTED_VALUE"""),228.45)</f>
        <v>228.45</v>
      </c>
      <c r="D1655" s="1">
        <f>IFERROR(__xludf.DUMMYFUNCTION("""COMPUTED_VALUE"""),222.75)</f>
        <v>222.75</v>
      </c>
      <c r="E1655" s="1">
        <f>IFERROR(__xludf.DUMMYFUNCTION("""COMPUTED_VALUE"""),227.15)</f>
        <v>227.15</v>
      </c>
      <c r="F1655" s="1">
        <f>IFERROR(__xludf.DUMMYFUNCTION("""COMPUTED_VALUE"""),4352208.0)</f>
        <v>4352208</v>
      </c>
    </row>
    <row r="1656">
      <c r="A1656" s="2">
        <f>IFERROR(__xludf.DUMMYFUNCTION("""COMPUTED_VALUE"""),38945.645833333336)</f>
        <v>38945.64583</v>
      </c>
      <c r="B1656" s="1">
        <f>IFERROR(__xludf.DUMMYFUNCTION("""COMPUTED_VALUE"""),228.0)</f>
        <v>228</v>
      </c>
      <c r="C1656" s="1">
        <f>IFERROR(__xludf.DUMMYFUNCTION("""COMPUTED_VALUE"""),232.0)</f>
        <v>232</v>
      </c>
      <c r="D1656" s="1">
        <f>IFERROR(__xludf.DUMMYFUNCTION("""COMPUTED_VALUE"""),227.25)</f>
        <v>227.25</v>
      </c>
      <c r="E1656" s="1">
        <f>IFERROR(__xludf.DUMMYFUNCTION("""COMPUTED_VALUE"""),230.5)</f>
        <v>230.5</v>
      </c>
      <c r="F1656" s="1">
        <f>IFERROR(__xludf.DUMMYFUNCTION("""COMPUTED_VALUE"""),4229231.0)</f>
        <v>4229231</v>
      </c>
    </row>
    <row r="1657">
      <c r="A1657" s="2">
        <f>IFERROR(__xludf.DUMMYFUNCTION("""COMPUTED_VALUE"""),38946.645833333336)</f>
        <v>38946.64583</v>
      </c>
      <c r="B1657" s="1">
        <f>IFERROR(__xludf.DUMMYFUNCTION("""COMPUTED_VALUE"""),230.5)</f>
        <v>230.5</v>
      </c>
      <c r="C1657" s="1">
        <f>IFERROR(__xludf.DUMMYFUNCTION("""COMPUTED_VALUE"""),236.0)</f>
        <v>236</v>
      </c>
      <c r="D1657" s="1">
        <f>IFERROR(__xludf.DUMMYFUNCTION("""COMPUTED_VALUE"""),230.5)</f>
        <v>230.5</v>
      </c>
      <c r="E1657" s="1">
        <f>IFERROR(__xludf.DUMMYFUNCTION("""COMPUTED_VALUE"""),234.9)</f>
        <v>234.9</v>
      </c>
      <c r="F1657" s="1">
        <f>IFERROR(__xludf.DUMMYFUNCTION("""COMPUTED_VALUE"""),7611025.0)</f>
        <v>7611025</v>
      </c>
    </row>
    <row r="1658">
      <c r="A1658" s="2">
        <f>IFERROR(__xludf.DUMMYFUNCTION("""COMPUTED_VALUE"""),38947.645833333336)</f>
        <v>38947.64583</v>
      </c>
      <c r="B1658" s="1">
        <f>IFERROR(__xludf.DUMMYFUNCTION("""COMPUTED_VALUE"""),235.5)</f>
        <v>235.5</v>
      </c>
      <c r="C1658" s="1">
        <f>IFERROR(__xludf.DUMMYFUNCTION("""COMPUTED_VALUE"""),239.4)</f>
        <v>239.4</v>
      </c>
      <c r="D1658" s="1">
        <f>IFERROR(__xludf.DUMMYFUNCTION("""COMPUTED_VALUE"""),234.0)</f>
        <v>234</v>
      </c>
      <c r="E1658" s="1">
        <f>IFERROR(__xludf.DUMMYFUNCTION("""COMPUTED_VALUE"""),237.95)</f>
        <v>237.95</v>
      </c>
      <c r="F1658" s="1">
        <f>IFERROR(__xludf.DUMMYFUNCTION("""COMPUTED_VALUE"""),3690403.0)</f>
        <v>3690403</v>
      </c>
    </row>
    <row r="1659">
      <c r="A1659" s="2">
        <f>IFERROR(__xludf.DUMMYFUNCTION("""COMPUTED_VALUE"""),38950.645833333336)</f>
        <v>38950.64583</v>
      </c>
      <c r="B1659" s="1">
        <f>IFERROR(__xludf.DUMMYFUNCTION("""COMPUTED_VALUE"""),238.75)</f>
        <v>238.75</v>
      </c>
      <c r="C1659" s="1">
        <f>IFERROR(__xludf.DUMMYFUNCTION("""COMPUTED_VALUE"""),238.75)</f>
        <v>238.75</v>
      </c>
      <c r="D1659" s="1">
        <f>IFERROR(__xludf.DUMMYFUNCTION("""COMPUTED_VALUE"""),234.55)</f>
        <v>234.55</v>
      </c>
      <c r="E1659" s="1">
        <f>IFERROR(__xludf.DUMMYFUNCTION("""COMPUTED_VALUE"""),236.35)</f>
        <v>236.35</v>
      </c>
      <c r="F1659" s="1">
        <f>IFERROR(__xludf.DUMMYFUNCTION("""COMPUTED_VALUE"""),1471057.0)</f>
        <v>1471057</v>
      </c>
    </row>
    <row r="1660">
      <c r="A1660" s="2">
        <f>IFERROR(__xludf.DUMMYFUNCTION("""COMPUTED_VALUE"""),38951.645833333336)</f>
        <v>38951.64583</v>
      </c>
      <c r="B1660" s="1">
        <f>IFERROR(__xludf.DUMMYFUNCTION("""COMPUTED_VALUE"""),238.05)</f>
        <v>238.05</v>
      </c>
      <c r="C1660" s="1">
        <f>IFERROR(__xludf.DUMMYFUNCTION("""COMPUTED_VALUE"""),238.65)</f>
        <v>238.65</v>
      </c>
      <c r="D1660" s="1">
        <f>IFERROR(__xludf.DUMMYFUNCTION("""COMPUTED_VALUE"""),231.15)</f>
        <v>231.15</v>
      </c>
      <c r="E1660" s="1">
        <f>IFERROR(__xludf.DUMMYFUNCTION("""COMPUTED_VALUE"""),232.6)</f>
        <v>232.6</v>
      </c>
      <c r="F1660" s="1">
        <f>IFERROR(__xludf.DUMMYFUNCTION("""COMPUTED_VALUE"""),2082130.0)</f>
        <v>2082130</v>
      </c>
    </row>
    <row r="1661">
      <c r="A1661" s="2">
        <f>IFERROR(__xludf.DUMMYFUNCTION("""COMPUTED_VALUE"""),38952.645833333336)</f>
        <v>38952.64583</v>
      </c>
      <c r="B1661" s="1">
        <f>IFERROR(__xludf.DUMMYFUNCTION("""COMPUTED_VALUE"""),232.0)</f>
        <v>232</v>
      </c>
      <c r="C1661" s="1">
        <f>IFERROR(__xludf.DUMMYFUNCTION("""COMPUTED_VALUE"""),233.5)</f>
        <v>233.5</v>
      </c>
      <c r="D1661" s="1">
        <f>IFERROR(__xludf.DUMMYFUNCTION("""COMPUTED_VALUE"""),228.75)</f>
        <v>228.75</v>
      </c>
      <c r="E1661" s="1">
        <f>IFERROR(__xludf.DUMMYFUNCTION("""COMPUTED_VALUE"""),229.85)</f>
        <v>229.85</v>
      </c>
      <c r="F1661" s="1">
        <f>IFERROR(__xludf.DUMMYFUNCTION("""COMPUTED_VALUE"""),2040338.0)</f>
        <v>2040338</v>
      </c>
    </row>
    <row r="1662">
      <c r="A1662" s="2">
        <f>IFERROR(__xludf.DUMMYFUNCTION("""COMPUTED_VALUE"""),38953.645833333336)</f>
        <v>38953.64583</v>
      </c>
      <c r="B1662" s="1">
        <f>IFERROR(__xludf.DUMMYFUNCTION("""COMPUTED_VALUE"""),229.0)</f>
        <v>229</v>
      </c>
      <c r="C1662" s="1">
        <f>IFERROR(__xludf.DUMMYFUNCTION("""COMPUTED_VALUE"""),233.0)</f>
        <v>233</v>
      </c>
      <c r="D1662" s="1">
        <f>IFERROR(__xludf.DUMMYFUNCTION("""COMPUTED_VALUE"""),226.75)</f>
        <v>226.75</v>
      </c>
      <c r="E1662" s="1">
        <f>IFERROR(__xludf.DUMMYFUNCTION("""COMPUTED_VALUE"""),231.8)</f>
        <v>231.8</v>
      </c>
      <c r="F1662" s="1">
        <f>IFERROR(__xludf.DUMMYFUNCTION("""COMPUTED_VALUE"""),3087278.0)</f>
        <v>3087278</v>
      </c>
    </row>
    <row r="1663">
      <c r="A1663" s="2">
        <f>IFERROR(__xludf.DUMMYFUNCTION("""COMPUTED_VALUE"""),38954.645833333336)</f>
        <v>38954.64583</v>
      </c>
      <c r="B1663" s="1">
        <f>IFERROR(__xludf.DUMMYFUNCTION("""COMPUTED_VALUE"""),232.0)</f>
        <v>232</v>
      </c>
      <c r="C1663" s="1">
        <f>IFERROR(__xludf.DUMMYFUNCTION("""COMPUTED_VALUE"""),237.85)</f>
        <v>237.85</v>
      </c>
      <c r="D1663" s="1">
        <f>IFERROR(__xludf.DUMMYFUNCTION("""COMPUTED_VALUE"""),231.1)</f>
        <v>231.1</v>
      </c>
      <c r="E1663" s="1">
        <f>IFERROR(__xludf.DUMMYFUNCTION("""COMPUTED_VALUE"""),236.6)</f>
        <v>236.6</v>
      </c>
      <c r="F1663" s="1">
        <f>IFERROR(__xludf.DUMMYFUNCTION("""COMPUTED_VALUE"""),3630320.0)</f>
        <v>3630320</v>
      </c>
    </row>
    <row r="1664">
      <c r="A1664" s="2">
        <f>IFERROR(__xludf.DUMMYFUNCTION("""COMPUTED_VALUE"""),38957.645833333336)</f>
        <v>38957.64583</v>
      </c>
      <c r="B1664" s="1">
        <f>IFERROR(__xludf.DUMMYFUNCTION("""COMPUTED_VALUE"""),238.35)</f>
        <v>238.35</v>
      </c>
      <c r="C1664" s="1">
        <f>IFERROR(__xludf.DUMMYFUNCTION("""COMPUTED_VALUE"""),241.0)</f>
        <v>241</v>
      </c>
      <c r="D1664" s="1">
        <f>IFERROR(__xludf.DUMMYFUNCTION("""COMPUTED_VALUE"""),234.15)</f>
        <v>234.15</v>
      </c>
      <c r="E1664" s="1">
        <f>IFERROR(__xludf.DUMMYFUNCTION("""COMPUTED_VALUE"""),240.3)</f>
        <v>240.3</v>
      </c>
      <c r="F1664" s="1">
        <f>IFERROR(__xludf.DUMMYFUNCTION("""COMPUTED_VALUE"""),1969532.0)</f>
        <v>1969532</v>
      </c>
    </row>
    <row r="1665">
      <c r="A1665" s="2">
        <f>IFERROR(__xludf.DUMMYFUNCTION("""COMPUTED_VALUE"""),38958.645833333336)</f>
        <v>38958.64583</v>
      </c>
      <c r="B1665" s="1">
        <f>IFERROR(__xludf.DUMMYFUNCTION("""COMPUTED_VALUE"""),242.35)</f>
        <v>242.35</v>
      </c>
      <c r="C1665" s="1">
        <f>IFERROR(__xludf.DUMMYFUNCTION("""COMPUTED_VALUE"""),242.85)</f>
        <v>242.85</v>
      </c>
      <c r="D1665" s="1">
        <f>IFERROR(__xludf.DUMMYFUNCTION("""COMPUTED_VALUE"""),234.2)</f>
        <v>234.2</v>
      </c>
      <c r="E1665" s="1">
        <f>IFERROR(__xludf.DUMMYFUNCTION("""COMPUTED_VALUE"""),234.9)</f>
        <v>234.9</v>
      </c>
      <c r="F1665" s="1">
        <f>IFERROR(__xludf.DUMMYFUNCTION("""COMPUTED_VALUE"""),3015565.0)</f>
        <v>3015565</v>
      </c>
    </row>
    <row r="1666">
      <c r="A1666" s="2">
        <f>IFERROR(__xludf.DUMMYFUNCTION("""COMPUTED_VALUE"""),38959.645833333336)</f>
        <v>38959.64583</v>
      </c>
      <c r="B1666" s="1">
        <f>IFERROR(__xludf.DUMMYFUNCTION("""COMPUTED_VALUE"""),239.9)</f>
        <v>239.9</v>
      </c>
      <c r="C1666" s="1">
        <f>IFERROR(__xludf.DUMMYFUNCTION("""COMPUTED_VALUE"""),239.9)</f>
        <v>239.9</v>
      </c>
      <c r="D1666" s="1">
        <f>IFERROR(__xludf.DUMMYFUNCTION("""COMPUTED_VALUE"""),235.0)</f>
        <v>235</v>
      </c>
      <c r="E1666" s="1">
        <f>IFERROR(__xludf.DUMMYFUNCTION("""COMPUTED_VALUE"""),236.5)</f>
        <v>236.5</v>
      </c>
      <c r="F1666" s="1">
        <f>IFERROR(__xludf.DUMMYFUNCTION("""COMPUTED_VALUE"""),1181320.0)</f>
        <v>1181320</v>
      </c>
    </row>
    <row r="1667">
      <c r="A1667" s="2">
        <f>IFERROR(__xludf.DUMMYFUNCTION("""COMPUTED_VALUE"""),38960.645833333336)</f>
        <v>38960.64583</v>
      </c>
      <c r="B1667" s="1">
        <f>IFERROR(__xludf.DUMMYFUNCTION("""COMPUTED_VALUE"""),238.9)</f>
        <v>238.9</v>
      </c>
      <c r="C1667" s="1">
        <f>IFERROR(__xludf.DUMMYFUNCTION("""COMPUTED_VALUE"""),239.25)</f>
        <v>239.25</v>
      </c>
      <c r="D1667" s="1">
        <f>IFERROR(__xludf.DUMMYFUNCTION("""COMPUTED_VALUE"""),233.4)</f>
        <v>233.4</v>
      </c>
      <c r="E1667" s="1">
        <f>IFERROR(__xludf.DUMMYFUNCTION("""COMPUTED_VALUE"""),234.45)</f>
        <v>234.45</v>
      </c>
      <c r="F1667" s="1">
        <f>IFERROR(__xludf.DUMMYFUNCTION("""COMPUTED_VALUE"""),2351345.0)</f>
        <v>2351345</v>
      </c>
    </row>
    <row r="1668">
      <c r="A1668" s="2">
        <f>IFERROR(__xludf.DUMMYFUNCTION("""COMPUTED_VALUE"""),38961.645833333336)</f>
        <v>38961.64583</v>
      </c>
      <c r="B1668" s="1">
        <f>IFERROR(__xludf.DUMMYFUNCTION("""COMPUTED_VALUE"""),235.0)</f>
        <v>235</v>
      </c>
      <c r="C1668" s="1">
        <f>IFERROR(__xludf.DUMMYFUNCTION("""COMPUTED_VALUE"""),239.6)</f>
        <v>239.6</v>
      </c>
      <c r="D1668" s="1">
        <f>IFERROR(__xludf.DUMMYFUNCTION("""COMPUTED_VALUE"""),233.7)</f>
        <v>233.7</v>
      </c>
      <c r="E1668" s="1">
        <f>IFERROR(__xludf.DUMMYFUNCTION("""COMPUTED_VALUE"""),238.85)</f>
        <v>238.85</v>
      </c>
      <c r="F1668" s="1">
        <f>IFERROR(__xludf.DUMMYFUNCTION("""COMPUTED_VALUE"""),1681942.0)</f>
        <v>1681942</v>
      </c>
    </row>
    <row r="1669">
      <c r="A1669" s="2">
        <f>IFERROR(__xludf.DUMMYFUNCTION("""COMPUTED_VALUE"""),38964.645833333336)</f>
        <v>38964.64583</v>
      </c>
      <c r="B1669" s="1">
        <f>IFERROR(__xludf.DUMMYFUNCTION("""COMPUTED_VALUE"""),239.0)</f>
        <v>239</v>
      </c>
      <c r="C1669" s="1">
        <f>IFERROR(__xludf.DUMMYFUNCTION("""COMPUTED_VALUE"""),244.35)</f>
        <v>244.35</v>
      </c>
      <c r="D1669" s="1">
        <f>IFERROR(__xludf.DUMMYFUNCTION("""COMPUTED_VALUE"""),239.0)</f>
        <v>239</v>
      </c>
      <c r="E1669" s="1">
        <f>IFERROR(__xludf.DUMMYFUNCTION("""COMPUTED_VALUE"""),243.5)</f>
        <v>243.5</v>
      </c>
      <c r="F1669" s="1">
        <f>IFERROR(__xludf.DUMMYFUNCTION("""COMPUTED_VALUE"""),2400099.0)</f>
        <v>2400099</v>
      </c>
    </row>
    <row r="1670">
      <c r="A1670" s="2">
        <f>IFERROR(__xludf.DUMMYFUNCTION("""COMPUTED_VALUE"""),38965.645833333336)</f>
        <v>38965.64583</v>
      </c>
      <c r="B1670" s="1">
        <f>IFERROR(__xludf.DUMMYFUNCTION("""COMPUTED_VALUE"""),243.7)</f>
        <v>243.7</v>
      </c>
      <c r="C1670" s="1">
        <f>IFERROR(__xludf.DUMMYFUNCTION("""COMPUTED_VALUE"""),244.0)</f>
        <v>244</v>
      </c>
      <c r="D1670" s="1">
        <f>IFERROR(__xludf.DUMMYFUNCTION("""COMPUTED_VALUE"""),241.5)</f>
        <v>241.5</v>
      </c>
      <c r="E1670" s="1">
        <f>IFERROR(__xludf.DUMMYFUNCTION("""COMPUTED_VALUE"""),242.55)</f>
        <v>242.55</v>
      </c>
      <c r="F1670" s="1">
        <f>IFERROR(__xludf.DUMMYFUNCTION("""COMPUTED_VALUE"""),1051648.0)</f>
        <v>1051648</v>
      </c>
    </row>
    <row r="1671">
      <c r="A1671" s="2">
        <f>IFERROR(__xludf.DUMMYFUNCTION("""COMPUTED_VALUE"""),38966.645833333336)</f>
        <v>38966.64583</v>
      </c>
      <c r="B1671" s="1">
        <f>IFERROR(__xludf.DUMMYFUNCTION("""COMPUTED_VALUE"""),242.0)</f>
        <v>242</v>
      </c>
      <c r="C1671" s="1">
        <f>IFERROR(__xludf.DUMMYFUNCTION("""COMPUTED_VALUE"""),244.4)</f>
        <v>244.4</v>
      </c>
      <c r="D1671" s="1">
        <f>IFERROR(__xludf.DUMMYFUNCTION("""COMPUTED_VALUE"""),238.1)</f>
        <v>238.1</v>
      </c>
      <c r="E1671" s="1">
        <f>IFERROR(__xludf.DUMMYFUNCTION("""COMPUTED_VALUE"""),238.95)</f>
        <v>238.95</v>
      </c>
      <c r="F1671" s="1">
        <f>IFERROR(__xludf.DUMMYFUNCTION("""COMPUTED_VALUE"""),2429878.0)</f>
        <v>2429878</v>
      </c>
    </row>
    <row r="1672">
      <c r="A1672" s="2">
        <f>IFERROR(__xludf.DUMMYFUNCTION("""COMPUTED_VALUE"""),38967.645833333336)</f>
        <v>38967.64583</v>
      </c>
      <c r="B1672" s="1">
        <f>IFERROR(__xludf.DUMMYFUNCTION("""COMPUTED_VALUE"""),238.0)</f>
        <v>238</v>
      </c>
      <c r="C1672" s="1">
        <f>IFERROR(__xludf.DUMMYFUNCTION("""COMPUTED_VALUE"""),241.5)</f>
        <v>241.5</v>
      </c>
      <c r="D1672" s="1">
        <f>IFERROR(__xludf.DUMMYFUNCTION("""COMPUTED_VALUE"""),236.9)</f>
        <v>236.9</v>
      </c>
      <c r="E1672" s="1">
        <f>IFERROR(__xludf.DUMMYFUNCTION("""COMPUTED_VALUE"""),238.95)</f>
        <v>238.95</v>
      </c>
      <c r="F1672" s="1">
        <f>IFERROR(__xludf.DUMMYFUNCTION("""COMPUTED_VALUE"""),1730267.0)</f>
        <v>1730267</v>
      </c>
    </row>
    <row r="1673">
      <c r="A1673" s="2">
        <f>IFERROR(__xludf.DUMMYFUNCTION("""COMPUTED_VALUE"""),38968.645833333336)</f>
        <v>38968.64583</v>
      </c>
      <c r="B1673" s="1">
        <f>IFERROR(__xludf.DUMMYFUNCTION("""COMPUTED_VALUE"""),239.0)</f>
        <v>239</v>
      </c>
      <c r="C1673" s="1">
        <f>IFERROR(__xludf.DUMMYFUNCTION("""COMPUTED_VALUE"""),242.0)</f>
        <v>242</v>
      </c>
      <c r="D1673" s="1">
        <f>IFERROR(__xludf.DUMMYFUNCTION("""COMPUTED_VALUE"""),235.55)</f>
        <v>235.55</v>
      </c>
      <c r="E1673" s="1">
        <f>IFERROR(__xludf.DUMMYFUNCTION("""COMPUTED_VALUE"""),240.9)</f>
        <v>240.9</v>
      </c>
      <c r="F1673" s="1">
        <f>IFERROR(__xludf.DUMMYFUNCTION("""COMPUTED_VALUE"""),2152478.0)</f>
        <v>2152478</v>
      </c>
    </row>
    <row r="1674">
      <c r="A1674" s="2">
        <f>IFERROR(__xludf.DUMMYFUNCTION("""COMPUTED_VALUE"""),38971.645833333336)</f>
        <v>38971.64583</v>
      </c>
      <c r="B1674" s="1">
        <f>IFERROR(__xludf.DUMMYFUNCTION("""COMPUTED_VALUE"""),241.7)</f>
        <v>241.7</v>
      </c>
      <c r="C1674" s="1">
        <f>IFERROR(__xludf.DUMMYFUNCTION("""COMPUTED_VALUE"""),241.8)</f>
        <v>241.8</v>
      </c>
      <c r="D1674" s="1">
        <f>IFERROR(__xludf.DUMMYFUNCTION("""COMPUTED_VALUE"""),228.1)</f>
        <v>228.1</v>
      </c>
      <c r="E1674" s="1">
        <f>IFERROR(__xludf.DUMMYFUNCTION("""COMPUTED_VALUE"""),230.25)</f>
        <v>230.25</v>
      </c>
      <c r="F1674" s="1">
        <f>IFERROR(__xludf.DUMMYFUNCTION("""COMPUTED_VALUE"""),2261191.0)</f>
        <v>2261191</v>
      </c>
    </row>
    <row r="1675">
      <c r="A1675" s="2">
        <f>IFERROR(__xludf.DUMMYFUNCTION("""COMPUTED_VALUE"""),38972.645833333336)</f>
        <v>38972.64583</v>
      </c>
      <c r="B1675" s="1">
        <f>IFERROR(__xludf.DUMMYFUNCTION("""COMPUTED_VALUE"""),229.9)</f>
        <v>229.9</v>
      </c>
      <c r="C1675" s="1">
        <f>IFERROR(__xludf.DUMMYFUNCTION("""COMPUTED_VALUE"""),232.25)</f>
        <v>232.25</v>
      </c>
      <c r="D1675" s="1">
        <f>IFERROR(__xludf.DUMMYFUNCTION("""COMPUTED_VALUE"""),225.1)</f>
        <v>225.1</v>
      </c>
      <c r="E1675" s="1">
        <f>IFERROR(__xludf.DUMMYFUNCTION("""COMPUTED_VALUE"""),229.25)</f>
        <v>229.25</v>
      </c>
      <c r="F1675" s="1">
        <f>IFERROR(__xludf.DUMMYFUNCTION("""COMPUTED_VALUE"""),1653969.0)</f>
        <v>1653969</v>
      </c>
    </row>
    <row r="1676">
      <c r="A1676" s="2">
        <f>IFERROR(__xludf.DUMMYFUNCTION("""COMPUTED_VALUE"""),38973.645833333336)</f>
        <v>38973.64583</v>
      </c>
      <c r="B1676" s="1">
        <f>IFERROR(__xludf.DUMMYFUNCTION("""COMPUTED_VALUE"""),231.25)</f>
        <v>231.25</v>
      </c>
      <c r="C1676" s="1">
        <f>IFERROR(__xludf.DUMMYFUNCTION("""COMPUTED_VALUE"""),237.2)</f>
        <v>237.2</v>
      </c>
      <c r="D1676" s="1">
        <f>IFERROR(__xludf.DUMMYFUNCTION("""COMPUTED_VALUE"""),231.25)</f>
        <v>231.25</v>
      </c>
      <c r="E1676" s="1">
        <f>IFERROR(__xludf.DUMMYFUNCTION("""COMPUTED_VALUE"""),235.65)</f>
        <v>235.65</v>
      </c>
      <c r="F1676" s="1">
        <f>IFERROR(__xludf.DUMMYFUNCTION("""COMPUTED_VALUE"""),2166461.0)</f>
        <v>2166461</v>
      </c>
    </row>
    <row r="1677">
      <c r="A1677" s="2">
        <f>IFERROR(__xludf.DUMMYFUNCTION("""COMPUTED_VALUE"""),38974.645833333336)</f>
        <v>38974.64583</v>
      </c>
      <c r="B1677" s="1">
        <f>IFERROR(__xludf.DUMMYFUNCTION("""COMPUTED_VALUE"""),237.0)</f>
        <v>237</v>
      </c>
      <c r="C1677" s="1">
        <f>IFERROR(__xludf.DUMMYFUNCTION("""COMPUTED_VALUE"""),240.8)</f>
        <v>240.8</v>
      </c>
      <c r="D1677" s="1">
        <f>IFERROR(__xludf.DUMMYFUNCTION("""COMPUTED_VALUE"""),234.05)</f>
        <v>234.05</v>
      </c>
      <c r="E1677" s="1">
        <f>IFERROR(__xludf.DUMMYFUNCTION("""COMPUTED_VALUE"""),238.95)</f>
        <v>238.95</v>
      </c>
      <c r="F1677" s="1">
        <f>IFERROR(__xludf.DUMMYFUNCTION("""COMPUTED_VALUE"""),2162057.0)</f>
        <v>2162057</v>
      </c>
    </row>
    <row r="1678">
      <c r="A1678" s="2">
        <f>IFERROR(__xludf.DUMMYFUNCTION("""COMPUTED_VALUE"""),38975.645833333336)</f>
        <v>38975.64583</v>
      </c>
      <c r="B1678" s="1">
        <f>IFERROR(__xludf.DUMMYFUNCTION("""COMPUTED_VALUE"""),240.0)</f>
        <v>240</v>
      </c>
      <c r="C1678" s="1">
        <f>IFERROR(__xludf.DUMMYFUNCTION("""COMPUTED_VALUE"""),244.45)</f>
        <v>244.45</v>
      </c>
      <c r="D1678" s="1">
        <f>IFERROR(__xludf.DUMMYFUNCTION("""COMPUTED_VALUE"""),236.5)</f>
        <v>236.5</v>
      </c>
      <c r="E1678" s="1">
        <f>IFERROR(__xludf.DUMMYFUNCTION("""COMPUTED_VALUE"""),243.8)</f>
        <v>243.8</v>
      </c>
      <c r="F1678" s="1">
        <f>IFERROR(__xludf.DUMMYFUNCTION("""COMPUTED_VALUE"""),3554954.0)</f>
        <v>3554954</v>
      </c>
    </row>
    <row r="1679">
      <c r="A1679" s="2">
        <f>IFERROR(__xludf.DUMMYFUNCTION("""COMPUTED_VALUE"""),38978.645833333336)</f>
        <v>38978.64583</v>
      </c>
      <c r="B1679" s="1">
        <f>IFERROR(__xludf.DUMMYFUNCTION("""COMPUTED_VALUE"""),243.9)</f>
        <v>243.9</v>
      </c>
      <c r="C1679" s="1">
        <f>IFERROR(__xludf.DUMMYFUNCTION("""COMPUTED_VALUE"""),251.0)</f>
        <v>251</v>
      </c>
      <c r="D1679" s="1">
        <f>IFERROR(__xludf.DUMMYFUNCTION("""COMPUTED_VALUE"""),243.9)</f>
        <v>243.9</v>
      </c>
      <c r="E1679" s="1">
        <f>IFERROR(__xludf.DUMMYFUNCTION("""COMPUTED_VALUE"""),250.35)</f>
        <v>250.35</v>
      </c>
      <c r="F1679" s="1">
        <f>IFERROR(__xludf.DUMMYFUNCTION("""COMPUTED_VALUE"""),5175926.0)</f>
        <v>5175926</v>
      </c>
    </row>
    <row r="1680">
      <c r="A1680" s="2">
        <f>IFERROR(__xludf.DUMMYFUNCTION("""COMPUTED_VALUE"""),38979.645833333336)</f>
        <v>38979.64583</v>
      </c>
      <c r="B1680" s="1">
        <f>IFERROR(__xludf.DUMMYFUNCTION("""COMPUTED_VALUE"""),251.0)</f>
        <v>251</v>
      </c>
      <c r="C1680" s="1">
        <f>IFERROR(__xludf.DUMMYFUNCTION("""COMPUTED_VALUE"""),253.9)</f>
        <v>253.9</v>
      </c>
      <c r="D1680" s="1">
        <f>IFERROR(__xludf.DUMMYFUNCTION("""COMPUTED_VALUE"""),244.1)</f>
        <v>244.1</v>
      </c>
      <c r="E1680" s="1">
        <f>IFERROR(__xludf.DUMMYFUNCTION("""COMPUTED_VALUE"""),247.05)</f>
        <v>247.05</v>
      </c>
      <c r="F1680" s="1">
        <f>IFERROR(__xludf.DUMMYFUNCTION("""COMPUTED_VALUE"""),3496946.0)</f>
        <v>3496946</v>
      </c>
    </row>
    <row r="1681">
      <c r="A1681" s="2">
        <f>IFERROR(__xludf.DUMMYFUNCTION("""COMPUTED_VALUE"""),38980.645833333336)</f>
        <v>38980.64583</v>
      </c>
      <c r="B1681" s="1">
        <f>IFERROR(__xludf.DUMMYFUNCTION("""COMPUTED_VALUE"""),245.0)</f>
        <v>245</v>
      </c>
      <c r="C1681" s="1">
        <f>IFERROR(__xludf.DUMMYFUNCTION("""COMPUTED_VALUE"""),250.8)</f>
        <v>250.8</v>
      </c>
      <c r="D1681" s="1">
        <f>IFERROR(__xludf.DUMMYFUNCTION("""COMPUTED_VALUE"""),243.25)</f>
        <v>243.25</v>
      </c>
      <c r="E1681" s="1">
        <f>IFERROR(__xludf.DUMMYFUNCTION("""COMPUTED_VALUE"""),250.15)</f>
        <v>250.15</v>
      </c>
      <c r="F1681" s="1">
        <f>IFERROR(__xludf.DUMMYFUNCTION("""COMPUTED_VALUE"""),1709573.0)</f>
        <v>1709573</v>
      </c>
    </row>
    <row r="1682">
      <c r="A1682" s="2">
        <f>IFERROR(__xludf.DUMMYFUNCTION("""COMPUTED_VALUE"""),38981.645833333336)</f>
        <v>38981.64583</v>
      </c>
      <c r="B1682" s="1">
        <f>IFERROR(__xludf.DUMMYFUNCTION("""COMPUTED_VALUE"""),251.5)</f>
        <v>251.5</v>
      </c>
      <c r="C1682" s="1">
        <f>IFERROR(__xludf.DUMMYFUNCTION("""COMPUTED_VALUE"""),259.5)</f>
        <v>259.5</v>
      </c>
      <c r="D1682" s="1">
        <f>IFERROR(__xludf.DUMMYFUNCTION("""COMPUTED_VALUE"""),251.5)</f>
        <v>251.5</v>
      </c>
      <c r="E1682" s="1">
        <f>IFERROR(__xludf.DUMMYFUNCTION("""COMPUTED_VALUE"""),259.1)</f>
        <v>259.1</v>
      </c>
      <c r="F1682" s="1">
        <f>IFERROR(__xludf.DUMMYFUNCTION("""COMPUTED_VALUE"""),3080789.0)</f>
        <v>3080789</v>
      </c>
    </row>
    <row r="1683">
      <c r="A1683" s="2">
        <f>IFERROR(__xludf.DUMMYFUNCTION("""COMPUTED_VALUE"""),38982.645833333336)</f>
        <v>38982.64583</v>
      </c>
      <c r="B1683" s="1">
        <f>IFERROR(__xludf.DUMMYFUNCTION("""COMPUTED_VALUE"""),258.0)</f>
        <v>258</v>
      </c>
      <c r="C1683" s="1">
        <f>IFERROR(__xludf.DUMMYFUNCTION("""COMPUTED_VALUE"""),259.95)</f>
        <v>259.95</v>
      </c>
      <c r="D1683" s="1">
        <f>IFERROR(__xludf.DUMMYFUNCTION("""COMPUTED_VALUE"""),254.0)</f>
        <v>254</v>
      </c>
      <c r="E1683" s="1">
        <f>IFERROR(__xludf.DUMMYFUNCTION("""COMPUTED_VALUE"""),258.1)</f>
        <v>258.1</v>
      </c>
      <c r="F1683" s="1">
        <f>IFERROR(__xludf.DUMMYFUNCTION("""COMPUTED_VALUE"""),1413931.0)</f>
        <v>1413931</v>
      </c>
    </row>
    <row r="1684">
      <c r="A1684" s="2">
        <f>IFERROR(__xludf.DUMMYFUNCTION("""COMPUTED_VALUE"""),38985.645833333336)</f>
        <v>38985.64583</v>
      </c>
      <c r="B1684" s="1">
        <f>IFERROR(__xludf.DUMMYFUNCTION("""COMPUTED_VALUE"""),258.1)</f>
        <v>258.1</v>
      </c>
      <c r="C1684" s="1">
        <f>IFERROR(__xludf.DUMMYFUNCTION("""COMPUTED_VALUE"""),258.1)</f>
        <v>258.1</v>
      </c>
      <c r="D1684" s="1">
        <f>IFERROR(__xludf.DUMMYFUNCTION("""COMPUTED_VALUE"""),252.25)</f>
        <v>252.25</v>
      </c>
      <c r="E1684" s="1">
        <f>IFERROR(__xludf.DUMMYFUNCTION("""COMPUTED_VALUE"""),253.35)</f>
        <v>253.35</v>
      </c>
      <c r="F1684" s="1">
        <f>IFERROR(__xludf.DUMMYFUNCTION("""COMPUTED_VALUE"""),587774.0)</f>
        <v>587774</v>
      </c>
    </row>
    <row r="1685">
      <c r="A1685" s="2">
        <f>IFERROR(__xludf.DUMMYFUNCTION("""COMPUTED_VALUE"""),38986.645833333336)</f>
        <v>38986.64583</v>
      </c>
      <c r="B1685" s="1">
        <f>IFERROR(__xludf.DUMMYFUNCTION("""COMPUTED_VALUE"""),249.15)</f>
        <v>249.15</v>
      </c>
      <c r="C1685" s="1">
        <f>IFERROR(__xludf.DUMMYFUNCTION("""COMPUTED_VALUE"""),259.75)</f>
        <v>259.75</v>
      </c>
      <c r="D1685" s="1">
        <f>IFERROR(__xludf.DUMMYFUNCTION("""COMPUTED_VALUE"""),249.15)</f>
        <v>249.15</v>
      </c>
      <c r="E1685" s="1">
        <f>IFERROR(__xludf.DUMMYFUNCTION("""COMPUTED_VALUE"""),258.55)</f>
        <v>258.55</v>
      </c>
      <c r="F1685" s="1">
        <f>IFERROR(__xludf.DUMMYFUNCTION("""COMPUTED_VALUE"""),2930439.0)</f>
        <v>2930439</v>
      </c>
    </row>
    <row r="1686">
      <c r="A1686" s="2">
        <f>IFERROR(__xludf.DUMMYFUNCTION("""COMPUTED_VALUE"""),38987.645833333336)</f>
        <v>38987.64583</v>
      </c>
      <c r="B1686" s="1">
        <f>IFERROR(__xludf.DUMMYFUNCTION("""COMPUTED_VALUE"""),258.25)</f>
        <v>258.25</v>
      </c>
      <c r="C1686" s="1">
        <f>IFERROR(__xludf.DUMMYFUNCTION("""COMPUTED_VALUE"""),262.95)</f>
        <v>262.95</v>
      </c>
      <c r="D1686" s="1">
        <f>IFERROR(__xludf.DUMMYFUNCTION("""COMPUTED_VALUE"""),256.35)</f>
        <v>256.35</v>
      </c>
      <c r="E1686" s="1">
        <f>IFERROR(__xludf.DUMMYFUNCTION("""COMPUTED_VALUE"""),257.7)</f>
        <v>257.7</v>
      </c>
      <c r="F1686" s="1">
        <f>IFERROR(__xludf.DUMMYFUNCTION("""COMPUTED_VALUE"""),3389895.0)</f>
        <v>3389895</v>
      </c>
    </row>
    <row r="1687">
      <c r="A1687" s="2">
        <f>IFERROR(__xludf.DUMMYFUNCTION("""COMPUTED_VALUE"""),38988.645833333336)</f>
        <v>38988.64583</v>
      </c>
      <c r="B1687" s="1">
        <f>IFERROR(__xludf.DUMMYFUNCTION("""COMPUTED_VALUE"""),258.0)</f>
        <v>258</v>
      </c>
      <c r="C1687" s="1">
        <f>IFERROR(__xludf.DUMMYFUNCTION("""COMPUTED_VALUE"""),261.9)</f>
        <v>261.9</v>
      </c>
      <c r="D1687" s="1">
        <f>IFERROR(__xludf.DUMMYFUNCTION("""COMPUTED_VALUE"""),253.25)</f>
        <v>253.25</v>
      </c>
      <c r="E1687" s="1">
        <f>IFERROR(__xludf.DUMMYFUNCTION("""COMPUTED_VALUE"""),254.75)</f>
        <v>254.75</v>
      </c>
      <c r="F1687" s="1">
        <f>IFERROR(__xludf.DUMMYFUNCTION("""COMPUTED_VALUE"""),2652533.0)</f>
        <v>2652533</v>
      </c>
    </row>
    <row r="1688">
      <c r="A1688" s="2">
        <f>IFERROR(__xludf.DUMMYFUNCTION("""COMPUTED_VALUE"""),38989.645833333336)</f>
        <v>38989.64583</v>
      </c>
      <c r="B1688" s="1">
        <f>IFERROR(__xludf.DUMMYFUNCTION("""COMPUTED_VALUE"""),254.7)</f>
        <v>254.7</v>
      </c>
      <c r="C1688" s="1">
        <f>IFERROR(__xludf.DUMMYFUNCTION("""COMPUTED_VALUE"""),258.85)</f>
        <v>258.85</v>
      </c>
      <c r="D1688" s="1">
        <f>IFERROR(__xludf.DUMMYFUNCTION("""COMPUTED_VALUE"""),254.7)</f>
        <v>254.7</v>
      </c>
      <c r="E1688" s="1">
        <f>IFERROR(__xludf.DUMMYFUNCTION("""COMPUTED_VALUE"""),257.15)</f>
        <v>257.15</v>
      </c>
      <c r="F1688" s="1">
        <f>IFERROR(__xludf.DUMMYFUNCTION("""COMPUTED_VALUE"""),955792.0)</f>
        <v>955792</v>
      </c>
    </row>
    <row r="1689">
      <c r="A1689" s="2">
        <f>IFERROR(__xludf.DUMMYFUNCTION("""COMPUTED_VALUE"""),38993.645833333336)</f>
        <v>38993.64583</v>
      </c>
      <c r="B1689" s="1">
        <f>IFERROR(__xludf.DUMMYFUNCTION("""COMPUTED_VALUE"""),258.0)</f>
        <v>258</v>
      </c>
      <c r="C1689" s="1">
        <f>IFERROR(__xludf.DUMMYFUNCTION("""COMPUTED_VALUE"""),258.0)</f>
        <v>258</v>
      </c>
      <c r="D1689" s="1">
        <f>IFERROR(__xludf.DUMMYFUNCTION("""COMPUTED_VALUE"""),248.5)</f>
        <v>248.5</v>
      </c>
      <c r="E1689" s="1">
        <f>IFERROR(__xludf.DUMMYFUNCTION("""COMPUTED_VALUE"""),249.45)</f>
        <v>249.45</v>
      </c>
      <c r="F1689" s="1">
        <f>IFERROR(__xludf.DUMMYFUNCTION("""COMPUTED_VALUE"""),3713503.0)</f>
        <v>3713503</v>
      </c>
    </row>
    <row r="1690">
      <c r="A1690" s="2">
        <f>IFERROR(__xludf.DUMMYFUNCTION("""COMPUTED_VALUE"""),38994.645833333336)</f>
        <v>38994.64583</v>
      </c>
      <c r="B1690" s="1">
        <f>IFERROR(__xludf.DUMMYFUNCTION("""COMPUTED_VALUE"""),250.1)</f>
        <v>250.1</v>
      </c>
      <c r="C1690" s="1">
        <f>IFERROR(__xludf.DUMMYFUNCTION("""COMPUTED_VALUE"""),252.8)</f>
        <v>252.8</v>
      </c>
      <c r="D1690" s="1">
        <f>IFERROR(__xludf.DUMMYFUNCTION("""COMPUTED_VALUE"""),245.0)</f>
        <v>245</v>
      </c>
      <c r="E1690" s="1">
        <f>IFERROR(__xludf.DUMMYFUNCTION("""COMPUTED_VALUE"""),247.3)</f>
        <v>247.3</v>
      </c>
      <c r="F1690" s="1">
        <f>IFERROR(__xludf.DUMMYFUNCTION("""COMPUTED_VALUE"""),2193048.0)</f>
        <v>2193048</v>
      </c>
    </row>
    <row r="1691">
      <c r="A1691" s="2">
        <f>IFERROR(__xludf.DUMMYFUNCTION("""COMPUTED_VALUE"""),38995.645833333336)</f>
        <v>38995.64583</v>
      </c>
      <c r="B1691" s="1">
        <f>IFERROR(__xludf.DUMMYFUNCTION("""COMPUTED_VALUE"""),250.0)</f>
        <v>250</v>
      </c>
      <c r="C1691" s="1">
        <f>IFERROR(__xludf.DUMMYFUNCTION("""COMPUTED_VALUE"""),251.95)</f>
        <v>251.95</v>
      </c>
      <c r="D1691" s="1">
        <f>IFERROR(__xludf.DUMMYFUNCTION("""COMPUTED_VALUE"""),248.35)</f>
        <v>248.35</v>
      </c>
      <c r="E1691" s="1">
        <f>IFERROR(__xludf.DUMMYFUNCTION("""COMPUTED_VALUE"""),249.95)</f>
        <v>249.95</v>
      </c>
      <c r="F1691" s="1">
        <f>IFERROR(__xludf.DUMMYFUNCTION("""COMPUTED_VALUE"""),1614944.0)</f>
        <v>1614944</v>
      </c>
    </row>
    <row r="1692">
      <c r="A1692" s="2">
        <f>IFERROR(__xludf.DUMMYFUNCTION("""COMPUTED_VALUE"""),38996.645833333336)</f>
        <v>38996.64583</v>
      </c>
      <c r="B1692" s="1">
        <f>IFERROR(__xludf.DUMMYFUNCTION("""COMPUTED_VALUE"""),250.0)</f>
        <v>250</v>
      </c>
      <c r="C1692" s="1">
        <f>IFERROR(__xludf.DUMMYFUNCTION("""COMPUTED_VALUE"""),251.45)</f>
        <v>251.45</v>
      </c>
      <c r="D1692" s="1">
        <f>IFERROR(__xludf.DUMMYFUNCTION("""COMPUTED_VALUE"""),245.0)</f>
        <v>245</v>
      </c>
      <c r="E1692" s="1">
        <f>IFERROR(__xludf.DUMMYFUNCTION("""COMPUTED_VALUE"""),245.4)</f>
        <v>245.4</v>
      </c>
      <c r="F1692" s="1">
        <f>IFERROR(__xludf.DUMMYFUNCTION("""COMPUTED_VALUE"""),2581804.0)</f>
        <v>2581804</v>
      </c>
    </row>
    <row r="1693">
      <c r="A1693" s="2">
        <f>IFERROR(__xludf.DUMMYFUNCTION("""COMPUTED_VALUE"""),38999.645833333336)</f>
        <v>38999.64583</v>
      </c>
      <c r="B1693" s="1">
        <f>IFERROR(__xludf.DUMMYFUNCTION("""COMPUTED_VALUE"""),245.1)</f>
        <v>245.1</v>
      </c>
      <c r="C1693" s="1">
        <f>IFERROR(__xludf.DUMMYFUNCTION("""COMPUTED_VALUE"""),247.2)</f>
        <v>247.2</v>
      </c>
      <c r="D1693" s="1">
        <f>IFERROR(__xludf.DUMMYFUNCTION("""COMPUTED_VALUE"""),242.1)</f>
        <v>242.1</v>
      </c>
      <c r="E1693" s="1">
        <f>IFERROR(__xludf.DUMMYFUNCTION("""COMPUTED_VALUE"""),243.35)</f>
        <v>243.35</v>
      </c>
      <c r="F1693" s="1">
        <f>IFERROR(__xludf.DUMMYFUNCTION("""COMPUTED_VALUE"""),2292568.0)</f>
        <v>2292568</v>
      </c>
    </row>
    <row r="1694">
      <c r="A1694" s="2">
        <f>IFERROR(__xludf.DUMMYFUNCTION("""COMPUTED_VALUE"""),39000.645833333336)</f>
        <v>39000.64583</v>
      </c>
      <c r="B1694" s="1">
        <f>IFERROR(__xludf.DUMMYFUNCTION("""COMPUTED_VALUE"""),244.0)</f>
        <v>244</v>
      </c>
      <c r="C1694" s="1">
        <f>IFERROR(__xludf.DUMMYFUNCTION("""COMPUTED_VALUE"""),244.9)</f>
        <v>244.9</v>
      </c>
      <c r="D1694" s="1">
        <f>IFERROR(__xludf.DUMMYFUNCTION("""COMPUTED_VALUE"""),238.1)</f>
        <v>238.1</v>
      </c>
      <c r="E1694" s="1">
        <f>IFERROR(__xludf.DUMMYFUNCTION("""COMPUTED_VALUE"""),238.75)</f>
        <v>238.75</v>
      </c>
      <c r="F1694" s="1">
        <f>IFERROR(__xludf.DUMMYFUNCTION("""COMPUTED_VALUE"""),5366666.0)</f>
        <v>5366666</v>
      </c>
    </row>
    <row r="1695">
      <c r="A1695" s="2">
        <f>IFERROR(__xludf.DUMMYFUNCTION("""COMPUTED_VALUE"""),39001.645833333336)</f>
        <v>39001.64583</v>
      </c>
      <c r="B1695" s="1">
        <f>IFERROR(__xludf.DUMMYFUNCTION("""COMPUTED_VALUE"""),239.0)</f>
        <v>239</v>
      </c>
      <c r="C1695" s="1">
        <f>IFERROR(__xludf.DUMMYFUNCTION("""COMPUTED_VALUE"""),241.45)</f>
        <v>241.45</v>
      </c>
      <c r="D1695" s="1">
        <f>IFERROR(__xludf.DUMMYFUNCTION("""COMPUTED_VALUE"""),234.0)</f>
        <v>234</v>
      </c>
      <c r="E1695" s="1">
        <f>IFERROR(__xludf.DUMMYFUNCTION("""COMPUTED_VALUE"""),234.95)</f>
        <v>234.95</v>
      </c>
      <c r="F1695" s="1">
        <f>IFERROR(__xludf.DUMMYFUNCTION("""COMPUTED_VALUE"""),3006261.0)</f>
        <v>3006261</v>
      </c>
    </row>
    <row r="1696">
      <c r="A1696" s="2">
        <f>IFERROR(__xludf.DUMMYFUNCTION("""COMPUTED_VALUE"""),39002.645833333336)</f>
        <v>39002.64583</v>
      </c>
      <c r="B1696" s="1">
        <f>IFERROR(__xludf.DUMMYFUNCTION("""COMPUTED_VALUE"""),235.2)</f>
        <v>235.2</v>
      </c>
      <c r="C1696" s="1">
        <f>IFERROR(__xludf.DUMMYFUNCTION("""COMPUTED_VALUE"""),235.2)</f>
        <v>235.2</v>
      </c>
      <c r="D1696" s="1">
        <f>IFERROR(__xludf.DUMMYFUNCTION("""COMPUTED_VALUE"""),230.6)</f>
        <v>230.6</v>
      </c>
      <c r="E1696" s="1">
        <f>IFERROR(__xludf.DUMMYFUNCTION("""COMPUTED_VALUE"""),232.3)</f>
        <v>232.3</v>
      </c>
      <c r="F1696" s="1">
        <f>IFERROR(__xludf.DUMMYFUNCTION("""COMPUTED_VALUE"""),7043930.0)</f>
        <v>7043930</v>
      </c>
    </row>
    <row r="1697">
      <c r="A1697" s="2">
        <f>IFERROR(__xludf.DUMMYFUNCTION("""COMPUTED_VALUE"""),39003.645833333336)</f>
        <v>39003.64583</v>
      </c>
      <c r="B1697" s="1">
        <f>IFERROR(__xludf.DUMMYFUNCTION("""COMPUTED_VALUE"""),234.1)</f>
        <v>234.1</v>
      </c>
      <c r="C1697" s="1">
        <f>IFERROR(__xludf.DUMMYFUNCTION("""COMPUTED_VALUE"""),239.25)</f>
        <v>239.25</v>
      </c>
      <c r="D1697" s="1">
        <f>IFERROR(__xludf.DUMMYFUNCTION("""COMPUTED_VALUE"""),234.1)</f>
        <v>234.1</v>
      </c>
      <c r="E1697" s="1">
        <f>IFERROR(__xludf.DUMMYFUNCTION("""COMPUTED_VALUE"""),236.15)</f>
        <v>236.15</v>
      </c>
      <c r="F1697" s="1">
        <f>IFERROR(__xludf.DUMMYFUNCTION("""COMPUTED_VALUE"""),4479590.0)</f>
        <v>4479590</v>
      </c>
    </row>
    <row r="1698">
      <c r="A1698" s="2">
        <f>IFERROR(__xludf.DUMMYFUNCTION("""COMPUTED_VALUE"""),39006.645833333336)</f>
        <v>39006.64583</v>
      </c>
      <c r="B1698" s="1">
        <f>IFERROR(__xludf.DUMMYFUNCTION("""COMPUTED_VALUE"""),237.0)</f>
        <v>237</v>
      </c>
      <c r="C1698" s="1">
        <f>IFERROR(__xludf.DUMMYFUNCTION("""COMPUTED_VALUE"""),239.9)</f>
        <v>239.9</v>
      </c>
      <c r="D1698" s="1">
        <f>IFERROR(__xludf.DUMMYFUNCTION("""COMPUTED_VALUE"""),236.25)</f>
        <v>236.25</v>
      </c>
      <c r="E1698" s="1">
        <f>IFERROR(__xludf.DUMMYFUNCTION("""COMPUTED_VALUE"""),237.15)</f>
        <v>237.15</v>
      </c>
      <c r="F1698" s="1">
        <f>IFERROR(__xludf.DUMMYFUNCTION("""COMPUTED_VALUE"""),4123693.0)</f>
        <v>4123693</v>
      </c>
    </row>
    <row r="1699">
      <c r="A1699" s="2">
        <f>IFERROR(__xludf.DUMMYFUNCTION("""COMPUTED_VALUE"""),39007.645833333336)</f>
        <v>39007.64583</v>
      </c>
      <c r="B1699" s="1">
        <f>IFERROR(__xludf.DUMMYFUNCTION("""COMPUTED_VALUE"""),237.5)</f>
        <v>237.5</v>
      </c>
      <c r="C1699" s="1">
        <f>IFERROR(__xludf.DUMMYFUNCTION("""COMPUTED_VALUE"""),238.15)</f>
        <v>238.15</v>
      </c>
      <c r="D1699" s="1">
        <f>IFERROR(__xludf.DUMMYFUNCTION("""COMPUTED_VALUE"""),229.65)</f>
        <v>229.65</v>
      </c>
      <c r="E1699" s="1">
        <f>IFERROR(__xludf.DUMMYFUNCTION("""COMPUTED_VALUE"""),232.15)</f>
        <v>232.15</v>
      </c>
      <c r="F1699" s="1">
        <f>IFERROR(__xludf.DUMMYFUNCTION("""COMPUTED_VALUE"""),4095931.0)</f>
        <v>4095931</v>
      </c>
    </row>
    <row r="1700">
      <c r="A1700" s="2">
        <f>IFERROR(__xludf.DUMMYFUNCTION("""COMPUTED_VALUE"""),39008.645833333336)</f>
        <v>39008.64583</v>
      </c>
      <c r="B1700" s="1">
        <f>IFERROR(__xludf.DUMMYFUNCTION("""COMPUTED_VALUE"""),232.15)</f>
        <v>232.15</v>
      </c>
      <c r="C1700" s="1">
        <f>IFERROR(__xludf.DUMMYFUNCTION("""COMPUTED_VALUE"""),236.2)</f>
        <v>236.2</v>
      </c>
      <c r="D1700" s="1">
        <f>IFERROR(__xludf.DUMMYFUNCTION("""COMPUTED_VALUE"""),231.05)</f>
        <v>231.05</v>
      </c>
      <c r="E1700" s="1">
        <f>IFERROR(__xludf.DUMMYFUNCTION("""COMPUTED_VALUE"""),233.0)</f>
        <v>233</v>
      </c>
      <c r="F1700" s="1">
        <f>IFERROR(__xludf.DUMMYFUNCTION("""COMPUTED_VALUE"""),4111581.0)</f>
        <v>4111581</v>
      </c>
    </row>
    <row r="1701">
      <c r="A1701" s="2">
        <f>IFERROR(__xludf.DUMMYFUNCTION("""COMPUTED_VALUE"""),39009.645833333336)</f>
        <v>39009.64583</v>
      </c>
      <c r="B1701" s="1">
        <f>IFERROR(__xludf.DUMMYFUNCTION("""COMPUTED_VALUE"""),234.85)</f>
        <v>234.85</v>
      </c>
      <c r="C1701" s="1">
        <f>IFERROR(__xludf.DUMMYFUNCTION("""COMPUTED_VALUE"""),235.5)</f>
        <v>235.5</v>
      </c>
      <c r="D1701" s="1">
        <f>IFERROR(__xludf.DUMMYFUNCTION("""COMPUTED_VALUE"""),230.0)</f>
        <v>230</v>
      </c>
      <c r="E1701" s="1">
        <f>IFERROR(__xludf.DUMMYFUNCTION("""COMPUTED_VALUE"""),231.75)</f>
        <v>231.75</v>
      </c>
      <c r="F1701" s="1">
        <f>IFERROR(__xludf.DUMMYFUNCTION("""COMPUTED_VALUE"""),2223073.0)</f>
        <v>2223073</v>
      </c>
    </row>
    <row r="1702">
      <c r="A1702" s="2">
        <f>IFERROR(__xludf.DUMMYFUNCTION("""COMPUTED_VALUE"""),39010.645833333336)</f>
        <v>39010.64583</v>
      </c>
      <c r="B1702" s="1">
        <f>IFERROR(__xludf.DUMMYFUNCTION("""COMPUTED_VALUE"""),233.05)</f>
        <v>233.05</v>
      </c>
      <c r="C1702" s="1">
        <f>IFERROR(__xludf.DUMMYFUNCTION("""COMPUTED_VALUE"""),234.0)</f>
        <v>234</v>
      </c>
      <c r="D1702" s="1">
        <f>IFERROR(__xludf.DUMMYFUNCTION("""COMPUTED_VALUE"""),230.65)</f>
        <v>230.65</v>
      </c>
      <c r="E1702" s="1">
        <f>IFERROR(__xludf.DUMMYFUNCTION("""COMPUTED_VALUE"""),231.75)</f>
        <v>231.75</v>
      </c>
      <c r="F1702" s="1">
        <f>IFERROR(__xludf.DUMMYFUNCTION("""COMPUTED_VALUE"""),1235462.0)</f>
        <v>1235462</v>
      </c>
    </row>
    <row r="1703">
      <c r="A1703" s="2">
        <f>IFERROR(__xludf.DUMMYFUNCTION("""COMPUTED_VALUE"""),39013.645833333336)</f>
        <v>39013.64583</v>
      </c>
      <c r="B1703" s="1">
        <f>IFERROR(__xludf.DUMMYFUNCTION("""COMPUTED_VALUE"""),232.5)</f>
        <v>232.5</v>
      </c>
      <c r="C1703" s="1">
        <f>IFERROR(__xludf.DUMMYFUNCTION("""COMPUTED_VALUE"""),232.8)</f>
        <v>232.8</v>
      </c>
      <c r="D1703" s="1">
        <f>IFERROR(__xludf.DUMMYFUNCTION("""COMPUTED_VALUE"""),228.15)</f>
        <v>228.15</v>
      </c>
      <c r="E1703" s="1">
        <f>IFERROR(__xludf.DUMMYFUNCTION("""COMPUTED_VALUE"""),229.3)</f>
        <v>229.3</v>
      </c>
      <c r="F1703" s="1">
        <f>IFERROR(__xludf.DUMMYFUNCTION("""COMPUTED_VALUE"""),2459266.0)</f>
        <v>2459266</v>
      </c>
    </row>
    <row r="1704">
      <c r="A1704" s="2">
        <f>IFERROR(__xludf.DUMMYFUNCTION("""COMPUTED_VALUE"""),39016.645833333336)</f>
        <v>39016.64583</v>
      </c>
      <c r="B1704" s="1">
        <f>IFERROR(__xludf.DUMMYFUNCTION("""COMPUTED_VALUE"""),230.8)</f>
        <v>230.8</v>
      </c>
      <c r="C1704" s="1">
        <f>IFERROR(__xludf.DUMMYFUNCTION("""COMPUTED_VALUE"""),230.8)</f>
        <v>230.8</v>
      </c>
      <c r="D1704" s="1">
        <f>IFERROR(__xludf.DUMMYFUNCTION("""COMPUTED_VALUE"""),224.0)</f>
        <v>224</v>
      </c>
      <c r="E1704" s="1">
        <f>IFERROR(__xludf.DUMMYFUNCTION("""COMPUTED_VALUE"""),225.0)</f>
        <v>225</v>
      </c>
      <c r="F1704" s="1">
        <f>IFERROR(__xludf.DUMMYFUNCTION("""COMPUTED_VALUE"""),9101504.0)</f>
        <v>9101504</v>
      </c>
    </row>
    <row r="1705">
      <c r="A1705" s="2">
        <f>IFERROR(__xludf.DUMMYFUNCTION("""COMPUTED_VALUE"""),39017.645833333336)</f>
        <v>39017.64583</v>
      </c>
      <c r="B1705" s="1">
        <f>IFERROR(__xludf.DUMMYFUNCTION("""COMPUTED_VALUE"""),228.0)</f>
        <v>228</v>
      </c>
      <c r="C1705" s="1">
        <f>IFERROR(__xludf.DUMMYFUNCTION("""COMPUTED_VALUE"""),228.0)</f>
        <v>228</v>
      </c>
      <c r="D1705" s="1">
        <f>IFERROR(__xludf.DUMMYFUNCTION("""COMPUTED_VALUE"""),222.7)</f>
        <v>222.7</v>
      </c>
      <c r="E1705" s="1">
        <f>IFERROR(__xludf.DUMMYFUNCTION("""COMPUTED_VALUE"""),226.1)</f>
        <v>226.1</v>
      </c>
      <c r="F1705" s="1">
        <f>IFERROR(__xludf.DUMMYFUNCTION("""COMPUTED_VALUE"""),6958585.0)</f>
        <v>6958585</v>
      </c>
    </row>
    <row r="1706">
      <c r="A1706" s="2">
        <f>IFERROR(__xludf.DUMMYFUNCTION("""COMPUTED_VALUE"""),39020.645833333336)</f>
        <v>39020.64583</v>
      </c>
      <c r="B1706" s="1">
        <f>IFERROR(__xludf.DUMMYFUNCTION("""COMPUTED_VALUE"""),227.1)</f>
        <v>227.1</v>
      </c>
      <c r="C1706" s="1">
        <f>IFERROR(__xludf.DUMMYFUNCTION("""COMPUTED_VALUE"""),230.0)</f>
        <v>230</v>
      </c>
      <c r="D1706" s="1">
        <f>IFERROR(__xludf.DUMMYFUNCTION("""COMPUTED_VALUE"""),226.1)</f>
        <v>226.1</v>
      </c>
      <c r="E1706" s="1">
        <f>IFERROR(__xludf.DUMMYFUNCTION("""COMPUTED_VALUE"""),228.85)</f>
        <v>228.85</v>
      </c>
      <c r="F1706" s="1">
        <f>IFERROR(__xludf.DUMMYFUNCTION("""COMPUTED_VALUE"""),1924927.0)</f>
        <v>1924927</v>
      </c>
    </row>
    <row r="1707">
      <c r="A1707" s="2">
        <f>IFERROR(__xludf.DUMMYFUNCTION("""COMPUTED_VALUE"""),39021.645833333336)</f>
        <v>39021.64583</v>
      </c>
      <c r="B1707" s="1">
        <f>IFERROR(__xludf.DUMMYFUNCTION("""COMPUTED_VALUE"""),230.0)</f>
        <v>230</v>
      </c>
      <c r="C1707" s="1">
        <f>IFERROR(__xludf.DUMMYFUNCTION("""COMPUTED_VALUE"""),236.45)</f>
        <v>236.45</v>
      </c>
      <c r="D1707" s="1">
        <f>IFERROR(__xludf.DUMMYFUNCTION("""COMPUTED_VALUE"""),226.2)</f>
        <v>226.2</v>
      </c>
      <c r="E1707" s="1">
        <f>IFERROR(__xludf.DUMMYFUNCTION("""COMPUTED_VALUE"""),233.65)</f>
        <v>233.65</v>
      </c>
      <c r="F1707" s="1">
        <f>IFERROR(__xludf.DUMMYFUNCTION("""COMPUTED_VALUE"""),7173111.0)</f>
        <v>7173111</v>
      </c>
    </row>
    <row r="1708">
      <c r="A1708" s="2">
        <f>IFERROR(__xludf.DUMMYFUNCTION("""COMPUTED_VALUE"""),39022.645833333336)</f>
        <v>39022.64583</v>
      </c>
      <c r="B1708" s="1">
        <f>IFERROR(__xludf.DUMMYFUNCTION("""COMPUTED_VALUE"""),237.0)</f>
        <v>237</v>
      </c>
      <c r="C1708" s="1">
        <f>IFERROR(__xludf.DUMMYFUNCTION("""COMPUTED_VALUE"""),238.85)</f>
        <v>238.85</v>
      </c>
      <c r="D1708" s="1">
        <f>IFERROR(__xludf.DUMMYFUNCTION("""COMPUTED_VALUE"""),233.4)</f>
        <v>233.4</v>
      </c>
      <c r="E1708" s="1">
        <f>IFERROR(__xludf.DUMMYFUNCTION("""COMPUTED_VALUE"""),237.55)</f>
        <v>237.55</v>
      </c>
      <c r="F1708" s="1">
        <f>IFERROR(__xludf.DUMMYFUNCTION("""COMPUTED_VALUE"""),6217250.0)</f>
        <v>6217250</v>
      </c>
    </row>
    <row r="1709">
      <c r="A1709" s="2">
        <f>IFERROR(__xludf.DUMMYFUNCTION("""COMPUTED_VALUE"""),39023.645833333336)</f>
        <v>39023.64583</v>
      </c>
      <c r="B1709" s="1">
        <f>IFERROR(__xludf.DUMMYFUNCTION("""COMPUTED_VALUE"""),238.15)</f>
        <v>238.15</v>
      </c>
      <c r="C1709" s="1">
        <f>IFERROR(__xludf.DUMMYFUNCTION("""COMPUTED_VALUE"""),240.9)</f>
        <v>240.9</v>
      </c>
      <c r="D1709" s="1">
        <f>IFERROR(__xludf.DUMMYFUNCTION("""COMPUTED_VALUE"""),236.0)</f>
        <v>236</v>
      </c>
      <c r="E1709" s="1">
        <f>IFERROR(__xludf.DUMMYFUNCTION("""COMPUTED_VALUE"""),237.5)</f>
        <v>237.5</v>
      </c>
      <c r="F1709" s="1">
        <f>IFERROR(__xludf.DUMMYFUNCTION("""COMPUTED_VALUE"""),2568677.0)</f>
        <v>2568677</v>
      </c>
    </row>
    <row r="1710">
      <c r="A1710" s="2">
        <f>IFERROR(__xludf.DUMMYFUNCTION("""COMPUTED_VALUE"""),39024.645833333336)</f>
        <v>39024.64583</v>
      </c>
      <c r="B1710" s="1">
        <f>IFERROR(__xludf.DUMMYFUNCTION("""COMPUTED_VALUE"""),238.0)</f>
        <v>238</v>
      </c>
      <c r="C1710" s="1">
        <f>IFERROR(__xludf.DUMMYFUNCTION("""COMPUTED_VALUE"""),238.6)</f>
        <v>238.6</v>
      </c>
      <c r="D1710" s="1">
        <f>IFERROR(__xludf.DUMMYFUNCTION("""COMPUTED_VALUE"""),234.6)</f>
        <v>234.6</v>
      </c>
      <c r="E1710" s="1">
        <f>IFERROR(__xludf.DUMMYFUNCTION("""COMPUTED_VALUE"""),236.15)</f>
        <v>236.15</v>
      </c>
      <c r="F1710" s="1">
        <f>IFERROR(__xludf.DUMMYFUNCTION("""COMPUTED_VALUE"""),2509129.0)</f>
        <v>2509129</v>
      </c>
    </row>
    <row r="1711">
      <c r="A1711" s="2">
        <f>IFERROR(__xludf.DUMMYFUNCTION("""COMPUTED_VALUE"""),39027.645833333336)</f>
        <v>39027.64583</v>
      </c>
      <c r="B1711" s="1">
        <f>IFERROR(__xludf.DUMMYFUNCTION("""COMPUTED_VALUE"""),236.5)</f>
        <v>236.5</v>
      </c>
      <c r="C1711" s="1">
        <f>IFERROR(__xludf.DUMMYFUNCTION("""COMPUTED_VALUE"""),248.0)</f>
        <v>248</v>
      </c>
      <c r="D1711" s="1">
        <f>IFERROR(__xludf.DUMMYFUNCTION("""COMPUTED_VALUE"""),235.25)</f>
        <v>235.25</v>
      </c>
      <c r="E1711" s="1">
        <f>IFERROR(__xludf.DUMMYFUNCTION("""COMPUTED_VALUE"""),246.95)</f>
        <v>246.95</v>
      </c>
      <c r="F1711" s="1">
        <f>IFERROR(__xludf.DUMMYFUNCTION("""COMPUTED_VALUE"""),6029500.0)</f>
        <v>6029500</v>
      </c>
    </row>
    <row r="1712">
      <c r="A1712" s="2">
        <f>IFERROR(__xludf.DUMMYFUNCTION("""COMPUTED_VALUE"""),39028.645833333336)</f>
        <v>39028.64583</v>
      </c>
      <c r="B1712" s="1">
        <f>IFERROR(__xludf.DUMMYFUNCTION("""COMPUTED_VALUE"""),247.4)</f>
        <v>247.4</v>
      </c>
      <c r="C1712" s="1">
        <f>IFERROR(__xludf.DUMMYFUNCTION("""COMPUTED_VALUE"""),250.35)</f>
        <v>250.35</v>
      </c>
      <c r="D1712" s="1">
        <f>IFERROR(__xludf.DUMMYFUNCTION("""COMPUTED_VALUE"""),244.35)</f>
        <v>244.35</v>
      </c>
      <c r="E1712" s="1">
        <f>IFERROR(__xludf.DUMMYFUNCTION("""COMPUTED_VALUE"""),248.0)</f>
        <v>248</v>
      </c>
      <c r="F1712" s="1">
        <f>IFERROR(__xludf.DUMMYFUNCTION("""COMPUTED_VALUE"""),5731124.0)</f>
        <v>5731124</v>
      </c>
    </row>
    <row r="1713">
      <c r="A1713" s="2">
        <f>IFERROR(__xludf.DUMMYFUNCTION("""COMPUTED_VALUE"""),39029.645833333336)</f>
        <v>39029.64583</v>
      </c>
      <c r="B1713" s="1">
        <f>IFERROR(__xludf.DUMMYFUNCTION("""COMPUTED_VALUE"""),249.0)</f>
        <v>249</v>
      </c>
      <c r="C1713" s="1">
        <f>IFERROR(__xludf.DUMMYFUNCTION("""COMPUTED_VALUE"""),249.5)</f>
        <v>249.5</v>
      </c>
      <c r="D1713" s="1">
        <f>IFERROR(__xludf.DUMMYFUNCTION("""COMPUTED_VALUE"""),240.8)</f>
        <v>240.8</v>
      </c>
      <c r="E1713" s="1">
        <f>IFERROR(__xludf.DUMMYFUNCTION("""COMPUTED_VALUE"""),247.05)</f>
        <v>247.05</v>
      </c>
      <c r="F1713" s="1">
        <f>IFERROR(__xludf.DUMMYFUNCTION("""COMPUTED_VALUE"""),3571491.0)</f>
        <v>3571491</v>
      </c>
    </row>
    <row r="1714">
      <c r="A1714" s="2">
        <f>IFERROR(__xludf.DUMMYFUNCTION("""COMPUTED_VALUE"""),39030.645833333336)</f>
        <v>39030.64583</v>
      </c>
      <c r="B1714" s="1">
        <f>IFERROR(__xludf.DUMMYFUNCTION("""COMPUTED_VALUE"""),246.0)</f>
        <v>246</v>
      </c>
      <c r="C1714" s="1">
        <f>IFERROR(__xludf.DUMMYFUNCTION("""COMPUTED_VALUE"""),255.0)</f>
        <v>255</v>
      </c>
      <c r="D1714" s="1">
        <f>IFERROR(__xludf.DUMMYFUNCTION("""COMPUTED_VALUE"""),246.0)</f>
        <v>246</v>
      </c>
      <c r="E1714" s="1">
        <f>IFERROR(__xludf.DUMMYFUNCTION("""COMPUTED_VALUE"""),250.45)</f>
        <v>250.45</v>
      </c>
      <c r="F1714" s="1">
        <f>IFERROR(__xludf.DUMMYFUNCTION("""COMPUTED_VALUE"""),7914960.0)</f>
        <v>7914960</v>
      </c>
    </row>
    <row r="1715">
      <c r="A1715" s="2">
        <f>IFERROR(__xludf.DUMMYFUNCTION("""COMPUTED_VALUE"""),39031.645833333336)</f>
        <v>39031.64583</v>
      </c>
      <c r="B1715" s="1">
        <f>IFERROR(__xludf.DUMMYFUNCTION("""COMPUTED_VALUE"""),249.5)</f>
        <v>249.5</v>
      </c>
      <c r="C1715" s="1">
        <f>IFERROR(__xludf.DUMMYFUNCTION("""COMPUTED_VALUE"""),255.3)</f>
        <v>255.3</v>
      </c>
      <c r="D1715" s="1">
        <f>IFERROR(__xludf.DUMMYFUNCTION("""COMPUTED_VALUE"""),248.55)</f>
        <v>248.55</v>
      </c>
      <c r="E1715" s="1">
        <f>IFERROR(__xludf.DUMMYFUNCTION("""COMPUTED_VALUE"""),253.3)</f>
        <v>253.3</v>
      </c>
      <c r="F1715" s="1">
        <f>IFERROR(__xludf.DUMMYFUNCTION("""COMPUTED_VALUE"""),3994852.0)</f>
        <v>3994852</v>
      </c>
    </row>
    <row r="1716">
      <c r="A1716" s="2">
        <f>IFERROR(__xludf.DUMMYFUNCTION("""COMPUTED_VALUE"""),39034.645833333336)</f>
        <v>39034.64583</v>
      </c>
      <c r="B1716" s="1">
        <f>IFERROR(__xludf.DUMMYFUNCTION("""COMPUTED_VALUE"""),253.0)</f>
        <v>253</v>
      </c>
      <c r="C1716" s="1">
        <f>IFERROR(__xludf.DUMMYFUNCTION("""COMPUTED_VALUE"""),254.95)</f>
        <v>254.95</v>
      </c>
      <c r="D1716" s="1">
        <f>IFERROR(__xludf.DUMMYFUNCTION("""COMPUTED_VALUE"""),251.5)</f>
        <v>251.5</v>
      </c>
      <c r="E1716" s="1">
        <f>IFERROR(__xludf.DUMMYFUNCTION("""COMPUTED_VALUE"""),252.65)</f>
        <v>252.65</v>
      </c>
      <c r="F1716" s="1">
        <f>IFERROR(__xludf.DUMMYFUNCTION("""COMPUTED_VALUE"""),2037822.0)</f>
        <v>2037822</v>
      </c>
    </row>
    <row r="1717">
      <c r="A1717" s="2">
        <f>IFERROR(__xludf.DUMMYFUNCTION("""COMPUTED_VALUE"""),39035.645833333336)</f>
        <v>39035.64583</v>
      </c>
      <c r="B1717" s="1">
        <f>IFERROR(__xludf.DUMMYFUNCTION("""COMPUTED_VALUE"""),253.8)</f>
        <v>253.8</v>
      </c>
      <c r="C1717" s="1">
        <f>IFERROR(__xludf.DUMMYFUNCTION("""COMPUTED_VALUE"""),253.8)</f>
        <v>253.8</v>
      </c>
      <c r="D1717" s="1">
        <f>IFERROR(__xludf.DUMMYFUNCTION("""COMPUTED_VALUE"""),245.4)</f>
        <v>245.4</v>
      </c>
      <c r="E1717" s="1">
        <f>IFERROR(__xludf.DUMMYFUNCTION("""COMPUTED_VALUE"""),248.85)</f>
        <v>248.85</v>
      </c>
      <c r="F1717" s="1">
        <f>IFERROR(__xludf.DUMMYFUNCTION("""COMPUTED_VALUE"""),3679355.0)</f>
        <v>3679355</v>
      </c>
    </row>
    <row r="1718">
      <c r="A1718" s="2">
        <f>IFERROR(__xludf.DUMMYFUNCTION("""COMPUTED_VALUE"""),39036.645833333336)</f>
        <v>39036.64583</v>
      </c>
      <c r="B1718" s="1">
        <f>IFERROR(__xludf.DUMMYFUNCTION("""COMPUTED_VALUE"""),249.7)</f>
        <v>249.7</v>
      </c>
      <c r="C1718" s="1">
        <f>IFERROR(__xludf.DUMMYFUNCTION("""COMPUTED_VALUE"""),250.0)</f>
        <v>250</v>
      </c>
      <c r="D1718" s="1">
        <f>IFERROR(__xludf.DUMMYFUNCTION("""COMPUTED_VALUE"""),242.5)</f>
        <v>242.5</v>
      </c>
      <c r="E1718" s="1">
        <f>IFERROR(__xludf.DUMMYFUNCTION("""COMPUTED_VALUE"""),244.0)</f>
        <v>244</v>
      </c>
      <c r="F1718" s="1">
        <f>IFERROR(__xludf.DUMMYFUNCTION("""COMPUTED_VALUE"""),4219373.0)</f>
        <v>4219373</v>
      </c>
    </row>
    <row r="1719">
      <c r="A1719" s="2">
        <f>IFERROR(__xludf.DUMMYFUNCTION("""COMPUTED_VALUE"""),39037.645833333336)</f>
        <v>39037.64583</v>
      </c>
      <c r="B1719" s="1">
        <f>IFERROR(__xludf.DUMMYFUNCTION("""COMPUTED_VALUE"""),247.0)</f>
        <v>247</v>
      </c>
      <c r="C1719" s="1">
        <f>IFERROR(__xludf.DUMMYFUNCTION("""COMPUTED_VALUE"""),248.9)</f>
        <v>248.9</v>
      </c>
      <c r="D1719" s="1">
        <f>IFERROR(__xludf.DUMMYFUNCTION("""COMPUTED_VALUE"""),241.65)</f>
        <v>241.65</v>
      </c>
      <c r="E1719" s="1">
        <f>IFERROR(__xludf.DUMMYFUNCTION("""COMPUTED_VALUE"""),243.2)</f>
        <v>243.2</v>
      </c>
      <c r="F1719" s="1">
        <f>IFERROR(__xludf.DUMMYFUNCTION("""COMPUTED_VALUE"""),4198183.0)</f>
        <v>4198183</v>
      </c>
    </row>
    <row r="1720">
      <c r="A1720" s="2">
        <f>IFERROR(__xludf.DUMMYFUNCTION("""COMPUTED_VALUE"""),39038.645833333336)</f>
        <v>39038.64583</v>
      </c>
      <c r="B1720" s="1">
        <f>IFERROR(__xludf.DUMMYFUNCTION("""COMPUTED_VALUE"""),243.0)</f>
        <v>243</v>
      </c>
      <c r="C1720" s="1">
        <f>IFERROR(__xludf.DUMMYFUNCTION("""COMPUTED_VALUE"""),244.2)</f>
        <v>244.2</v>
      </c>
      <c r="D1720" s="1">
        <f>IFERROR(__xludf.DUMMYFUNCTION("""COMPUTED_VALUE"""),237.15)</f>
        <v>237.15</v>
      </c>
      <c r="E1720" s="1">
        <f>IFERROR(__xludf.DUMMYFUNCTION("""COMPUTED_VALUE"""),239.65)</f>
        <v>239.65</v>
      </c>
      <c r="F1720" s="1">
        <f>IFERROR(__xludf.DUMMYFUNCTION("""COMPUTED_VALUE"""),4022754.0)</f>
        <v>4022754</v>
      </c>
    </row>
    <row r="1721">
      <c r="A1721" s="2">
        <f>IFERROR(__xludf.DUMMYFUNCTION("""COMPUTED_VALUE"""),39041.645833333336)</f>
        <v>39041.64583</v>
      </c>
      <c r="B1721" s="1">
        <f>IFERROR(__xludf.DUMMYFUNCTION("""COMPUTED_VALUE"""),239.9)</f>
        <v>239.9</v>
      </c>
      <c r="C1721" s="1">
        <f>IFERROR(__xludf.DUMMYFUNCTION("""COMPUTED_VALUE"""),244.2)</f>
        <v>244.2</v>
      </c>
      <c r="D1721" s="1">
        <f>IFERROR(__xludf.DUMMYFUNCTION("""COMPUTED_VALUE"""),234.8)</f>
        <v>234.8</v>
      </c>
      <c r="E1721" s="1">
        <f>IFERROR(__xludf.DUMMYFUNCTION("""COMPUTED_VALUE"""),243.2)</f>
        <v>243.2</v>
      </c>
      <c r="F1721" s="1">
        <f>IFERROR(__xludf.DUMMYFUNCTION("""COMPUTED_VALUE"""),3949454.0)</f>
        <v>3949454</v>
      </c>
    </row>
    <row r="1722">
      <c r="A1722" s="2">
        <f>IFERROR(__xludf.DUMMYFUNCTION("""COMPUTED_VALUE"""),39042.645833333336)</f>
        <v>39042.64583</v>
      </c>
      <c r="B1722" s="1">
        <f>IFERROR(__xludf.DUMMYFUNCTION("""COMPUTED_VALUE"""),244.0)</f>
        <v>244</v>
      </c>
      <c r="C1722" s="1">
        <f>IFERROR(__xludf.DUMMYFUNCTION("""COMPUTED_VALUE"""),249.75)</f>
        <v>249.75</v>
      </c>
      <c r="D1722" s="1">
        <f>IFERROR(__xludf.DUMMYFUNCTION("""COMPUTED_VALUE"""),241.55)</f>
        <v>241.55</v>
      </c>
      <c r="E1722" s="1">
        <f>IFERROR(__xludf.DUMMYFUNCTION("""COMPUTED_VALUE"""),248.3)</f>
        <v>248.3</v>
      </c>
      <c r="F1722" s="1">
        <f>IFERROR(__xludf.DUMMYFUNCTION("""COMPUTED_VALUE"""),2814427.0)</f>
        <v>2814427</v>
      </c>
    </row>
    <row r="1723">
      <c r="A1723" s="2">
        <f>IFERROR(__xludf.DUMMYFUNCTION("""COMPUTED_VALUE"""),39043.645833333336)</f>
        <v>39043.64583</v>
      </c>
      <c r="B1723" s="1">
        <f>IFERROR(__xludf.DUMMYFUNCTION("""COMPUTED_VALUE"""),248.5)</f>
        <v>248.5</v>
      </c>
      <c r="C1723" s="1">
        <f>IFERROR(__xludf.DUMMYFUNCTION("""COMPUTED_VALUE"""),250.0)</f>
        <v>250</v>
      </c>
      <c r="D1723" s="1">
        <f>IFERROR(__xludf.DUMMYFUNCTION("""COMPUTED_VALUE"""),244.15)</f>
        <v>244.15</v>
      </c>
      <c r="E1723" s="1">
        <f>IFERROR(__xludf.DUMMYFUNCTION("""COMPUTED_VALUE"""),245.0)</f>
        <v>245</v>
      </c>
      <c r="F1723" s="1">
        <f>IFERROR(__xludf.DUMMYFUNCTION("""COMPUTED_VALUE"""),3076568.0)</f>
        <v>3076568</v>
      </c>
    </row>
    <row r="1724">
      <c r="A1724" s="2">
        <f>IFERROR(__xludf.DUMMYFUNCTION("""COMPUTED_VALUE"""),39044.645833333336)</f>
        <v>39044.64583</v>
      </c>
      <c r="B1724" s="1">
        <f>IFERROR(__xludf.DUMMYFUNCTION("""COMPUTED_VALUE"""),245.0)</f>
        <v>245</v>
      </c>
      <c r="C1724" s="1">
        <f>IFERROR(__xludf.DUMMYFUNCTION("""COMPUTED_VALUE"""),246.8)</f>
        <v>246.8</v>
      </c>
      <c r="D1724" s="1">
        <f>IFERROR(__xludf.DUMMYFUNCTION("""COMPUTED_VALUE"""),240.05)</f>
        <v>240.05</v>
      </c>
      <c r="E1724" s="1">
        <f>IFERROR(__xludf.DUMMYFUNCTION("""COMPUTED_VALUE"""),240.65)</f>
        <v>240.65</v>
      </c>
      <c r="F1724" s="1">
        <f>IFERROR(__xludf.DUMMYFUNCTION("""COMPUTED_VALUE"""),1915806.0)</f>
        <v>1915806</v>
      </c>
    </row>
    <row r="1725">
      <c r="A1725" s="2">
        <f>IFERROR(__xludf.DUMMYFUNCTION("""COMPUTED_VALUE"""),39045.645833333336)</f>
        <v>39045.64583</v>
      </c>
      <c r="B1725" s="1">
        <f>IFERROR(__xludf.DUMMYFUNCTION("""COMPUTED_VALUE"""),240.0)</f>
        <v>240</v>
      </c>
      <c r="C1725" s="1">
        <f>IFERROR(__xludf.DUMMYFUNCTION("""COMPUTED_VALUE"""),245.9)</f>
        <v>245.9</v>
      </c>
      <c r="D1725" s="1">
        <f>IFERROR(__xludf.DUMMYFUNCTION("""COMPUTED_VALUE"""),240.0)</f>
        <v>240</v>
      </c>
      <c r="E1725" s="1">
        <f>IFERROR(__xludf.DUMMYFUNCTION("""COMPUTED_VALUE"""),242.8)</f>
        <v>242.8</v>
      </c>
      <c r="F1725" s="1">
        <f>IFERROR(__xludf.DUMMYFUNCTION("""COMPUTED_VALUE"""),3322346.0)</f>
        <v>3322346</v>
      </c>
    </row>
    <row r="1726">
      <c r="A1726" s="2">
        <f>IFERROR(__xludf.DUMMYFUNCTION("""COMPUTED_VALUE"""),39048.645833333336)</f>
        <v>39048.64583</v>
      </c>
      <c r="B1726" s="1">
        <f>IFERROR(__xludf.DUMMYFUNCTION("""COMPUTED_VALUE"""),243.0)</f>
        <v>243</v>
      </c>
      <c r="C1726" s="1">
        <f>IFERROR(__xludf.DUMMYFUNCTION("""COMPUTED_VALUE"""),246.15)</f>
        <v>246.15</v>
      </c>
      <c r="D1726" s="1">
        <f>IFERROR(__xludf.DUMMYFUNCTION("""COMPUTED_VALUE"""),238.2)</f>
        <v>238.2</v>
      </c>
      <c r="E1726" s="1">
        <f>IFERROR(__xludf.DUMMYFUNCTION("""COMPUTED_VALUE"""),239.45)</f>
        <v>239.45</v>
      </c>
      <c r="F1726" s="1">
        <f>IFERROR(__xludf.DUMMYFUNCTION("""COMPUTED_VALUE"""),1885973.0)</f>
        <v>1885973</v>
      </c>
    </row>
    <row r="1727">
      <c r="A1727" s="2">
        <f>IFERROR(__xludf.DUMMYFUNCTION("""COMPUTED_VALUE"""),39049.645833333336)</f>
        <v>39049.64583</v>
      </c>
      <c r="B1727" s="1">
        <f>IFERROR(__xludf.DUMMYFUNCTION("""COMPUTED_VALUE"""),231.05)</f>
        <v>231.05</v>
      </c>
      <c r="C1727" s="1">
        <f>IFERROR(__xludf.DUMMYFUNCTION("""COMPUTED_VALUE"""),239.85)</f>
        <v>239.85</v>
      </c>
      <c r="D1727" s="1">
        <f>IFERROR(__xludf.DUMMYFUNCTION("""COMPUTED_VALUE"""),231.05)</f>
        <v>231.05</v>
      </c>
      <c r="E1727" s="1">
        <f>IFERROR(__xludf.DUMMYFUNCTION("""COMPUTED_VALUE"""),236.55)</f>
        <v>236.55</v>
      </c>
      <c r="F1727" s="1">
        <f>IFERROR(__xludf.DUMMYFUNCTION("""COMPUTED_VALUE"""),1808445.0)</f>
        <v>1808445</v>
      </c>
    </row>
    <row r="1728">
      <c r="A1728" s="2">
        <f>IFERROR(__xludf.DUMMYFUNCTION("""COMPUTED_VALUE"""),39050.645833333336)</f>
        <v>39050.64583</v>
      </c>
      <c r="B1728" s="1">
        <f>IFERROR(__xludf.DUMMYFUNCTION("""COMPUTED_VALUE"""),239.4)</f>
        <v>239.4</v>
      </c>
      <c r="C1728" s="1">
        <f>IFERROR(__xludf.DUMMYFUNCTION("""COMPUTED_VALUE"""),240.0)</f>
        <v>240</v>
      </c>
      <c r="D1728" s="1">
        <f>IFERROR(__xludf.DUMMYFUNCTION("""COMPUTED_VALUE"""),235.2)</f>
        <v>235.2</v>
      </c>
      <c r="E1728" s="1">
        <f>IFERROR(__xludf.DUMMYFUNCTION("""COMPUTED_VALUE"""),236.05)</f>
        <v>236.05</v>
      </c>
      <c r="F1728" s="1">
        <f>IFERROR(__xludf.DUMMYFUNCTION("""COMPUTED_VALUE"""),1856708.0)</f>
        <v>1856708</v>
      </c>
    </row>
    <row r="1729">
      <c r="A1729" s="2">
        <f>IFERROR(__xludf.DUMMYFUNCTION("""COMPUTED_VALUE"""),39051.645833333336)</f>
        <v>39051.64583</v>
      </c>
      <c r="B1729" s="1">
        <f>IFERROR(__xludf.DUMMYFUNCTION("""COMPUTED_VALUE"""),236.05)</f>
        <v>236.05</v>
      </c>
      <c r="C1729" s="1">
        <f>IFERROR(__xludf.DUMMYFUNCTION("""COMPUTED_VALUE"""),239.5)</f>
        <v>239.5</v>
      </c>
      <c r="D1729" s="1">
        <f>IFERROR(__xludf.DUMMYFUNCTION("""COMPUTED_VALUE"""),234.0)</f>
        <v>234</v>
      </c>
      <c r="E1729" s="1">
        <f>IFERROR(__xludf.DUMMYFUNCTION("""COMPUTED_VALUE"""),235.2)</f>
        <v>235.2</v>
      </c>
      <c r="F1729" s="1">
        <f>IFERROR(__xludf.DUMMYFUNCTION("""COMPUTED_VALUE"""),4839955.0)</f>
        <v>4839955</v>
      </c>
    </row>
    <row r="1730">
      <c r="A1730" s="2">
        <f>IFERROR(__xludf.DUMMYFUNCTION("""COMPUTED_VALUE"""),39052.645833333336)</f>
        <v>39052.64583</v>
      </c>
      <c r="B1730" s="1">
        <f>IFERROR(__xludf.DUMMYFUNCTION("""COMPUTED_VALUE"""),236.7)</f>
        <v>236.7</v>
      </c>
      <c r="C1730" s="1">
        <f>IFERROR(__xludf.DUMMYFUNCTION("""COMPUTED_VALUE"""),243.2)</f>
        <v>243.2</v>
      </c>
      <c r="D1730" s="1">
        <f>IFERROR(__xludf.DUMMYFUNCTION("""COMPUTED_VALUE"""),235.5)</f>
        <v>235.5</v>
      </c>
      <c r="E1730" s="1">
        <f>IFERROR(__xludf.DUMMYFUNCTION("""COMPUTED_VALUE"""),240.5)</f>
        <v>240.5</v>
      </c>
      <c r="F1730" s="1">
        <f>IFERROR(__xludf.DUMMYFUNCTION("""COMPUTED_VALUE"""),4059522.0)</f>
        <v>4059522</v>
      </c>
    </row>
    <row r="1731">
      <c r="A1731" s="2">
        <f>IFERROR(__xludf.DUMMYFUNCTION("""COMPUTED_VALUE"""),39055.645833333336)</f>
        <v>39055.64583</v>
      </c>
      <c r="B1731" s="1">
        <f>IFERROR(__xludf.DUMMYFUNCTION("""COMPUTED_VALUE"""),241.4)</f>
        <v>241.4</v>
      </c>
      <c r="C1731" s="1">
        <f>IFERROR(__xludf.DUMMYFUNCTION("""COMPUTED_VALUE"""),242.1)</f>
        <v>242.1</v>
      </c>
      <c r="D1731" s="1">
        <f>IFERROR(__xludf.DUMMYFUNCTION("""COMPUTED_VALUE"""),238.45)</f>
        <v>238.45</v>
      </c>
      <c r="E1731" s="1">
        <f>IFERROR(__xludf.DUMMYFUNCTION("""COMPUTED_VALUE"""),239.25)</f>
        <v>239.25</v>
      </c>
      <c r="F1731" s="1">
        <f>IFERROR(__xludf.DUMMYFUNCTION("""COMPUTED_VALUE"""),2218759.0)</f>
        <v>2218759</v>
      </c>
    </row>
    <row r="1732">
      <c r="A1732" s="2">
        <f>IFERROR(__xludf.DUMMYFUNCTION("""COMPUTED_VALUE"""),39056.645833333336)</f>
        <v>39056.64583</v>
      </c>
      <c r="B1732" s="1">
        <f>IFERROR(__xludf.DUMMYFUNCTION("""COMPUTED_VALUE"""),244.0)</f>
        <v>244</v>
      </c>
      <c r="C1732" s="1">
        <f>IFERROR(__xludf.DUMMYFUNCTION("""COMPUTED_VALUE"""),244.0)</f>
        <v>244</v>
      </c>
      <c r="D1732" s="1">
        <f>IFERROR(__xludf.DUMMYFUNCTION("""COMPUTED_VALUE"""),237.65)</f>
        <v>237.65</v>
      </c>
      <c r="E1732" s="1">
        <f>IFERROR(__xludf.DUMMYFUNCTION("""COMPUTED_VALUE"""),238.55)</f>
        <v>238.55</v>
      </c>
      <c r="F1732" s="1">
        <f>IFERROR(__xludf.DUMMYFUNCTION("""COMPUTED_VALUE"""),1978327.0)</f>
        <v>1978327</v>
      </c>
    </row>
    <row r="1733">
      <c r="A1733" s="2">
        <f>IFERROR(__xludf.DUMMYFUNCTION("""COMPUTED_VALUE"""),39057.645833333336)</f>
        <v>39057.64583</v>
      </c>
      <c r="B1733" s="1">
        <f>IFERROR(__xludf.DUMMYFUNCTION("""COMPUTED_VALUE"""),239.0)</f>
        <v>239</v>
      </c>
      <c r="C1733" s="1">
        <f>IFERROR(__xludf.DUMMYFUNCTION("""COMPUTED_VALUE"""),241.1)</f>
        <v>241.1</v>
      </c>
      <c r="D1733" s="1">
        <f>IFERROR(__xludf.DUMMYFUNCTION("""COMPUTED_VALUE"""),237.0)</f>
        <v>237</v>
      </c>
      <c r="E1733" s="1">
        <f>IFERROR(__xludf.DUMMYFUNCTION("""COMPUTED_VALUE"""),238.75)</f>
        <v>238.75</v>
      </c>
      <c r="F1733" s="1">
        <f>IFERROR(__xludf.DUMMYFUNCTION("""COMPUTED_VALUE"""),2497310.0)</f>
        <v>2497310</v>
      </c>
    </row>
    <row r="1734">
      <c r="A1734" s="2">
        <f>IFERROR(__xludf.DUMMYFUNCTION("""COMPUTED_VALUE"""),39058.645833333336)</f>
        <v>39058.64583</v>
      </c>
      <c r="B1734" s="1">
        <f>IFERROR(__xludf.DUMMYFUNCTION("""COMPUTED_VALUE"""),240.0)</f>
        <v>240</v>
      </c>
      <c r="C1734" s="1">
        <f>IFERROR(__xludf.DUMMYFUNCTION("""COMPUTED_VALUE"""),242.5)</f>
        <v>242.5</v>
      </c>
      <c r="D1734" s="1">
        <f>IFERROR(__xludf.DUMMYFUNCTION("""COMPUTED_VALUE"""),237.05)</f>
        <v>237.05</v>
      </c>
      <c r="E1734" s="1">
        <f>IFERROR(__xludf.DUMMYFUNCTION("""COMPUTED_VALUE"""),240.4)</f>
        <v>240.4</v>
      </c>
      <c r="F1734" s="1">
        <f>IFERROR(__xludf.DUMMYFUNCTION("""COMPUTED_VALUE"""),1843768.0)</f>
        <v>1843768</v>
      </c>
    </row>
    <row r="1735">
      <c r="A1735" s="2">
        <f>IFERROR(__xludf.DUMMYFUNCTION("""COMPUTED_VALUE"""),39059.645833333336)</f>
        <v>39059.64583</v>
      </c>
      <c r="B1735" s="1">
        <f>IFERROR(__xludf.DUMMYFUNCTION("""COMPUTED_VALUE"""),242.0)</f>
        <v>242</v>
      </c>
      <c r="C1735" s="1">
        <f>IFERROR(__xludf.DUMMYFUNCTION("""COMPUTED_VALUE"""),242.9)</f>
        <v>242.9</v>
      </c>
      <c r="D1735" s="1">
        <f>IFERROR(__xludf.DUMMYFUNCTION("""COMPUTED_VALUE"""),233.15)</f>
        <v>233.15</v>
      </c>
      <c r="E1735" s="1">
        <f>IFERROR(__xludf.DUMMYFUNCTION("""COMPUTED_VALUE"""),233.9)</f>
        <v>233.9</v>
      </c>
      <c r="F1735" s="1">
        <f>IFERROR(__xludf.DUMMYFUNCTION("""COMPUTED_VALUE"""),1958596.0)</f>
        <v>1958596</v>
      </c>
    </row>
    <row r="1736">
      <c r="A1736" s="2">
        <f>IFERROR(__xludf.DUMMYFUNCTION("""COMPUTED_VALUE"""),39062.645833333336)</f>
        <v>39062.64583</v>
      </c>
      <c r="B1736" s="1">
        <f>IFERROR(__xludf.DUMMYFUNCTION("""COMPUTED_VALUE"""),234.05)</f>
        <v>234.05</v>
      </c>
      <c r="C1736" s="1">
        <f>IFERROR(__xludf.DUMMYFUNCTION("""COMPUTED_VALUE"""),236.0)</f>
        <v>236</v>
      </c>
      <c r="D1736" s="1">
        <f>IFERROR(__xludf.DUMMYFUNCTION("""COMPUTED_VALUE"""),223.25)</f>
        <v>223.25</v>
      </c>
      <c r="E1736" s="1">
        <f>IFERROR(__xludf.DUMMYFUNCTION("""COMPUTED_VALUE"""),229.2)</f>
        <v>229.2</v>
      </c>
      <c r="F1736" s="1">
        <f>IFERROR(__xludf.DUMMYFUNCTION("""COMPUTED_VALUE"""),3079285.0)</f>
        <v>3079285</v>
      </c>
    </row>
    <row r="1737">
      <c r="A1737" s="2">
        <f>IFERROR(__xludf.DUMMYFUNCTION("""COMPUTED_VALUE"""),39063.645833333336)</f>
        <v>39063.64583</v>
      </c>
      <c r="B1737" s="1">
        <f>IFERROR(__xludf.DUMMYFUNCTION("""COMPUTED_VALUE"""),229.7)</f>
        <v>229.7</v>
      </c>
      <c r="C1737" s="1">
        <f>IFERROR(__xludf.DUMMYFUNCTION("""COMPUTED_VALUE"""),229.7)</f>
        <v>229.7</v>
      </c>
      <c r="D1737" s="1">
        <f>IFERROR(__xludf.DUMMYFUNCTION("""COMPUTED_VALUE"""),218.0)</f>
        <v>218</v>
      </c>
      <c r="E1737" s="1">
        <f>IFERROR(__xludf.DUMMYFUNCTION("""COMPUTED_VALUE"""),223.3)</f>
        <v>223.3</v>
      </c>
      <c r="F1737" s="1">
        <f>IFERROR(__xludf.DUMMYFUNCTION("""COMPUTED_VALUE"""),4901229.0)</f>
        <v>4901229</v>
      </c>
    </row>
    <row r="1738">
      <c r="A1738" s="2">
        <f>IFERROR(__xludf.DUMMYFUNCTION("""COMPUTED_VALUE"""),39064.645833333336)</f>
        <v>39064.64583</v>
      </c>
      <c r="B1738" s="1">
        <f>IFERROR(__xludf.DUMMYFUNCTION("""COMPUTED_VALUE"""),224.9)</f>
        <v>224.9</v>
      </c>
      <c r="C1738" s="1">
        <f>IFERROR(__xludf.DUMMYFUNCTION("""COMPUTED_VALUE"""),225.0)</f>
        <v>225</v>
      </c>
      <c r="D1738" s="1">
        <f>IFERROR(__xludf.DUMMYFUNCTION("""COMPUTED_VALUE"""),217.15)</f>
        <v>217.15</v>
      </c>
      <c r="E1738" s="1">
        <f>IFERROR(__xludf.DUMMYFUNCTION("""COMPUTED_VALUE"""),219.05)</f>
        <v>219.05</v>
      </c>
      <c r="F1738" s="1">
        <f>IFERROR(__xludf.DUMMYFUNCTION("""COMPUTED_VALUE"""),3585172.0)</f>
        <v>3585172</v>
      </c>
    </row>
    <row r="1739">
      <c r="A1739" s="2">
        <f>IFERROR(__xludf.DUMMYFUNCTION("""COMPUTED_VALUE"""),39065.645833333336)</f>
        <v>39065.64583</v>
      </c>
      <c r="B1739" s="1">
        <f>IFERROR(__xludf.DUMMYFUNCTION("""COMPUTED_VALUE"""),220.55)</f>
        <v>220.55</v>
      </c>
      <c r="C1739" s="1">
        <f>IFERROR(__xludf.DUMMYFUNCTION("""COMPUTED_VALUE"""),231.35)</f>
        <v>231.35</v>
      </c>
      <c r="D1739" s="1">
        <f>IFERROR(__xludf.DUMMYFUNCTION("""COMPUTED_VALUE"""),215.25)</f>
        <v>215.25</v>
      </c>
      <c r="E1739" s="1">
        <f>IFERROR(__xludf.DUMMYFUNCTION("""COMPUTED_VALUE"""),227.5)</f>
        <v>227.5</v>
      </c>
      <c r="F1739" s="1">
        <f>IFERROR(__xludf.DUMMYFUNCTION("""COMPUTED_VALUE"""),7433192.0)</f>
        <v>7433192</v>
      </c>
    </row>
    <row r="1740">
      <c r="A1740" s="2">
        <f>IFERROR(__xludf.DUMMYFUNCTION("""COMPUTED_VALUE"""),39066.645833333336)</f>
        <v>39066.64583</v>
      </c>
      <c r="B1740" s="1">
        <f>IFERROR(__xludf.DUMMYFUNCTION("""COMPUTED_VALUE"""),228.0)</f>
        <v>228</v>
      </c>
      <c r="C1740" s="1">
        <f>IFERROR(__xludf.DUMMYFUNCTION("""COMPUTED_VALUE"""),232.65)</f>
        <v>232.65</v>
      </c>
      <c r="D1740" s="1">
        <f>IFERROR(__xludf.DUMMYFUNCTION("""COMPUTED_VALUE"""),226.6)</f>
        <v>226.6</v>
      </c>
      <c r="E1740" s="1">
        <f>IFERROR(__xludf.DUMMYFUNCTION("""COMPUTED_VALUE"""),230.75)</f>
        <v>230.75</v>
      </c>
      <c r="F1740" s="1">
        <f>IFERROR(__xludf.DUMMYFUNCTION("""COMPUTED_VALUE"""),4652891.0)</f>
        <v>4652891</v>
      </c>
    </row>
    <row r="1741">
      <c r="A1741" s="2">
        <f>IFERROR(__xludf.DUMMYFUNCTION("""COMPUTED_VALUE"""),39069.645833333336)</f>
        <v>39069.64583</v>
      </c>
      <c r="B1741" s="1">
        <f>IFERROR(__xludf.DUMMYFUNCTION("""COMPUTED_VALUE"""),230.75)</f>
        <v>230.75</v>
      </c>
      <c r="C1741" s="1">
        <f>IFERROR(__xludf.DUMMYFUNCTION("""COMPUTED_VALUE"""),232.05)</f>
        <v>232.05</v>
      </c>
      <c r="D1741" s="1">
        <f>IFERROR(__xludf.DUMMYFUNCTION("""COMPUTED_VALUE"""),223.2)</f>
        <v>223.2</v>
      </c>
      <c r="E1741" s="1">
        <f>IFERROR(__xludf.DUMMYFUNCTION("""COMPUTED_VALUE"""),230.6)</f>
        <v>230.6</v>
      </c>
      <c r="F1741" s="1">
        <f>IFERROR(__xludf.DUMMYFUNCTION("""COMPUTED_VALUE"""),1988275.0)</f>
        <v>1988275</v>
      </c>
    </row>
    <row r="1742">
      <c r="A1742" s="2">
        <f>IFERROR(__xludf.DUMMYFUNCTION("""COMPUTED_VALUE"""),39070.645833333336)</f>
        <v>39070.64583</v>
      </c>
      <c r="B1742" s="1">
        <f>IFERROR(__xludf.DUMMYFUNCTION("""COMPUTED_VALUE"""),231.0)</f>
        <v>231</v>
      </c>
      <c r="C1742" s="1">
        <f>IFERROR(__xludf.DUMMYFUNCTION("""COMPUTED_VALUE"""),231.0)</f>
        <v>231</v>
      </c>
      <c r="D1742" s="1">
        <f>IFERROR(__xludf.DUMMYFUNCTION("""COMPUTED_VALUE"""),221.1)</f>
        <v>221.1</v>
      </c>
      <c r="E1742" s="1">
        <f>IFERROR(__xludf.DUMMYFUNCTION("""COMPUTED_VALUE"""),225.05)</f>
        <v>225.05</v>
      </c>
      <c r="F1742" s="1">
        <f>IFERROR(__xludf.DUMMYFUNCTION("""COMPUTED_VALUE"""),1686821.0)</f>
        <v>1686821</v>
      </c>
    </row>
    <row r="1743">
      <c r="A1743" s="2">
        <f>IFERROR(__xludf.DUMMYFUNCTION("""COMPUTED_VALUE"""),39071.645833333336)</f>
        <v>39071.64583</v>
      </c>
      <c r="B1743" s="1">
        <f>IFERROR(__xludf.DUMMYFUNCTION("""COMPUTED_VALUE"""),226.0)</f>
        <v>226</v>
      </c>
      <c r="C1743" s="1">
        <f>IFERROR(__xludf.DUMMYFUNCTION("""COMPUTED_VALUE"""),227.0)</f>
        <v>227</v>
      </c>
      <c r="D1743" s="1">
        <f>IFERROR(__xludf.DUMMYFUNCTION("""COMPUTED_VALUE"""),217.25)</f>
        <v>217.25</v>
      </c>
      <c r="E1743" s="1">
        <f>IFERROR(__xludf.DUMMYFUNCTION("""COMPUTED_VALUE"""),218.15)</f>
        <v>218.15</v>
      </c>
      <c r="F1743" s="1">
        <f>IFERROR(__xludf.DUMMYFUNCTION("""COMPUTED_VALUE"""),3913578.0)</f>
        <v>3913578</v>
      </c>
    </row>
    <row r="1744">
      <c r="A1744" s="2">
        <f>IFERROR(__xludf.DUMMYFUNCTION("""COMPUTED_VALUE"""),39072.645833333336)</f>
        <v>39072.64583</v>
      </c>
      <c r="B1744" s="1">
        <f>IFERROR(__xludf.DUMMYFUNCTION("""COMPUTED_VALUE"""),218.5)</f>
        <v>218.5</v>
      </c>
      <c r="C1744" s="1">
        <f>IFERROR(__xludf.DUMMYFUNCTION("""COMPUTED_VALUE"""),221.9)</f>
        <v>221.9</v>
      </c>
      <c r="D1744" s="1">
        <f>IFERROR(__xludf.DUMMYFUNCTION("""COMPUTED_VALUE"""),216.55)</f>
        <v>216.55</v>
      </c>
      <c r="E1744" s="1">
        <f>IFERROR(__xludf.DUMMYFUNCTION("""COMPUTED_VALUE"""),219.7)</f>
        <v>219.7</v>
      </c>
      <c r="F1744" s="1">
        <f>IFERROR(__xludf.DUMMYFUNCTION("""COMPUTED_VALUE"""),2945450.0)</f>
        <v>2945450</v>
      </c>
    </row>
    <row r="1745">
      <c r="A1745" s="2">
        <f>IFERROR(__xludf.DUMMYFUNCTION("""COMPUTED_VALUE"""),39073.645833333336)</f>
        <v>39073.64583</v>
      </c>
      <c r="B1745" s="1">
        <f>IFERROR(__xludf.DUMMYFUNCTION("""COMPUTED_VALUE"""),220.55)</f>
        <v>220.55</v>
      </c>
      <c r="C1745" s="1">
        <f>IFERROR(__xludf.DUMMYFUNCTION("""COMPUTED_VALUE"""),221.75)</f>
        <v>221.75</v>
      </c>
      <c r="D1745" s="1">
        <f>IFERROR(__xludf.DUMMYFUNCTION("""COMPUTED_VALUE"""),218.55)</f>
        <v>218.55</v>
      </c>
      <c r="E1745" s="1">
        <f>IFERROR(__xludf.DUMMYFUNCTION("""COMPUTED_VALUE"""),219.35)</f>
        <v>219.35</v>
      </c>
      <c r="F1745" s="1">
        <f>IFERROR(__xludf.DUMMYFUNCTION("""COMPUTED_VALUE"""),1907219.0)</f>
        <v>1907219</v>
      </c>
    </row>
    <row r="1746">
      <c r="A1746" s="2">
        <f>IFERROR(__xludf.DUMMYFUNCTION("""COMPUTED_VALUE"""),39077.645833333336)</f>
        <v>39077.64583</v>
      </c>
      <c r="B1746" s="1">
        <f>IFERROR(__xludf.DUMMYFUNCTION("""COMPUTED_VALUE"""),220.0)</f>
        <v>220</v>
      </c>
      <c r="C1746" s="1">
        <f>IFERROR(__xludf.DUMMYFUNCTION("""COMPUTED_VALUE"""),221.9)</f>
        <v>221.9</v>
      </c>
      <c r="D1746" s="1">
        <f>IFERROR(__xludf.DUMMYFUNCTION("""COMPUTED_VALUE"""),219.05)</f>
        <v>219.05</v>
      </c>
      <c r="E1746" s="1">
        <f>IFERROR(__xludf.DUMMYFUNCTION("""COMPUTED_VALUE"""),220.85)</f>
        <v>220.85</v>
      </c>
      <c r="F1746" s="1">
        <f>IFERROR(__xludf.DUMMYFUNCTION("""COMPUTED_VALUE"""),2463323.0)</f>
        <v>2463323</v>
      </c>
    </row>
    <row r="1747">
      <c r="A1747" s="2">
        <f>IFERROR(__xludf.DUMMYFUNCTION("""COMPUTED_VALUE"""),39078.645833333336)</f>
        <v>39078.64583</v>
      </c>
      <c r="B1747" s="1">
        <f>IFERROR(__xludf.DUMMYFUNCTION("""COMPUTED_VALUE"""),222.0)</f>
        <v>222</v>
      </c>
      <c r="C1747" s="1">
        <f>IFERROR(__xludf.DUMMYFUNCTION("""COMPUTED_VALUE"""),224.35)</f>
        <v>224.35</v>
      </c>
      <c r="D1747" s="1">
        <f>IFERROR(__xludf.DUMMYFUNCTION("""COMPUTED_VALUE"""),218.6)</f>
        <v>218.6</v>
      </c>
      <c r="E1747" s="1">
        <f>IFERROR(__xludf.DUMMYFUNCTION("""COMPUTED_VALUE"""),219.55)</f>
        <v>219.55</v>
      </c>
      <c r="F1747" s="1">
        <f>IFERROR(__xludf.DUMMYFUNCTION("""COMPUTED_VALUE"""),3122931.0)</f>
        <v>3122931</v>
      </c>
    </row>
    <row r="1748">
      <c r="A1748" s="2">
        <f>IFERROR(__xludf.DUMMYFUNCTION("""COMPUTED_VALUE"""),39079.645833333336)</f>
        <v>39079.64583</v>
      </c>
      <c r="B1748" s="1">
        <f>IFERROR(__xludf.DUMMYFUNCTION("""COMPUTED_VALUE"""),221.0)</f>
        <v>221</v>
      </c>
      <c r="C1748" s="1">
        <f>IFERROR(__xludf.DUMMYFUNCTION("""COMPUTED_VALUE"""),221.5)</f>
        <v>221.5</v>
      </c>
      <c r="D1748" s="1">
        <f>IFERROR(__xludf.DUMMYFUNCTION("""COMPUTED_VALUE"""),218.65)</f>
        <v>218.65</v>
      </c>
      <c r="E1748" s="1">
        <f>IFERROR(__xludf.DUMMYFUNCTION("""COMPUTED_VALUE"""),220.4)</f>
        <v>220.4</v>
      </c>
      <c r="F1748" s="1">
        <f>IFERROR(__xludf.DUMMYFUNCTION("""COMPUTED_VALUE"""),3354779.0)</f>
        <v>3354779</v>
      </c>
    </row>
    <row r="1749">
      <c r="A1749" s="2">
        <f>IFERROR(__xludf.DUMMYFUNCTION("""COMPUTED_VALUE"""),39080.645833333336)</f>
        <v>39080.64583</v>
      </c>
      <c r="B1749" s="1">
        <f>IFERROR(__xludf.DUMMYFUNCTION("""COMPUTED_VALUE"""),220.75)</f>
        <v>220.75</v>
      </c>
      <c r="C1749" s="1">
        <f>IFERROR(__xludf.DUMMYFUNCTION("""COMPUTED_VALUE"""),221.0)</f>
        <v>221</v>
      </c>
      <c r="D1749" s="1">
        <f>IFERROR(__xludf.DUMMYFUNCTION("""COMPUTED_VALUE"""),215.7)</f>
        <v>215.7</v>
      </c>
      <c r="E1749" s="1">
        <f>IFERROR(__xludf.DUMMYFUNCTION("""COMPUTED_VALUE"""),216.4)</f>
        <v>216.4</v>
      </c>
      <c r="F1749" s="1">
        <f>IFERROR(__xludf.DUMMYFUNCTION("""COMPUTED_VALUE"""),4701874.0)</f>
        <v>4701874</v>
      </c>
    </row>
    <row r="1750">
      <c r="A1750" s="2">
        <f>IFERROR(__xludf.DUMMYFUNCTION("""COMPUTED_VALUE"""),39084.645833333336)</f>
        <v>39084.64583</v>
      </c>
      <c r="B1750" s="1">
        <f>IFERROR(__xludf.DUMMYFUNCTION("""COMPUTED_VALUE"""),217.8)</f>
        <v>217.8</v>
      </c>
      <c r="C1750" s="1">
        <f>IFERROR(__xludf.DUMMYFUNCTION("""COMPUTED_VALUE"""),219.0)</f>
        <v>219</v>
      </c>
      <c r="D1750" s="1">
        <f>IFERROR(__xludf.DUMMYFUNCTION("""COMPUTED_VALUE"""),215.45)</f>
        <v>215.45</v>
      </c>
      <c r="E1750" s="1">
        <f>IFERROR(__xludf.DUMMYFUNCTION("""COMPUTED_VALUE"""),216.4)</f>
        <v>216.4</v>
      </c>
      <c r="F1750" s="1">
        <f>IFERROR(__xludf.DUMMYFUNCTION("""COMPUTED_VALUE"""),2626898.0)</f>
        <v>2626898</v>
      </c>
    </row>
    <row r="1751">
      <c r="A1751" s="2">
        <f>IFERROR(__xludf.DUMMYFUNCTION("""COMPUTED_VALUE"""),39085.645833333336)</f>
        <v>39085.64583</v>
      </c>
      <c r="B1751" s="1">
        <f>IFERROR(__xludf.DUMMYFUNCTION("""COMPUTED_VALUE"""),217.0)</f>
        <v>217</v>
      </c>
      <c r="C1751" s="1">
        <f>IFERROR(__xludf.DUMMYFUNCTION("""COMPUTED_VALUE"""),217.65)</f>
        <v>217.65</v>
      </c>
      <c r="D1751" s="1">
        <f>IFERROR(__xludf.DUMMYFUNCTION("""COMPUTED_VALUE"""),211.05)</f>
        <v>211.05</v>
      </c>
      <c r="E1751" s="1">
        <f>IFERROR(__xludf.DUMMYFUNCTION("""COMPUTED_VALUE"""),212.0)</f>
        <v>212</v>
      </c>
      <c r="F1751" s="1">
        <f>IFERROR(__xludf.DUMMYFUNCTION("""COMPUTED_VALUE"""),4603921.0)</f>
        <v>4603921</v>
      </c>
    </row>
    <row r="1752">
      <c r="A1752" s="2">
        <f>IFERROR(__xludf.DUMMYFUNCTION("""COMPUTED_VALUE"""),39086.645833333336)</f>
        <v>39086.64583</v>
      </c>
      <c r="B1752" s="1">
        <f>IFERROR(__xludf.DUMMYFUNCTION("""COMPUTED_VALUE"""),213.0)</f>
        <v>213</v>
      </c>
      <c r="C1752" s="1">
        <f>IFERROR(__xludf.DUMMYFUNCTION("""COMPUTED_VALUE"""),214.25)</f>
        <v>214.25</v>
      </c>
      <c r="D1752" s="1">
        <f>IFERROR(__xludf.DUMMYFUNCTION("""COMPUTED_VALUE"""),209.65)</f>
        <v>209.65</v>
      </c>
      <c r="E1752" s="1">
        <f>IFERROR(__xludf.DUMMYFUNCTION("""COMPUTED_VALUE"""),210.6)</f>
        <v>210.6</v>
      </c>
      <c r="F1752" s="1">
        <f>IFERROR(__xludf.DUMMYFUNCTION("""COMPUTED_VALUE"""),5486460.0)</f>
        <v>5486460</v>
      </c>
    </row>
    <row r="1753">
      <c r="A1753" s="2">
        <f>IFERROR(__xludf.DUMMYFUNCTION("""COMPUTED_VALUE"""),39087.645833333336)</f>
        <v>39087.64583</v>
      </c>
      <c r="B1753" s="1">
        <f>IFERROR(__xludf.DUMMYFUNCTION("""COMPUTED_VALUE"""),211.4)</f>
        <v>211.4</v>
      </c>
      <c r="C1753" s="1">
        <f>IFERROR(__xludf.DUMMYFUNCTION("""COMPUTED_VALUE"""),214.25)</f>
        <v>214.25</v>
      </c>
      <c r="D1753" s="1">
        <f>IFERROR(__xludf.DUMMYFUNCTION("""COMPUTED_VALUE"""),209.55)</f>
        <v>209.55</v>
      </c>
      <c r="E1753" s="1">
        <f>IFERROR(__xludf.DUMMYFUNCTION("""COMPUTED_VALUE"""),213.35)</f>
        <v>213.35</v>
      </c>
      <c r="F1753" s="1">
        <f>IFERROR(__xludf.DUMMYFUNCTION("""COMPUTED_VALUE"""),5706066.0)</f>
        <v>5706066</v>
      </c>
    </row>
    <row r="1754">
      <c r="A1754" s="2">
        <f>IFERROR(__xludf.DUMMYFUNCTION("""COMPUTED_VALUE"""),39090.645833333336)</f>
        <v>39090.64583</v>
      </c>
      <c r="B1754" s="1">
        <f>IFERROR(__xludf.DUMMYFUNCTION("""COMPUTED_VALUE"""),213.35)</f>
        <v>213.35</v>
      </c>
      <c r="C1754" s="1">
        <f>IFERROR(__xludf.DUMMYFUNCTION("""COMPUTED_VALUE"""),213.35)</f>
        <v>213.35</v>
      </c>
      <c r="D1754" s="1">
        <f>IFERROR(__xludf.DUMMYFUNCTION("""COMPUTED_VALUE"""),207.1)</f>
        <v>207.1</v>
      </c>
      <c r="E1754" s="1">
        <f>IFERROR(__xludf.DUMMYFUNCTION("""COMPUTED_VALUE"""),210.1)</f>
        <v>210.1</v>
      </c>
      <c r="F1754" s="1">
        <f>IFERROR(__xludf.DUMMYFUNCTION("""COMPUTED_VALUE"""),3760443.0)</f>
        <v>3760443</v>
      </c>
    </row>
    <row r="1755">
      <c r="A1755" s="2">
        <f>IFERROR(__xludf.DUMMYFUNCTION("""COMPUTED_VALUE"""),39091.645833333336)</f>
        <v>39091.64583</v>
      </c>
      <c r="B1755" s="1">
        <f>IFERROR(__xludf.DUMMYFUNCTION("""COMPUTED_VALUE"""),210.1)</f>
        <v>210.1</v>
      </c>
      <c r="C1755" s="1">
        <f>IFERROR(__xludf.DUMMYFUNCTION("""COMPUTED_VALUE"""),214.2)</f>
        <v>214.2</v>
      </c>
      <c r="D1755" s="1">
        <f>IFERROR(__xludf.DUMMYFUNCTION("""COMPUTED_VALUE"""),208.7)</f>
        <v>208.7</v>
      </c>
      <c r="E1755" s="1">
        <f>IFERROR(__xludf.DUMMYFUNCTION("""COMPUTED_VALUE"""),209.85)</f>
        <v>209.85</v>
      </c>
      <c r="F1755" s="1">
        <f>IFERROR(__xludf.DUMMYFUNCTION("""COMPUTED_VALUE"""),5474633.0)</f>
        <v>5474633</v>
      </c>
    </row>
    <row r="1756">
      <c r="A1756" s="2">
        <f>IFERROR(__xludf.DUMMYFUNCTION("""COMPUTED_VALUE"""),39092.645833333336)</f>
        <v>39092.64583</v>
      </c>
      <c r="B1756" s="1">
        <f>IFERROR(__xludf.DUMMYFUNCTION("""COMPUTED_VALUE"""),209.0)</f>
        <v>209</v>
      </c>
      <c r="C1756" s="1">
        <f>IFERROR(__xludf.DUMMYFUNCTION("""COMPUTED_VALUE"""),213.0)</f>
        <v>213</v>
      </c>
      <c r="D1756" s="1">
        <f>IFERROR(__xludf.DUMMYFUNCTION("""COMPUTED_VALUE"""),207.65)</f>
        <v>207.65</v>
      </c>
      <c r="E1756" s="1">
        <f>IFERROR(__xludf.DUMMYFUNCTION("""COMPUTED_VALUE"""),208.5)</f>
        <v>208.5</v>
      </c>
      <c r="F1756" s="1">
        <f>IFERROR(__xludf.DUMMYFUNCTION("""COMPUTED_VALUE"""),3054968.0)</f>
        <v>3054968</v>
      </c>
    </row>
    <row r="1757">
      <c r="A1757" s="2">
        <f>IFERROR(__xludf.DUMMYFUNCTION("""COMPUTED_VALUE"""),39093.645833333336)</f>
        <v>39093.64583</v>
      </c>
      <c r="B1757" s="1">
        <f>IFERROR(__xludf.DUMMYFUNCTION("""COMPUTED_VALUE"""),210.0)</f>
        <v>210</v>
      </c>
      <c r="C1757" s="1">
        <f>IFERROR(__xludf.DUMMYFUNCTION("""COMPUTED_VALUE"""),218.9)</f>
        <v>218.9</v>
      </c>
      <c r="D1757" s="1">
        <f>IFERROR(__xludf.DUMMYFUNCTION("""COMPUTED_VALUE"""),209.0)</f>
        <v>209</v>
      </c>
      <c r="E1757" s="1">
        <f>IFERROR(__xludf.DUMMYFUNCTION("""COMPUTED_VALUE"""),217.85)</f>
        <v>217.85</v>
      </c>
      <c r="F1757" s="1">
        <f>IFERROR(__xludf.DUMMYFUNCTION("""COMPUTED_VALUE"""),5407360.0)</f>
        <v>5407360</v>
      </c>
    </row>
    <row r="1758">
      <c r="A1758" s="2">
        <f>IFERROR(__xludf.DUMMYFUNCTION("""COMPUTED_VALUE"""),39094.645833333336)</f>
        <v>39094.64583</v>
      </c>
      <c r="B1758" s="1">
        <f>IFERROR(__xludf.DUMMYFUNCTION("""COMPUTED_VALUE"""),218.0)</f>
        <v>218</v>
      </c>
      <c r="C1758" s="1">
        <f>IFERROR(__xludf.DUMMYFUNCTION("""COMPUTED_VALUE"""),221.75)</f>
        <v>221.75</v>
      </c>
      <c r="D1758" s="1">
        <f>IFERROR(__xludf.DUMMYFUNCTION("""COMPUTED_VALUE"""),216.5)</f>
        <v>216.5</v>
      </c>
      <c r="E1758" s="1">
        <f>IFERROR(__xludf.DUMMYFUNCTION("""COMPUTED_VALUE"""),219.7)</f>
        <v>219.7</v>
      </c>
      <c r="F1758" s="1">
        <f>IFERROR(__xludf.DUMMYFUNCTION("""COMPUTED_VALUE"""),2856723.0)</f>
        <v>2856723</v>
      </c>
    </row>
    <row r="1759">
      <c r="A1759" s="2">
        <f>IFERROR(__xludf.DUMMYFUNCTION("""COMPUTED_VALUE"""),39097.645833333336)</f>
        <v>39097.64583</v>
      </c>
      <c r="B1759" s="1">
        <f>IFERROR(__xludf.DUMMYFUNCTION("""COMPUTED_VALUE"""),221.8)</f>
        <v>221.8</v>
      </c>
      <c r="C1759" s="1">
        <f>IFERROR(__xludf.DUMMYFUNCTION("""COMPUTED_VALUE"""),223.4)</f>
        <v>223.4</v>
      </c>
      <c r="D1759" s="1">
        <f>IFERROR(__xludf.DUMMYFUNCTION("""COMPUTED_VALUE"""),218.6)</f>
        <v>218.6</v>
      </c>
      <c r="E1759" s="1">
        <f>IFERROR(__xludf.DUMMYFUNCTION("""COMPUTED_VALUE"""),221.65)</f>
        <v>221.65</v>
      </c>
      <c r="F1759" s="1">
        <f>IFERROR(__xludf.DUMMYFUNCTION("""COMPUTED_VALUE"""),2593360.0)</f>
        <v>2593360</v>
      </c>
    </row>
    <row r="1760">
      <c r="A1760" s="2">
        <f>IFERROR(__xludf.DUMMYFUNCTION("""COMPUTED_VALUE"""),39098.645833333336)</f>
        <v>39098.64583</v>
      </c>
      <c r="B1760" s="1">
        <f>IFERROR(__xludf.DUMMYFUNCTION("""COMPUTED_VALUE"""),222.0)</f>
        <v>222</v>
      </c>
      <c r="C1760" s="1">
        <f>IFERROR(__xludf.DUMMYFUNCTION("""COMPUTED_VALUE"""),223.3)</f>
        <v>223.3</v>
      </c>
      <c r="D1760" s="1">
        <f>IFERROR(__xludf.DUMMYFUNCTION("""COMPUTED_VALUE"""),218.6)</f>
        <v>218.6</v>
      </c>
      <c r="E1760" s="1">
        <f>IFERROR(__xludf.DUMMYFUNCTION("""COMPUTED_VALUE"""),220.0)</f>
        <v>220</v>
      </c>
      <c r="F1760" s="1">
        <f>IFERROR(__xludf.DUMMYFUNCTION("""COMPUTED_VALUE"""),3063350.0)</f>
        <v>3063350</v>
      </c>
    </row>
    <row r="1761">
      <c r="A1761" s="2">
        <f>IFERROR(__xludf.DUMMYFUNCTION("""COMPUTED_VALUE"""),39099.645833333336)</f>
        <v>39099.64583</v>
      </c>
      <c r="B1761" s="1">
        <f>IFERROR(__xludf.DUMMYFUNCTION("""COMPUTED_VALUE"""),220.0)</f>
        <v>220</v>
      </c>
      <c r="C1761" s="1">
        <f>IFERROR(__xludf.DUMMYFUNCTION("""COMPUTED_VALUE"""),222.5)</f>
        <v>222.5</v>
      </c>
      <c r="D1761" s="1">
        <f>IFERROR(__xludf.DUMMYFUNCTION("""COMPUTED_VALUE"""),218.9)</f>
        <v>218.9</v>
      </c>
      <c r="E1761" s="1">
        <f>IFERROR(__xludf.DUMMYFUNCTION("""COMPUTED_VALUE"""),220.6)</f>
        <v>220.6</v>
      </c>
      <c r="F1761" s="1">
        <f>IFERROR(__xludf.DUMMYFUNCTION("""COMPUTED_VALUE"""),1289475.0)</f>
        <v>1289475</v>
      </c>
    </row>
    <row r="1762">
      <c r="A1762" s="2">
        <f>IFERROR(__xludf.DUMMYFUNCTION("""COMPUTED_VALUE"""),39100.645833333336)</f>
        <v>39100.64583</v>
      </c>
      <c r="B1762" s="1">
        <f>IFERROR(__xludf.DUMMYFUNCTION("""COMPUTED_VALUE"""),220.0)</f>
        <v>220</v>
      </c>
      <c r="C1762" s="1">
        <f>IFERROR(__xludf.DUMMYFUNCTION("""COMPUTED_VALUE"""),225.0)</f>
        <v>225</v>
      </c>
      <c r="D1762" s="1">
        <f>IFERROR(__xludf.DUMMYFUNCTION("""COMPUTED_VALUE"""),219.0)</f>
        <v>219</v>
      </c>
      <c r="E1762" s="1">
        <f>IFERROR(__xludf.DUMMYFUNCTION("""COMPUTED_VALUE"""),224.0)</f>
        <v>224</v>
      </c>
      <c r="F1762" s="1">
        <f>IFERROR(__xludf.DUMMYFUNCTION("""COMPUTED_VALUE"""),3426135.0)</f>
        <v>3426135</v>
      </c>
    </row>
    <row r="1763">
      <c r="A1763" s="2">
        <f>IFERROR(__xludf.DUMMYFUNCTION("""COMPUTED_VALUE"""),39101.645833333336)</f>
        <v>39101.64583</v>
      </c>
      <c r="B1763" s="1">
        <f>IFERROR(__xludf.DUMMYFUNCTION("""COMPUTED_VALUE"""),225.5)</f>
        <v>225.5</v>
      </c>
      <c r="C1763" s="1">
        <f>IFERROR(__xludf.DUMMYFUNCTION("""COMPUTED_VALUE"""),225.8)</f>
        <v>225.8</v>
      </c>
      <c r="D1763" s="1">
        <f>IFERROR(__xludf.DUMMYFUNCTION("""COMPUTED_VALUE"""),220.05)</f>
        <v>220.05</v>
      </c>
      <c r="E1763" s="1">
        <f>IFERROR(__xludf.DUMMYFUNCTION("""COMPUTED_VALUE"""),221.75)</f>
        <v>221.75</v>
      </c>
      <c r="F1763" s="1">
        <f>IFERROR(__xludf.DUMMYFUNCTION("""COMPUTED_VALUE"""),3008711.0)</f>
        <v>3008711</v>
      </c>
    </row>
    <row r="1764">
      <c r="A1764" s="2">
        <f>IFERROR(__xludf.DUMMYFUNCTION("""COMPUTED_VALUE"""),39104.645833333336)</f>
        <v>39104.64583</v>
      </c>
      <c r="B1764" s="1">
        <f>IFERROR(__xludf.DUMMYFUNCTION("""COMPUTED_VALUE"""),223.0)</f>
        <v>223</v>
      </c>
      <c r="C1764" s="1">
        <f>IFERROR(__xludf.DUMMYFUNCTION("""COMPUTED_VALUE"""),225.45)</f>
        <v>225.45</v>
      </c>
      <c r="D1764" s="1">
        <f>IFERROR(__xludf.DUMMYFUNCTION("""COMPUTED_VALUE"""),221.4)</f>
        <v>221.4</v>
      </c>
      <c r="E1764" s="1">
        <f>IFERROR(__xludf.DUMMYFUNCTION("""COMPUTED_VALUE"""),224.6)</f>
        <v>224.6</v>
      </c>
      <c r="F1764" s="1">
        <f>IFERROR(__xludf.DUMMYFUNCTION("""COMPUTED_VALUE"""),1891398.0)</f>
        <v>1891398</v>
      </c>
    </row>
    <row r="1765">
      <c r="A1765" s="2">
        <f>IFERROR(__xludf.DUMMYFUNCTION("""COMPUTED_VALUE"""),39105.645833333336)</f>
        <v>39105.64583</v>
      </c>
      <c r="B1765" s="1">
        <f>IFERROR(__xludf.DUMMYFUNCTION("""COMPUTED_VALUE"""),224.9)</f>
        <v>224.9</v>
      </c>
      <c r="C1765" s="1">
        <f>IFERROR(__xludf.DUMMYFUNCTION("""COMPUTED_VALUE"""),224.9)</f>
        <v>224.9</v>
      </c>
      <c r="D1765" s="1">
        <f>IFERROR(__xludf.DUMMYFUNCTION("""COMPUTED_VALUE"""),219.45)</f>
        <v>219.45</v>
      </c>
      <c r="E1765" s="1">
        <f>IFERROR(__xludf.DUMMYFUNCTION("""COMPUTED_VALUE"""),222.2)</f>
        <v>222.2</v>
      </c>
      <c r="F1765" s="1">
        <f>IFERROR(__xludf.DUMMYFUNCTION("""COMPUTED_VALUE"""),1979280.0)</f>
        <v>1979280</v>
      </c>
    </row>
    <row r="1766">
      <c r="A1766" s="2">
        <f>IFERROR(__xludf.DUMMYFUNCTION("""COMPUTED_VALUE"""),39106.645833333336)</f>
        <v>39106.64583</v>
      </c>
      <c r="B1766" s="1">
        <f>IFERROR(__xludf.DUMMYFUNCTION("""COMPUTED_VALUE"""),222.25)</f>
        <v>222.25</v>
      </c>
      <c r="C1766" s="1">
        <f>IFERROR(__xludf.DUMMYFUNCTION("""COMPUTED_VALUE"""),223.8)</f>
        <v>223.8</v>
      </c>
      <c r="D1766" s="1">
        <f>IFERROR(__xludf.DUMMYFUNCTION("""COMPUTED_VALUE"""),213.05)</f>
        <v>213.05</v>
      </c>
      <c r="E1766" s="1">
        <f>IFERROR(__xludf.DUMMYFUNCTION("""COMPUTED_VALUE"""),214.4)</f>
        <v>214.4</v>
      </c>
      <c r="F1766" s="1">
        <f>IFERROR(__xludf.DUMMYFUNCTION("""COMPUTED_VALUE"""),6151522.0)</f>
        <v>6151522</v>
      </c>
    </row>
    <row r="1767">
      <c r="A1767" s="2">
        <f>IFERROR(__xludf.DUMMYFUNCTION("""COMPUTED_VALUE"""),39107.645833333336)</f>
        <v>39107.64583</v>
      </c>
      <c r="B1767" s="1">
        <f>IFERROR(__xludf.DUMMYFUNCTION("""COMPUTED_VALUE"""),211.1)</f>
        <v>211.1</v>
      </c>
      <c r="C1767" s="1">
        <f>IFERROR(__xludf.DUMMYFUNCTION("""COMPUTED_VALUE"""),218.0)</f>
        <v>218</v>
      </c>
      <c r="D1767" s="1">
        <f>IFERROR(__xludf.DUMMYFUNCTION("""COMPUTED_VALUE"""),211.1)</f>
        <v>211.1</v>
      </c>
      <c r="E1767" s="1">
        <f>IFERROR(__xludf.DUMMYFUNCTION("""COMPUTED_VALUE"""),216.25)</f>
        <v>216.25</v>
      </c>
      <c r="F1767" s="1">
        <f>IFERROR(__xludf.DUMMYFUNCTION("""COMPUTED_VALUE"""),3554389.0)</f>
        <v>3554389</v>
      </c>
    </row>
    <row r="1768">
      <c r="A1768" s="2">
        <f>IFERROR(__xludf.DUMMYFUNCTION("""COMPUTED_VALUE"""),39111.645833333336)</f>
        <v>39111.64583</v>
      </c>
      <c r="B1768" s="1">
        <f>IFERROR(__xludf.DUMMYFUNCTION("""COMPUTED_VALUE"""),216.25)</f>
        <v>216.25</v>
      </c>
      <c r="C1768" s="1">
        <f>IFERROR(__xludf.DUMMYFUNCTION("""COMPUTED_VALUE"""),216.6)</f>
        <v>216.6</v>
      </c>
      <c r="D1768" s="1">
        <f>IFERROR(__xludf.DUMMYFUNCTION("""COMPUTED_VALUE"""),213.6)</f>
        <v>213.6</v>
      </c>
      <c r="E1768" s="1">
        <f>IFERROR(__xludf.DUMMYFUNCTION("""COMPUTED_VALUE"""),214.95)</f>
        <v>214.95</v>
      </c>
      <c r="F1768" s="1">
        <f>IFERROR(__xludf.DUMMYFUNCTION("""COMPUTED_VALUE"""),2786709.0)</f>
        <v>2786709</v>
      </c>
    </row>
    <row r="1769">
      <c r="A1769" s="2">
        <f>IFERROR(__xludf.DUMMYFUNCTION("""COMPUTED_VALUE"""),39113.645833333336)</f>
        <v>39113.64583</v>
      </c>
      <c r="B1769" s="1">
        <f>IFERROR(__xludf.DUMMYFUNCTION("""COMPUTED_VALUE"""),215.0)</f>
        <v>215</v>
      </c>
      <c r="C1769" s="1">
        <f>IFERROR(__xludf.DUMMYFUNCTION("""COMPUTED_VALUE"""),216.35)</f>
        <v>216.35</v>
      </c>
      <c r="D1769" s="1">
        <f>IFERROR(__xludf.DUMMYFUNCTION("""COMPUTED_VALUE"""),207.15)</f>
        <v>207.15</v>
      </c>
      <c r="E1769" s="1">
        <f>IFERROR(__xludf.DUMMYFUNCTION("""COMPUTED_VALUE"""),208.25)</f>
        <v>208.25</v>
      </c>
      <c r="F1769" s="1">
        <f>IFERROR(__xludf.DUMMYFUNCTION("""COMPUTED_VALUE"""),4857234.0)</f>
        <v>4857234</v>
      </c>
    </row>
    <row r="1770">
      <c r="A1770" s="2">
        <f>IFERROR(__xludf.DUMMYFUNCTION("""COMPUTED_VALUE"""),39114.645833333336)</f>
        <v>39114.64583</v>
      </c>
      <c r="B1770" s="1">
        <f>IFERROR(__xludf.DUMMYFUNCTION("""COMPUTED_VALUE"""),208.1)</f>
        <v>208.1</v>
      </c>
      <c r="C1770" s="1">
        <f>IFERROR(__xludf.DUMMYFUNCTION("""COMPUTED_VALUE"""),210.85)</f>
        <v>210.85</v>
      </c>
      <c r="D1770" s="1">
        <f>IFERROR(__xludf.DUMMYFUNCTION("""COMPUTED_VALUE"""),203.0)</f>
        <v>203</v>
      </c>
      <c r="E1770" s="1">
        <f>IFERROR(__xludf.DUMMYFUNCTION("""COMPUTED_VALUE"""),207.3)</f>
        <v>207.3</v>
      </c>
      <c r="F1770" s="1">
        <f>IFERROR(__xludf.DUMMYFUNCTION("""COMPUTED_VALUE"""),3322091.0)</f>
        <v>3322091</v>
      </c>
    </row>
    <row r="1771">
      <c r="A1771" s="2">
        <f>IFERROR(__xludf.DUMMYFUNCTION("""COMPUTED_VALUE"""),39115.645833333336)</f>
        <v>39115.64583</v>
      </c>
      <c r="B1771" s="1">
        <f>IFERROR(__xludf.DUMMYFUNCTION("""COMPUTED_VALUE"""),209.0)</f>
        <v>209</v>
      </c>
      <c r="C1771" s="1">
        <f>IFERROR(__xludf.DUMMYFUNCTION("""COMPUTED_VALUE"""),210.0)</f>
        <v>210</v>
      </c>
      <c r="D1771" s="1">
        <f>IFERROR(__xludf.DUMMYFUNCTION("""COMPUTED_VALUE"""),207.0)</f>
        <v>207</v>
      </c>
      <c r="E1771" s="1">
        <f>IFERROR(__xludf.DUMMYFUNCTION("""COMPUTED_VALUE"""),209.05)</f>
        <v>209.05</v>
      </c>
      <c r="F1771" s="1">
        <f>IFERROR(__xludf.DUMMYFUNCTION("""COMPUTED_VALUE"""),2315743.0)</f>
        <v>2315743</v>
      </c>
    </row>
    <row r="1772">
      <c r="A1772" s="2">
        <f>IFERROR(__xludf.DUMMYFUNCTION("""COMPUTED_VALUE"""),39118.645833333336)</f>
        <v>39118.64583</v>
      </c>
      <c r="B1772" s="1">
        <f>IFERROR(__xludf.DUMMYFUNCTION("""COMPUTED_VALUE"""),210.0)</f>
        <v>210</v>
      </c>
      <c r="C1772" s="1">
        <f>IFERROR(__xludf.DUMMYFUNCTION("""COMPUTED_VALUE"""),211.25)</f>
        <v>211.25</v>
      </c>
      <c r="D1772" s="1">
        <f>IFERROR(__xludf.DUMMYFUNCTION("""COMPUTED_VALUE"""),206.5)</f>
        <v>206.5</v>
      </c>
      <c r="E1772" s="1">
        <f>IFERROR(__xludf.DUMMYFUNCTION("""COMPUTED_VALUE"""),207.85)</f>
        <v>207.85</v>
      </c>
      <c r="F1772" s="1">
        <f>IFERROR(__xludf.DUMMYFUNCTION("""COMPUTED_VALUE"""),1655028.0)</f>
        <v>1655028</v>
      </c>
    </row>
    <row r="1773">
      <c r="A1773" s="2">
        <f>IFERROR(__xludf.DUMMYFUNCTION("""COMPUTED_VALUE"""),39119.645833333336)</f>
        <v>39119.64583</v>
      </c>
      <c r="B1773" s="1">
        <f>IFERROR(__xludf.DUMMYFUNCTION("""COMPUTED_VALUE"""),215.0)</f>
        <v>215</v>
      </c>
      <c r="C1773" s="1">
        <f>IFERROR(__xludf.DUMMYFUNCTION("""COMPUTED_VALUE"""),215.0)</f>
        <v>215</v>
      </c>
      <c r="D1773" s="1">
        <f>IFERROR(__xludf.DUMMYFUNCTION("""COMPUTED_VALUE"""),207.65)</f>
        <v>207.65</v>
      </c>
      <c r="E1773" s="1">
        <f>IFERROR(__xludf.DUMMYFUNCTION("""COMPUTED_VALUE"""),209.1)</f>
        <v>209.1</v>
      </c>
      <c r="F1773" s="1">
        <f>IFERROR(__xludf.DUMMYFUNCTION("""COMPUTED_VALUE"""),2821802.0)</f>
        <v>2821802</v>
      </c>
    </row>
    <row r="1774">
      <c r="A1774" s="2">
        <f>IFERROR(__xludf.DUMMYFUNCTION("""COMPUTED_VALUE"""),39120.645833333336)</f>
        <v>39120.64583</v>
      </c>
      <c r="B1774" s="1">
        <f>IFERROR(__xludf.DUMMYFUNCTION("""COMPUTED_VALUE"""),209.0)</f>
        <v>209</v>
      </c>
      <c r="C1774" s="1">
        <f>IFERROR(__xludf.DUMMYFUNCTION("""COMPUTED_VALUE"""),210.95)</f>
        <v>210.95</v>
      </c>
      <c r="D1774" s="1">
        <f>IFERROR(__xludf.DUMMYFUNCTION("""COMPUTED_VALUE"""),206.1)</f>
        <v>206.1</v>
      </c>
      <c r="E1774" s="1">
        <f>IFERROR(__xludf.DUMMYFUNCTION("""COMPUTED_VALUE"""),207.35)</f>
        <v>207.35</v>
      </c>
      <c r="F1774" s="1">
        <f>IFERROR(__xludf.DUMMYFUNCTION("""COMPUTED_VALUE"""),3195680.0)</f>
        <v>3195680</v>
      </c>
    </row>
    <row r="1775">
      <c r="A1775" s="2">
        <f>IFERROR(__xludf.DUMMYFUNCTION("""COMPUTED_VALUE"""),39121.645833333336)</f>
        <v>39121.64583</v>
      </c>
      <c r="B1775" s="1">
        <f>IFERROR(__xludf.DUMMYFUNCTION("""COMPUTED_VALUE"""),210.0)</f>
        <v>210</v>
      </c>
      <c r="C1775" s="1">
        <f>IFERROR(__xludf.DUMMYFUNCTION("""COMPUTED_VALUE"""),210.0)</f>
        <v>210</v>
      </c>
      <c r="D1775" s="1">
        <f>IFERROR(__xludf.DUMMYFUNCTION("""COMPUTED_VALUE"""),204.5)</f>
        <v>204.5</v>
      </c>
      <c r="E1775" s="1">
        <f>IFERROR(__xludf.DUMMYFUNCTION("""COMPUTED_VALUE"""),205.6)</f>
        <v>205.6</v>
      </c>
      <c r="F1775" s="1">
        <f>IFERROR(__xludf.DUMMYFUNCTION("""COMPUTED_VALUE"""),1987168.0)</f>
        <v>1987168</v>
      </c>
    </row>
    <row r="1776">
      <c r="A1776" s="2">
        <f>IFERROR(__xludf.DUMMYFUNCTION("""COMPUTED_VALUE"""),39122.645833333336)</f>
        <v>39122.64583</v>
      </c>
      <c r="B1776" s="1">
        <f>IFERROR(__xludf.DUMMYFUNCTION("""COMPUTED_VALUE"""),206.75)</f>
        <v>206.75</v>
      </c>
      <c r="C1776" s="1">
        <f>IFERROR(__xludf.DUMMYFUNCTION("""COMPUTED_VALUE"""),208.0)</f>
        <v>208</v>
      </c>
      <c r="D1776" s="1">
        <f>IFERROR(__xludf.DUMMYFUNCTION("""COMPUTED_VALUE"""),202.05)</f>
        <v>202.05</v>
      </c>
      <c r="E1776" s="1">
        <f>IFERROR(__xludf.DUMMYFUNCTION("""COMPUTED_VALUE"""),202.7)</f>
        <v>202.7</v>
      </c>
      <c r="F1776" s="1">
        <f>IFERROR(__xludf.DUMMYFUNCTION("""COMPUTED_VALUE"""),2512569.0)</f>
        <v>2512569</v>
      </c>
    </row>
    <row r="1777">
      <c r="A1777" s="2">
        <f>IFERROR(__xludf.DUMMYFUNCTION("""COMPUTED_VALUE"""),39125.645833333336)</f>
        <v>39125.64583</v>
      </c>
      <c r="B1777" s="1">
        <f>IFERROR(__xludf.DUMMYFUNCTION("""COMPUTED_VALUE"""),202.5)</f>
        <v>202.5</v>
      </c>
      <c r="C1777" s="1">
        <f>IFERROR(__xludf.DUMMYFUNCTION("""COMPUTED_VALUE"""),206.45)</f>
        <v>206.45</v>
      </c>
      <c r="D1777" s="1">
        <f>IFERROR(__xludf.DUMMYFUNCTION("""COMPUTED_VALUE"""),199.7)</f>
        <v>199.7</v>
      </c>
      <c r="E1777" s="1">
        <f>IFERROR(__xludf.DUMMYFUNCTION("""COMPUTED_VALUE"""),203.35)</f>
        <v>203.35</v>
      </c>
      <c r="F1777" s="1">
        <f>IFERROR(__xludf.DUMMYFUNCTION("""COMPUTED_VALUE"""),4083269.0)</f>
        <v>4083269</v>
      </c>
    </row>
    <row r="1778">
      <c r="A1778" s="2">
        <f>IFERROR(__xludf.DUMMYFUNCTION("""COMPUTED_VALUE"""),39126.645833333336)</f>
        <v>39126.64583</v>
      </c>
      <c r="B1778" s="1">
        <f>IFERROR(__xludf.DUMMYFUNCTION("""COMPUTED_VALUE"""),203.0)</f>
        <v>203</v>
      </c>
      <c r="C1778" s="1">
        <f>IFERROR(__xludf.DUMMYFUNCTION("""COMPUTED_VALUE"""),203.35)</f>
        <v>203.35</v>
      </c>
      <c r="D1778" s="1">
        <f>IFERROR(__xludf.DUMMYFUNCTION("""COMPUTED_VALUE"""),199.5)</f>
        <v>199.5</v>
      </c>
      <c r="E1778" s="1">
        <f>IFERROR(__xludf.DUMMYFUNCTION("""COMPUTED_VALUE"""),201.0)</f>
        <v>201</v>
      </c>
      <c r="F1778" s="1">
        <f>IFERROR(__xludf.DUMMYFUNCTION("""COMPUTED_VALUE"""),4913396.0)</f>
        <v>4913396</v>
      </c>
    </row>
    <row r="1779">
      <c r="A1779" s="2">
        <f>IFERROR(__xludf.DUMMYFUNCTION("""COMPUTED_VALUE"""),39127.645833333336)</f>
        <v>39127.64583</v>
      </c>
      <c r="B1779" s="1">
        <f>IFERROR(__xludf.DUMMYFUNCTION("""COMPUTED_VALUE"""),201.2)</f>
        <v>201.2</v>
      </c>
      <c r="C1779" s="1">
        <f>IFERROR(__xludf.DUMMYFUNCTION("""COMPUTED_VALUE"""),202.0)</f>
        <v>202</v>
      </c>
      <c r="D1779" s="1">
        <f>IFERROR(__xludf.DUMMYFUNCTION("""COMPUTED_VALUE"""),196.1)</f>
        <v>196.1</v>
      </c>
      <c r="E1779" s="1">
        <f>IFERROR(__xludf.DUMMYFUNCTION("""COMPUTED_VALUE"""),200.45)</f>
        <v>200.45</v>
      </c>
      <c r="F1779" s="1">
        <f>IFERROR(__xludf.DUMMYFUNCTION("""COMPUTED_VALUE"""),2694417.0)</f>
        <v>2694417</v>
      </c>
    </row>
    <row r="1780">
      <c r="A1780" s="2">
        <f>IFERROR(__xludf.DUMMYFUNCTION("""COMPUTED_VALUE"""),39128.645833333336)</f>
        <v>39128.64583</v>
      </c>
      <c r="B1780" s="1">
        <f>IFERROR(__xludf.DUMMYFUNCTION("""COMPUTED_VALUE"""),204.9)</f>
        <v>204.9</v>
      </c>
      <c r="C1780" s="1">
        <f>IFERROR(__xludf.DUMMYFUNCTION("""COMPUTED_VALUE"""),207.05)</f>
        <v>207.05</v>
      </c>
      <c r="D1780" s="1">
        <f>IFERROR(__xludf.DUMMYFUNCTION("""COMPUTED_VALUE"""),202.45)</f>
        <v>202.45</v>
      </c>
      <c r="E1780" s="1">
        <f>IFERROR(__xludf.DUMMYFUNCTION("""COMPUTED_VALUE"""),205.95)</f>
        <v>205.95</v>
      </c>
      <c r="F1780" s="1">
        <f>IFERROR(__xludf.DUMMYFUNCTION("""COMPUTED_VALUE"""),3852631.0)</f>
        <v>3852631</v>
      </c>
    </row>
    <row r="1781">
      <c r="A1781" s="2">
        <f>IFERROR(__xludf.DUMMYFUNCTION("""COMPUTED_VALUE"""),39132.645833333336)</f>
        <v>39132.64583</v>
      </c>
      <c r="B1781" s="1">
        <f>IFERROR(__xludf.DUMMYFUNCTION("""COMPUTED_VALUE"""),207.0)</f>
        <v>207</v>
      </c>
      <c r="C1781" s="1">
        <f>IFERROR(__xludf.DUMMYFUNCTION("""COMPUTED_VALUE"""),208.9)</f>
        <v>208.9</v>
      </c>
      <c r="D1781" s="1">
        <f>IFERROR(__xludf.DUMMYFUNCTION("""COMPUTED_VALUE"""),204.55)</f>
        <v>204.55</v>
      </c>
      <c r="E1781" s="1">
        <f>IFERROR(__xludf.DUMMYFUNCTION("""COMPUTED_VALUE"""),205.2)</f>
        <v>205.2</v>
      </c>
      <c r="F1781" s="1">
        <f>IFERROR(__xludf.DUMMYFUNCTION("""COMPUTED_VALUE"""),1977013.0)</f>
        <v>1977013</v>
      </c>
    </row>
    <row r="1782">
      <c r="A1782" s="2">
        <f>IFERROR(__xludf.DUMMYFUNCTION("""COMPUTED_VALUE"""),39133.645833333336)</f>
        <v>39133.64583</v>
      </c>
      <c r="B1782" s="1">
        <f>IFERROR(__xludf.DUMMYFUNCTION("""COMPUTED_VALUE"""),209.9)</f>
        <v>209.9</v>
      </c>
      <c r="C1782" s="1">
        <f>IFERROR(__xludf.DUMMYFUNCTION("""COMPUTED_VALUE"""),209.9)</f>
        <v>209.9</v>
      </c>
      <c r="D1782" s="1">
        <f>IFERROR(__xludf.DUMMYFUNCTION("""COMPUTED_VALUE"""),197.6)</f>
        <v>197.6</v>
      </c>
      <c r="E1782" s="1">
        <f>IFERROR(__xludf.DUMMYFUNCTION("""COMPUTED_VALUE"""),199.6)</f>
        <v>199.6</v>
      </c>
      <c r="F1782" s="1">
        <f>IFERROR(__xludf.DUMMYFUNCTION("""COMPUTED_VALUE"""),5957956.0)</f>
        <v>5957956</v>
      </c>
    </row>
    <row r="1783">
      <c r="A1783" s="2">
        <f>IFERROR(__xludf.DUMMYFUNCTION("""COMPUTED_VALUE"""),39134.645833333336)</f>
        <v>39134.64583</v>
      </c>
      <c r="B1783" s="1">
        <f>IFERROR(__xludf.DUMMYFUNCTION("""COMPUTED_VALUE"""),200.0)</f>
        <v>200</v>
      </c>
      <c r="C1783" s="1">
        <f>IFERROR(__xludf.DUMMYFUNCTION("""COMPUTED_VALUE"""),202.0)</f>
        <v>202</v>
      </c>
      <c r="D1783" s="1">
        <f>IFERROR(__xludf.DUMMYFUNCTION("""COMPUTED_VALUE"""),193.65)</f>
        <v>193.65</v>
      </c>
      <c r="E1783" s="1">
        <f>IFERROR(__xludf.DUMMYFUNCTION("""COMPUTED_VALUE"""),195.85)</f>
        <v>195.85</v>
      </c>
      <c r="F1783" s="1">
        <f>IFERROR(__xludf.DUMMYFUNCTION("""COMPUTED_VALUE"""),7375310.0)</f>
        <v>7375310</v>
      </c>
    </row>
    <row r="1784">
      <c r="A1784" s="2">
        <f>IFERROR(__xludf.DUMMYFUNCTION("""COMPUTED_VALUE"""),39135.645833333336)</f>
        <v>39135.64583</v>
      </c>
      <c r="B1784" s="1">
        <f>IFERROR(__xludf.DUMMYFUNCTION("""COMPUTED_VALUE"""),196.0)</f>
        <v>196</v>
      </c>
      <c r="C1784" s="1">
        <f>IFERROR(__xludf.DUMMYFUNCTION("""COMPUTED_VALUE"""),197.9)</f>
        <v>197.9</v>
      </c>
      <c r="D1784" s="1">
        <f>IFERROR(__xludf.DUMMYFUNCTION("""COMPUTED_VALUE"""),185.0)</f>
        <v>185</v>
      </c>
      <c r="E1784" s="1">
        <f>IFERROR(__xludf.DUMMYFUNCTION("""COMPUTED_VALUE"""),191.45)</f>
        <v>191.45</v>
      </c>
      <c r="F1784" s="1">
        <f>IFERROR(__xludf.DUMMYFUNCTION("""COMPUTED_VALUE"""),7082444.0)</f>
        <v>7082444</v>
      </c>
    </row>
    <row r="1785">
      <c r="A1785" s="2">
        <f>IFERROR(__xludf.DUMMYFUNCTION("""COMPUTED_VALUE"""),39136.645833333336)</f>
        <v>39136.64583</v>
      </c>
      <c r="B1785" s="1">
        <f>IFERROR(__xludf.DUMMYFUNCTION("""COMPUTED_VALUE"""),191.0)</f>
        <v>191</v>
      </c>
      <c r="C1785" s="1">
        <f>IFERROR(__xludf.DUMMYFUNCTION("""COMPUTED_VALUE"""),194.9)</f>
        <v>194.9</v>
      </c>
      <c r="D1785" s="1">
        <f>IFERROR(__xludf.DUMMYFUNCTION("""COMPUTED_VALUE"""),186.5)</f>
        <v>186.5</v>
      </c>
      <c r="E1785" s="1">
        <f>IFERROR(__xludf.DUMMYFUNCTION("""COMPUTED_VALUE"""),188.15)</f>
        <v>188.15</v>
      </c>
      <c r="F1785" s="1">
        <f>IFERROR(__xludf.DUMMYFUNCTION("""COMPUTED_VALUE"""),3379036.0)</f>
        <v>3379036</v>
      </c>
    </row>
    <row r="1786">
      <c r="A1786" s="2">
        <f>IFERROR(__xludf.DUMMYFUNCTION("""COMPUTED_VALUE"""),39139.645833333336)</f>
        <v>39139.64583</v>
      </c>
      <c r="B1786" s="1">
        <f>IFERROR(__xludf.DUMMYFUNCTION("""COMPUTED_VALUE"""),189.0)</f>
        <v>189</v>
      </c>
      <c r="C1786" s="1">
        <f>IFERROR(__xludf.DUMMYFUNCTION("""COMPUTED_VALUE"""),191.0)</f>
        <v>191</v>
      </c>
      <c r="D1786" s="1">
        <f>IFERROR(__xludf.DUMMYFUNCTION("""COMPUTED_VALUE"""),186.5)</f>
        <v>186.5</v>
      </c>
      <c r="E1786" s="1">
        <f>IFERROR(__xludf.DUMMYFUNCTION("""COMPUTED_VALUE"""),189.55)</f>
        <v>189.55</v>
      </c>
      <c r="F1786" s="1">
        <f>IFERROR(__xludf.DUMMYFUNCTION("""COMPUTED_VALUE"""),1634941.0)</f>
        <v>1634941</v>
      </c>
    </row>
    <row r="1787">
      <c r="A1787" s="2">
        <f>IFERROR(__xludf.DUMMYFUNCTION("""COMPUTED_VALUE"""),39140.645833333336)</f>
        <v>39140.64583</v>
      </c>
      <c r="B1787" s="1">
        <f>IFERROR(__xludf.DUMMYFUNCTION("""COMPUTED_VALUE"""),190.0)</f>
        <v>190</v>
      </c>
      <c r="C1787" s="1">
        <f>IFERROR(__xludf.DUMMYFUNCTION("""COMPUTED_VALUE"""),190.85)</f>
        <v>190.85</v>
      </c>
      <c r="D1787" s="1">
        <f>IFERROR(__xludf.DUMMYFUNCTION("""COMPUTED_VALUE"""),184.75)</f>
        <v>184.75</v>
      </c>
      <c r="E1787" s="1">
        <f>IFERROR(__xludf.DUMMYFUNCTION("""COMPUTED_VALUE"""),185.45)</f>
        <v>185.45</v>
      </c>
      <c r="F1787" s="1">
        <f>IFERROR(__xludf.DUMMYFUNCTION("""COMPUTED_VALUE"""),3554365.0)</f>
        <v>3554365</v>
      </c>
    </row>
    <row r="1788">
      <c r="A1788" s="2">
        <f>IFERROR(__xludf.DUMMYFUNCTION("""COMPUTED_VALUE"""),39141.645833333336)</f>
        <v>39141.64583</v>
      </c>
      <c r="B1788" s="1">
        <f>IFERROR(__xludf.DUMMYFUNCTION("""COMPUTED_VALUE"""),181.0)</f>
        <v>181</v>
      </c>
      <c r="C1788" s="1">
        <f>IFERROR(__xludf.DUMMYFUNCTION("""COMPUTED_VALUE"""),182.6)</f>
        <v>182.6</v>
      </c>
      <c r="D1788" s="1">
        <f>IFERROR(__xludf.DUMMYFUNCTION("""COMPUTED_VALUE"""),165.05)</f>
        <v>165.05</v>
      </c>
      <c r="E1788" s="1">
        <f>IFERROR(__xludf.DUMMYFUNCTION("""COMPUTED_VALUE"""),176.35)</f>
        <v>176.35</v>
      </c>
      <c r="F1788" s="1">
        <f>IFERROR(__xludf.DUMMYFUNCTION("""COMPUTED_VALUE"""),3696108.0)</f>
        <v>3696108</v>
      </c>
    </row>
    <row r="1789">
      <c r="A1789" s="2">
        <f>IFERROR(__xludf.DUMMYFUNCTION("""COMPUTED_VALUE"""),39142.645833333336)</f>
        <v>39142.64583</v>
      </c>
      <c r="B1789" s="1">
        <f>IFERROR(__xludf.DUMMYFUNCTION("""COMPUTED_VALUE"""),177.9)</f>
        <v>177.9</v>
      </c>
      <c r="C1789" s="1">
        <f>IFERROR(__xludf.DUMMYFUNCTION("""COMPUTED_VALUE"""),177.9)</f>
        <v>177.9</v>
      </c>
      <c r="D1789" s="1">
        <f>IFERROR(__xludf.DUMMYFUNCTION("""COMPUTED_VALUE"""),173.0)</f>
        <v>173</v>
      </c>
      <c r="E1789" s="1">
        <f>IFERROR(__xludf.DUMMYFUNCTION("""COMPUTED_VALUE"""),176.05)</f>
        <v>176.05</v>
      </c>
      <c r="F1789" s="1">
        <f>IFERROR(__xludf.DUMMYFUNCTION("""COMPUTED_VALUE"""),4539270.0)</f>
        <v>4539270</v>
      </c>
    </row>
    <row r="1790">
      <c r="A1790" s="2">
        <f>IFERROR(__xludf.DUMMYFUNCTION("""COMPUTED_VALUE"""),39143.645833333336)</f>
        <v>39143.64583</v>
      </c>
      <c r="B1790" s="1">
        <f>IFERROR(__xludf.DUMMYFUNCTION("""COMPUTED_VALUE"""),177.0)</f>
        <v>177</v>
      </c>
      <c r="C1790" s="1">
        <f>IFERROR(__xludf.DUMMYFUNCTION("""COMPUTED_VALUE"""),181.85)</f>
        <v>181.85</v>
      </c>
      <c r="D1790" s="1">
        <f>IFERROR(__xludf.DUMMYFUNCTION("""COMPUTED_VALUE"""),175.35)</f>
        <v>175.35</v>
      </c>
      <c r="E1790" s="1">
        <f>IFERROR(__xludf.DUMMYFUNCTION("""COMPUTED_VALUE"""),179.05)</f>
        <v>179.05</v>
      </c>
      <c r="F1790" s="1">
        <f>IFERROR(__xludf.DUMMYFUNCTION("""COMPUTED_VALUE"""),3389952.0)</f>
        <v>3389952</v>
      </c>
    </row>
    <row r="1791">
      <c r="A1791" s="2">
        <f>IFERROR(__xludf.DUMMYFUNCTION("""COMPUTED_VALUE"""),39146.645833333336)</f>
        <v>39146.64583</v>
      </c>
      <c r="B1791" s="1">
        <f>IFERROR(__xludf.DUMMYFUNCTION("""COMPUTED_VALUE"""),176.0)</f>
        <v>176</v>
      </c>
      <c r="C1791" s="1">
        <f>IFERROR(__xludf.DUMMYFUNCTION("""COMPUTED_VALUE"""),178.4)</f>
        <v>178.4</v>
      </c>
      <c r="D1791" s="1">
        <f>IFERROR(__xludf.DUMMYFUNCTION("""COMPUTED_VALUE"""),171.65)</f>
        <v>171.65</v>
      </c>
      <c r="E1791" s="1">
        <f>IFERROR(__xludf.DUMMYFUNCTION("""COMPUTED_VALUE"""),174.05)</f>
        <v>174.05</v>
      </c>
      <c r="F1791" s="1">
        <f>IFERROR(__xludf.DUMMYFUNCTION("""COMPUTED_VALUE"""),2845238.0)</f>
        <v>2845238</v>
      </c>
    </row>
    <row r="1792">
      <c r="A1792" s="2">
        <f>IFERROR(__xludf.DUMMYFUNCTION("""COMPUTED_VALUE"""),39147.645833333336)</f>
        <v>39147.64583</v>
      </c>
      <c r="B1792" s="1">
        <f>IFERROR(__xludf.DUMMYFUNCTION("""COMPUTED_VALUE"""),173.0)</f>
        <v>173</v>
      </c>
      <c r="C1792" s="1">
        <f>IFERROR(__xludf.DUMMYFUNCTION("""COMPUTED_VALUE"""),177.65)</f>
        <v>177.65</v>
      </c>
      <c r="D1792" s="1">
        <f>IFERROR(__xludf.DUMMYFUNCTION("""COMPUTED_VALUE"""),170.55)</f>
        <v>170.55</v>
      </c>
      <c r="E1792" s="1">
        <f>IFERROR(__xludf.DUMMYFUNCTION("""COMPUTED_VALUE"""),171.5)</f>
        <v>171.5</v>
      </c>
      <c r="F1792" s="1">
        <f>IFERROR(__xludf.DUMMYFUNCTION("""COMPUTED_VALUE"""),1976817.0)</f>
        <v>1976817</v>
      </c>
    </row>
    <row r="1793">
      <c r="A1793" s="2">
        <f>IFERROR(__xludf.DUMMYFUNCTION("""COMPUTED_VALUE"""),39148.645833333336)</f>
        <v>39148.64583</v>
      </c>
      <c r="B1793" s="1">
        <f>IFERROR(__xludf.DUMMYFUNCTION("""COMPUTED_VALUE"""),176.0)</f>
        <v>176</v>
      </c>
      <c r="C1793" s="1">
        <f>IFERROR(__xludf.DUMMYFUNCTION("""COMPUTED_VALUE"""),176.0)</f>
        <v>176</v>
      </c>
      <c r="D1793" s="1">
        <f>IFERROR(__xludf.DUMMYFUNCTION("""COMPUTED_VALUE"""),165.6)</f>
        <v>165.6</v>
      </c>
      <c r="E1793" s="1">
        <f>IFERROR(__xludf.DUMMYFUNCTION("""COMPUTED_VALUE"""),167.3)</f>
        <v>167.3</v>
      </c>
      <c r="F1793" s="1">
        <f>IFERROR(__xludf.DUMMYFUNCTION("""COMPUTED_VALUE"""),1841821.0)</f>
        <v>1841821</v>
      </c>
    </row>
    <row r="1794">
      <c r="A1794" s="2">
        <f>IFERROR(__xludf.DUMMYFUNCTION("""COMPUTED_VALUE"""),39149.645833333336)</f>
        <v>39149.64583</v>
      </c>
      <c r="B1794" s="1">
        <f>IFERROR(__xludf.DUMMYFUNCTION("""COMPUTED_VALUE"""),169.9)</f>
        <v>169.9</v>
      </c>
      <c r="C1794" s="1">
        <f>IFERROR(__xludf.DUMMYFUNCTION("""COMPUTED_VALUE"""),184.9)</f>
        <v>184.9</v>
      </c>
      <c r="D1794" s="1">
        <f>IFERROR(__xludf.DUMMYFUNCTION("""COMPUTED_VALUE"""),168.1)</f>
        <v>168.1</v>
      </c>
      <c r="E1794" s="1">
        <f>IFERROR(__xludf.DUMMYFUNCTION("""COMPUTED_VALUE"""),183.8)</f>
        <v>183.8</v>
      </c>
      <c r="F1794" s="1">
        <f>IFERROR(__xludf.DUMMYFUNCTION("""COMPUTED_VALUE"""),2320674.0)</f>
        <v>2320674</v>
      </c>
    </row>
    <row r="1795">
      <c r="A1795" s="2">
        <f>IFERROR(__xludf.DUMMYFUNCTION("""COMPUTED_VALUE"""),39150.645833333336)</f>
        <v>39150.64583</v>
      </c>
      <c r="B1795" s="1">
        <f>IFERROR(__xludf.DUMMYFUNCTION("""COMPUTED_VALUE"""),185.15)</f>
        <v>185.15</v>
      </c>
      <c r="C1795" s="1">
        <f>IFERROR(__xludf.DUMMYFUNCTION("""COMPUTED_VALUE"""),187.8)</f>
        <v>187.8</v>
      </c>
      <c r="D1795" s="1">
        <f>IFERROR(__xludf.DUMMYFUNCTION("""COMPUTED_VALUE"""),180.5)</f>
        <v>180.5</v>
      </c>
      <c r="E1795" s="1">
        <f>IFERROR(__xludf.DUMMYFUNCTION("""COMPUTED_VALUE"""),183.75)</f>
        <v>183.75</v>
      </c>
      <c r="F1795" s="1">
        <f>IFERROR(__xludf.DUMMYFUNCTION("""COMPUTED_VALUE"""),2447269.0)</f>
        <v>2447269</v>
      </c>
    </row>
    <row r="1796">
      <c r="A1796" s="2">
        <f>IFERROR(__xludf.DUMMYFUNCTION("""COMPUTED_VALUE"""),39153.645833333336)</f>
        <v>39153.64583</v>
      </c>
      <c r="B1796" s="1">
        <f>IFERROR(__xludf.DUMMYFUNCTION("""COMPUTED_VALUE"""),183.75)</f>
        <v>183.75</v>
      </c>
      <c r="C1796" s="1">
        <f>IFERROR(__xludf.DUMMYFUNCTION("""COMPUTED_VALUE"""),191.55)</f>
        <v>191.55</v>
      </c>
      <c r="D1796" s="1">
        <f>IFERROR(__xludf.DUMMYFUNCTION("""COMPUTED_VALUE"""),183.0)</f>
        <v>183</v>
      </c>
      <c r="E1796" s="1">
        <f>IFERROR(__xludf.DUMMYFUNCTION("""COMPUTED_VALUE"""),185.0)</f>
        <v>185</v>
      </c>
      <c r="F1796" s="1">
        <f>IFERROR(__xludf.DUMMYFUNCTION("""COMPUTED_VALUE"""),3072289.0)</f>
        <v>3072289</v>
      </c>
    </row>
    <row r="1797">
      <c r="A1797" s="2">
        <f>IFERROR(__xludf.DUMMYFUNCTION("""COMPUTED_VALUE"""),39154.645833333336)</f>
        <v>39154.64583</v>
      </c>
      <c r="B1797" s="1">
        <f>IFERROR(__xludf.DUMMYFUNCTION("""COMPUTED_VALUE"""),186.0)</f>
        <v>186</v>
      </c>
      <c r="C1797" s="1">
        <f>IFERROR(__xludf.DUMMYFUNCTION("""COMPUTED_VALUE"""),186.0)</f>
        <v>186</v>
      </c>
      <c r="D1797" s="1">
        <f>IFERROR(__xludf.DUMMYFUNCTION("""COMPUTED_VALUE"""),179.5)</f>
        <v>179.5</v>
      </c>
      <c r="E1797" s="1">
        <f>IFERROR(__xludf.DUMMYFUNCTION("""COMPUTED_VALUE"""),181.15)</f>
        <v>181.15</v>
      </c>
      <c r="F1797" s="1">
        <f>IFERROR(__xludf.DUMMYFUNCTION("""COMPUTED_VALUE"""),4305782.0)</f>
        <v>4305782</v>
      </c>
    </row>
    <row r="1798">
      <c r="A1798" s="2">
        <f>IFERROR(__xludf.DUMMYFUNCTION("""COMPUTED_VALUE"""),39155.645833333336)</f>
        <v>39155.64583</v>
      </c>
      <c r="B1798" s="1">
        <f>IFERROR(__xludf.DUMMYFUNCTION("""COMPUTED_VALUE"""),179.0)</f>
        <v>179</v>
      </c>
      <c r="C1798" s="1">
        <f>IFERROR(__xludf.DUMMYFUNCTION("""COMPUTED_VALUE"""),179.0)</f>
        <v>179</v>
      </c>
      <c r="D1798" s="1">
        <f>IFERROR(__xludf.DUMMYFUNCTION("""COMPUTED_VALUE"""),170.15)</f>
        <v>170.15</v>
      </c>
      <c r="E1798" s="1">
        <f>IFERROR(__xludf.DUMMYFUNCTION("""COMPUTED_VALUE"""),176.85)</f>
        <v>176.85</v>
      </c>
      <c r="F1798" s="1">
        <f>IFERROR(__xludf.DUMMYFUNCTION("""COMPUTED_VALUE"""),3839949.0)</f>
        <v>3839949</v>
      </c>
    </row>
    <row r="1799">
      <c r="A1799" s="2">
        <f>IFERROR(__xludf.DUMMYFUNCTION("""COMPUTED_VALUE"""),39156.645833333336)</f>
        <v>39156.64583</v>
      </c>
      <c r="B1799" s="1">
        <f>IFERROR(__xludf.DUMMYFUNCTION("""COMPUTED_VALUE"""),178.0)</f>
        <v>178</v>
      </c>
      <c r="C1799" s="1">
        <f>IFERROR(__xludf.DUMMYFUNCTION("""COMPUTED_VALUE"""),180.7)</f>
        <v>180.7</v>
      </c>
      <c r="D1799" s="1">
        <f>IFERROR(__xludf.DUMMYFUNCTION("""COMPUTED_VALUE"""),175.0)</f>
        <v>175</v>
      </c>
      <c r="E1799" s="1">
        <f>IFERROR(__xludf.DUMMYFUNCTION("""COMPUTED_VALUE"""),177.05)</f>
        <v>177.05</v>
      </c>
      <c r="F1799" s="1">
        <f>IFERROR(__xludf.DUMMYFUNCTION("""COMPUTED_VALUE"""),3380697.0)</f>
        <v>3380697</v>
      </c>
    </row>
    <row r="1800">
      <c r="A1800" s="2">
        <f>IFERROR(__xludf.DUMMYFUNCTION("""COMPUTED_VALUE"""),39157.645833333336)</f>
        <v>39157.64583</v>
      </c>
      <c r="B1800" s="1">
        <f>IFERROR(__xludf.DUMMYFUNCTION("""COMPUTED_VALUE"""),179.9)</f>
        <v>179.9</v>
      </c>
      <c r="C1800" s="1">
        <f>IFERROR(__xludf.DUMMYFUNCTION("""COMPUTED_VALUE"""),179.9)</f>
        <v>179.9</v>
      </c>
      <c r="D1800" s="1">
        <f>IFERROR(__xludf.DUMMYFUNCTION("""COMPUTED_VALUE"""),173.25)</f>
        <v>173.25</v>
      </c>
      <c r="E1800" s="1">
        <f>IFERROR(__xludf.DUMMYFUNCTION("""COMPUTED_VALUE"""),176.95)</f>
        <v>176.95</v>
      </c>
      <c r="F1800" s="1">
        <f>IFERROR(__xludf.DUMMYFUNCTION("""COMPUTED_VALUE"""),1493753.0)</f>
        <v>1493753</v>
      </c>
    </row>
    <row r="1801">
      <c r="A1801" s="2">
        <f>IFERROR(__xludf.DUMMYFUNCTION("""COMPUTED_VALUE"""),39160.645833333336)</f>
        <v>39160.64583</v>
      </c>
      <c r="B1801" s="1">
        <f>IFERROR(__xludf.DUMMYFUNCTION("""COMPUTED_VALUE"""),176.0)</f>
        <v>176</v>
      </c>
      <c r="C1801" s="1">
        <f>IFERROR(__xludf.DUMMYFUNCTION("""COMPUTED_VALUE"""),180.9)</f>
        <v>180.9</v>
      </c>
      <c r="D1801" s="1">
        <f>IFERROR(__xludf.DUMMYFUNCTION("""COMPUTED_VALUE"""),176.0)</f>
        <v>176</v>
      </c>
      <c r="E1801" s="1">
        <f>IFERROR(__xludf.DUMMYFUNCTION("""COMPUTED_VALUE"""),180.2)</f>
        <v>180.2</v>
      </c>
      <c r="F1801" s="1">
        <f>IFERROR(__xludf.DUMMYFUNCTION("""COMPUTED_VALUE"""),1160814.0)</f>
        <v>1160814</v>
      </c>
    </row>
    <row r="1802">
      <c r="A1802" s="2">
        <f>IFERROR(__xludf.DUMMYFUNCTION("""COMPUTED_VALUE"""),39161.645833333336)</f>
        <v>39161.64583</v>
      </c>
      <c r="B1802" s="1">
        <f>IFERROR(__xludf.DUMMYFUNCTION("""COMPUTED_VALUE"""),181.95)</f>
        <v>181.95</v>
      </c>
      <c r="C1802" s="1">
        <f>IFERROR(__xludf.DUMMYFUNCTION("""COMPUTED_VALUE"""),185.0)</f>
        <v>185</v>
      </c>
      <c r="D1802" s="1">
        <f>IFERROR(__xludf.DUMMYFUNCTION("""COMPUTED_VALUE"""),180.3)</f>
        <v>180.3</v>
      </c>
      <c r="E1802" s="1">
        <f>IFERROR(__xludf.DUMMYFUNCTION("""COMPUTED_VALUE"""),184.1)</f>
        <v>184.1</v>
      </c>
      <c r="F1802" s="1">
        <f>IFERROR(__xludf.DUMMYFUNCTION("""COMPUTED_VALUE"""),2926171.0)</f>
        <v>2926171</v>
      </c>
    </row>
    <row r="1803">
      <c r="A1803" s="2">
        <f>IFERROR(__xludf.DUMMYFUNCTION("""COMPUTED_VALUE"""),39162.645833333336)</f>
        <v>39162.64583</v>
      </c>
      <c r="B1803" s="1">
        <f>IFERROR(__xludf.DUMMYFUNCTION("""COMPUTED_VALUE"""),185.0)</f>
        <v>185</v>
      </c>
      <c r="C1803" s="1">
        <f>IFERROR(__xludf.DUMMYFUNCTION("""COMPUTED_VALUE"""),192.75)</f>
        <v>192.75</v>
      </c>
      <c r="D1803" s="1">
        <f>IFERROR(__xludf.DUMMYFUNCTION("""COMPUTED_VALUE"""),183.1)</f>
        <v>183.1</v>
      </c>
      <c r="E1803" s="1">
        <f>IFERROR(__xludf.DUMMYFUNCTION("""COMPUTED_VALUE"""),191.0)</f>
        <v>191</v>
      </c>
      <c r="F1803" s="1">
        <f>IFERROR(__xludf.DUMMYFUNCTION("""COMPUTED_VALUE"""),2501005.0)</f>
        <v>2501005</v>
      </c>
    </row>
    <row r="1804">
      <c r="A1804" s="2">
        <f>IFERROR(__xludf.DUMMYFUNCTION("""COMPUTED_VALUE"""),39163.645833333336)</f>
        <v>39163.64583</v>
      </c>
      <c r="B1804" s="1">
        <f>IFERROR(__xludf.DUMMYFUNCTION("""COMPUTED_VALUE"""),194.0)</f>
        <v>194</v>
      </c>
      <c r="C1804" s="1">
        <f>IFERROR(__xludf.DUMMYFUNCTION("""COMPUTED_VALUE"""),199.95)</f>
        <v>199.95</v>
      </c>
      <c r="D1804" s="1">
        <f>IFERROR(__xludf.DUMMYFUNCTION("""COMPUTED_VALUE"""),194.0)</f>
        <v>194</v>
      </c>
      <c r="E1804" s="1">
        <f>IFERROR(__xludf.DUMMYFUNCTION("""COMPUTED_VALUE"""),196.7)</f>
        <v>196.7</v>
      </c>
      <c r="F1804" s="1">
        <f>IFERROR(__xludf.DUMMYFUNCTION("""COMPUTED_VALUE"""),5254423.0)</f>
        <v>5254423</v>
      </c>
    </row>
    <row r="1805">
      <c r="A1805" s="2">
        <f>IFERROR(__xludf.DUMMYFUNCTION("""COMPUTED_VALUE"""),39164.645833333336)</f>
        <v>39164.64583</v>
      </c>
      <c r="B1805" s="1">
        <f>IFERROR(__xludf.DUMMYFUNCTION("""COMPUTED_VALUE"""),195.0)</f>
        <v>195</v>
      </c>
      <c r="C1805" s="1">
        <f>IFERROR(__xludf.DUMMYFUNCTION("""COMPUTED_VALUE"""),200.0)</f>
        <v>200</v>
      </c>
      <c r="D1805" s="1">
        <f>IFERROR(__xludf.DUMMYFUNCTION("""COMPUTED_VALUE"""),194.2)</f>
        <v>194.2</v>
      </c>
      <c r="E1805" s="1">
        <f>IFERROR(__xludf.DUMMYFUNCTION("""COMPUTED_VALUE"""),198.55)</f>
        <v>198.55</v>
      </c>
      <c r="F1805" s="1">
        <f>IFERROR(__xludf.DUMMYFUNCTION("""COMPUTED_VALUE"""),3611678.0)</f>
        <v>3611678</v>
      </c>
    </row>
    <row r="1806">
      <c r="A1806" s="2">
        <f>IFERROR(__xludf.DUMMYFUNCTION("""COMPUTED_VALUE"""),39167.645833333336)</f>
        <v>39167.64583</v>
      </c>
      <c r="B1806" s="1">
        <f>IFERROR(__xludf.DUMMYFUNCTION("""COMPUTED_VALUE"""),203.9)</f>
        <v>203.9</v>
      </c>
      <c r="C1806" s="1">
        <f>IFERROR(__xludf.DUMMYFUNCTION("""COMPUTED_VALUE"""),203.9)</f>
        <v>203.9</v>
      </c>
      <c r="D1806" s="1">
        <f>IFERROR(__xludf.DUMMYFUNCTION("""COMPUTED_VALUE"""),196.25)</f>
        <v>196.25</v>
      </c>
      <c r="E1806" s="1">
        <f>IFERROR(__xludf.DUMMYFUNCTION("""COMPUTED_VALUE"""),198.1)</f>
        <v>198.1</v>
      </c>
      <c r="F1806" s="1">
        <f>IFERROR(__xludf.DUMMYFUNCTION("""COMPUTED_VALUE"""),3679937.0)</f>
        <v>3679937</v>
      </c>
    </row>
    <row r="1807">
      <c r="A1807" s="2">
        <f>IFERROR(__xludf.DUMMYFUNCTION("""COMPUTED_VALUE"""),39169.645833333336)</f>
        <v>39169.64583</v>
      </c>
      <c r="B1807" s="1">
        <f>IFERROR(__xludf.DUMMYFUNCTION("""COMPUTED_VALUE"""),198.0)</f>
        <v>198</v>
      </c>
      <c r="C1807" s="1">
        <f>IFERROR(__xludf.DUMMYFUNCTION("""COMPUTED_VALUE"""),200.35)</f>
        <v>200.35</v>
      </c>
      <c r="D1807" s="1">
        <f>IFERROR(__xludf.DUMMYFUNCTION("""COMPUTED_VALUE"""),194.65)</f>
        <v>194.65</v>
      </c>
      <c r="E1807" s="1">
        <f>IFERROR(__xludf.DUMMYFUNCTION("""COMPUTED_VALUE"""),197.65)</f>
        <v>197.65</v>
      </c>
      <c r="F1807" s="1">
        <f>IFERROR(__xludf.DUMMYFUNCTION("""COMPUTED_VALUE"""),5051269.0)</f>
        <v>5051269</v>
      </c>
    </row>
    <row r="1808">
      <c r="A1808" s="2">
        <f>IFERROR(__xludf.DUMMYFUNCTION("""COMPUTED_VALUE"""),39170.645833333336)</f>
        <v>39170.64583</v>
      </c>
      <c r="B1808" s="1">
        <f>IFERROR(__xludf.DUMMYFUNCTION("""COMPUTED_VALUE"""),198.9)</f>
        <v>198.9</v>
      </c>
      <c r="C1808" s="1">
        <f>IFERROR(__xludf.DUMMYFUNCTION("""COMPUTED_VALUE"""),208.25)</f>
        <v>208.25</v>
      </c>
      <c r="D1808" s="1">
        <f>IFERROR(__xludf.DUMMYFUNCTION("""COMPUTED_VALUE"""),197.0)</f>
        <v>197</v>
      </c>
      <c r="E1808" s="1">
        <f>IFERROR(__xludf.DUMMYFUNCTION("""COMPUTED_VALUE"""),205.0)</f>
        <v>205</v>
      </c>
      <c r="F1808" s="1">
        <f>IFERROR(__xludf.DUMMYFUNCTION("""COMPUTED_VALUE"""),5561716.0)</f>
        <v>5561716</v>
      </c>
    </row>
    <row r="1809">
      <c r="A1809" s="2">
        <f>IFERROR(__xludf.DUMMYFUNCTION("""COMPUTED_VALUE"""),39171.645833333336)</f>
        <v>39171.64583</v>
      </c>
      <c r="B1809" s="1">
        <f>IFERROR(__xludf.DUMMYFUNCTION("""COMPUTED_VALUE"""),205.0)</f>
        <v>205</v>
      </c>
      <c r="C1809" s="1">
        <f>IFERROR(__xludf.DUMMYFUNCTION("""COMPUTED_VALUE"""),206.5)</f>
        <v>206.5</v>
      </c>
      <c r="D1809" s="1">
        <f>IFERROR(__xludf.DUMMYFUNCTION("""COMPUTED_VALUE"""),199.0)</f>
        <v>199</v>
      </c>
      <c r="E1809" s="1">
        <f>IFERROR(__xludf.DUMMYFUNCTION("""COMPUTED_VALUE"""),205.2)</f>
        <v>205.2</v>
      </c>
      <c r="F1809" s="1">
        <f>IFERROR(__xludf.DUMMYFUNCTION("""COMPUTED_VALUE"""),6419981.0)</f>
        <v>6419981</v>
      </c>
    </row>
    <row r="1810">
      <c r="A1810" s="2">
        <f>IFERROR(__xludf.DUMMYFUNCTION("""COMPUTED_VALUE"""),39174.645833333336)</f>
        <v>39174.64583</v>
      </c>
      <c r="B1810" s="1">
        <f>IFERROR(__xludf.DUMMYFUNCTION("""COMPUTED_VALUE"""),202.0)</f>
        <v>202</v>
      </c>
      <c r="C1810" s="1">
        <f>IFERROR(__xludf.DUMMYFUNCTION("""COMPUTED_VALUE"""),204.0)</f>
        <v>204</v>
      </c>
      <c r="D1810" s="1">
        <f>IFERROR(__xludf.DUMMYFUNCTION("""COMPUTED_VALUE"""),193.6)</f>
        <v>193.6</v>
      </c>
      <c r="E1810" s="1">
        <f>IFERROR(__xludf.DUMMYFUNCTION("""COMPUTED_VALUE"""),195.7)</f>
        <v>195.7</v>
      </c>
      <c r="F1810" s="1">
        <f>IFERROR(__xludf.DUMMYFUNCTION("""COMPUTED_VALUE"""),2708851.0)</f>
        <v>2708851</v>
      </c>
    </row>
    <row r="1811">
      <c r="A1811" s="2">
        <f>IFERROR(__xludf.DUMMYFUNCTION("""COMPUTED_VALUE"""),39175.645833333336)</f>
        <v>39175.64583</v>
      </c>
      <c r="B1811" s="1">
        <f>IFERROR(__xludf.DUMMYFUNCTION("""COMPUTED_VALUE"""),195.7)</f>
        <v>195.7</v>
      </c>
      <c r="C1811" s="1">
        <f>IFERROR(__xludf.DUMMYFUNCTION("""COMPUTED_VALUE"""),201.65)</f>
        <v>201.65</v>
      </c>
      <c r="D1811" s="1">
        <f>IFERROR(__xludf.DUMMYFUNCTION("""COMPUTED_VALUE"""),194.15)</f>
        <v>194.15</v>
      </c>
      <c r="E1811" s="1">
        <f>IFERROR(__xludf.DUMMYFUNCTION("""COMPUTED_VALUE"""),200.2)</f>
        <v>200.2</v>
      </c>
      <c r="F1811" s="1">
        <f>IFERROR(__xludf.DUMMYFUNCTION("""COMPUTED_VALUE"""),3157465.0)</f>
        <v>3157465</v>
      </c>
    </row>
    <row r="1812">
      <c r="A1812" s="2">
        <f>IFERROR(__xludf.DUMMYFUNCTION("""COMPUTED_VALUE"""),39176.645833333336)</f>
        <v>39176.64583</v>
      </c>
      <c r="B1812" s="1">
        <f>IFERROR(__xludf.DUMMYFUNCTION("""COMPUTED_VALUE"""),200.0)</f>
        <v>200</v>
      </c>
      <c r="C1812" s="1">
        <f>IFERROR(__xludf.DUMMYFUNCTION("""COMPUTED_VALUE"""),202.9)</f>
        <v>202.9</v>
      </c>
      <c r="D1812" s="1">
        <f>IFERROR(__xludf.DUMMYFUNCTION("""COMPUTED_VALUE"""),195.55)</f>
        <v>195.55</v>
      </c>
      <c r="E1812" s="1">
        <f>IFERROR(__xludf.DUMMYFUNCTION("""COMPUTED_VALUE"""),197.8)</f>
        <v>197.8</v>
      </c>
      <c r="F1812" s="1">
        <f>IFERROR(__xludf.DUMMYFUNCTION("""COMPUTED_VALUE"""),3460603.0)</f>
        <v>3460603</v>
      </c>
    </row>
    <row r="1813">
      <c r="A1813" s="2">
        <f>IFERROR(__xludf.DUMMYFUNCTION("""COMPUTED_VALUE"""),39177.645833333336)</f>
        <v>39177.64583</v>
      </c>
      <c r="B1813" s="1">
        <f>IFERROR(__xludf.DUMMYFUNCTION("""COMPUTED_VALUE"""),197.0)</f>
        <v>197</v>
      </c>
      <c r="C1813" s="1">
        <f>IFERROR(__xludf.DUMMYFUNCTION("""COMPUTED_VALUE"""),203.35)</f>
        <v>203.35</v>
      </c>
      <c r="D1813" s="1">
        <f>IFERROR(__xludf.DUMMYFUNCTION("""COMPUTED_VALUE"""),196.5)</f>
        <v>196.5</v>
      </c>
      <c r="E1813" s="1">
        <f>IFERROR(__xludf.DUMMYFUNCTION("""COMPUTED_VALUE"""),200.0)</f>
        <v>200</v>
      </c>
      <c r="F1813" s="1">
        <f>IFERROR(__xludf.DUMMYFUNCTION("""COMPUTED_VALUE"""),4437311.0)</f>
        <v>4437311</v>
      </c>
    </row>
    <row r="1814">
      <c r="A1814" s="2">
        <f>IFERROR(__xludf.DUMMYFUNCTION("""COMPUTED_VALUE"""),39181.645833333336)</f>
        <v>39181.64583</v>
      </c>
      <c r="B1814" s="1">
        <f>IFERROR(__xludf.DUMMYFUNCTION("""COMPUTED_VALUE"""),200.1)</f>
        <v>200.1</v>
      </c>
      <c r="C1814" s="1">
        <f>IFERROR(__xludf.DUMMYFUNCTION("""COMPUTED_VALUE"""),206.2)</f>
        <v>206.2</v>
      </c>
      <c r="D1814" s="1">
        <f>IFERROR(__xludf.DUMMYFUNCTION("""COMPUTED_VALUE"""),199.9)</f>
        <v>199.9</v>
      </c>
      <c r="E1814" s="1">
        <f>IFERROR(__xludf.DUMMYFUNCTION("""COMPUTED_VALUE"""),204.65)</f>
        <v>204.65</v>
      </c>
      <c r="F1814" s="1">
        <f>IFERROR(__xludf.DUMMYFUNCTION("""COMPUTED_VALUE"""),3916405.0)</f>
        <v>3916405</v>
      </c>
    </row>
    <row r="1815">
      <c r="A1815" s="2">
        <f>IFERROR(__xludf.DUMMYFUNCTION("""COMPUTED_VALUE"""),39182.645833333336)</f>
        <v>39182.64583</v>
      </c>
      <c r="B1815" s="1">
        <f>IFERROR(__xludf.DUMMYFUNCTION("""COMPUTED_VALUE"""),205.1)</f>
        <v>205.1</v>
      </c>
      <c r="C1815" s="1">
        <f>IFERROR(__xludf.DUMMYFUNCTION("""COMPUTED_VALUE"""),209.7)</f>
        <v>209.7</v>
      </c>
      <c r="D1815" s="1">
        <f>IFERROR(__xludf.DUMMYFUNCTION("""COMPUTED_VALUE"""),204.05)</f>
        <v>204.05</v>
      </c>
      <c r="E1815" s="1">
        <f>IFERROR(__xludf.DUMMYFUNCTION("""COMPUTED_VALUE"""),208.75)</f>
        <v>208.75</v>
      </c>
      <c r="F1815" s="1">
        <f>IFERROR(__xludf.DUMMYFUNCTION("""COMPUTED_VALUE"""),1800390.0)</f>
        <v>1800390</v>
      </c>
    </row>
    <row r="1816">
      <c r="A1816" s="2">
        <f>IFERROR(__xludf.DUMMYFUNCTION("""COMPUTED_VALUE"""),39183.645833333336)</f>
        <v>39183.64583</v>
      </c>
      <c r="B1816" s="1">
        <f>IFERROR(__xludf.DUMMYFUNCTION("""COMPUTED_VALUE"""),208.5)</f>
        <v>208.5</v>
      </c>
      <c r="C1816" s="1">
        <f>IFERROR(__xludf.DUMMYFUNCTION("""COMPUTED_VALUE"""),209.0)</f>
        <v>209</v>
      </c>
      <c r="D1816" s="1">
        <f>IFERROR(__xludf.DUMMYFUNCTION("""COMPUTED_VALUE"""),202.7)</f>
        <v>202.7</v>
      </c>
      <c r="E1816" s="1">
        <f>IFERROR(__xludf.DUMMYFUNCTION("""COMPUTED_VALUE"""),205.65)</f>
        <v>205.65</v>
      </c>
      <c r="F1816" s="1">
        <f>IFERROR(__xludf.DUMMYFUNCTION("""COMPUTED_VALUE"""),1863843.0)</f>
        <v>1863843</v>
      </c>
    </row>
    <row r="1817">
      <c r="A1817" s="2">
        <f>IFERROR(__xludf.DUMMYFUNCTION("""COMPUTED_VALUE"""),39184.645833333336)</f>
        <v>39184.64583</v>
      </c>
      <c r="B1817" s="1">
        <f>IFERROR(__xludf.DUMMYFUNCTION("""COMPUTED_VALUE"""),205.65)</f>
        <v>205.65</v>
      </c>
      <c r="C1817" s="1">
        <f>IFERROR(__xludf.DUMMYFUNCTION("""COMPUTED_VALUE"""),209.0)</f>
        <v>209</v>
      </c>
      <c r="D1817" s="1">
        <f>IFERROR(__xludf.DUMMYFUNCTION("""COMPUTED_VALUE"""),202.5)</f>
        <v>202.5</v>
      </c>
      <c r="E1817" s="1">
        <f>IFERROR(__xludf.DUMMYFUNCTION("""COMPUTED_VALUE"""),207.85)</f>
        <v>207.85</v>
      </c>
      <c r="F1817" s="1">
        <f>IFERROR(__xludf.DUMMYFUNCTION("""COMPUTED_VALUE"""),1739186.0)</f>
        <v>1739186</v>
      </c>
    </row>
    <row r="1818">
      <c r="A1818" s="2">
        <f>IFERROR(__xludf.DUMMYFUNCTION("""COMPUTED_VALUE"""),39185.645833333336)</f>
        <v>39185.64583</v>
      </c>
      <c r="B1818" s="1">
        <f>IFERROR(__xludf.DUMMYFUNCTION("""COMPUTED_VALUE"""),208.0)</f>
        <v>208</v>
      </c>
      <c r="C1818" s="1">
        <f>IFERROR(__xludf.DUMMYFUNCTION("""COMPUTED_VALUE"""),210.0)</f>
        <v>210</v>
      </c>
      <c r="D1818" s="1">
        <f>IFERROR(__xludf.DUMMYFUNCTION("""COMPUTED_VALUE"""),205.1)</f>
        <v>205.1</v>
      </c>
      <c r="E1818" s="1">
        <f>IFERROR(__xludf.DUMMYFUNCTION("""COMPUTED_VALUE"""),206.7)</f>
        <v>206.7</v>
      </c>
      <c r="F1818" s="1">
        <f>IFERROR(__xludf.DUMMYFUNCTION("""COMPUTED_VALUE"""),1724842.0)</f>
        <v>1724842</v>
      </c>
    </row>
    <row r="1819">
      <c r="A1819" s="2">
        <f>IFERROR(__xludf.DUMMYFUNCTION("""COMPUTED_VALUE"""),39188.645833333336)</f>
        <v>39188.64583</v>
      </c>
      <c r="B1819" s="1">
        <f>IFERROR(__xludf.DUMMYFUNCTION("""COMPUTED_VALUE"""),208.7)</f>
        <v>208.7</v>
      </c>
      <c r="C1819" s="1">
        <f>IFERROR(__xludf.DUMMYFUNCTION("""COMPUTED_VALUE"""),214.1)</f>
        <v>214.1</v>
      </c>
      <c r="D1819" s="1">
        <f>IFERROR(__xludf.DUMMYFUNCTION("""COMPUTED_VALUE"""),207.2)</f>
        <v>207.2</v>
      </c>
      <c r="E1819" s="1">
        <f>IFERROR(__xludf.DUMMYFUNCTION("""COMPUTED_VALUE"""),213.6)</f>
        <v>213.6</v>
      </c>
      <c r="F1819" s="1">
        <f>IFERROR(__xludf.DUMMYFUNCTION("""COMPUTED_VALUE"""),2298448.0)</f>
        <v>2298448</v>
      </c>
    </row>
    <row r="1820">
      <c r="A1820" s="2">
        <f>IFERROR(__xludf.DUMMYFUNCTION("""COMPUTED_VALUE"""),39189.645833333336)</f>
        <v>39189.64583</v>
      </c>
      <c r="B1820" s="1">
        <f>IFERROR(__xludf.DUMMYFUNCTION("""COMPUTED_VALUE"""),215.0)</f>
        <v>215</v>
      </c>
      <c r="C1820" s="1">
        <f>IFERROR(__xludf.DUMMYFUNCTION("""COMPUTED_VALUE"""),215.8)</f>
        <v>215.8</v>
      </c>
      <c r="D1820" s="1">
        <f>IFERROR(__xludf.DUMMYFUNCTION("""COMPUTED_VALUE"""),211.05)</f>
        <v>211.05</v>
      </c>
      <c r="E1820" s="1">
        <f>IFERROR(__xludf.DUMMYFUNCTION("""COMPUTED_VALUE"""),211.7)</f>
        <v>211.7</v>
      </c>
      <c r="F1820" s="1">
        <f>IFERROR(__xludf.DUMMYFUNCTION("""COMPUTED_VALUE"""),2218055.0)</f>
        <v>2218055</v>
      </c>
    </row>
    <row r="1821">
      <c r="A1821" s="2">
        <f>IFERROR(__xludf.DUMMYFUNCTION("""COMPUTED_VALUE"""),39190.645833333336)</f>
        <v>39190.64583</v>
      </c>
      <c r="B1821" s="1">
        <f>IFERROR(__xludf.DUMMYFUNCTION("""COMPUTED_VALUE"""),212.35)</f>
        <v>212.35</v>
      </c>
      <c r="C1821" s="1">
        <f>IFERROR(__xludf.DUMMYFUNCTION("""COMPUTED_VALUE"""),214.5)</f>
        <v>214.5</v>
      </c>
      <c r="D1821" s="1">
        <f>IFERROR(__xludf.DUMMYFUNCTION("""COMPUTED_VALUE"""),207.15)</f>
        <v>207.15</v>
      </c>
      <c r="E1821" s="1">
        <f>IFERROR(__xludf.DUMMYFUNCTION("""COMPUTED_VALUE"""),208.15)</f>
        <v>208.15</v>
      </c>
      <c r="F1821" s="1">
        <f>IFERROR(__xludf.DUMMYFUNCTION("""COMPUTED_VALUE"""),1095823.0)</f>
        <v>1095823</v>
      </c>
    </row>
    <row r="1822">
      <c r="A1822" s="2">
        <f>IFERROR(__xludf.DUMMYFUNCTION("""COMPUTED_VALUE"""),39191.645833333336)</f>
        <v>39191.64583</v>
      </c>
      <c r="B1822" s="1">
        <f>IFERROR(__xludf.DUMMYFUNCTION("""COMPUTED_VALUE"""),207.0)</f>
        <v>207</v>
      </c>
      <c r="C1822" s="1">
        <f>IFERROR(__xludf.DUMMYFUNCTION("""COMPUTED_VALUE"""),207.95)</f>
        <v>207.95</v>
      </c>
      <c r="D1822" s="1">
        <f>IFERROR(__xludf.DUMMYFUNCTION("""COMPUTED_VALUE"""),204.0)</f>
        <v>204</v>
      </c>
      <c r="E1822" s="1">
        <f>IFERROR(__xludf.DUMMYFUNCTION("""COMPUTED_VALUE"""),207.05)</f>
        <v>207.05</v>
      </c>
      <c r="F1822" s="1">
        <f>IFERROR(__xludf.DUMMYFUNCTION("""COMPUTED_VALUE"""),2600964.0)</f>
        <v>2600964</v>
      </c>
    </row>
    <row r="1823">
      <c r="A1823" s="2">
        <f>IFERROR(__xludf.DUMMYFUNCTION("""COMPUTED_VALUE"""),39192.645833333336)</f>
        <v>39192.64583</v>
      </c>
      <c r="B1823" s="1">
        <f>IFERROR(__xludf.DUMMYFUNCTION("""COMPUTED_VALUE"""),206.85)</f>
        <v>206.85</v>
      </c>
      <c r="C1823" s="1">
        <f>IFERROR(__xludf.DUMMYFUNCTION("""COMPUTED_VALUE"""),209.3)</f>
        <v>209.3</v>
      </c>
      <c r="D1823" s="1">
        <f>IFERROR(__xludf.DUMMYFUNCTION("""COMPUTED_VALUE"""),204.5)</f>
        <v>204.5</v>
      </c>
      <c r="E1823" s="1">
        <f>IFERROR(__xludf.DUMMYFUNCTION("""COMPUTED_VALUE"""),205.35)</f>
        <v>205.35</v>
      </c>
      <c r="F1823" s="1">
        <f>IFERROR(__xludf.DUMMYFUNCTION("""COMPUTED_VALUE"""),1964981.0)</f>
        <v>1964981</v>
      </c>
    </row>
    <row r="1824">
      <c r="A1824" s="2">
        <f>IFERROR(__xludf.DUMMYFUNCTION("""COMPUTED_VALUE"""),39195.645833333336)</f>
        <v>39195.64583</v>
      </c>
      <c r="B1824" s="1">
        <f>IFERROR(__xludf.DUMMYFUNCTION("""COMPUTED_VALUE"""),206.2)</f>
        <v>206.2</v>
      </c>
      <c r="C1824" s="1">
        <f>IFERROR(__xludf.DUMMYFUNCTION("""COMPUTED_VALUE"""),207.95)</f>
        <v>207.95</v>
      </c>
      <c r="D1824" s="1">
        <f>IFERROR(__xludf.DUMMYFUNCTION("""COMPUTED_VALUE"""),201.2)</f>
        <v>201.2</v>
      </c>
      <c r="E1824" s="1">
        <f>IFERROR(__xludf.DUMMYFUNCTION("""COMPUTED_VALUE"""),202.3)</f>
        <v>202.3</v>
      </c>
      <c r="F1824" s="1">
        <f>IFERROR(__xludf.DUMMYFUNCTION("""COMPUTED_VALUE"""),2401381.0)</f>
        <v>2401381</v>
      </c>
    </row>
    <row r="1825">
      <c r="A1825" s="2">
        <f>IFERROR(__xludf.DUMMYFUNCTION("""COMPUTED_VALUE"""),39196.645833333336)</f>
        <v>39196.64583</v>
      </c>
      <c r="B1825" s="1">
        <f>IFERROR(__xludf.DUMMYFUNCTION("""COMPUTED_VALUE"""),201.75)</f>
        <v>201.75</v>
      </c>
      <c r="C1825" s="1">
        <f>IFERROR(__xludf.DUMMYFUNCTION("""COMPUTED_VALUE"""),209.25)</f>
        <v>209.25</v>
      </c>
      <c r="D1825" s="1">
        <f>IFERROR(__xludf.DUMMYFUNCTION("""COMPUTED_VALUE"""),201.75)</f>
        <v>201.75</v>
      </c>
      <c r="E1825" s="1">
        <f>IFERROR(__xludf.DUMMYFUNCTION("""COMPUTED_VALUE"""),208.15)</f>
        <v>208.15</v>
      </c>
      <c r="F1825" s="1">
        <f>IFERROR(__xludf.DUMMYFUNCTION("""COMPUTED_VALUE"""),2033100.0)</f>
        <v>2033100</v>
      </c>
    </row>
    <row r="1826">
      <c r="A1826" s="2">
        <f>IFERROR(__xludf.DUMMYFUNCTION("""COMPUTED_VALUE"""),39197.645833333336)</f>
        <v>39197.64583</v>
      </c>
      <c r="B1826" s="1">
        <f>IFERROR(__xludf.DUMMYFUNCTION("""COMPUTED_VALUE"""),208.1)</f>
        <v>208.1</v>
      </c>
      <c r="C1826" s="1">
        <f>IFERROR(__xludf.DUMMYFUNCTION("""COMPUTED_VALUE"""),215.4)</f>
        <v>215.4</v>
      </c>
      <c r="D1826" s="1">
        <f>IFERROR(__xludf.DUMMYFUNCTION("""COMPUTED_VALUE"""),204.55)</f>
        <v>204.55</v>
      </c>
      <c r="E1826" s="1">
        <f>IFERROR(__xludf.DUMMYFUNCTION("""COMPUTED_VALUE"""),211.25)</f>
        <v>211.25</v>
      </c>
      <c r="F1826" s="1">
        <f>IFERROR(__xludf.DUMMYFUNCTION("""COMPUTED_VALUE"""),3344224.0)</f>
        <v>3344224</v>
      </c>
    </row>
    <row r="1827">
      <c r="A1827" s="2">
        <f>IFERROR(__xludf.DUMMYFUNCTION("""COMPUTED_VALUE"""),39198.645833333336)</f>
        <v>39198.64583</v>
      </c>
      <c r="B1827" s="1">
        <f>IFERROR(__xludf.DUMMYFUNCTION("""COMPUTED_VALUE"""),212.15)</f>
        <v>212.15</v>
      </c>
      <c r="C1827" s="1">
        <f>IFERROR(__xludf.DUMMYFUNCTION("""COMPUTED_VALUE"""),217.0)</f>
        <v>217</v>
      </c>
      <c r="D1827" s="1">
        <f>IFERROR(__xludf.DUMMYFUNCTION("""COMPUTED_VALUE"""),211.7)</f>
        <v>211.7</v>
      </c>
      <c r="E1827" s="1">
        <f>IFERROR(__xludf.DUMMYFUNCTION("""COMPUTED_VALUE"""),215.35)</f>
        <v>215.35</v>
      </c>
      <c r="F1827" s="1">
        <f>IFERROR(__xludf.DUMMYFUNCTION("""COMPUTED_VALUE"""),3508980.0)</f>
        <v>3508980</v>
      </c>
    </row>
    <row r="1828">
      <c r="A1828" s="2">
        <f>IFERROR(__xludf.DUMMYFUNCTION("""COMPUTED_VALUE"""),39199.645833333336)</f>
        <v>39199.64583</v>
      </c>
      <c r="B1828" s="1">
        <f>IFERROR(__xludf.DUMMYFUNCTION("""COMPUTED_VALUE"""),215.0)</f>
        <v>215</v>
      </c>
      <c r="C1828" s="1">
        <f>IFERROR(__xludf.DUMMYFUNCTION("""COMPUTED_VALUE"""),218.75)</f>
        <v>218.75</v>
      </c>
      <c r="D1828" s="1">
        <f>IFERROR(__xludf.DUMMYFUNCTION("""COMPUTED_VALUE"""),208.45)</f>
        <v>208.45</v>
      </c>
      <c r="E1828" s="1">
        <f>IFERROR(__xludf.DUMMYFUNCTION("""COMPUTED_VALUE"""),210.85)</f>
        <v>210.85</v>
      </c>
      <c r="F1828" s="1">
        <f>IFERROR(__xludf.DUMMYFUNCTION("""COMPUTED_VALUE"""),1791697.0)</f>
        <v>1791697</v>
      </c>
    </row>
    <row r="1829">
      <c r="A1829" s="2">
        <f>IFERROR(__xludf.DUMMYFUNCTION("""COMPUTED_VALUE"""),39202.645833333336)</f>
        <v>39202.64583</v>
      </c>
      <c r="B1829" s="1">
        <f>IFERROR(__xludf.DUMMYFUNCTION("""COMPUTED_VALUE"""),211.35)</f>
        <v>211.35</v>
      </c>
      <c r="C1829" s="1">
        <f>IFERROR(__xludf.DUMMYFUNCTION("""COMPUTED_VALUE"""),212.0)</f>
        <v>212</v>
      </c>
      <c r="D1829" s="1">
        <f>IFERROR(__xludf.DUMMYFUNCTION("""COMPUTED_VALUE"""),197.4)</f>
        <v>197.4</v>
      </c>
      <c r="E1829" s="1">
        <f>IFERROR(__xludf.DUMMYFUNCTION("""COMPUTED_VALUE"""),199.3)</f>
        <v>199.3</v>
      </c>
      <c r="F1829" s="1">
        <f>IFERROR(__xludf.DUMMYFUNCTION("""COMPUTED_VALUE"""),6343341.0)</f>
        <v>6343341</v>
      </c>
    </row>
    <row r="1830">
      <c r="A1830" s="2">
        <f>IFERROR(__xludf.DUMMYFUNCTION("""COMPUTED_VALUE"""),39205.645833333336)</f>
        <v>39205.64583</v>
      </c>
      <c r="B1830" s="1">
        <f>IFERROR(__xludf.DUMMYFUNCTION("""COMPUTED_VALUE"""),203.8)</f>
        <v>203.8</v>
      </c>
      <c r="C1830" s="1">
        <f>IFERROR(__xludf.DUMMYFUNCTION("""COMPUTED_VALUE"""),204.9)</f>
        <v>204.9</v>
      </c>
      <c r="D1830" s="1">
        <f>IFERROR(__xludf.DUMMYFUNCTION("""COMPUTED_VALUE"""),194.5)</f>
        <v>194.5</v>
      </c>
      <c r="E1830" s="1">
        <f>IFERROR(__xludf.DUMMYFUNCTION("""COMPUTED_VALUE"""),195.85)</f>
        <v>195.85</v>
      </c>
      <c r="F1830" s="1">
        <f>IFERROR(__xludf.DUMMYFUNCTION("""COMPUTED_VALUE"""),5489214.0)</f>
        <v>5489214</v>
      </c>
    </row>
    <row r="1831">
      <c r="A1831" s="2">
        <f>IFERROR(__xludf.DUMMYFUNCTION("""COMPUTED_VALUE"""),39206.645833333336)</f>
        <v>39206.64583</v>
      </c>
      <c r="B1831" s="1">
        <f>IFERROR(__xludf.DUMMYFUNCTION("""COMPUTED_VALUE"""),196.5)</f>
        <v>196.5</v>
      </c>
      <c r="C1831" s="1">
        <f>IFERROR(__xludf.DUMMYFUNCTION("""COMPUTED_VALUE"""),199.8)</f>
        <v>199.8</v>
      </c>
      <c r="D1831" s="1">
        <f>IFERROR(__xludf.DUMMYFUNCTION("""COMPUTED_VALUE"""),194.55)</f>
        <v>194.55</v>
      </c>
      <c r="E1831" s="1">
        <f>IFERROR(__xludf.DUMMYFUNCTION("""COMPUTED_VALUE"""),195.15)</f>
        <v>195.15</v>
      </c>
      <c r="F1831" s="1">
        <f>IFERROR(__xludf.DUMMYFUNCTION("""COMPUTED_VALUE"""),3109705.0)</f>
        <v>3109705</v>
      </c>
    </row>
    <row r="1832">
      <c r="A1832" s="2">
        <f>IFERROR(__xludf.DUMMYFUNCTION("""COMPUTED_VALUE"""),39209.645833333336)</f>
        <v>39209.64583</v>
      </c>
      <c r="B1832" s="1">
        <f>IFERROR(__xludf.DUMMYFUNCTION("""COMPUTED_VALUE"""),196.0)</f>
        <v>196</v>
      </c>
      <c r="C1832" s="1">
        <f>IFERROR(__xludf.DUMMYFUNCTION("""COMPUTED_VALUE"""),198.0)</f>
        <v>198</v>
      </c>
      <c r="D1832" s="1">
        <f>IFERROR(__xludf.DUMMYFUNCTION("""COMPUTED_VALUE"""),194.6)</f>
        <v>194.6</v>
      </c>
      <c r="E1832" s="1">
        <f>IFERROR(__xludf.DUMMYFUNCTION("""COMPUTED_VALUE"""),195.9)</f>
        <v>195.9</v>
      </c>
      <c r="F1832" s="1">
        <f>IFERROR(__xludf.DUMMYFUNCTION("""COMPUTED_VALUE"""),1773056.0)</f>
        <v>1773056</v>
      </c>
    </row>
    <row r="1833">
      <c r="A1833" s="2">
        <f>IFERROR(__xludf.DUMMYFUNCTION("""COMPUTED_VALUE"""),39210.645833333336)</f>
        <v>39210.64583</v>
      </c>
      <c r="B1833" s="1">
        <f>IFERROR(__xludf.DUMMYFUNCTION("""COMPUTED_VALUE"""),196.0)</f>
        <v>196</v>
      </c>
      <c r="C1833" s="1">
        <f>IFERROR(__xludf.DUMMYFUNCTION("""COMPUTED_VALUE"""),196.95)</f>
        <v>196.95</v>
      </c>
      <c r="D1833" s="1">
        <f>IFERROR(__xludf.DUMMYFUNCTION("""COMPUTED_VALUE"""),193.5)</f>
        <v>193.5</v>
      </c>
      <c r="E1833" s="1">
        <f>IFERROR(__xludf.DUMMYFUNCTION("""COMPUTED_VALUE"""),194.55)</f>
        <v>194.55</v>
      </c>
      <c r="F1833" s="1">
        <f>IFERROR(__xludf.DUMMYFUNCTION("""COMPUTED_VALUE"""),895230.0)</f>
        <v>895230</v>
      </c>
    </row>
    <row r="1834">
      <c r="A1834" s="2">
        <f>IFERROR(__xludf.DUMMYFUNCTION("""COMPUTED_VALUE"""),39211.645833333336)</f>
        <v>39211.64583</v>
      </c>
      <c r="B1834" s="1">
        <f>IFERROR(__xludf.DUMMYFUNCTION("""COMPUTED_VALUE"""),193.15)</f>
        <v>193.15</v>
      </c>
      <c r="C1834" s="1">
        <f>IFERROR(__xludf.DUMMYFUNCTION("""COMPUTED_VALUE"""),195.4)</f>
        <v>195.4</v>
      </c>
      <c r="D1834" s="1">
        <f>IFERROR(__xludf.DUMMYFUNCTION("""COMPUTED_VALUE"""),190.6)</f>
        <v>190.6</v>
      </c>
      <c r="E1834" s="1">
        <f>IFERROR(__xludf.DUMMYFUNCTION("""COMPUTED_VALUE"""),191.1)</f>
        <v>191.1</v>
      </c>
      <c r="F1834" s="1">
        <f>IFERROR(__xludf.DUMMYFUNCTION("""COMPUTED_VALUE"""),1726910.0)</f>
        <v>1726910</v>
      </c>
    </row>
    <row r="1835">
      <c r="A1835" s="2">
        <f>IFERROR(__xludf.DUMMYFUNCTION("""COMPUTED_VALUE"""),39212.645833333336)</f>
        <v>39212.64583</v>
      </c>
      <c r="B1835" s="1">
        <f>IFERROR(__xludf.DUMMYFUNCTION("""COMPUTED_VALUE"""),191.25)</f>
        <v>191.25</v>
      </c>
      <c r="C1835" s="1">
        <f>IFERROR(__xludf.DUMMYFUNCTION("""COMPUTED_VALUE"""),193.8)</f>
        <v>193.8</v>
      </c>
      <c r="D1835" s="1">
        <f>IFERROR(__xludf.DUMMYFUNCTION("""COMPUTED_VALUE"""),189.55)</f>
        <v>189.55</v>
      </c>
      <c r="E1835" s="1">
        <f>IFERROR(__xludf.DUMMYFUNCTION("""COMPUTED_VALUE"""),190.0)</f>
        <v>190</v>
      </c>
      <c r="F1835" s="1">
        <f>IFERROR(__xludf.DUMMYFUNCTION("""COMPUTED_VALUE"""),2319047.0)</f>
        <v>2319047</v>
      </c>
    </row>
    <row r="1836">
      <c r="A1836" s="2">
        <f>IFERROR(__xludf.DUMMYFUNCTION("""COMPUTED_VALUE"""),39213.645833333336)</f>
        <v>39213.64583</v>
      </c>
      <c r="B1836" s="1">
        <f>IFERROR(__xludf.DUMMYFUNCTION("""COMPUTED_VALUE"""),187.4)</f>
        <v>187.4</v>
      </c>
      <c r="C1836" s="1">
        <f>IFERROR(__xludf.DUMMYFUNCTION("""COMPUTED_VALUE"""),188.9)</f>
        <v>188.9</v>
      </c>
      <c r="D1836" s="1">
        <f>IFERROR(__xludf.DUMMYFUNCTION("""COMPUTED_VALUE"""),180.15)</f>
        <v>180.15</v>
      </c>
      <c r="E1836" s="1">
        <f>IFERROR(__xludf.DUMMYFUNCTION("""COMPUTED_VALUE"""),185.7)</f>
        <v>185.7</v>
      </c>
      <c r="F1836" s="1">
        <f>IFERROR(__xludf.DUMMYFUNCTION("""COMPUTED_VALUE"""),3327465.0)</f>
        <v>3327465</v>
      </c>
    </row>
    <row r="1837">
      <c r="A1837" s="2">
        <f>IFERROR(__xludf.DUMMYFUNCTION("""COMPUTED_VALUE"""),39216.645833333336)</f>
        <v>39216.64583</v>
      </c>
      <c r="B1837" s="1">
        <f>IFERROR(__xludf.DUMMYFUNCTION("""COMPUTED_VALUE"""),190.3)</f>
        <v>190.3</v>
      </c>
      <c r="C1837" s="1">
        <f>IFERROR(__xludf.DUMMYFUNCTION("""COMPUTED_VALUE"""),192.9)</f>
        <v>192.9</v>
      </c>
      <c r="D1837" s="1">
        <f>IFERROR(__xludf.DUMMYFUNCTION("""COMPUTED_VALUE"""),188.2)</f>
        <v>188.2</v>
      </c>
      <c r="E1837" s="1">
        <f>IFERROR(__xludf.DUMMYFUNCTION("""COMPUTED_VALUE"""),192.15)</f>
        <v>192.15</v>
      </c>
      <c r="F1837" s="1">
        <f>IFERROR(__xludf.DUMMYFUNCTION("""COMPUTED_VALUE"""),2424935.0)</f>
        <v>2424935</v>
      </c>
    </row>
    <row r="1838">
      <c r="A1838" s="2">
        <f>IFERROR(__xludf.DUMMYFUNCTION("""COMPUTED_VALUE"""),39217.645833333336)</f>
        <v>39217.64583</v>
      </c>
      <c r="B1838" s="1">
        <f>IFERROR(__xludf.DUMMYFUNCTION("""COMPUTED_VALUE"""),193.0)</f>
        <v>193</v>
      </c>
      <c r="C1838" s="1">
        <f>IFERROR(__xludf.DUMMYFUNCTION("""COMPUTED_VALUE"""),194.4)</f>
        <v>194.4</v>
      </c>
      <c r="D1838" s="1">
        <f>IFERROR(__xludf.DUMMYFUNCTION("""COMPUTED_VALUE"""),191.6)</f>
        <v>191.6</v>
      </c>
      <c r="E1838" s="1">
        <f>IFERROR(__xludf.DUMMYFUNCTION("""COMPUTED_VALUE"""),193.1)</f>
        <v>193.1</v>
      </c>
      <c r="F1838" s="1">
        <f>IFERROR(__xludf.DUMMYFUNCTION("""COMPUTED_VALUE"""),1760327.0)</f>
        <v>1760327</v>
      </c>
    </row>
    <row r="1839">
      <c r="A1839" s="2">
        <f>IFERROR(__xludf.DUMMYFUNCTION("""COMPUTED_VALUE"""),39218.645833333336)</f>
        <v>39218.64583</v>
      </c>
      <c r="B1839" s="1">
        <f>IFERROR(__xludf.DUMMYFUNCTION("""COMPUTED_VALUE"""),193.7)</f>
        <v>193.7</v>
      </c>
      <c r="C1839" s="1">
        <f>IFERROR(__xludf.DUMMYFUNCTION("""COMPUTED_VALUE"""),198.5)</f>
        <v>198.5</v>
      </c>
      <c r="D1839" s="1">
        <f>IFERROR(__xludf.DUMMYFUNCTION("""COMPUTED_VALUE"""),193.25)</f>
        <v>193.25</v>
      </c>
      <c r="E1839" s="1">
        <f>IFERROR(__xludf.DUMMYFUNCTION("""COMPUTED_VALUE"""),197.65)</f>
        <v>197.65</v>
      </c>
      <c r="F1839" s="1">
        <f>IFERROR(__xludf.DUMMYFUNCTION("""COMPUTED_VALUE"""),3126044.0)</f>
        <v>3126044</v>
      </c>
    </row>
    <row r="1840">
      <c r="A1840" s="2">
        <f>IFERROR(__xludf.DUMMYFUNCTION("""COMPUTED_VALUE"""),39219.645833333336)</f>
        <v>39219.64583</v>
      </c>
      <c r="B1840" s="1">
        <f>IFERROR(__xludf.DUMMYFUNCTION("""COMPUTED_VALUE"""),198.55)</f>
        <v>198.55</v>
      </c>
      <c r="C1840" s="1">
        <f>IFERROR(__xludf.DUMMYFUNCTION("""COMPUTED_VALUE"""),200.4)</f>
        <v>200.4</v>
      </c>
      <c r="D1840" s="1">
        <f>IFERROR(__xludf.DUMMYFUNCTION("""COMPUTED_VALUE"""),194.3)</f>
        <v>194.3</v>
      </c>
      <c r="E1840" s="1">
        <f>IFERROR(__xludf.DUMMYFUNCTION("""COMPUTED_VALUE"""),195.15)</f>
        <v>195.15</v>
      </c>
      <c r="F1840" s="1">
        <f>IFERROR(__xludf.DUMMYFUNCTION("""COMPUTED_VALUE"""),3159139.0)</f>
        <v>3159139</v>
      </c>
    </row>
    <row r="1841">
      <c r="A1841" s="2">
        <f>IFERROR(__xludf.DUMMYFUNCTION("""COMPUTED_VALUE"""),39220.645833333336)</f>
        <v>39220.64583</v>
      </c>
      <c r="B1841" s="1">
        <f>IFERROR(__xludf.DUMMYFUNCTION("""COMPUTED_VALUE"""),196.0)</f>
        <v>196</v>
      </c>
      <c r="C1841" s="1">
        <f>IFERROR(__xludf.DUMMYFUNCTION("""COMPUTED_VALUE"""),196.0)</f>
        <v>196</v>
      </c>
      <c r="D1841" s="1">
        <f>IFERROR(__xludf.DUMMYFUNCTION("""COMPUTED_VALUE"""),192.4)</f>
        <v>192.4</v>
      </c>
      <c r="E1841" s="1">
        <f>IFERROR(__xludf.DUMMYFUNCTION("""COMPUTED_VALUE"""),193.6)</f>
        <v>193.6</v>
      </c>
      <c r="F1841" s="1">
        <f>IFERROR(__xludf.DUMMYFUNCTION("""COMPUTED_VALUE"""),2248781.0)</f>
        <v>2248781</v>
      </c>
    </row>
    <row r="1842">
      <c r="A1842" s="2">
        <f>IFERROR(__xludf.DUMMYFUNCTION("""COMPUTED_VALUE"""),39223.645833333336)</f>
        <v>39223.64583</v>
      </c>
      <c r="B1842" s="1">
        <f>IFERROR(__xludf.DUMMYFUNCTION("""COMPUTED_VALUE"""),195.0)</f>
        <v>195</v>
      </c>
      <c r="C1842" s="1">
        <f>IFERROR(__xludf.DUMMYFUNCTION("""COMPUTED_VALUE"""),196.0)</f>
        <v>196</v>
      </c>
      <c r="D1842" s="1">
        <f>IFERROR(__xludf.DUMMYFUNCTION("""COMPUTED_VALUE"""),193.1)</f>
        <v>193.1</v>
      </c>
      <c r="E1842" s="1">
        <f>IFERROR(__xludf.DUMMYFUNCTION("""COMPUTED_VALUE"""),193.6)</f>
        <v>193.6</v>
      </c>
      <c r="F1842" s="1">
        <f>IFERROR(__xludf.DUMMYFUNCTION("""COMPUTED_VALUE"""),909472.0)</f>
        <v>909472</v>
      </c>
    </row>
    <row r="1843">
      <c r="A1843" s="2">
        <f>IFERROR(__xludf.DUMMYFUNCTION("""COMPUTED_VALUE"""),39224.645833333336)</f>
        <v>39224.64583</v>
      </c>
      <c r="B1843" s="1">
        <f>IFERROR(__xludf.DUMMYFUNCTION("""COMPUTED_VALUE"""),194.6)</f>
        <v>194.6</v>
      </c>
      <c r="C1843" s="1">
        <f>IFERROR(__xludf.DUMMYFUNCTION("""COMPUTED_VALUE"""),196.1)</f>
        <v>196.1</v>
      </c>
      <c r="D1843" s="1">
        <f>IFERROR(__xludf.DUMMYFUNCTION("""COMPUTED_VALUE"""),192.2)</f>
        <v>192.2</v>
      </c>
      <c r="E1843" s="1">
        <f>IFERROR(__xludf.DUMMYFUNCTION("""COMPUTED_VALUE"""),194.7)</f>
        <v>194.7</v>
      </c>
      <c r="F1843" s="1">
        <f>IFERROR(__xludf.DUMMYFUNCTION("""COMPUTED_VALUE"""),1535096.0)</f>
        <v>1535096</v>
      </c>
    </row>
    <row r="1844">
      <c r="A1844" s="2">
        <f>IFERROR(__xludf.DUMMYFUNCTION("""COMPUTED_VALUE"""),39225.645833333336)</f>
        <v>39225.64583</v>
      </c>
      <c r="B1844" s="1">
        <f>IFERROR(__xludf.DUMMYFUNCTION("""COMPUTED_VALUE"""),195.1)</f>
        <v>195.1</v>
      </c>
      <c r="C1844" s="1">
        <f>IFERROR(__xludf.DUMMYFUNCTION("""COMPUTED_VALUE"""),200.0)</f>
        <v>200</v>
      </c>
      <c r="D1844" s="1">
        <f>IFERROR(__xludf.DUMMYFUNCTION("""COMPUTED_VALUE"""),192.5)</f>
        <v>192.5</v>
      </c>
      <c r="E1844" s="1">
        <f>IFERROR(__xludf.DUMMYFUNCTION("""COMPUTED_VALUE"""),198.55)</f>
        <v>198.55</v>
      </c>
      <c r="F1844" s="1">
        <f>IFERROR(__xludf.DUMMYFUNCTION("""COMPUTED_VALUE"""),3232915.0)</f>
        <v>3232915</v>
      </c>
    </row>
    <row r="1845">
      <c r="A1845" s="2">
        <f>IFERROR(__xludf.DUMMYFUNCTION("""COMPUTED_VALUE"""),39226.645833333336)</f>
        <v>39226.64583</v>
      </c>
      <c r="B1845" s="1">
        <f>IFERROR(__xludf.DUMMYFUNCTION("""COMPUTED_VALUE"""),198.5)</f>
        <v>198.5</v>
      </c>
      <c r="C1845" s="1">
        <f>IFERROR(__xludf.DUMMYFUNCTION("""COMPUTED_VALUE"""),203.7)</f>
        <v>203.7</v>
      </c>
      <c r="D1845" s="1">
        <f>IFERROR(__xludf.DUMMYFUNCTION("""COMPUTED_VALUE"""),197.1)</f>
        <v>197.1</v>
      </c>
      <c r="E1845" s="1">
        <f>IFERROR(__xludf.DUMMYFUNCTION("""COMPUTED_VALUE"""),201.2)</f>
        <v>201.2</v>
      </c>
      <c r="F1845" s="1">
        <f>IFERROR(__xludf.DUMMYFUNCTION("""COMPUTED_VALUE"""),2553640.0)</f>
        <v>2553640</v>
      </c>
    </row>
    <row r="1846">
      <c r="A1846" s="2">
        <f>IFERROR(__xludf.DUMMYFUNCTION("""COMPUTED_VALUE"""),39227.645833333336)</f>
        <v>39227.64583</v>
      </c>
      <c r="B1846" s="1">
        <f>IFERROR(__xludf.DUMMYFUNCTION("""COMPUTED_VALUE"""),199.95)</f>
        <v>199.95</v>
      </c>
      <c r="C1846" s="1">
        <f>IFERROR(__xludf.DUMMYFUNCTION("""COMPUTED_VALUE"""),205.65)</f>
        <v>205.65</v>
      </c>
      <c r="D1846" s="1">
        <f>IFERROR(__xludf.DUMMYFUNCTION("""COMPUTED_VALUE"""),196.1)</f>
        <v>196.1</v>
      </c>
      <c r="E1846" s="1">
        <f>IFERROR(__xludf.DUMMYFUNCTION("""COMPUTED_VALUE"""),203.15)</f>
        <v>203.15</v>
      </c>
      <c r="F1846" s="1">
        <f>IFERROR(__xludf.DUMMYFUNCTION("""COMPUTED_VALUE"""),2587580.0)</f>
        <v>2587580</v>
      </c>
    </row>
    <row r="1847">
      <c r="A1847" s="2">
        <f>IFERROR(__xludf.DUMMYFUNCTION("""COMPUTED_VALUE"""),39230.645833333336)</f>
        <v>39230.64583</v>
      </c>
      <c r="B1847" s="1">
        <f>IFERROR(__xludf.DUMMYFUNCTION("""COMPUTED_VALUE"""),204.5)</f>
        <v>204.5</v>
      </c>
      <c r="C1847" s="1">
        <f>IFERROR(__xludf.DUMMYFUNCTION("""COMPUTED_VALUE"""),205.7)</f>
        <v>205.7</v>
      </c>
      <c r="D1847" s="1">
        <f>IFERROR(__xludf.DUMMYFUNCTION("""COMPUTED_VALUE"""),199.6)</f>
        <v>199.6</v>
      </c>
      <c r="E1847" s="1">
        <f>IFERROR(__xludf.DUMMYFUNCTION("""COMPUTED_VALUE"""),200.5)</f>
        <v>200.5</v>
      </c>
      <c r="F1847" s="1">
        <f>IFERROR(__xludf.DUMMYFUNCTION("""COMPUTED_VALUE"""),1648096.0)</f>
        <v>1648096</v>
      </c>
    </row>
    <row r="1848">
      <c r="A1848" s="2">
        <f>IFERROR(__xludf.DUMMYFUNCTION("""COMPUTED_VALUE"""),39231.645833333336)</f>
        <v>39231.64583</v>
      </c>
      <c r="B1848" s="1">
        <f>IFERROR(__xludf.DUMMYFUNCTION("""COMPUTED_VALUE"""),201.5)</f>
        <v>201.5</v>
      </c>
      <c r="C1848" s="1">
        <f>IFERROR(__xludf.DUMMYFUNCTION("""COMPUTED_VALUE"""),205.0)</f>
        <v>205</v>
      </c>
      <c r="D1848" s="1">
        <f>IFERROR(__xludf.DUMMYFUNCTION("""COMPUTED_VALUE"""),199.75)</f>
        <v>199.75</v>
      </c>
      <c r="E1848" s="1">
        <f>IFERROR(__xludf.DUMMYFUNCTION("""COMPUTED_VALUE"""),203.7)</f>
        <v>203.7</v>
      </c>
      <c r="F1848" s="1">
        <f>IFERROR(__xludf.DUMMYFUNCTION("""COMPUTED_VALUE"""),1924917.0)</f>
        <v>1924917</v>
      </c>
    </row>
    <row r="1849">
      <c r="A1849" s="2">
        <f>IFERROR(__xludf.DUMMYFUNCTION("""COMPUTED_VALUE"""),39232.645833333336)</f>
        <v>39232.64583</v>
      </c>
      <c r="B1849" s="1">
        <f>IFERROR(__xludf.DUMMYFUNCTION("""COMPUTED_VALUE"""),203.0)</f>
        <v>203</v>
      </c>
      <c r="C1849" s="1">
        <f>IFERROR(__xludf.DUMMYFUNCTION("""COMPUTED_VALUE"""),203.0)</f>
        <v>203</v>
      </c>
      <c r="D1849" s="1">
        <f>IFERROR(__xludf.DUMMYFUNCTION("""COMPUTED_VALUE"""),197.35)</f>
        <v>197.35</v>
      </c>
      <c r="E1849" s="1">
        <f>IFERROR(__xludf.DUMMYFUNCTION("""COMPUTED_VALUE"""),198.6)</f>
        <v>198.6</v>
      </c>
      <c r="F1849" s="1">
        <f>IFERROR(__xludf.DUMMYFUNCTION("""COMPUTED_VALUE"""),2116037.0)</f>
        <v>2116037</v>
      </c>
    </row>
    <row r="1850">
      <c r="A1850" s="2">
        <f>IFERROR(__xludf.DUMMYFUNCTION("""COMPUTED_VALUE"""),39233.645833333336)</f>
        <v>39233.64583</v>
      </c>
      <c r="B1850" s="1">
        <f>IFERROR(__xludf.DUMMYFUNCTION("""COMPUTED_VALUE"""),198.5)</f>
        <v>198.5</v>
      </c>
      <c r="C1850" s="1">
        <f>IFERROR(__xludf.DUMMYFUNCTION("""COMPUTED_VALUE"""),205.4)</f>
        <v>205.4</v>
      </c>
      <c r="D1850" s="1">
        <f>IFERROR(__xludf.DUMMYFUNCTION("""COMPUTED_VALUE"""),198.1)</f>
        <v>198.1</v>
      </c>
      <c r="E1850" s="1">
        <f>IFERROR(__xludf.DUMMYFUNCTION("""COMPUTED_VALUE"""),203.4)</f>
        <v>203.4</v>
      </c>
      <c r="F1850" s="1">
        <f>IFERROR(__xludf.DUMMYFUNCTION("""COMPUTED_VALUE"""),3374242.0)</f>
        <v>3374242</v>
      </c>
    </row>
    <row r="1851">
      <c r="A1851" s="2">
        <f>IFERROR(__xludf.DUMMYFUNCTION("""COMPUTED_VALUE"""),39234.645833333336)</f>
        <v>39234.64583</v>
      </c>
      <c r="B1851" s="1">
        <f>IFERROR(__xludf.DUMMYFUNCTION("""COMPUTED_VALUE"""),205.0)</f>
        <v>205</v>
      </c>
      <c r="C1851" s="1">
        <f>IFERROR(__xludf.DUMMYFUNCTION("""COMPUTED_VALUE"""),206.0)</f>
        <v>206</v>
      </c>
      <c r="D1851" s="1">
        <f>IFERROR(__xludf.DUMMYFUNCTION("""COMPUTED_VALUE"""),201.0)</f>
        <v>201</v>
      </c>
      <c r="E1851" s="1">
        <f>IFERROR(__xludf.DUMMYFUNCTION("""COMPUTED_VALUE"""),201.55)</f>
        <v>201.55</v>
      </c>
      <c r="F1851" s="1">
        <f>IFERROR(__xludf.DUMMYFUNCTION("""COMPUTED_VALUE"""),2201296.0)</f>
        <v>2201296</v>
      </c>
    </row>
    <row r="1852">
      <c r="A1852" s="2">
        <f>IFERROR(__xludf.DUMMYFUNCTION("""COMPUTED_VALUE"""),39237.645833333336)</f>
        <v>39237.64583</v>
      </c>
      <c r="B1852" s="1">
        <f>IFERROR(__xludf.DUMMYFUNCTION("""COMPUTED_VALUE"""),202.8)</f>
        <v>202.8</v>
      </c>
      <c r="C1852" s="1">
        <f>IFERROR(__xludf.DUMMYFUNCTION("""COMPUTED_VALUE"""),203.8)</f>
        <v>203.8</v>
      </c>
      <c r="D1852" s="1">
        <f>IFERROR(__xludf.DUMMYFUNCTION("""COMPUTED_VALUE"""),195.15)</f>
        <v>195.15</v>
      </c>
      <c r="E1852" s="1">
        <f>IFERROR(__xludf.DUMMYFUNCTION("""COMPUTED_VALUE"""),196.2)</f>
        <v>196.2</v>
      </c>
      <c r="F1852" s="1">
        <f>IFERROR(__xludf.DUMMYFUNCTION("""COMPUTED_VALUE"""),3105871.0)</f>
        <v>3105871</v>
      </c>
    </row>
    <row r="1853">
      <c r="A1853" s="2">
        <f>IFERROR(__xludf.DUMMYFUNCTION("""COMPUTED_VALUE"""),39238.645833333336)</f>
        <v>39238.64583</v>
      </c>
      <c r="B1853" s="1">
        <f>IFERROR(__xludf.DUMMYFUNCTION("""COMPUTED_VALUE"""),197.0)</f>
        <v>197</v>
      </c>
      <c r="C1853" s="1">
        <f>IFERROR(__xludf.DUMMYFUNCTION("""COMPUTED_VALUE"""),199.0)</f>
        <v>199</v>
      </c>
      <c r="D1853" s="1">
        <f>IFERROR(__xludf.DUMMYFUNCTION("""COMPUTED_VALUE"""),193.5)</f>
        <v>193.5</v>
      </c>
      <c r="E1853" s="1">
        <f>IFERROR(__xludf.DUMMYFUNCTION("""COMPUTED_VALUE"""),195.8)</f>
        <v>195.8</v>
      </c>
      <c r="F1853" s="1">
        <f>IFERROR(__xludf.DUMMYFUNCTION("""COMPUTED_VALUE"""),3270792.0)</f>
        <v>3270792</v>
      </c>
    </row>
    <row r="1854">
      <c r="A1854" s="2">
        <f>IFERROR(__xludf.DUMMYFUNCTION("""COMPUTED_VALUE"""),39239.645833333336)</f>
        <v>39239.64583</v>
      </c>
      <c r="B1854" s="1">
        <f>IFERROR(__xludf.DUMMYFUNCTION("""COMPUTED_VALUE"""),195.8)</f>
        <v>195.8</v>
      </c>
      <c r="C1854" s="1">
        <f>IFERROR(__xludf.DUMMYFUNCTION("""COMPUTED_VALUE"""),198.2)</f>
        <v>198.2</v>
      </c>
      <c r="D1854" s="1">
        <f>IFERROR(__xludf.DUMMYFUNCTION("""COMPUTED_VALUE"""),193.35)</f>
        <v>193.35</v>
      </c>
      <c r="E1854" s="1">
        <f>IFERROR(__xludf.DUMMYFUNCTION("""COMPUTED_VALUE"""),195.6)</f>
        <v>195.6</v>
      </c>
      <c r="F1854" s="1">
        <f>IFERROR(__xludf.DUMMYFUNCTION("""COMPUTED_VALUE"""),2989165.0)</f>
        <v>2989165</v>
      </c>
    </row>
    <row r="1855">
      <c r="A1855" s="2">
        <f>IFERROR(__xludf.DUMMYFUNCTION("""COMPUTED_VALUE"""),39240.645833333336)</f>
        <v>39240.64583</v>
      </c>
      <c r="B1855" s="1">
        <f>IFERROR(__xludf.DUMMYFUNCTION("""COMPUTED_VALUE"""),195.0)</f>
        <v>195</v>
      </c>
      <c r="C1855" s="1">
        <f>IFERROR(__xludf.DUMMYFUNCTION("""COMPUTED_VALUE"""),196.0)</f>
        <v>196</v>
      </c>
      <c r="D1855" s="1">
        <f>IFERROR(__xludf.DUMMYFUNCTION("""COMPUTED_VALUE"""),190.0)</f>
        <v>190</v>
      </c>
      <c r="E1855" s="1">
        <f>IFERROR(__xludf.DUMMYFUNCTION("""COMPUTED_VALUE"""),191.55)</f>
        <v>191.55</v>
      </c>
      <c r="F1855" s="1">
        <f>IFERROR(__xludf.DUMMYFUNCTION("""COMPUTED_VALUE"""),2632555.0)</f>
        <v>2632555</v>
      </c>
    </row>
    <row r="1856">
      <c r="A1856" s="2">
        <f>IFERROR(__xludf.DUMMYFUNCTION("""COMPUTED_VALUE"""),39241.645833333336)</f>
        <v>39241.64583</v>
      </c>
      <c r="B1856" s="1">
        <f>IFERROR(__xludf.DUMMYFUNCTION("""COMPUTED_VALUE"""),191.55)</f>
        <v>191.55</v>
      </c>
      <c r="C1856" s="1">
        <f>IFERROR(__xludf.DUMMYFUNCTION("""COMPUTED_VALUE"""),192.45)</f>
        <v>192.45</v>
      </c>
      <c r="D1856" s="1">
        <f>IFERROR(__xludf.DUMMYFUNCTION("""COMPUTED_VALUE"""),188.0)</f>
        <v>188</v>
      </c>
      <c r="E1856" s="1">
        <f>IFERROR(__xludf.DUMMYFUNCTION("""COMPUTED_VALUE"""),188.95)</f>
        <v>188.95</v>
      </c>
      <c r="F1856" s="1">
        <f>IFERROR(__xludf.DUMMYFUNCTION("""COMPUTED_VALUE"""),2662580.0)</f>
        <v>2662580</v>
      </c>
    </row>
    <row r="1857">
      <c r="A1857" s="2">
        <f>IFERROR(__xludf.DUMMYFUNCTION("""COMPUTED_VALUE"""),39244.645833333336)</f>
        <v>39244.64583</v>
      </c>
      <c r="B1857" s="1">
        <f>IFERROR(__xludf.DUMMYFUNCTION("""COMPUTED_VALUE"""),190.0)</f>
        <v>190</v>
      </c>
      <c r="C1857" s="1">
        <f>IFERROR(__xludf.DUMMYFUNCTION("""COMPUTED_VALUE"""),192.4)</f>
        <v>192.4</v>
      </c>
      <c r="D1857" s="1">
        <f>IFERROR(__xludf.DUMMYFUNCTION("""COMPUTED_VALUE"""),186.1)</f>
        <v>186.1</v>
      </c>
      <c r="E1857" s="1">
        <f>IFERROR(__xludf.DUMMYFUNCTION("""COMPUTED_VALUE"""),187.4)</f>
        <v>187.4</v>
      </c>
      <c r="F1857" s="1">
        <f>IFERROR(__xludf.DUMMYFUNCTION("""COMPUTED_VALUE"""),2393261.0)</f>
        <v>2393261</v>
      </c>
    </row>
    <row r="1858">
      <c r="A1858" s="2">
        <f>IFERROR(__xludf.DUMMYFUNCTION("""COMPUTED_VALUE"""),39245.645833333336)</f>
        <v>39245.64583</v>
      </c>
      <c r="B1858" s="1">
        <f>IFERROR(__xludf.DUMMYFUNCTION("""COMPUTED_VALUE"""),191.0)</f>
        <v>191</v>
      </c>
      <c r="C1858" s="1">
        <f>IFERROR(__xludf.DUMMYFUNCTION("""COMPUTED_VALUE"""),192.0)</f>
        <v>192</v>
      </c>
      <c r="D1858" s="1">
        <f>IFERROR(__xludf.DUMMYFUNCTION("""COMPUTED_VALUE"""),188.1)</f>
        <v>188.1</v>
      </c>
      <c r="E1858" s="1">
        <f>IFERROR(__xludf.DUMMYFUNCTION("""COMPUTED_VALUE"""),190.05)</f>
        <v>190.05</v>
      </c>
      <c r="F1858" s="1">
        <f>IFERROR(__xludf.DUMMYFUNCTION("""COMPUTED_VALUE"""),2861443.0)</f>
        <v>2861443</v>
      </c>
    </row>
    <row r="1859">
      <c r="A1859" s="2">
        <f>IFERROR(__xludf.DUMMYFUNCTION("""COMPUTED_VALUE"""),39246.645833333336)</f>
        <v>39246.64583</v>
      </c>
      <c r="B1859" s="1">
        <f>IFERROR(__xludf.DUMMYFUNCTION("""COMPUTED_VALUE"""),191.0)</f>
        <v>191</v>
      </c>
      <c r="C1859" s="1">
        <f>IFERROR(__xludf.DUMMYFUNCTION("""COMPUTED_VALUE"""),191.0)</f>
        <v>191</v>
      </c>
      <c r="D1859" s="1">
        <f>IFERROR(__xludf.DUMMYFUNCTION("""COMPUTED_VALUE"""),186.0)</f>
        <v>186</v>
      </c>
      <c r="E1859" s="1">
        <f>IFERROR(__xludf.DUMMYFUNCTION("""COMPUTED_VALUE"""),186.8)</f>
        <v>186.8</v>
      </c>
      <c r="F1859" s="1">
        <f>IFERROR(__xludf.DUMMYFUNCTION("""COMPUTED_VALUE"""),2004085.0)</f>
        <v>2004085</v>
      </c>
    </row>
    <row r="1860">
      <c r="A1860" s="2">
        <f>IFERROR(__xludf.DUMMYFUNCTION("""COMPUTED_VALUE"""),39247.645833333336)</f>
        <v>39247.64583</v>
      </c>
      <c r="B1860" s="1">
        <f>IFERROR(__xludf.DUMMYFUNCTION("""COMPUTED_VALUE"""),187.0)</f>
        <v>187</v>
      </c>
      <c r="C1860" s="1">
        <f>IFERROR(__xludf.DUMMYFUNCTION("""COMPUTED_VALUE"""),189.75)</f>
        <v>189.75</v>
      </c>
      <c r="D1860" s="1">
        <f>IFERROR(__xludf.DUMMYFUNCTION("""COMPUTED_VALUE"""),186.2)</f>
        <v>186.2</v>
      </c>
      <c r="E1860" s="1">
        <f>IFERROR(__xludf.DUMMYFUNCTION("""COMPUTED_VALUE"""),186.8)</f>
        <v>186.8</v>
      </c>
      <c r="F1860" s="1">
        <f>IFERROR(__xludf.DUMMYFUNCTION("""COMPUTED_VALUE"""),1473855.0)</f>
        <v>1473855</v>
      </c>
    </row>
    <row r="1861">
      <c r="A1861" s="2">
        <f>IFERROR(__xludf.DUMMYFUNCTION("""COMPUTED_VALUE"""),39248.645833333336)</f>
        <v>39248.64583</v>
      </c>
      <c r="B1861" s="1">
        <f>IFERROR(__xludf.DUMMYFUNCTION("""COMPUTED_VALUE"""),188.5)</f>
        <v>188.5</v>
      </c>
      <c r="C1861" s="1">
        <f>IFERROR(__xludf.DUMMYFUNCTION("""COMPUTED_VALUE"""),189.45)</f>
        <v>189.45</v>
      </c>
      <c r="D1861" s="1">
        <f>IFERROR(__xludf.DUMMYFUNCTION("""COMPUTED_VALUE"""),186.5)</f>
        <v>186.5</v>
      </c>
      <c r="E1861" s="1">
        <f>IFERROR(__xludf.DUMMYFUNCTION("""COMPUTED_VALUE"""),187.15)</f>
        <v>187.15</v>
      </c>
      <c r="F1861" s="1">
        <f>IFERROR(__xludf.DUMMYFUNCTION("""COMPUTED_VALUE"""),1665131.0)</f>
        <v>1665131</v>
      </c>
    </row>
    <row r="1862">
      <c r="A1862" s="2">
        <f>IFERROR(__xludf.DUMMYFUNCTION("""COMPUTED_VALUE"""),39251.645833333336)</f>
        <v>39251.64583</v>
      </c>
      <c r="B1862" s="1">
        <f>IFERROR(__xludf.DUMMYFUNCTION("""COMPUTED_VALUE"""),189.0)</f>
        <v>189</v>
      </c>
      <c r="C1862" s="1">
        <f>IFERROR(__xludf.DUMMYFUNCTION("""COMPUTED_VALUE"""),189.0)</f>
        <v>189</v>
      </c>
      <c r="D1862" s="1">
        <f>IFERROR(__xludf.DUMMYFUNCTION("""COMPUTED_VALUE"""),186.8)</f>
        <v>186.8</v>
      </c>
      <c r="E1862" s="1">
        <f>IFERROR(__xludf.DUMMYFUNCTION("""COMPUTED_VALUE"""),187.75)</f>
        <v>187.75</v>
      </c>
      <c r="F1862" s="1">
        <f>IFERROR(__xludf.DUMMYFUNCTION("""COMPUTED_VALUE"""),1318850.0)</f>
        <v>1318850</v>
      </c>
    </row>
    <row r="1863">
      <c r="A1863" s="2">
        <f>IFERROR(__xludf.DUMMYFUNCTION("""COMPUTED_VALUE"""),39252.645833333336)</f>
        <v>39252.64583</v>
      </c>
      <c r="B1863" s="1">
        <f>IFERROR(__xludf.DUMMYFUNCTION("""COMPUTED_VALUE"""),188.5)</f>
        <v>188.5</v>
      </c>
      <c r="C1863" s="1">
        <f>IFERROR(__xludf.DUMMYFUNCTION("""COMPUTED_VALUE"""),189.8)</f>
        <v>189.8</v>
      </c>
      <c r="D1863" s="1">
        <f>IFERROR(__xludf.DUMMYFUNCTION("""COMPUTED_VALUE"""),188.0)</f>
        <v>188</v>
      </c>
      <c r="E1863" s="1">
        <f>IFERROR(__xludf.DUMMYFUNCTION("""COMPUTED_VALUE"""),188.95)</f>
        <v>188.95</v>
      </c>
      <c r="F1863" s="1">
        <f>IFERROR(__xludf.DUMMYFUNCTION("""COMPUTED_VALUE"""),2818813.0)</f>
        <v>2818813</v>
      </c>
    </row>
    <row r="1864">
      <c r="A1864" s="2">
        <f>IFERROR(__xludf.DUMMYFUNCTION("""COMPUTED_VALUE"""),39253.645833333336)</f>
        <v>39253.64583</v>
      </c>
      <c r="B1864" s="1">
        <f>IFERROR(__xludf.DUMMYFUNCTION("""COMPUTED_VALUE"""),189.0)</f>
        <v>189</v>
      </c>
      <c r="C1864" s="1">
        <f>IFERROR(__xludf.DUMMYFUNCTION("""COMPUTED_VALUE"""),190.5)</f>
        <v>190.5</v>
      </c>
      <c r="D1864" s="1">
        <f>IFERROR(__xludf.DUMMYFUNCTION("""COMPUTED_VALUE"""),187.3)</f>
        <v>187.3</v>
      </c>
      <c r="E1864" s="1">
        <f>IFERROR(__xludf.DUMMYFUNCTION("""COMPUTED_VALUE"""),188.6)</f>
        <v>188.6</v>
      </c>
      <c r="F1864" s="1">
        <f>IFERROR(__xludf.DUMMYFUNCTION("""COMPUTED_VALUE"""),2048038.0)</f>
        <v>2048038</v>
      </c>
    </row>
    <row r="1865">
      <c r="A1865" s="2">
        <f>IFERROR(__xludf.DUMMYFUNCTION("""COMPUTED_VALUE"""),39254.645833333336)</f>
        <v>39254.64583</v>
      </c>
      <c r="B1865" s="1">
        <f>IFERROR(__xludf.DUMMYFUNCTION("""COMPUTED_VALUE"""),188.0)</f>
        <v>188</v>
      </c>
      <c r="C1865" s="1">
        <f>IFERROR(__xludf.DUMMYFUNCTION("""COMPUTED_VALUE"""),192.3)</f>
        <v>192.3</v>
      </c>
      <c r="D1865" s="1">
        <f>IFERROR(__xludf.DUMMYFUNCTION("""COMPUTED_VALUE"""),188.0)</f>
        <v>188</v>
      </c>
      <c r="E1865" s="1">
        <f>IFERROR(__xludf.DUMMYFUNCTION("""COMPUTED_VALUE"""),189.55)</f>
        <v>189.55</v>
      </c>
      <c r="F1865" s="1">
        <f>IFERROR(__xludf.DUMMYFUNCTION("""COMPUTED_VALUE"""),4626978.0)</f>
        <v>4626978</v>
      </c>
    </row>
    <row r="1866">
      <c r="A1866" s="2">
        <f>IFERROR(__xludf.DUMMYFUNCTION("""COMPUTED_VALUE"""),39255.645833333336)</f>
        <v>39255.64583</v>
      </c>
      <c r="B1866" s="1">
        <f>IFERROR(__xludf.DUMMYFUNCTION("""COMPUTED_VALUE"""),190.0)</f>
        <v>190</v>
      </c>
      <c r="C1866" s="1">
        <f>IFERROR(__xludf.DUMMYFUNCTION("""COMPUTED_VALUE"""),193.2)</f>
        <v>193.2</v>
      </c>
      <c r="D1866" s="1">
        <f>IFERROR(__xludf.DUMMYFUNCTION("""COMPUTED_VALUE"""),189.6)</f>
        <v>189.6</v>
      </c>
      <c r="E1866" s="1">
        <f>IFERROR(__xludf.DUMMYFUNCTION("""COMPUTED_VALUE"""),192.35)</f>
        <v>192.35</v>
      </c>
      <c r="F1866" s="1">
        <f>IFERROR(__xludf.DUMMYFUNCTION("""COMPUTED_VALUE"""),5330914.0)</f>
        <v>5330914</v>
      </c>
    </row>
    <row r="1867">
      <c r="A1867" s="2">
        <f>IFERROR(__xludf.DUMMYFUNCTION("""COMPUTED_VALUE"""),39258.645833333336)</f>
        <v>39258.64583</v>
      </c>
      <c r="B1867" s="1">
        <f>IFERROR(__xludf.DUMMYFUNCTION("""COMPUTED_VALUE"""),195.0)</f>
        <v>195</v>
      </c>
      <c r="C1867" s="1">
        <f>IFERROR(__xludf.DUMMYFUNCTION("""COMPUTED_VALUE"""),195.0)</f>
        <v>195</v>
      </c>
      <c r="D1867" s="1">
        <f>IFERROR(__xludf.DUMMYFUNCTION("""COMPUTED_VALUE"""),188.05)</f>
        <v>188.05</v>
      </c>
      <c r="E1867" s="1">
        <f>IFERROR(__xludf.DUMMYFUNCTION("""COMPUTED_VALUE"""),189.2)</f>
        <v>189.2</v>
      </c>
      <c r="F1867" s="1">
        <f>IFERROR(__xludf.DUMMYFUNCTION("""COMPUTED_VALUE"""),1252976.0)</f>
        <v>1252976</v>
      </c>
    </row>
    <row r="1868">
      <c r="A1868" s="2">
        <f>IFERROR(__xludf.DUMMYFUNCTION("""COMPUTED_VALUE"""),39259.645833333336)</f>
        <v>39259.64583</v>
      </c>
      <c r="B1868" s="1">
        <f>IFERROR(__xludf.DUMMYFUNCTION("""COMPUTED_VALUE"""),190.0)</f>
        <v>190</v>
      </c>
      <c r="C1868" s="1">
        <f>IFERROR(__xludf.DUMMYFUNCTION("""COMPUTED_VALUE"""),190.9)</f>
        <v>190.9</v>
      </c>
      <c r="D1868" s="1">
        <f>IFERROR(__xludf.DUMMYFUNCTION("""COMPUTED_VALUE"""),188.0)</f>
        <v>188</v>
      </c>
      <c r="E1868" s="1">
        <f>IFERROR(__xludf.DUMMYFUNCTION("""COMPUTED_VALUE"""),190.25)</f>
        <v>190.25</v>
      </c>
      <c r="F1868" s="1">
        <f>IFERROR(__xludf.DUMMYFUNCTION("""COMPUTED_VALUE"""),1779375.0)</f>
        <v>1779375</v>
      </c>
    </row>
    <row r="1869">
      <c r="A1869" s="2">
        <f>IFERROR(__xludf.DUMMYFUNCTION("""COMPUTED_VALUE"""),39260.645833333336)</f>
        <v>39260.64583</v>
      </c>
      <c r="B1869" s="1">
        <f>IFERROR(__xludf.DUMMYFUNCTION("""COMPUTED_VALUE"""),192.1)</f>
        <v>192.1</v>
      </c>
      <c r="C1869" s="1">
        <f>IFERROR(__xludf.DUMMYFUNCTION("""COMPUTED_VALUE"""),194.0)</f>
        <v>194</v>
      </c>
      <c r="D1869" s="1">
        <f>IFERROR(__xludf.DUMMYFUNCTION("""COMPUTED_VALUE"""),188.25)</f>
        <v>188.25</v>
      </c>
      <c r="E1869" s="1">
        <f>IFERROR(__xludf.DUMMYFUNCTION("""COMPUTED_VALUE"""),190.85)</f>
        <v>190.85</v>
      </c>
      <c r="F1869" s="1">
        <f>IFERROR(__xludf.DUMMYFUNCTION("""COMPUTED_VALUE"""),1808574.0)</f>
        <v>1808574</v>
      </c>
    </row>
    <row r="1870">
      <c r="A1870" s="2">
        <f>IFERROR(__xludf.DUMMYFUNCTION("""COMPUTED_VALUE"""),39261.645833333336)</f>
        <v>39261.64583</v>
      </c>
      <c r="B1870" s="1">
        <f>IFERROR(__xludf.DUMMYFUNCTION("""COMPUTED_VALUE"""),192.5)</f>
        <v>192.5</v>
      </c>
      <c r="C1870" s="1">
        <f>IFERROR(__xludf.DUMMYFUNCTION("""COMPUTED_VALUE"""),192.5)</f>
        <v>192.5</v>
      </c>
      <c r="D1870" s="1">
        <f>IFERROR(__xludf.DUMMYFUNCTION("""COMPUTED_VALUE"""),187.6)</f>
        <v>187.6</v>
      </c>
      <c r="E1870" s="1">
        <f>IFERROR(__xludf.DUMMYFUNCTION("""COMPUTED_VALUE"""),189.25)</f>
        <v>189.25</v>
      </c>
      <c r="F1870" s="1">
        <f>IFERROR(__xludf.DUMMYFUNCTION("""COMPUTED_VALUE"""),2675076.0)</f>
        <v>2675076</v>
      </c>
    </row>
    <row r="1871">
      <c r="A1871" s="2">
        <f>IFERROR(__xludf.DUMMYFUNCTION("""COMPUTED_VALUE"""),39262.645833333336)</f>
        <v>39262.64583</v>
      </c>
      <c r="B1871" s="1">
        <f>IFERROR(__xludf.DUMMYFUNCTION("""COMPUTED_VALUE"""),189.2)</f>
        <v>189.2</v>
      </c>
      <c r="C1871" s="1">
        <f>IFERROR(__xludf.DUMMYFUNCTION("""COMPUTED_VALUE"""),192.75)</f>
        <v>192.75</v>
      </c>
      <c r="D1871" s="1">
        <f>IFERROR(__xludf.DUMMYFUNCTION("""COMPUTED_VALUE"""),185.25)</f>
        <v>185.25</v>
      </c>
      <c r="E1871" s="1">
        <f>IFERROR(__xludf.DUMMYFUNCTION("""COMPUTED_VALUE"""),188.6)</f>
        <v>188.6</v>
      </c>
      <c r="F1871" s="1">
        <f>IFERROR(__xludf.DUMMYFUNCTION("""COMPUTED_VALUE"""),1776059.0)</f>
        <v>1776059</v>
      </c>
    </row>
    <row r="1872">
      <c r="A1872" s="2">
        <f>IFERROR(__xludf.DUMMYFUNCTION("""COMPUTED_VALUE"""),39265.645833333336)</f>
        <v>39265.64583</v>
      </c>
      <c r="B1872" s="1">
        <f>IFERROR(__xludf.DUMMYFUNCTION("""COMPUTED_VALUE"""),190.0)</f>
        <v>190</v>
      </c>
      <c r="C1872" s="1">
        <f>IFERROR(__xludf.DUMMYFUNCTION("""COMPUTED_VALUE"""),190.0)</f>
        <v>190</v>
      </c>
      <c r="D1872" s="1">
        <f>IFERROR(__xludf.DUMMYFUNCTION("""COMPUTED_VALUE"""),188.0)</f>
        <v>188</v>
      </c>
      <c r="E1872" s="1">
        <f>IFERROR(__xludf.DUMMYFUNCTION("""COMPUTED_VALUE"""),188.65)</f>
        <v>188.65</v>
      </c>
      <c r="F1872" s="1">
        <f>IFERROR(__xludf.DUMMYFUNCTION("""COMPUTED_VALUE"""),1458341.0)</f>
        <v>1458341</v>
      </c>
    </row>
    <row r="1873">
      <c r="A1873" s="2">
        <f>IFERROR(__xludf.DUMMYFUNCTION("""COMPUTED_VALUE"""),39266.645833333336)</f>
        <v>39266.64583</v>
      </c>
      <c r="B1873" s="1">
        <f>IFERROR(__xludf.DUMMYFUNCTION("""COMPUTED_VALUE"""),189.9)</f>
        <v>189.9</v>
      </c>
      <c r="C1873" s="1">
        <f>IFERROR(__xludf.DUMMYFUNCTION("""COMPUTED_VALUE"""),196.0)</f>
        <v>196</v>
      </c>
      <c r="D1873" s="1">
        <f>IFERROR(__xludf.DUMMYFUNCTION("""COMPUTED_VALUE"""),189.0)</f>
        <v>189</v>
      </c>
      <c r="E1873" s="1">
        <f>IFERROR(__xludf.DUMMYFUNCTION("""COMPUTED_VALUE"""),194.8)</f>
        <v>194.8</v>
      </c>
      <c r="F1873" s="1">
        <f>IFERROR(__xludf.DUMMYFUNCTION("""COMPUTED_VALUE"""),2295369.0)</f>
        <v>2295369</v>
      </c>
    </row>
    <row r="1874">
      <c r="A1874" s="2">
        <f>IFERROR(__xludf.DUMMYFUNCTION("""COMPUTED_VALUE"""),39267.645833333336)</f>
        <v>39267.64583</v>
      </c>
      <c r="B1874" s="1">
        <f>IFERROR(__xludf.DUMMYFUNCTION("""COMPUTED_VALUE"""),196.0)</f>
        <v>196</v>
      </c>
      <c r="C1874" s="1">
        <f>IFERROR(__xludf.DUMMYFUNCTION("""COMPUTED_VALUE"""),199.5)</f>
        <v>199.5</v>
      </c>
      <c r="D1874" s="1">
        <f>IFERROR(__xludf.DUMMYFUNCTION("""COMPUTED_VALUE"""),194.65)</f>
        <v>194.65</v>
      </c>
      <c r="E1874" s="1">
        <f>IFERROR(__xludf.DUMMYFUNCTION("""COMPUTED_VALUE"""),197.5)</f>
        <v>197.5</v>
      </c>
      <c r="F1874" s="1">
        <f>IFERROR(__xludf.DUMMYFUNCTION("""COMPUTED_VALUE"""),2058574.0)</f>
        <v>2058574</v>
      </c>
    </row>
    <row r="1875">
      <c r="A1875" s="2">
        <f>IFERROR(__xludf.DUMMYFUNCTION("""COMPUTED_VALUE"""),39268.645833333336)</f>
        <v>39268.64583</v>
      </c>
      <c r="B1875" s="1">
        <f>IFERROR(__xludf.DUMMYFUNCTION("""COMPUTED_VALUE"""),197.6)</f>
        <v>197.6</v>
      </c>
      <c r="C1875" s="1">
        <f>IFERROR(__xludf.DUMMYFUNCTION("""COMPUTED_VALUE"""),202.9)</f>
        <v>202.9</v>
      </c>
      <c r="D1875" s="1">
        <f>IFERROR(__xludf.DUMMYFUNCTION("""COMPUTED_VALUE"""),197.15)</f>
        <v>197.15</v>
      </c>
      <c r="E1875" s="1">
        <f>IFERROR(__xludf.DUMMYFUNCTION("""COMPUTED_VALUE"""),199.05)</f>
        <v>199.05</v>
      </c>
      <c r="F1875" s="1">
        <f>IFERROR(__xludf.DUMMYFUNCTION("""COMPUTED_VALUE"""),2781576.0)</f>
        <v>2781576</v>
      </c>
    </row>
    <row r="1876">
      <c r="A1876" s="2">
        <f>IFERROR(__xludf.DUMMYFUNCTION("""COMPUTED_VALUE"""),39269.645833333336)</f>
        <v>39269.64583</v>
      </c>
      <c r="B1876" s="1">
        <f>IFERROR(__xludf.DUMMYFUNCTION("""COMPUTED_VALUE"""),198.4)</f>
        <v>198.4</v>
      </c>
      <c r="C1876" s="1">
        <f>IFERROR(__xludf.DUMMYFUNCTION("""COMPUTED_VALUE"""),202.0)</f>
        <v>202</v>
      </c>
      <c r="D1876" s="1">
        <f>IFERROR(__xludf.DUMMYFUNCTION("""COMPUTED_VALUE"""),198.4)</f>
        <v>198.4</v>
      </c>
      <c r="E1876" s="1">
        <f>IFERROR(__xludf.DUMMYFUNCTION("""COMPUTED_VALUE"""),201.15)</f>
        <v>201.15</v>
      </c>
      <c r="F1876" s="1">
        <f>IFERROR(__xludf.DUMMYFUNCTION("""COMPUTED_VALUE"""),3487425.0)</f>
        <v>3487425</v>
      </c>
    </row>
    <row r="1877">
      <c r="A1877" s="2">
        <f>IFERROR(__xludf.DUMMYFUNCTION("""COMPUTED_VALUE"""),39272.645833333336)</f>
        <v>39272.64583</v>
      </c>
      <c r="B1877" s="1">
        <f>IFERROR(__xludf.DUMMYFUNCTION("""COMPUTED_VALUE"""),201.8)</f>
        <v>201.8</v>
      </c>
      <c r="C1877" s="1">
        <f>IFERROR(__xludf.DUMMYFUNCTION("""COMPUTED_VALUE"""),201.8)</f>
        <v>201.8</v>
      </c>
      <c r="D1877" s="1">
        <f>IFERROR(__xludf.DUMMYFUNCTION("""COMPUTED_VALUE"""),193.5)</f>
        <v>193.5</v>
      </c>
      <c r="E1877" s="1">
        <f>IFERROR(__xludf.DUMMYFUNCTION("""COMPUTED_VALUE"""),195.7)</f>
        <v>195.7</v>
      </c>
      <c r="F1877" s="1">
        <f>IFERROR(__xludf.DUMMYFUNCTION("""COMPUTED_VALUE"""),2912226.0)</f>
        <v>2912226</v>
      </c>
    </row>
    <row r="1878">
      <c r="A1878" s="2">
        <f>IFERROR(__xludf.DUMMYFUNCTION("""COMPUTED_VALUE"""),39273.645833333336)</f>
        <v>39273.64583</v>
      </c>
      <c r="B1878" s="1">
        <f>IFERROR(__xludf.DUMMYFUNCTION("""COMPUTED_VALUE"""),195.8)</f>
        <v>195.8</v>
      </c>
      <c r="C1878" s="1">
        <f>IFERROR(__xludf.DUMMYFUNCTION("""COMPUTED_VALUE"""),200.1)</f>
        <v>200.1</v>
      </c>
      <c r="D1878" s="1">
        <f>IFERROR(__xludf.DUMMYFUNCTION("""COMPUTED_VALUE"""),194.0)</f>
        <v>194</v>
      </c>
      <c r="E1878" s="1">
        <f>IFERROR(__xludf.DUMMYFUNCTION("""COMPUTED_VALUE"""),198.75)</f>
        <v>198.75</v>
      </c>
      <c r="F1878" s="1">
        <f>IFERROR(__xludf.DUMMYFUNCTION("""COMPUTED_VALUE"""),2998987.0)</f>
        <v>2998987</v>
      </c>
    </row>
    <row r="1879">
      <c r="A1879" s="2">
        <f>IFERROR(__xludf.DUMMYFUNCTION("""COMPUTED_VALUE"""),39274.645833333336)</f>
        <v>39274.64583</v>
      </c>
      <c r="B1879" s="1">
        <f>IFERROR(__xludf.DUMMYFUNCTION("""COMPUTED_VALUE"""),196.0)</f>
        <v>196</v>
      </c>
      <c r="C1879" s="1">
        <f>IFERROR(__xludf.DUMMYFUNCTION("""COMPUTED_VALUE"""),203.4)</f>
        <v>203.4</v>
      </c>
      <c r="D1879" s="1">
        <f>IFERROR(__xludf.DUMMYFUNCTION("""COMPUTED_VALUE"""),196.0)</f>
        <v>196</v>
      </c>
      <c r="E1879" s="1">
        <f>IFERROR(__xludf.DUMMYFUNCTION("""COMPUTED_VALUE"""),202.5)</f>
        <v>202.5</v>
      </c>
      <c r="F1879" s="1">
        <f>IFERROR(__xludf.DUMMYFUNCTION("""COMPUTED_VALUE"""),3143605.0)</f>
        <v>3143605</v>
      </c>
    </row>
    <row r="1880">
      <c r="A1880" s="2">
        <f>IFERROR(__xludf.DUMMYFUNCTION("""COMPUTED_VALUE"""),39275.645833333336)</f>
        <v>39275.64583</v>
      </c>
      <c r="B1880" s="1">
        <f>IFERROR(__xludf.DUMMYFUNCTION("""COMPUTED_VALUE"""),203.8)</f>
        <v>203.8</v>
      </c>
      <c r="C1880" s="1">
        <f>IFERROR(__xludf.DUMMYFUNCTION("""COMPUTED_VALUE"""),210.25)</f>
        <v>210.25</v>
      </c>
      <c r="D1880" s="1">
        <f>IFERROR(__xludf.DUMMYFUNCTION("""COMPUTED_VALUE"""),203.5)</f>
        <v>203.5</v>
      </c>
      <c r="E1880" s="1">
        <f>IFERROR(__xludf.DUMMYFUNCTION("""COMPUTED_VALUE"""),205.9)</f>
        <v>205.9</v>
      </c>
      <c r="F1880" s="1">
        <f>IFERROR(__xludf.DUMMYFUNCTION("""COMPUTED_VALUE"""),3443889.0)</f>
        <v>3443889</v>
      </c>
    </row>
    <row r="1881">
      <c r="A1881" s="2">
        <f>IFERROR(__xludf.DUMMYFUNCTION("""COMPUTED_VALUE"""),39276.645833333336)</f>
        <v>39276.64583</v>
      </c>
      <c r="B1881" s="1">
        <f>IFERROR(__xludf.DUMMYFUNCTION("""COMPUTED_VALUE"""),205.9)</f>
        <v>205.9</v>
      </c>
      <c r="C1881" s="1">
        <f>IFERROR(__xludf.DUMMYFUNCTION("""COMPUTED_VALUE"""),208.5)</f>
        <v>208.5</v>
      </c>
      <c r="D1881" s="1">
        <f>IFERROR(__xludf.DUMMYFUNCTION("""COMPUTED_VALUE"""),201.0)</f>
        <v>201</v>
      </c>
      <c r="E1881" s="1">
        <f>IFERROR(__xludf.DUMMYFUNCTION("""COMPUTED_VALUE"""),202.45)</f>
        <v>202.45</v>
      </c>
      <c r="F1881" s="1">
        <f>IFERROR(__xludf.DUMMYFUNCTION("""COMPUTED_VALUE"""),2550933.0)</f>
        <v>2550933</v>
      </c>
    </row>
    <row r="1882">
      <c r="A1882" s="2">
        <f>IFERROR(__xludf.DUMMYFUNCTION("""COMPUTED_VALUE"""),39279.645833333336)</f>
        <v>39279.64583</v>
      </c>
      <c r="B1882" s="1">
        <f>IFERROR(__xludf.DUMMYFUNCTION("""COMPUTED_VALUE"""),203.0)</f>
        <v>203</v>
      </c>
      <c r="C1882" s="1">
        <f>IFERROR(__xludf.DUMMYFUNCTION("""COMPUTED_VALUE"""),204.5)</f>
        <v>204.5</v>
      </c>
      <c r="D1882" s="1">
        <f>IFERROR(__xludf.DUMMYFUNCTION("""COMPUTED_VALUE"""),197.25)</f>
        <v>197.25</v>
      </c>
      <c r="E1882" s="1">
        <f>IFERROR(__xludf.DUMMYFUNCTION("""COMPUTED_VALUE"""),198.35)</f>
        <v>198.35</v>
      </c>
      <c r="F1882" s="1">
        <f>IFERROR(__xludf.DUMMYFUNCTION("""COMPUTED_VALUE"""),2784933.0)</f>
        <v>2784933</v>
      </c>
    </row>
    <row r="1883">
      <c r="A1883" s="2">
        <f>IFERROR(__xludf.DUMMYFUNCTION("""COMPUTED_VALUE"""),39280.645833333336)</f>
        <v>39280.64583</v>
      </c>
      <c r="B1883" s="1">
        <f>IFERROR(__xludf.DUMMYFUNCTION("""COMPUTED_VALUE"""),198.1)</f>
        <v>198.1</v>
      </c>
      <c r="C1883" s="1">
        <f>IFERROR(__xludf.DUMMYFUNCTION("""COMPUTED_VALUE"""),200.2)</f>
        <v>200.2</v>
      </c>
      <c r="D1883" s="1">
        <f>IFERROR(__xludf.DUMMYFUNCTION("""COMPUTED_VALUE"""),195.55)</f>
        <v>195.55</v>
      </c>
      <c r="E1883" s="1">
        <f>IFERROR(__xludf.DUMMYFUNCTION("""COMPUTED_VALUE"""),196.85)</f>
        <v>196.85</v>
      </c>
      <c r="F1883" s="1">
        <f>IFERROR(__xludf.DUMMYFUNCTION("""COMPUTED_VALUE"""),4713516.0)</f>
        <v>4713516</v>
      </c>
    </row>
    <row r="1884">
      <c r="A1884" s="2">
        <f>IFERROR(__xludf.DUMMYFUNCTION("""COMPUTED_VALUE"""),39281.645833333336)</f>
        <v>39281.64583</v>
      </c>
      <c r="B1884" s="1">
        <f>IFERROR(__xludf.DUMMYFUNCTION("""COMPUTED_VALUE"""),197.7)</f>
        <v>197.7</v>
      </c>
      <c r="C1884" s="1">
        <f>IFERROR(__xludf.DUMMYFUNCTION("""COMPUTED_VALUE"""),199.75)</f>
        <v>199.75</v>
      </c>
      <c r="D1884" s="1">
        <f>IFERROR(__xludf.DUMMYFUNCTION("""COMPUTED_VALUE"""),195.35)</f>
        <v>195.35</v>
      </c>
      <c r="E1884" s="1">
        <f>IFERROR(__xludf.DUMMYFUNCTION("""COMPUTED_VALUE"""),198.8)</f>
        <v>198.8</v>
      </c>
      <c r="F1884" s="1">
        <f>IFERROR(__xludf.DUMMYFUNCTION("""COMPUTED_VALUE"""),1463890.0)</f>
        <v>1463890</v>
      </c>
    </row>
    <row r="1885">
      <c r="A1885" s="2">
        <f>IFERROR(__xludf.DUMMYFUNCTION("""COMPUTED_VALUE"""),39282.645833333336)</f>
        <v>39282.64583</v>
      </c>
      <c r="B1885" s="1">
        <f>IFERROR(__xludf.DUMMYFUNCTION("""COMPUTED_VALUE"""),199.0)</f>
        <v>199</v>
      </c>
      <c r="C1885" s="1">
        <f>IFERROR(__xludf.DUMMYFUNCTION("""COMPUTED_VALUE"""),199.75)</f>
        <v>199.75</v>
      </c>
      <c r="D1885" s="1">
        <f>IFERROR(__xludf.DUMMYFUNCTION("""COMPUTED_VALUE"""),194.65)</f>
        <v>194.65</v>
      </c>
      <c r="E1885" s="1">
        <f>IFERROR(__xludf.DUMMYFUNCTION("""COMPUTED_VALUE"""),197.8)</f>
        <v>197.8</v>
      </c>
      <c r="F1885" s="1">
        <f>IFERROR(__xludf.DUMMYFUNCTION("""COMPUTED_VALUE"""),2066807.0)</f>
        <v>2066807</v>
      </c>
    </row>
    <row r="1886">
      <c r="A1886" s="2">
        <f>IFERROR(__xludf.DUMMYFUNCTION("""COMPUTED_VALUE"""),39283.645833333336)</f>
        <v>39283.64583</v>
      </c>
      <c r="B1886" s="1">
        <f>IFERROR(__xludf.DUMMYFUNCTION("""COMPUTED_VALUE"""),198.0)</f>
        <v>198</v>
      </c>
      <c r="C1886" s="1">
        <f>IFERROR(__xludf.DUMMYFUNCTION("""COMPUTED_VALUE"""),199.9)</f>
        <v>199.9</v>
      </c>
      <c r="D1886" s="1">
        <f>IFERROR(__xludf.DUMMYFUNCTION("""COMPUTED_VALUE"""),192.55)</f>
        <v>192.55</v>
      </c>
      <c r="E1886" s="1">
        <f>IFERROR(__xludf.DUMMYFUNCTION("""COMPUTED_VALUE"""),194.15)</f>
        <v>194.15</v>
      </c>
      <c r="F1886" s="1">
        <f>IFERROR(__xludf.DUMMYFUNCTION("""COMPUTED_VALUE"""),2678230.0)</f>
        <v>2678230</v>
      </c>
    </row>
    <row r="1887">
      <c r="A1887" s="2">
        <f>IFERROR(__xludf.DUMMYFUNCTION("""COMPUTED_VALUE"""),39286.645833333336)</f>
        <v>39286.64583</v>
      </c>
      <c r="B1887" s="1">
        <f>IFERROR(__xludf.DUMMYFUNCTION("""COMPUTED_VALUE"""),199.5)</f>
        <v>199.5</v>
      </c>
      <c r="C1887" s="1">
        <f>IFERROR(__xludf.DUMMYFUNCTION("""COMPUTED_VALUE"""),205.8)</f>
        <v>205.8</v>
      </c>
      <c r="D1887" s="1">
        <f>IFERROR(__xludf.DUMMYFUNCTION("""COMPUTED_VALUE"""),198.0)</f>
        <v>198</v>
      </c>
      <c r="E1887" s="1">
        <f>IFERROR(__xludf.DUMMYFUNCTION("""COMPUTED_VALUE"""),204.85)</f>
        <v>204.85</v>
      </c>
      <c r="F1887" s="1">
        <f>IFERROR(__xludf.DUMMYFUNCTION("""COMPUTED_VALUE"""),6892251.0)</f>
        <v>6892251</v>
      </c>
    </row>
    <row r="1888">
      <c r="A1888" s="2">
        <f>IFERROR(__xludf.DUMMYFUNCTION("""COMPUTED_VALUE"""),39287.645833333336)</f>
        <v>39287.64583</v>
      </c>
      <c r="B1888" s="1">
        <f>IFERROR(__xludf.DUMMYFUNCTION("""COMPUTED_VALUE"""),205.9)</f>
        <v>205.9</v>
      </c>
      <c r="C1888" s="1">
        <f>IFERROR(__xludf.DUMMYFUNCTION("""COMPUTED_VALUE"""),205.9)</f>
        <v>205.9</v>
      </c>
      <c r="D1888" s="1">
        <f>IFERROR(__xludf.DUMMYFUNCTION("""COMPUTED_VALUE"""),197.85)</f>
        <v>197.85</v>
      </c>
      <c r="E1888" s="1">
        <f>IFERROR(__xludf.DUMMYFUNCTION("""COMPUTED_VALUE"""),199.75)</f>
        <v>199.75</v>
      </c>
      <c r="F1888" s="1">
        <f>IFERROR(__xludf.DUMMYFUNCTION("""COMPUTED_VALUE"""),1938559.0)</f>
        <v>1938559</v>
      </c>
    </row>
    <row r="1889">
      <c r="A1889" s="2">
        <f>IFERROR(__xludf.DUMMYFUNCTION("""COMPUTED_VALUE"""),39288.645833333336)</f>
        <v>39288.64583</v>
      </c>
      <c r="B1889" s="1">
        <f>IFERROR(__xludf.DUMMYFUNCTION("""COMPUTED_VALUE"""),202.8)</f>
        <v>202.8</v>
      </c>
      <c r="C1889" s="1">
        <f>IFERROR(__xludf.DUMMYFUNCTION("""COMPUTED_VALUE"""),204.0)</f>
        <v>204</v>
      </c>
      <c r="D1889" s="1">
        <f>IFERROR(__xludf.DUMMYFUNCTION("""COMPUTED_VALUE"""),198.75)</f>
        <v>198.75</v>
      </c>
      <c r="E1889" s="1">
        <f>IFERROR(__xludf.DUMMYFUNCTION("""COMPUTED_VALUE"""),201.95)</f>
        <v>201.95</v>
      </c>
      <c r="F1889" s="1">
        <f>IFERROR(__xludf.DUMMYFUNCTION("""COMPUTED_VALUE"""),2531149.0)</f>
        <v>2531149</v>
      </c>
    </row>
    <row r="1890">
      <c r="A1890" s="2">
        <f>IFERROR(__xludf.DUMMYFUNCTION("""COMPUTED_VALUE"""),39289.645833333336)</f>
        <v>39289.64583</v>
      </c>
      <c r="B1890" s="1">
        <f>IFERROR(__xludf.DUMMYFUNCTION("""COMPUTED_VALUE"""),204.0)</f>
        <v>204</v>
      </c>
      <c r="C1890" s="1">
        <f>IFERROR(__xludf.DUMMYFUNCTION("""COMPUTED_VALUE"""),208.0)</f>
        <v>208</v>
      </c>
      <c r="D1890" s="1">
        <f>IFERROR(__xludf.DUMMYFUNCTION("""COMPUTED_VALUE"""),198.1)</f>
        <v>198.1</v>
      </c>
      <c r="E1890" s="1">
        <f>IFERROR(__xludf.DUMMYFUNCTION("""COMPUTED_VALUE"""),205.7)</f>
        <v>205.7</v>
      </c>
      <c r="F1890" s="1">
        <f>IFERROR(__xludf.DUMMYFUNCTION("""COMPUTED_VALUE"""),3151821.0)</f>
        <v>3151821</v>
      </c>
    </row>
    <row r="1891">
      <c r="A1891" s="2">
        <f>IFERROR(__xludf.DUMMYFUNCTION("""COMPUTED_VALUE"""),39290.645833333336)</f>
        <v>39290.64583</v>
      </c>
      <c r="B1891" s="1">
        <f>IFERROR(__xludf.DUMMYFUNCTION("""COMPUTED_VALUE"""),205.0)</f>
        <v>205</v>
      </c>
      <c r="C1891" s="1">
        <f>IFERROR(__xludf.DUMMYFUNCTION("""COMPUTED_VALUE"""),205.0)</f>
        <v>205</v>
      </c>
      <c r="D1891" s="1">
        <f>IFERROR(__xludf.DUMMYFUNCTION("""COMPUTED_VALUE"""),194.6)</f>
        <v>194.6</v>
      </c>
      <c r="E1891" s="1">
        <f>IFERROR(__xludf.DUMMYFUNCTION("""COMPUTED_VALUE"""),195.9)</f>
        <v>195.9</v>
      </c>
      <c r="F1891" s="1">
        <f>IFERROR(__xludf.DUMMYFUNCTION("""COMPUTED_VALUE"""),5105904.0)</f>
        <v>5105904</v>
      </c>
    </row>
    <row r="1892">
      <c r="A1892" s="2">
        <f>IFERROR(__xludf.DUMMYFUNCTION("""COMPUTED_VALUE"""),39293.645833333336)</f>
        <v>39293.64583</v>
      </c>
      <c r="B1892" s="1">
        <f>IFERROR(__xludf.DUMMYFUNCTION("""COMPUTED_VALUE"""),205.0)</f>
        <v>205</v>
      </c>
      <c r="C1892" s="1">
        <f>IFERROR(__xludf.DUMMYFUNCTION("""COMPUTED_VALUE"""),212.3)</f>
        <v>212.3</v>
      </c>
      <c r="D1892" s="1">
        <f>IFERROR(__xludf.DUMMYFUNCTION("""COMPUTED_VALUE"""),202.0)</f>
        <v>202</v>
      </c>
      <c r="E1892" s="1">
        <f>IFERROR(__xludf.DUMMYFUNCTION("""COMPUTED_VALUE"""),208.95)</f>
        <v>208.95</v>
      </c>
      <c r="F1892" s="1">
        <f>IFERROR(__xludf.DUMMYFUNCTION("""COMPUTED_VALUE"""),6297238.0)</f>
        <v>6297238</v>
      </c>
    </row>
    <row r="1893">
      <c r="A1893" s="2">
        <f>IFERROR(__xludf.DUMMYFUNCTION("""COMPUTED_VALUE"""),39294.645833333336)</f>
        <v>39294.64583</v>
      </c>
      <c r="B1893" s="1">
        <f>IFERROR(__xludf.DUMMYFUNCTION("""COMPUTED_VALUE"""),211.9)</f>
        <v>211.9</v>
      </c>
      <c r="C1893" s="1">
        <f>IFERROR(__xludf.DUMMYFUNCTION("""COMPUTED_VALUE"""),211.9)</f>
        <v>211.9</v>
      </c>
      <c r="D1893" s="1">
        <f>IFERROR(__xludf.DUMMYFUNCTION("""COMPUTED_VALUE"""),204.55)</f>
        <v>204.55</v>
      </c>
      <c r="E1893" s="1">
        <f>IFERROR(__xludf.DUMMYFUNCTION("""COMPUTED_VALUE"""),206.75)</f>
        <v>206.75</v>
      </c>
      <c r="F1893" s="1">
        <f>IFERROR(__xludf.DUMMYFUNCTION("""COMPUTED_VALUE"""),2423496.0)</f>
        <v>2423496</v>
      </c>
    </row>
    <row r="1894">
      <c r="A1894" s="2">
        <f>IFERROR(__xludf.DUMMYFUNCTION("""COMPUTED_VALUE"""),39295.645833333336)</f>
        <v>39295.64583</v>
      </c>
      <c r="B1894" s="1">
        <f>IFERROR(__xludf.DUMMYFUNCTION("""COMPUTED_VALUE"""),220.0)</f>
        <v>220</v>
      </c>
      <c r="C1894" s="1">
        <f>IFERROR(__xludf.DUMMYFUNCTION("""COMPUTED_VALUE"""),220.0)</f>
        <v>220</v>
      </c>
      <c r="D1894" s="1">
        <f>IFERROR(__xludf.DUMMYFUNCTION("""COMPUTED_VALUE"""),199.0)</f>
        <v>199</v>
      </c>
      <c r="E1894" s="1">
        <f>IFERROR(__xludf.DUMMYFUNCTION("""COMPUTED_VALUE"""),201.85)</f>
        <v>201.85</v>
      </c>
      <c r="F1894" s="1">
        <f>IFERROR(__xludf.DUMMYFUNCTION("""COMPUTED_VALUE"""),3485059.0)</f>
        <v>3485059</v>
      </c>
    </row>
    <row r="1895">
      <c r="A1895" s="2">
        <f>IFERROR(__xludf.DUMMYFUNCTION("""COMPUTED_VALUE"""),39296.645833333336)</f>
        <v>39296.64583</v>
      </c>
      <c r="B1895" s="1">
        <f>IFERROR(__xludf.DUMMYFUNCTION("""COMPUTED_VALUE"""),203.8)</f>
        <v>203.8</v>
      </c>
      <c r="C1895" s="1">
        <f>IFERROR(__xludf.DUMMYFUNCTION("""COMPUTED_VALUE"""),205.95)</f>
        <v>205.95</v>
      </c>
      <c r="D1895" s="1">
        <f>IFERROR(__xludf.DUMMYFUNCTION("""COMPUTED_VALUE"""),200.15)</f>
        <v>200.15</v>
      </c>
      <c r="E1895" s="1">
        <f>IFERROR(__xludf.DUMMYFUNCTION("""COMPUTED_VALUE"""),201.6)</f>
        <v>201.6</v>
      </c>
      <c r="F1895" s="1">
        <f>IFERROR(__xludf.DUMMYFUNCTION("""COMPUTED_VALUE"""),1126039.0)</f>
        <v>1126039</v>
      </c>
    </row>
    <row r="1896">
      <c r="A1896" s="2">
        <f>IFERROR(__xludf.DUMMYFUNCTION("""COMPUTED_VALUE"""),39297.645833333336)</f>
        <v>39297.64583</v>
      </c>
      <c r="B1896" s="1">
        <f>IFERROR(__xludf.DUMMYFUNCTION("""COMPUTED_VALUE"""),204.0)</f>
        <v>204</v>
      </c>
      <c r="C1896" s="1">
        <f>IFERROR(__xludf.DUMMYFUNCTION("""COMPUTED_VALUE"""),206.0)</f>
        <v>206</v>
      </c>
      <c r="D1896" s="1">
        <f>IFERROR(__xludf.DUMMYFUNCTION("""COMPUTED_VALUE"""),202.25)</f>
        <v>202.25</v>
      </c>
      <c r="E1896" s="1">
        <f>IFERROR(__xludf.DUMMYFUNCTION("""COMPUTED_VALUE"""),205.4)</f>
        <v>205.4</v>
      </c>
      <c r="F1896" s="1">
        <f>IFERROR(__xludf.DUMMYFUNCTION("""COMPUTED_VALUE"""),1067215.0)</f>
        <v>1067215</v>
      </c>
    </row>
    <row r="1897">
      <c r="A1897" s="2">
        <f>IFERROR(__xludf.DUMMYFUNCTION("""COMPUTED_VALUE"""),39300.645833333336)</f>
        <v>39300.64583</v>
      </c>
      <c r="B1897" s="1">
        <f>IFERROR(__xludf.DUMMYFUNCTION("""COMPUTED_VALUE"""),202.0)</f>
        <v>202</v>
      </c>
      <c r="C1897" s="1">
        <f>IFERROR(__xludf.DUMMYFUNCTION("""COMPUTED_VALUE"""),203.0)</f>
        <v>203</v>
      </c>
      <c r="D1897" s="1">
        <f>IFERROR(__xludf.DUMMYFUNCTION("""COMPUTED_VALUE"""),198.8)</f>
        <v>198.8</v>
      </c>
      <c r="E1897" s="1">
        <f>IFERROR(__xludf.DUMMYFUNCTION("""COMPUTED_VALUE"""),200.1)</f>
        <v>200.1</v>
      </c>
      <c r="F1897" s="1">
        <f>IFERROR(__xludf.DUMMYFUNCTION("""COMPUTED_VALUE"""),1815789.0)</f>
        <v>1815789</v>
      </c>
    </row>
    <row r="1898">
      <c r="A1898" s="2">
        <f>IFERROR(__xludf.DUMMYFUNCTION("""COMPUTED_VALUE"""),39301.645833333336)</f>
        <v>39301.64583</v>
      </c>
      <c r="B1898" s="1">
        <f>IFERROR(__xludf.DUMMYFUNCTION("""COMPUTED_VALUE"""),199.85)</f>
        <v>199.85</v>
      </c>
      <c r="C1898" s="1">
        <f>IFERROR(__xludf.DUMMYFUNCTION("""COMPUTED_VALUE"""),200.7)</f>
        <v>200.7</v>
      </c>
      <c r="D1898" s="1">
        <f>IFERROR(__xludf.DUMMYFUNCTION("""COMPUTED_VALUE"""),198.05)</f>
        <v>198.05</v>
      </c>
      <c r="E1898" s="1">
        <f>IFERROR(__xludf.DUMMYFUNCTION("""COMPUTED_VALUE"""),200.1)</f>
        <v>200.1</v>
      </c>
      <c r="F1898" s="1">
        <f>IFERROR(__xludf.DUMMYFUNCTION("""COMPUTED_VALUE"""),2141604.0)</f>
        <v>2141604</v>
      </c>
    </row>
    <row r="1899">
      <c r="A1899" s="2">
        <f>IFERROR(__xludf.DUMMYFUNCTION("""COMPUTED_VALUE"""),39302.645833333336)</f>
        <v>39302.64583</v>
      </c>
      <c r="B1899" s="1">
        <f>IFERROR(__xludf.DUMMYFUNCTION("""COMPUTED_VALUE"""),210.0)</f>
        <v>210</v>
      </c>
      <c r="C1899" s="1">
        <f>IFERROR(__xludf.DUMMYFUNCTION("""COMPUTED_VALUE"""),210.0)</f>
        <v>210</v>
      </c>
      <c r="D1899" s="1">
        <f>IFERROR(__xludf.DUMMYFUNCTION("""COMPUTED_VALUE"""),200.2)</f>
        <v>200.2</v>
      </c>
      <c r="E1899" s="1">
        <f>IFERROR(__xludf.DUMMYFUNCTION("""COMPUTED_VALUE"""),203.25)</f>
        <v>203.25</v>
      </c>
      <c r="F1899" s="1">
        <f>IFERROR(__xludf.DUMMYFUNCTION("""COMPUTED_VALUE"""),1674651.0)</f>
        <v>1674651</v>
      </c>
    </row>
    <row r="1900">
      <c r="A1900" s="2">
        <f>IFERROR(__xludf.DUMMYFUNCTION("""COMPUTED_VALUE"""),39303.645833333336)</f>
        <v>39303.64583</v>
      </c>
      <c r="B1900" s="1">
        <f>IFERROR(__xludf.DUMMYFUNCTION("""COMPUTED_VALUE"""),204.7)</f>
        <v>204.7</v>
      </c>
      <c r="C1900" s="1">
        <f>IFERROR(__xludf.DUMMYFUNCTION("""COMPUTED_VALUE"""),205.4)</f>
        <v>205.4</v>
      </c>
      <c r="D1900" s="1">
        <f>IFERROR(__xludf.DUMMYFUNCTION("""COMPUTED_VALUE"""),200.2)</f>
        <v>200.2</v>
      </c>
      <c r="E1900" s="1">
        <f>IFERROR(__xludf.DUMMYFUNCTION("""COMPUTED_VALUE"""),201.0)</f>
        <v>201</v>
      </c>
      <c r="F1900" s="1">
        <f>IFERROR(__xludf.DUMMYFUNCTION("""COMPUTED_VALUE"""),1188491.0)</f>
        <v>1188491</v>
      </c>
    </row>
    <row r="1901">
      <c r="A1901" s="2">
        <f>IFERROR(__xludf.DUMMYFUNCTION("""COMPUTED_VALUE"""),39304.645833333336)</f>
        <v>39304.64583</v>
      </c>
      <c r="B1901" s="1">
        <f>IFERROR(__xludf.DUMMYFUNCTION("""COMPUTED_VALUE"""),194.0)</f>
        <v>194</v>
      </c>
      <c r="C1901" s="1">
        <f>IFERROR(__xludf.DUMMYFUNCTION("""COMPUTED_VALUE"""),198.95)</f>
        <v>198.95</v>
      </c>
      <c r="D1901" s="1">
        <f>IFERROR(__xludf.DUMMYFUNCTION("""COMPUTED_VALUE"""),192.8)</f>
        <v>192.8</v>
      </c>
      <c r="E1901" s="1">
        <f>IFERROR(__xludf.DUMMYFUNCTION("""COMPUTED_VALUE"""),196.1)</f>
        <v>196.1</v>
      </c>
      <c r="F1901" s="1">
        <f>IFERROR(__xludf.DUMMYFUNCTION("""COMPUTED_VALUE"""),2587792.0)</f>
        <v>2587792</v>
      </c>
    </row>
    <row r="1902">
      <c r="A1902" s="2">
        <f>IFERROR(__xludf.DUMMYFUNCTION("""COMPUTED_VALUE"""),39307.645833333336)</f>
        <v>39307.64583</v>
      </c>
      <c r="B1902" s="1">
        <f>IFERROR(__xludf.DUMMYFUNCTION("""COMPUTED_VALUE"""),196.6)</f>
        <v>196.6</v>
      </c>
      <c r="C1902" s="1">
        <f>IFERROR(__xludf.DUMMYFUNCTION("""COMPUTED_VALUE"""),204.5)</f>
        <v>204.5</v>
      </c>
      <c r="D1902" s="1">
        <f>IFERROR(__xludf.DUMMYFUNCTION("""COMPUTED_VALUE"""),196.6)</f>
        <v>196.6</v>
      </c>
      <c r="E1902" s="1">
        <f>IFERROR(__xludf.DUMMYFUNCTION("""COMPUTED_VALUE"""),204.05)</f>
        <v>204.05</v>
      </c>
      <c r="F1902" s="1">
        <f>IFERROR(__xludf.DUMMYFUNCTION("""COMPUTED_VALUE"""),1276525.0)</f>
        <v>1276525</v>
      </c>
    </row>
    <row r="1903">
      <c r="A1903" s="2">
        <f>IFERROR(__xludf.DUMMYFUNCTION("""COMPUTED_VALUE"""),39308.645833333336)</f>
        <v>39308.64583</v>
      </c>
      <c r="B1903" s="1">
        <f>IFERROR(__xludf.DUMMYFUNCTION("""COMPUTED_VALUE"""),204.7)</f>
        <v>204.7</v>
      </c>
      <c r="C1903" s="1">
        <f>IFERROR(__xludf.DUMMYFUNCTION("""COMPUTED_VALUE"""),204.7)</f>
        <v>204.7</v>
      </c>
      <c r="D1903" s="1">
        <f>IFERROR(__xludf.DUMMYFUNCTION("""COMPUTED_VALUE"""),200.1)</f>
        <v>200.1</v>
      </c>
      <c r="E1903" s="1">
        <f>IFERROR(__xludf.DUMMYFUNCTION("""COMPUTED_VALUE"""),200.6)</f>
        <v>200.6</v>
      </c>
      <c r="F1903" s="1">
        <f>IFERROR(__xludf.DUMMYFUNCTION("""COMPUTED_VALUE"""),731298.0)</f>
        <v>731298</v>
      </c>
    </row>
    <row r="1904">
      <c r="A1904" s="2">
        <f>IFERROR(__xludf.DUMMYFUNCTION("""COMPUTED_VALUE"""),39310.645833333336)</f>
        <v>39310.64583</v>
      </c>
      <c r="B1904" s="1">
        <f>IFERROR(__xludf.DUMMYFUNCTION("""COMPUTED_VALUE"""),195.0)</f>
        <v>195</v>
      </c>
      <c r="C1904" s="1">
        <f>IFERROR(__xludf.DUMMYFUNCTION("""COMPUTED_VALUE"""),198.2)</f>
        <v>198.2</v>
      </c>
      <c r="D1904" s="1">
        <f>IFERROR(__xludf.DUMMYFUNCTION("""COMPUTED_VALUE"""),191.5)</f>
        <v>191.5</v>
      </c>
      <c r="E1904" s="1">
        <f>IFERROR(__xludf.DUMMYFUNCTION("""COMPUTED_VALUE"""),196.35)</f>
        <v>196.35</v>
      </c>
      <c r="F1904" s="1">
        <f>IFERROR(__xludf.DUMMYFUNCTION("""COMPUTED_VALUE"""),5135861.0)</f>
        <v>5135861</v>
      </c>
    </row>
    <row r="1905">
      <c r="A1905" s="2">
        <f>IFERROR(__xludf.DUMMYFUNCTION("""COMPUTED_VALUE"""),39311.645833333336)</f>
        <v>39311.64583</v>
      </c>
      <c r="B1905" s="1">
        <f>IFERROR(__xludf.DUMMYFUNCTION("""COMPUTED_VALUE"""),194.0)</f>
        <v>194</v>
      </c>
      <c r="C1905" s="1">
        <f>IFERROR(__xludf.DUMMYFUNCTION("""COMPUTED_VALUE"""),195.75)</f>
        <v>195.75</v>
      </c>
      <c r="D1905" s="1">
        <f>IFERROR(__xludf.DUMMYFUNCTION("""COMPUTED_VALUE"""),190.1)</f>
        <v>190.1</v>
      </c>
      <c r="E1905" s="1">
        <f>IFERROR(__xludf.DUMMYFUNCTION("""COMPUTED_VALUE"""),192.5)</f>
        <v>192.5</v>
      </c>
      <c r="F1905" s="1">
        <f>IFERROR(__xludf.DUMMYFUNCTION("""COMPUTED_VALUE"""),1912253.0)</f>
        <v>1912253</v>
      </c>
    </row>
    <row r="1906">
      <c r="A1906" s="2">
        <f>IFERROR(__xludf.DUMMYFUNCTION("""COMPUTED_VALUE"""),39314.645833333336)</f>
        <v>39314.64583</v>
      </c>
      <c r="B1906" s="1">
        <f>IFERROR(__xludf.DUMMYFUNCTION("""COMPUTED_VALUE"""),196.7)</f>
        <v>196.7</v>
      </c>
      <c r="C1906" s="1">
        <f>IFERROR(__xludf.DUMMYFUNCTION("""COMPUTED_VALUE"""),200.5)</f>
        <v>200.5</v>
      </c>
      <c r="D1906" s="1">
        <f>IFERROR(__xludf.DUMMYFUNCTION("""COMPUTED_VALUE"""),195.75)</f>
        <v>195.75</v>
      </c>
      <c r="E1906" s="1">
        <f>IFERROR(__xludf.DUMMYFUNCTION("""COMPUTED_VALUE"""),198.3)</f>
        <v>198.3</v>
      </c>
      <c r="F1906" s="1">
        <f>IFERROR(__xludf.DUMMYFUNCTION("""COMPUTED_VALUE"""),1597993.0)</f>
        <v>1597993</v>
      </c>
    </row>
    <row r="1907">
      <c r="A1907" s="2">
        <f>IFERROR(__xludf.DUMMYFUNCTION("""COMPUTED_VALUE"""),39315.645833333336)</f>
        <v>39315.64583</v>
      </c>
      <c r="B1907" s="1">
        <f>IFERROR(__xludf.DUMMYFUNCTION("""COMPUTED_VALUE"""),199.0)</f>
        <v>199</v>
      </c>
      <c r="C1907" s="1">
        <f>IFERROR(__xludf.DUMMYFUNCTION("""COMPUTED_VALUE"""),199.0)</f>
        <v>199</v>
      </c>
      <c r="D1907" s="1">
        <f>IFERROR(__xludf.DUMMYFUNCTION("""COMPUTED_VALUE"""),192.0)</f>
        <v>192</v>
      </c>
      <c r="E1907" s="1">
        <f>IFERROR(__xludf.DUMMYFUNCTION("""COMPUTED_VALUE"""),193.25)</f>
        <v>193.25</v>
      </c>
      <c r="F1907" s="1">
        <f>IFERROR(__xludf.DUMMYFUNCTION("""COMPUTED_VALUE"""),1303292.0)</f>
        <v>1303292</v>
      </c>
    </row>
    <row r="1908">
      <c r="A1908" s="2">
        <f>IFERROR(__xludf.DUMMYFUNCTION("""COMPUTED_VALUE"""),39316.645833333336)</f>
        <v>39316.64583</v>
      </c>
      <c r="B1908" s="1">
        <f>IFERROR(__xludf.DUMMYFUNCTION("""COMPUTED_VALUE"""),193.0)</f>
        <v>193</v>
      </c>
      <c r="C1908" s="1">
        <f>IFERROR(__xludf.DUMMYFUNCTION("""COMPUTED_VALUE"""),198.2)</f>
        <v>198.2</v>
      </c>
      <c r="D1908" s="1">
        <f>IFERROR(__xludf.DUMMYFUNCTION("""COMPUTED_VALUE"""),192.0)</f>
        <v>192</v>
      </c>
      <c r="E1908" s="1">
        <f>IFERROR(__xludf.DUMMYFUNCTION("""COMPUTED_VALUE"""),196.15)</f>
        <v>196.15</v>
      </c>
      <c r="F1908" s="1">
        <f>IFERROR(__xludf.DUMMYFUNCTION("""COMPUTED_VALUE"""),1159172.0)</f>
        <v>1159172</v>
      </c>
    </row>
    <row r="1909">
      <c r="A1909" s="2">
        <f>IFERROR(__xludf.DUMMYFUNCTION("""COMPUTED_VALUE"""),39317.645833333336)</f>
        <v>39317.64583</v>
      </c>
      <c r="B1909" s="1">
        <f>IFERROR(__xludf.DUMMYFUNCTION("""COMPUTED_VALUE"""),196.0)</f>
        <v>196</v>
      </c>
      <c r="C1909" s="1">
        <f>IFERROR(__xludf.DUMMYFUNCTION("""COMPUTED_VALUE"""),199.8)</f>
        <v>199.8</v>
      </c>
      <c r="D1909" s="1">
        <f>IFERROR(__xludf.DUMMYFUNCTION("""COMPUTED_VALUE"""),196.0)</f>
        <v>196</v>
      </c>
      <c r="E1909" s="1">
        <f>IFERROR(__xludf.DUMMYFUNCTION("""COMPUTED_VALUE"""),197.9)</f>
        <v>197.9</v>
      </c>
      <c r="F1909" s="1">
        <f>IFERROR(__xludf.DUMMYFUNCTION("""COMPUTED_VALUE"""),2008677.0)</f>
        <v>2008677</v>
      </c>
    </row>
    <row r="1910">
      <c r="A1910" s="2">
        <f>IFERROR(__xludf.DUMMYFUNCTION("""COMPUTED_VALUE"""),39318.645833333336)</f>
        <v>39318.64583</v>
      </c>
      <c r="B1910" s="1">
        <f>IFERROR(__xludf.DUMMYFUNCTION("""COMPUTED_VALUE"""),198.0)</f>
        <v>198</v>
      </c>
      <c r="C1910" s="1">
        <f>IFERROR(__xludf.DUMMYFUNCTION("""COMPUTED_VALUE"""),200.75)</f>
        <v>200.75</v>
      </c>
      <c r="D1910" s="1">
        <f>IFERROR(__xludf.DUMMYFUNCTION("""COMPUTED_VALUE"""),196.6)</f>
        <v>196.6</v>
      </c>
      <c r="E1910" s="1">
        <f>IFERROR(__xludf.DUMMYFUNCTION("""COMPUTED_VALUE"""),199.4)</f>
        <v>199.4</v>
      </c>
      <c r="F1910" s="1">
        <f>IFERROR(__xludf.DUMMYFUNCTION("""COMPUTED_VALUE"""),719903.0)</f>
        <v>719903</v>
      </c>
    </row>
    <row r="1911">
      <c r="A1911" s="2">
        <f>IFERROR(__xludf.DUMMYFUNCTION("""COMPUTED_VALUE"""),39321.645833333336)</f>
        <v>39321.64583</v>
      </c>
      <c r="B1911" s="1">
        <f>IFERROR(__xludf.DUMMYFUNCTION("""COMPUTED_VALUE"""),201.0)</f>
        <v>201</v>
      </c>
      <c r="C1911" s="1">
        <f>IFERROR(__xludf.DUMMYFUNCTION("""COMPUTED_VALUE"""),202.8)</f>
        <v>202.8</v>
      </c>
      <c r="D1911" s="1">
        <f>IFERROR(__xludf.DUMMYFUNCTION("""COMPUTED_VALUE"""),199.6)</f>
        <v>199.6</v>
      </c>
      <c r="E1911" s="1">
        <f>IFERROR(__xludf.DUMMYFUNCTION("""COMPUTED_VALUE"""),200.75)</f>
        <v>200.75</v>
      </c>
      <c r="F1911" s="1">
        <f>IFERROR(__xludf.DUMMYFUNCTION("""COMPUTED_VALUE"""),1002366.0)</f>
        <v>1002366</v>
      </c>
    </row>
    <row r="1912">
      <c r="A1912" s="2">
        <f>IFERROR(__xludf.DUMMYFUNCTION("""COMPUTED_VALUE"""),39322.645833333336)</f>
        <v>39322.64583</v>
      </c>
      <c r="B1912" s="1">
        <f>IFERROR(__xludf.DUMMYFUNCTION("""COMPUTED_VALUE"""),200.0)</f>
        <v>200</v>
      </c>
      <c r="C1912" s="1">
        <f>IFERROR(__xludf.DUMMYFUNCTION("""COMPUTED_VALUE"""),203.0)</f>
        <v>203</v>
      </c>
      <c r="D1912" s="1">
        <f>IFERROR(__xludf.DUMMYFUNCTION("""COMPUTED_VALUE"""),200.0)</f>
        <v>200</v>
      </c>
      <c r="E1912" s="1">
        <f>IFERROR(__xludf.DUMMYFUNCTION("""COMPUTED_VALUE"""),202.1)</f>
        <v>202.1</v>
      </c>
      <c r="F1912" s="1">
        <f>IFERROR(__xludf.DUMMYFUNCTION("""COMPUTED_VALUE"""),1103658.0)</f>
        <v>1103658</v>
      </c>
    </row>
    <row r="1913">
      <c r="A1913" s="2">
        <f>IFERROR(__xludf.DUMMYFUNCTION("""COMPUTED_VALUE"""),39323.645833333336)</f>
        <v>39323.64583</v>
      </c>
      <c r="B1913" s="1">
        <f>IFERROR(__xludf.DUMMYFUNCTION("""COMPUTED_VALUE"""),198.45)</f>
        <v>198.45</v>
      </c>
      <c r="C1913" s="1">
        <f>IFERROR(__xludf.DUMMYFUNCTION("""COMPUTED_VALUE"""),203.5)</f>
        <v>203.5</v>
      </c>
      <c r="D1913" s="1">
        <f>IFERROR(__xludf.DUMMYFUNCTION("""COMPUTED_VALUE"""),198.0)</f>
        <v>198</v>
      </c>
      <c r="E1913" s="1">
        <f>IFERROR(__xludf.DUMMYFUNCTION("""COMPUTED_VALUE"""),201.95)</f>
        <v>201.95</v>
      </c>
      <c r="F1913" s="1">
        <f>IFERROR(__xludf.DUMMYFUNCTION("""COMPUTED_VALUE"""),1390972.0)</f>
        <v>1390972</v>
      </c>
    </row>
    <row r="1914">
      <c r="A1914" s="2">
        <f>IFERROR(__xludf.DUMMYFUNCTION("""COMPUTED_VALUE"""),39324.645833333336)</f>
        <v>39324.64583</v>
      </c>
      <c r="B1914" s="1">
        <f>IFERROR(__xludf.DUMMYFUNCTION("""COMPUTED_VALUE"""),201.2)</f>
        <v>201.2</v>
      </c>
      <c r="C1914" s="1">
        <f>IFERROR(__xludf.DUMMYFUNCTION("""COMPUTED_VALUE"""),205.5)</f>
        <v>205.5</v>
      </c>
      <c r="D1914" s="1">
        <f>IFERROR(__xludf.DUMMYFUNCTION("""COMPUTED_VALUE"""),200.3)</f>
        <v>200.3</v>
      </c>
      <c r="E1914" s="1">
        <f>IFERROR(__xludf.DUMMYFUNCTION("""COMPUTED_VALUE"""),203.2)</f>
        <v>203.2</v>
      </c>
      <c r="F1914" s="1">
        <f>IFERROR(__xludf.DUMMYFUNCTION("""COMPUTED_VALUE"""),3272581.0)</f>
        <v>3272581</v>
      </c>
    </row>
    <row r="1915">
      <c r="A1915" s="2">
        <f>IFERROR(__xludf.DUMMYFUNCTION("""COMPUTED_VALUE"""),39325.645833333336)</f>
        <v>39325.64583</v>
      </c>
      <c r="B1915" s="1">
        <f>IFERROR(__xludf.DUMMYFUNCTION("""COMPUTED_VALUE"""),203.8)</f>
        <v>203.8</v>
      </c>
      <c r="C1915" s="1">
        <f>IFERROR(__xludf.DUMMYFUNCTION("""COMPUTED_VALUE"""),210.4)</f>
        <v>210.4</v>
      </c>
      <c r="D1915" s="1">
        <f>IFERROR(__xludf.DUMMYFUNCTION("""COMPUTED_VALUE"""),203.7)</f>
        <v>203.7</v>
      </c>
      <c r="E1915" s="1">
        <f>IFERROR(__xludf.DUMMYFUNCTION("""COMPUTED_VALUE"""),208.3)</f>
        <v>208.3</v>
      </c>
      <c r="F1915" s="1">
        <f>IFERROR(__xludf.DUMMYFUNCTION("""COMPUTED_VALUE"""),1950710.0)</f>
        <v>1950710</v>
      </c>
    </row>
    <row r="1916">
      <c r="A1916" s="2">
        <f>IFERROR(__xludf.DUMMYFUNCTION("""COMPUTED_VALUE"""),39328.645833333336)</f>
        <v>39328.64583</v>
      </c>
      <c r="B1916" s="1">
        <f>IFERROR(__xludf.DUMMYFUNCTION("""COMPUTED_VALUE"""),207.0)</f>
        <v>207</v>
      </c>
      <c r="C1916" s="1">
        <f>IFERROR(__xludf.DUMMYFUNCTION("""COMPUTED_VALUE"""),210.5)</f>
        <v>210.5</v>
      </c>
      <c r="D1916" s="1">
        <f>IFERROR(__xludf.DUMMYFUNCTION("""COMPUTED_VALUE"""),206.65)</f>
        <v>206.65</v>
      </c>
      <c r="E1916" s="1">
        <f>IFERROR(__xludf.DUMMYFUNCTION("""COMPUTED_VALUE"""),209.8)</f>
        <v>209.8</v>
      </c>
      <c r="F1916" s="1">
        <f>IFERROR(__xludf.DUMMYFUNCTION("""COMPUTED_VALUE"""),1561295.0)</f>
        <v>1561295</v>
      </c>
    </row>
    <row r="1917">
      <c r="A1917" s="2">
        <f>IFERROR(__xludf.DUMMYFUNCTION("""COMPUTED_VALUE"""),39329.645833333336)</f>
        <v>39329.64583</v>
      </c>
      <c r="B1917" s="1">
        <f>IFERROR(__xludf.DUMMYFUNCTION("""COMPUTED_VALUE"""),209.05)</f>
        <v>209.05</v>
      </c>
      <c r="C1917" s="1">
        <f>IFERROR(__xludf.DUMMYFUNCTION("""COMPUTED_VALUE"""),211.9)</f>
        <v>211.9</v>
      </c>
      <c r="D1917" s="1">
        <f>IFERROR(__xludf.DUMMYFUNCTION("""COMPUTED_VALUE"""),207.15)</f>
        <v>207.15</v>
      </c>
      <c r="E1917" s="1">
        <f>IFERROR(__xludf.DUMMYFUNCTION("""COMPUTED_VALUE"""),211.0)</f>
        <v>211</v>
      </c>
      <c r="F1917" s="1">
        <f>IFERROR(__xludf.DUMMYFUNCTION("""COMPUTED_VALUE"""),1047596.0)</f>
        <v>1047596</v>
      </c>
    </row>
    <row r="1918">
      <c r="A1918" s="2">
        <f>IFERROR(__xludf.DUMMYFUNCTION("""COMPUTED_VALUE"""),39330.645833333336)</f>
        <v>39330.64583</v>
      </c>
      <c r="B1918" s="1">
        <f>IFERROR(__xludf.DUMMYFUNCTION("""COMPUTED_VALUE"""),211.0)</f>
        <v>211</v>
      </c>
      <c r="C1918" s="1">
        <f>IFERROR(__xludf.DUMMYFUNCTION("""COMPUTED_VALUE"""),214.9)</f>
        <v>214.9</v>
      </c>
      <c r="D1918" s="1">
        <f>IFERROR(__xludf.DUMMYFUNCTION("""COMPUTED_VALUE"""),208.65)</f>
        <v>208.65</v>
      </c>
      <c r="E1918" s="1">
        <f>IFERROR(__xludf.DUMMYFUNCTION("""COMPUTED_VALUE"""),212.35)</f>
        <v>212.35</v>
      </c>
      <c r="F1918" s="1">
        <f>IFERROR(__xludf.DUMMYFUNCTION("""COMPUTED_VALUE"""),2106856.0)</f>
        <v>2106856</v>
      </c>
    </row>
    <row r="1919">
      <c r="A1919" s="2">
        <f>IFERROR(__xludf.DUMMYFUNCTION("""COMPUTED_VALUE"""),39331.645833333336)</f>
        <v>39331.64583</v>
      </c>
      <c r="B1919" s="1">
        <f>IFERROR(__xludf.DUMMYFUNCTION("""COMPUTED_VALUE"""),210.75)</f>
        <v>210.75</v>
      </c>
      <c r="C1919" s="1">
        <f>IFERROR(__xludf.DUMMYFUNCTION("""COMPUTED_VALUE"""),218.4)</f>
        <v>218.4</v>
      </c>
      <c r="D1919" s="1">
        <f>IFERROR(__xludf.DUMMYFUNCTION("""COMPUTED_VALUE"""),210.0)</f>
        <v>210</v>
      </c>
      <c r="E1919" s="1">
        <f>IFERROR(__xludf.DUMMYFUNCTION("""COMPUTED_VALUE"""),216.35)</f>
        <v>216.35</v>
      </c>
      <c r="F1919" s="1">
        <f>IFERROR(__xludf.DUMMYFUNCTION("""COMPUTED_VALUE"""),2254083.0)</f>
        <v>2254083</v>
      </c>
    </row>
    <row r="1920">
      <c r="A1920" s="2">
        <f>IFERROR(__xludf.DUMMYFUNCTION("""COMPUTED_VALUE"""),39332.645833333336)</f>
        <v>39332.64583</v>
      </c>
      <c r="B1920" s="1">
        <f>IFERROR(__xludf.DUMMYFUNCTION("""COMPUTED_VALUE"""),217.25)</f>
        <v>217.25</v>
      </c>
      <c r="C1920" s="1">
        <f>IFERROR(__xludf.DUMMYFUNCTION("""COMPUTED_VALUE"""),218.9)</f>
        <v>218.9</v>
      </c>
      <c r="D1920" s="1">
        <f>IFERROR(__xludf.DUMMYFUNCTION("""COMPUTED_VALUE"""),213.35)</f>
        <v>213.35</v>
      </c>
      <c r="E1920" s="1">
        <f>IFERROR(__xludf.DUMMYFUNCTION("""COMPUTED_VALUE"""),213.95)</f>
        <v>213.95</v>
      </c>
      <c r="F1920" s="1">
        <f>IFERROR(__xludf.DUMMYFUNCTION("""COMPUTED_VALUE"""),1000657.0)</f>
        <v>1000657</v>
      </c>
    </row>
    <row r="1921">
      <c r="A1921" s="2">
        <f>IFERROR(__xludf.DUMMYFUNCTION("""COMPUTED_VALUE"""),39335.645833333336)</f>
        <v>39335.64583</v>
      </c>
      <c r="B1921" s="1">
        <f>IFERROR(__xludf.DUMMYFUNCTION("""COMPUTED_VALUE"""),211.15)</f>
        <v>211.15</v>
      </c>
      <c r="C1921" s="1">
        <f>IFERROR(__xludf.DUMMYFUNCTION("""COMPUTED_VALUE"""),215.0)</f>
        <v>215</v>
      </c>
      <c r="D1921" s="1">
        <f>IFERROR(__xludf.DUMMYFUNCTION("""COMPUTED_VALUE"""),210.45)</f>
        <v>210.45</v>
      </c>
      <c r="E1921" s="1">
        <f>IFERROR(__xludf.DUMMYFUNCTION("""COMPUTED_VALUE"""),213.35)</f>
        <v>213.35</v>
      </c>
      <c r="F1921" s="1">
        <f>IFERROR(__xludf.DUMMYFUNCTION("""COMPUTED_VALUE"""),756512.0)</f>
        <v>756512</v>
      </c>
    </row>
    <row r="1922">
      <c r="A1922" s="2">
        <f>IFERROR(__xludf.DUMMYFUNCTION("""COMPUTED_VALUE"""),39336.645833333336)</f>
        <v>39336.64583</v>
      </c>
      <c r="B1922" s="1">
        <f>IFERROR(__xludf.DUMMYFUNCTION("""COMPUTED_VALUE"""),214.5)</f>
        <v>214.5</v>
      </c>
      <c r="C1922" s="1">
        <f>IFERROR(__xludf.DUMMYFUNCTION("""COMPUTED_VALUE"""),218.45)</f>
        <v>218.45</v>
      </c>
      <c r="D1922" s="1">
        <f>IFERROR(__xludf.DUMMYFUNCTION("""COMPUTED_VALUE"""),212.85)</f>
        <v>212.85</v>
      </c>
      <c r="E1922" s="1">
        <f>IFERROR(__xludf.DUMMYFUNCTION("""COMPUTED_VALUE"""),217.1)</f>
        <v>217.1</v>
      </c>
      <c r="F1922" s="1">
        <f>IFERROR(__xludf.DUMMYFUNCTION("""COMPUTED_VALUE"""),930405.0)</f>
        <v>930405</v>
      </c>
    </row>
    <row r="1923">
      <c r="A1923" s="2">
        <f>IFERROR(__xludf.DUMMYFUNCTION("""COMPUTED_VALUE"""),39337.645833333336)</f>
        <v>39337.64583</v>
      </c>
      <c r="B1923" s="1">
        <f>IFERROR(__xludf.DUMMYFUNCTION("""COMPUTED_VALUE"""),217.1)</f>
        <v>217.1</v>
      </c>
      <c r="C1923" s="1">
        <f>IFERROR(__xludf.DUMMYFUNCTION("""COMPUTED_VALUE"""),219.9)</f>
        <v>219.9</v>
      </c>
      <c r="D1923" s="1">
        <f>IFERROR(__xludf.DUMMYFUNCTION("""COMPUTED_VALUE"""),215.5)</f>
        <v>215.5</v>
      </c>
      <c r="E1923" s="1">
        <f>IFERROR(__xludf.DUMMYFUNCTION("""COMPUTED_VALUE"""),217.55)</f>
        <v>217.55</v>
      </c>
      <c r="F1923" s="1">
        <f>IFERROR(__xludf.DUMMYFUNCTION("""COMPUTED_VALUE"""),2445980.0)</f>
        <v>2445980</v>
      </c>
    </row>
    <row r="1924">
      <c r="A1924" s="2">
        <f>IFERROR(__xludf.DUMMYFUNCTION("""COMPUTED_VALUE"""),39338.645833333336)</f>
        <v>39338.64583</v>
      </c>
      <c r="B1924" s="1">
        <f>IFERROR(__xludf.DUMMYFUNCTION("""COMPUTED_VALUE"""),217.5)</f>
        <v>217.5</v>
      </c>
      <c r="C1924" s="1">
        <f>IFERROR(__xludf.DUMMYFUNCTION("""COMPUTED_VALUE"""),217.5)</f>
        <v>217.5</v>
      </c>
      <c r="D1924" s="1">
        <f>IFERROR(__xludf.DUMMYFUNCTION("""COMPUTED_VALUE"""),214.0)</f>
        <v>214</v>
      </c>
      <c r="E1924" s="1">
        <f>IFERROR(__xludf.DUMMYFUNCTION("""COMPUTED_VALUE"""),215.0)</f>
        <v>215</v>
      </c>
      <c r="F1924" s="1">
        <f>IFERROR(__xludf.DUMMYFUNCTION("""COMPUTED_VALUE"""),1313402.0)</f>
        <v>1313402</v>
      </c>
    </row>
    <row r="1925">
      <c r="A1925" s="2">
        <f>IFERROR(__xludf.DUMMYFUNCTION("""COMPUTED_VALUE"""),39339.645833333336)</f>
        <v>39339.64583</v>
      </c>
      <c r="B1925" s="1">
        <f>IFERROR(__xludf.DUMMYFUNCTION("""COMPUTED_VALUE"""),216.4)</f>
        <v>216.4</v>
      </c>
      <c r="C1925" s="1">
        <f>IFERROR(__xludf.DUMMYFUNCTION("""COMPUTED_VALUE"""),217.05)</f>
        <v>217.05</v>
      </c>
      <c r="D1925" s="1">
        <f>IFERROR(__xludf.DUMMYFUNCTION("""COMPUTED_VALUE"""),211.1)</f>
        <v>211.1</v>
      </c>
      <c r="E1925" s="1">
        <f>IFERROR(__xludf.DUMMYFUNCTION("""COMPUTED_VALUE"""),212.05)</f>
        <v>212.05</v>
      </c>
      <c r="F1925" s="1">
        <f>IFERROR(__xludf.DUMMYFUNCTION("""COMPUTED_VALUE"""),835576.0)</f>
        <v>835576</v>
      </c>
    </row>
    <row r="1926">
      <c r="A1926" s="2">
        <f>IFERROR(__xludf.DUMMYFUNCTION("""COMPUTED_VALUE"""),39342.645833333336)</f>
        <v>39342.64583</v>
      </c>
      <c r="B1926" s="1">
        <f>IFERROR(__xludf.DUMMYFUNCTION("""COMPUTED_VALUE"""),214.0)</f>
        <v>214</v>
      </c>
      <c r="C1926" s="1">
        <f>IFERROR(__xludf.DUMMYFUNCTION("""COMPUTED_VALUE"""),216.9)</f>
        <v>216.9</v>
      </c>
      <c r="D1926" s="1">
        <f>IFERROR(__xludf.DUMMYFUNCTION("""COMPUTED_VALUE"""),212.0)</f>
        <v>212</v>
      </c>
      <c r="E1926" s="1">
        <f>IFERROR(__xludf.DUMMYFUNCTION("""COMPUTED_VALUE"""),215.9)</f>
        <v>215.9</v>
      </c>
      <c r="F1926" s="1">
        <f>IFERROR(__xludf.DUMMYFUNCTION("""COMPUTED_VALUE"""),5135397.0)</f>
        <v>5135397</v>
      </c>
    </row>
    <row r="1927">
      <c r="A1927" s="2">
        <f>IFERROR(__xludf.DUMMYFUNCTION("""COMPUTED_VALUE"""),39343.645833333336)</f>
        <v>39343.64583</v>
      </c>
      <c r="B1927" s="1">
        <f>IFERROR(__xludf.DUMMYFUNCTION("""COMPUTED_VALUE"""),214.8)</f>
        <v>214.8</v>
      </c>
      <c r="C1927" s="1">
        <f>IFERROR(__xludf.DUMMYFUNCTION("""COMPUTED_VALUE"""),215.75)</f>
        <v>215.75</v>
      </c>
      <c r="D1927" s="1">
        <f>IFERROR(__xludf.DUMMYFUNCTION("""COMPUTED_VALUE"""),212.4)</f>
        <v>212.4</v>
      </c>
      <c r="E1927" s="1">
        <f>IFERROR(__xludf.DUMMYFUNCTION("""COMPUTED_VALUE"""),214.55)</f>
        <v>214.55</v>
      </c>
      <c r="F1927" s="1">
        <f>IFERROR(__xludf.DUMMYFUNCTION("""COMPUTED_VALUE"""),1623725.0)</f>
        <v>1623725</v>
      </c>
    </row>
    <row r="1928">
      <c r="A1928" s="2">
        <f>IFERROR(__xludf.DUMMYFUNCTION("""COMPUTED_VALUE"""),39344.645833333336)</f>
        <v>39344.64583</v>
      </c>
      <c r="B1928" s="1">
        <f>IFERROR(__xludf.DUMMYFUNCTION("""COMPUTED_VALUE"""),216.0)</f>
        <v>216</v>
      </c>
      <c r="C1928" s="1">
        <f>IFERROR(__xludf.DUMMYFUNCTION("""COMPUTED_VALUE"""),218.9)</f>
        <v>218.9</v>
      </c>
      <c r="D1928" s="1">
        <f>IFERROR(__xludf.DUMMYFUNCTION("""COMPUTED_VALUE"""),215.6)</f>
        <v>215.6</v>
      </c>
      <c r="E1928" s="1">
        <f>IFERROR(__xludf.DUMMYFUNCTION("""COMPUTED_VALUE"""),217.0)</f>
        <v>217</v>
      </c>
      <c r="F1928" s="1">
        <f>IFERROR(__xludf.DUMMYFUNCTION("""COMPUTED_VALUE"""),2954126.0)</f>
        <v>2954126</v>
      </c>
    </row>
    <row r="1929">
      <c r="A1929" s="2">
        <f>IFERROR(__xludf.DUMMYFUNCTION("""COMPUTED_VALUE"""),39345.645833333336)</f>
        <v>39345.64583</v>
      </c>
      <c r="B1929" s="1">
        <f>IFERROR(__xludf.DUMMYFUNCTION("""COMPUTED_VALUE"""),213.25)</f>
        <v>213.25</v>
      </c>
      <c r="C1929" s="1">
        <f>IFERROR(__xludf.DUMMYFUNCTION("""COMPUTED_VALUE"""),219.8)</f>
        <v>219.8</v>
      </c>
      <c r="D1929" s="1">
        <f>IFERROR(__xludf.DUMMYFUNCTION("""COMPUTED_VALUE"""),213.0)</f>
        <v>213</v>
      </c>
      <c r="E1929" s="1">
        <f>IFERROR(__xludf.DUMMYFUNCTION("""COMPUTED_VALUE"""),214.2)</f>
        <v>214.2</v>
      </c>
      <c r="F1929" s="1">
        <f>IFERROR(__xludf.DUMMYFUNCTION("""COMPUTED_VALUE"""),1760987.0)</f>
        <v>1760987</v>
      </c>
    </row>
    <row r="1930">
      <c r="A1930" s="2">
        <f>IFERROR(__xludf.DUMMYFUNCTION("""COMPUTED_VALUE"""),39346.645833333336)</f>
        <v>39346.64583</v>
      </c>
      <c r="B1930" s="1">
        <f>IFERROR(__xludf.DUMMYFUNCTION("""COMPUTED_VALUE"""),213.0)</f>
        <v>213</v>
      </c>
      <c r="C1930" s="1">
        <f>IFERROR(__xludf.DUMMYFUNCTION("""COMPUTED_VALUE"""),221.8)</f>
        <v>221.8</v>
      </c>
      <c r="D1930" s="1">
        <f>IFERROR(__xludf.DUMMYFUNCTION("""COMPUTED_VALUE"""),213.0)</f>
        <v>213</v>
      </c>
      <c r="E1930" s="1">
        <f>IFERROR(__xludf.DUMMYFUNCTION("""COMPUTED_VALUE"""),219.4)</f>
        <v>219.4</v>
      </c>
      <c r="F1930" s="1">
        <f>IFERROR(__xludf.DUMMYFUNCTION("""COMPUTED_VALUE"""),2960931.0)</f>
        <v>2960931</v>
      </c>
    </row>
    <row r="1931">
      <c r="A1931" s="2">
        <f>IFERROR(__xludf.DUMMYFUNCTION("""COMPUTED_VALUE"""),39349.645833333336)</f>
        <v>39349.64583</v>
      </c>
      <c r="B1931" s="1">
        <f>IFERROR(__xludf.DUMMYFUNCTION("""COMPUTED_VALUE"""),221.55)</f>
        <v>221.55</v>
      </c>
      <c r="C1931" s="1">
        <f>IFERROR(__xludf.DUMMYFUNCTION("""COMPUTED_VALUE"""),224.9)</f>
        <v>224.9</v>
      </c>
      <c r="D1931" s="1">
        <f>IFERROR(__xludf.DUMMYFUNCTION("""COMPUTED_VALUE"""),219.4)</f>
        <v>219.4</v>
      </c>
      <c r="E1931" s="1">
        <f>IFERROR(__xludf.DUMMYFUNCTION("""COMPUTED_VALUE"""),223.5)</f>
        <v>223.5</v>
      </c>
      <c r="F1931" s="1">
        <f>IFERROR(__xludf.DUMMYFUNCTION("""COMPUTED_VALUE"""),3438206.0)</f>
        <v>3438206</v>
      </c>
    </row>
    <row r="1932">
      <c r="A1932" s="2">
        <f>IFERROR(__xludf.DUMMYFUNCTION("""COMPUTED_VALUE"""),39350.645833333336)</f>
        <v>39350.64583</v>
      </c>
      <c r="B1932" s="1">
        <f>IFERROR(__xludf.DUMMYFUNCTION("""COMPUTED_VALUE"""),223.0)</f>
        <v>223</v>
      </c>
      <c r="C1932" s="1">
        <f>IFERROR(__xludf.DUMMYFUNCTION("""COMPUTED_VALUE"""),228.0)</f>
        <v>228</v>
      </c>
      <c r="D1932" s="1">
        <f>IFERROR(__xludf.DUMMYFUNCTION("""COMPUTED_VALUE"""),218.6)</f>
        <v>218.6</v>
      </c>
      <c r="E1932" s="1">
        <f>IFERROR(__xludf.DUMMYFUNCTION("""COMPUTED_VALUE"""),227.35)</f>
        <v>227.35</v>
      </c>
      <c r="F1932" s="1">
        <f>IFERROR(__xludf.DUMMYFUNCTION("""COMPUTED_VALUE"""),3176671.0)</f>
        <v>3176671</v>
      </c>
    </row>
    <row r="1933">
      <c r="A1933" s="2">
        <f>IFERROR(__xludf.DUMMYFUNCTION("""COMPUTED_VALUE"""),39351.645833333336)</f>
        <v>39351.64583</v>
      </c>
      <c r="B1933" s="1">
        <f>IFERROR(__xludf.DUMMYFUNCTION("""COMPUTED_VALUE"""),228.5)</f>
        <v>228.5</v>
      </c>
      <c r="C1933" s="1">
        <f>IFERROR(__xludf.DUMMYFUNCTION("""COMPUTED_VALUE"""),229.9)</f>
        <v>229.9</v>
      </c>
      <c r="D1933" s="1">
        <f>IFERROR(__xludf.DUMMYFUNCTION("""COMPUTED_VALUE"""),224.05)</f>
        <v>224.05</v>
      </c>
      <c r="E1933" s="1">
        <f>IFERROR(__xludf.DUMMYFUNCTION("""COMPUTED_VALUE"""),225.45)</f>
        <v>225.45</v>
      </c>
      <c r="F1933" s="1">
        <f>IFERROR(__xludf.DUMMYFUNCTION("""COMPUTED_VALUE"""),2884558.0)</f>
        <v>2884558</v>
      </c>
    </row>
    <row r="1934">
      <c r="A1934" s="2">
        <f>IFERROR(__xludf.DUMMYFUNCTION("""COMPUTED_VALUE"""),39352.645833333336)</f>
        <v>39352.64583</v>
      </c>
      <c r="B1934" s="1">
        <f>IFERROR(__xludf.DUMMYFUNCTION("""COMPUTED_VALUE"""),226.0)</f>
        <v>226</v>
      </c>
      <c r="C1934" s="1">
        <f>IFERROR(__xludf.DUMMYFUNCTION("""COMPUTED_VALUE"""),228.0)</f>
        <v>228</v>
      </c>
      <c r="D1934" s="1">
        <f>IFERROR(__xludf.DUMMYFUNCTION("""COMPUTED_VALUE"""),216.2)</f>
        <v>216.2</v>
      </c>
      <c r="E1934" s="1">
        <f>IFERROR(__xludf.DUMMYFUNCTION("""COMPUTED_VALUE"""),218.9)</f>
        <v>218.9</v>
      </c>
      <c r="F1934" s="1">
        <f>IFERROR(__xludf.DUMMYFUNCTION("""COMPUTED_VALUE"""),9602414.0)</f>
        <v>9602414</v>
      </c>
    </row>
    <row r="1935">
      <c r="A1935" s="2">
        <f>IFERROR(__xludf.DUMMYFUNCTION("""COMPUTED_VALUE"""),39353.645833333336)</f>
        <v>39353.64583</v>
      </c>
      <c r="B1935" s="1">
        <f>IFERROR(__xludf.DUMMYFUNCTION("""COMPUTED_VALUE"""),222.2)</f>
        <v>222.2</v>
      </c>
      <c r="C1935" s="1">
        <f>IFERROR(__xludf.DUMMYFUNCTION("""COMPUTED_VALUE"""),222.2)</f>
        <v>222.2</v>
      </c>
      <c r="D1935" s="1">
        <f>IFERROR(__xludf.DUMMYFUNCTION("""COMPUTED_VALUE"""),215.6)</f>
        <v>215.6</v>
      </c>
      <c r="E1935" s="1">
        <f>IFERROR(__xludf.DUMMYFUNCTION("""COMPUTED_VALUE"""),220.6)</f>
        <v>220.6</v>
      </c>
      <c r="F1935" s="1">
        <f>IFERROR(__xludf.DUMMYFUNCTION("""COMPUTED_VALUE"""),3510232.0)</f>
        <v>3510232</v>
      </c>
    </row>
    <row r="1936">
      <c r="A1936" s="2">
        <f>IFERROR(__xludf.DUMMYFUNCTION("""COMPUTED_VALUE"""),39356.645833333336)</f>
        <v>39356.64583</v>
      </c>
      <c r="B1936" s="1">
        <f>IFERROR(__xludf.DUMMYFUNCTION("""COMPUTED_VALUE"""),219.65)</f>
        <v>219.65</v>
      </c>
      <c r="C1936" s="1">
        <f>IFERROR(__xludf.DUMMYFUNCTION("""COMPUTED_VALUE"""),226.1)</f>
        <v>226.1</v>
      </c>
      <c r="D1936" s="1">
        <f>IFERROR(__xludf.DUMMYFUNCTION("""COMPUTED_VALUE"""),214.0)</f>
        <v>214</v>
      </c>
      <c r="E1936" s="1">
        <f>IFERROR(__xludf.DUMMYFUNCTION("""COMPUTED_VALUE"""),224.1)</f>
        <v>224.1</v>
      </c>
      <c r="F1936" s="1">
        <f>IFERROR(__xludf.DUMMYFUNCTION("""COMPUTED_VALUE"""),3471105.0)</f>
        <v>3471105</v>
      </c>
    </row>
    <row r="1937">
      <c r="A1937" s="2">
        <f>IFERROR(__xludf.DUMMYFUNCTION("""COMPUTED_VALUE"""),39358.645833333336)</f>
        <v>39358.64583</v>
      </c>
      <c r="B1937" s="1">
        <f>IFERROR(__xludf.DUMMYFUNCTION("""COMPUTED_VALUE"""),225.0)</f>
        <v>225</v>
      </c>
      <c r="C1937" s="1">
        <f>IFERROR(__xludf.DUMMYFUNCTION("""COMPUTED_VALUE"""),225.9)</f>
        <v>225.9</v>
      </c>
      <c r="D1937" s="1">
        <f>IFERROR(__xludf.DUMMYFUNCTION("""COMPUTED_VALUE"""),219.35)</f>
        <v>219.35</v>
      </c>
      <c r="E1937" s="1">
        <f>IFERROR(__xludf.DUMMYFUNCTION("""COMPUTED_VALUE"""),220.5)</f>
        <v>220.5</v>
      </c>
      <c r="F1937" s="1">
        <f>IFERROR(__xludf.DUMMYFUNCTION("""COMPUTED_VALUE"""),4682668.0)</f>
        <v>4682668</v>
      </c>
    </row>
    <row r="1938">
      <c r="A1938" s="2">
        <f>IFERROR(__xludf.DUMMYFUNCTION("""COMPUTED_VALUE"""),39359.645833333336)</f>
        <v>39359.64583</v>
      </c>
      <c r="B1938" s="1">
        <f>IFERROR(__xludf.DUMMYFUNCTION("""COMPUTED_VALUE"""),220.0)</f>
        <v>220</v>
      </c>
      <c r="C1938" s="1">
        <f>IFERROR(__xludf.DUMMYFUNCTION("""COMPUTED_VALUE"""),225.0)</f>
        <v>225</v>
      </c>
      <c r="D1938" s="1">
        <f>IFERROR(__xludf.DUMMYFUNCTION("""COMPUTED_VALUE"""),218.25)</f>
        <v>218.25</v>
      </c>
      <c r="E1938" s="1">
        <f>IFERROR(__xludf.DUMMYFUNCTION("""COMPUTED_VALUE"""),223.9)</f>
        <v>223.9</v>
      </c>
      <c r="F1938" s="1">
        <f>IFERROR(__xludf.DUMMYFUNCTION("""COMPUTED_VALUE"""),1927530.0)</f>
        <v>1927530</v>
      </c>
    </row>
    <row r="1939">
      <c r="A1939" s="2">
        <f>IFERROR(__xludf.DUMMYFUNCTION("""COMPUTED_VALUE"""),39360.645833333336)</f>
        <v>39360.64583</v>
      </c>
      <c r="B1939" s="1">
        <f>IFERROR(__xludf.DUMMYFUNCTION("""COMPUTED_VALUE"""),222.0)</f>
        <v>222</v>
      </c>
      <c r="C1939" s="1">
        <f>IFERROR(__xludf.DUMMYFUNCTION("""COMPUTED_VALUE"""),224.7)</f>
        <v>224.7</v>
      </c>
      <c r="D1939" s="1">
        <f>IFERROR(__xludf.DUMMYFUNCTION("""COMPUTED_VALUE"""),221.05)</f>
        <v>221.05</v>
      </c>
      <c r="E1939" s="1">
        <f>IFERROR(__xludf.DUMMYFUNCTION("""COMPUTED_VALUE"""),221.9)</f>
        <v>221.9</v>
      </c>
      <c r="F1939" s="1">
        <f>IFERROR(__xludf.DUMMYFUNCTION("""COMPUTED_VALUE"""),2453751.0)</f>
        <v>2453751</v>
      </c>
    </row>
    <row r="1940">
      <c r="A1940" s="2">
        <f>IFERROR(__xludf.DUMMYFUNCTION("""COMPUTED_VALUE"""),39363.645833333336)</f>
        <v>39363.64583</v>
      </c>
      <c r="B1940" s="1">
        <f>IFERROR(__xludf.DUMMYFUNCTION("""COMPUTED_VALUE"""),221.55)</f>
        <v>221.55</v>
      </c>
      <c r="C1940" s="1">
        <f>IFERROR(__xludf.DUMMYFUNCTION("""COMPUTED_VALUE"""),223.4)</f>
        <v>223.4</v>
      </c>
      <c r="D1940" s="1">
        <f>IFERROR(__xludf.DUMMYFUNCTION("""COMPUTED_VALUE"""),219.55)</f>
        <v>219.55</v>
      </c>
      <c r="E1940" s="1">
        <f>IFERROR(__xludf.DUMMYFUNCTION("""COMPUTED_VALUE"""),220.75)</f>
        <v>220.75</v>
      </c>
      <c r="F1940" s="1">
        <f>IFERROR(__xludf.DUMMYFUNCTION("""COMPUTED_VALUE"""),3324405.0)</f>
        <v>3324405</v>
      </c>
    </row>
    <row r="1941">
      <c r="A1941" s="2">
        <f>IFERROR(__xludf.DUMMYFUNCTION("""COMPUTED_VALUE"""),39364.645833333336)</f>
        <v>39364.64583</v>
      </c>
      <c r="B1941" s="1">
        <f>IFERROR(__xludf.DUMMYFUNCTION("""COMPUTED_VALUE"""),221.0)</f>
        <v>221</v>
      </c>
      <c r="C1941" s="1">
        <f>IFERROR(__xludf.DUMMYFUNCTION("""COMPUTED_VALUE"""),226.0)</f>
        <v>226</v>
      </c>
      <c r="D1941" s="1">
        <f>IFERROR(__xludf.DUMMYFUNCTION("""COMPUTED_VALUE"""),220.5)</f>
        <v>220.5</v>
      </c>
      <c r="E1941" s="1">
        <f>IFERROR(__xludf.DUMMYFUNCTION("""COMPUTED_VALUE"""),224.3)</f>
        <v>224.3</v>
      </c>
      <c r="F1941" s="1">
        <f>IFERROR(__xludf.DUMMYFUNCTION("""COMPUTED_VALUE"""),2826248.0)</f>
        <v>2826248</v>
      </c>
    </row>
    <row r="1942">
      <c r="A1942" s="2">
        <f>IFERROR(__xludf.DUMMYFUNCTION("""COMPUTED_VALUE"""),39365.645833333336)</f>
        <v>39365.64583</v>
      </c>
      <c r="B1942" s="1">
        <f>IFERROR(__xludf.DUMMYFUNCTION("""COMPUTED_VALUE"""),225.2)</f>
        <v>225.2</v>
      </c>
      <c r="C1942" s="1">
        <f>IFERROR(__xludf.DUMMYFUNCTION("""COMPUTED_VALUE"""),226.7)</f>
        <v>226.7</v>
      </c>
      <c r="D1942" s="1">
        <f>IFERROR(__xludf.DUMMYFUNCTION("""COMPUTED_VALUE"""),220.5)</f>
        <v>220.5</v>
      </c>
      <c r="E1942" s="1">
        <f>IFERROR(__xludf.DUMMYFUNCTION("""COMPUTED_VALUE"""),224.05)</f>
        <v>224.05</v>
      </c>
      <c r="F1942" s="1">
        <f>IFERROR(__xludf.DUMMYFUNCTION("""COMPUTED_VALUE"""),4642478.0)</f>
        <v>4642478</v>
      </c>
    </row>
    <row r="1943">
      <c r="A1943" s="2">
        <f>IFERROR(__xludf.DUMMYFUNCTION("""COMPUTED_VALUE"""),39366.645833333336)</f>
        <v>39366.64583</v>
      </c>
      <c r="B1943" s="1">
        <f>IFERROR(__xludf.DUMMYFUNCTION("""COMPUTED_VALUE"""),221.8)</f>
        <v>221.8</v>
      </c>
      <c r="C1943" s="1">
        <f>IFERROR(__xludf.DUMMYFUNCTION("""COMPUTED_VALUE"""),226.95)</f>
        <v>226.95</v>
      </c>
      <c r="D1943" s="1">
        <f>IFERROR(__xludf.DUMMYFUNCTION("""COMPUTED_VALUE"""),221.8)</f>
        <v>221.8</v>
      </c>
      <c r="E1943" s="1">
        <f>IFERROR(__xludf.DUMMYFUNCTION("""COMPUTED_VALUE"""),225.85)</f>
        <v>225.85</v>
      </c>
      <c r="F1943" s="1">
        <f>IFERROR(__xludf.DUMMYFUNCTION("""COMPUTED_VALUE"""),7660994.0)</f>
        <v>7660994</v>
      </c>
    </row>
    <row r="1944">
      <c r="A1944" s="2">
        <f>IFERROR(__xludf.DUMMYFUNCTION("""COMPUTED_VALUE"""),39367.645833333336)</f>
        <v>39367.64583</v>
      </c>
      <c r="B1944" s="1">
        <f>IFERROR(__xludf.DUMMYFUNCTION("""COMPUTED_VALUE"""),224.1)</f>
        <v>224.1</v>
      </c>
      <c r="C1944" s="1">
        <f>IFERROR(__xludf.DUMMYFUNCTION("""COMPUTED_VALUE"""),225.75)</f>
        <v>225.75</v>
      </c>
      <c r="D1944" s="1">
        <f>IFERROR(__xludf.DUMMYFUNCTION("""COMPUTED_VALUE"""),220.05)</f>
        <v>220.05</v>
      </c>
      <c r="E1944" s="1">
        <f>IFERROR(__xludf.DUMMYFUNCTION("""COMPUTED_VALUE"""),221.25)</f>
        <v>221.25</v>
      </c>
      <c r="F1944" s="1">
        <f>IFERROR(__xludf.DUMMYFUNCTION("""COMPUTED_VALUE"""),3121938.0)</f>
        <v>3121938</v>
      </c>
    </row>
    <row r="1945">
      <c r="A1945" s="2">
        <f>IFERROR(__xludf.DUMMYFUNCTION("""COMPUTED_VALUE"""),39370.645833333336)</f>
        <v>39370.64583</v>
      </c>
      <c r="B1945" s="1">
        <f>IFERROR(__xludf.DUMMYFUNCTION("""COMPUTED_VALUE"""),221.25)</f>
        <v>221.25</v>
      </c>
      <c r="C1945" s="1">
        <f>IFERROR(__xludf.DUMMYFUNCTION("""COMPUTED_VALUE"""),221.25)</f>
        <v>221.25</v>
      </c>
      <c r="D1945" s="1">
        <f>IFERROR(__xludf.DUMMYFUNCTION("""COMPUTED_VALUE"""),217.75)</f>
        <v>217.75</v>
      </c>
      <c r="E1945" s="1">
        <f>IFERROR(__xludf.DUMMYFUNCTION("""COMPUTED_VALUE"""),219.3)</f>
        <v>219.3</v>
      </c>
      <c r="F1945" s="1">
        <f>IFERROR(__xludf.DUMMYFUNCTION("""COMPUTED_VALUE"""),3378000.0)</f>
        <v>3378000</v>
      </c>
    </row>
    <row r="1946">
      <c r="A1946" s="2">
        <f>IFERROR(__xludf.DUMMYFUNCTION("""COMPUTED_VALUE"""),39371.645833333336)</f>
        <v>39371.64583</v>
      </c>
      <c r="B1946" s="1">
        <f>IFERROR(__xludf.DUMMYFUNCTION("""COMPUTED_VALUE"""),220.0)</f>
        <v>220</v>
      </c>
      <c r="C1946" s="1">
        <f>IFERROR(__xludf.DUMMYFUNCTION("""COMPUTED_VALUE"""),221.4)</f>
        <v>221.4</v>
      </c>
      <c r="D1946" s="1">
        <f>IFERROR(__xludf.DUMMYFUNCTION("""COMPUTED_VALUE"""),211.0)</f>
        <v>211</v>
      </c>
      <c r="E1946" s="1">
        <f>IFERROR(__xludf.DUMMYFUNCTION("""COMPUTED_VALUE"""),212.95)</f>
        <v>212.95</v>
      </c>
      <c r="F1946" s="1">
        <f>IFERROR(__xludf.DUMMYFUNCTION("""COMPUTED_VALUE"""),3949233.0)</f>
        <v>3949233</v>
      </c>
    </row>
    <row r="1947">
      <c r="A1947" s="2">
        <f>IFERROR(__xludf.DUMMYFUNCTION("""COMPUTED_VALUE"""),39372.645833333336)</f>
        <v>39372.64583</v>
      </c>
      <c r="B1947" s="1">
        <f>IFERROR(__xludf.DUMMYFUNCTION("""COMPUTED_VALUE"""),212.5)</f>
        <v>212.5</v>
      </c>
      <c r="C1947" s="1">
        <f>IFERROR(__xludf.DUMMYFUNCTION("""COMPUTED_VALUE"""),214.0)</f>
        <v>214</v>
      </c>
      <c r="D1947" s="1">
        <f>IFERROR(__xludf.DUMMYFUNCTION("""COMPUTED_VALUE"""),199.0)</f>
        <v>199</v>
      </c>
      <c r="E1947" s="1">
        <f>IFERROR(__xludf.DUMMYFUNCTION("""COMPUTED_VALUE"""),209.4)</f>
        <v>209.4</v>
      </c>
      <c r="F1947" s="1">
        <f>IFERROR(__xludf.DUMMYFUNCTION("""COMPUTED_VALUE"""),1693130.0)</f>
        <v>1693130</v>
      </c>
    </row>
    <row r="1948">
      <c r="A1948" s="2">
        <f>IFERROR(__xludf.DUMMYFUNCTION("""COMPUTED_VALUE"""),39373.645833333336)</f>
        <v>39373.64583</v>
      </c>
      <c r="B1948" s="1">
        <f>IFERROR(__xludf.DUMMYFUNCTION("""COMPUTED_VALUE"""),207.0)</f>
        <v>207</v>
      </c>
      <c r="C1948" s="1">
        <f>IFERROR(__xludf.DUMMYFUNCTION("""COMPUTED_VALUE"""),214.2)</f>
        <v>214.2</v>
      </c>
      <c r="D1948" s="1">
        <f>IFERROR(__xludf.DUMMYFUNCTION("""COMPUTED_VALUE"""),207.0)</f>
        <v>207</v>
      </c>
      <c r="E1948" s="1">
        <f>IFERROR(__xludf.DUMMYFUNCTION("""COMPUTED_VALUE"""),210.4)</f>
        <v>210.4</v>
      </c>
      <c r="F1948" s="1">
        <f>IFERROR(__xludf.DUMMYFUNCTION("""COMPUTED_VALUE"""),3300558.0)</f>
        <v>3300558</v>
      </c>
    </row>
    <row r="1949">
      <c r="A1949" s="2">
        <f>IFERROR(__xludf.DUMMYFUNCTION("""COMPUTED_VALUE"""),39374.645833333336)</f>
        <v>39374.64583</v>
      </c>
      <c r="B1949" s="1">
        <f>IFERROR(__xludf.DUMMYFUNCTION("""COMPUTED_VALUE"""),206.35)</f>
        <v>206.35</v>
      </c>
      <c r="C1949" s="1">
        <f>IFERROR(__xludf.DUMMYFUNCTION("""COMPUTED_VALUE"""),210.25)</f>
        <v>210.25</v>
      </c>
      <c r="D1949" s="1">
        <f>IFERROR(__xludf.DUMMYFUNCTION("""COMPUTED_VALUE"""),204.8)</f>
        <v>204.8</v>
      </c>
      <c r="E1949" s="1">
        <f>IFERROR(__xludf.DUMMYFUNCTION("""COMPUTED_VALUE"""),205.75)</f>
        <v>205.75</v>
      </c>
      <c r="F1949" s="1">
        <f>IFERROR(__xludf.DUMMYFUNCTION("""COMPUTED_VALUE"""),5163054.0)</f>
        <v>5163054</v>
      </c>
    </row>
    <row r="1950">
      <c r="A1950" s="2">
        <f>IFERROR(__xludf.DUMMYFUNCTION("""COMPUTED_VALUE"""),39377.645833333336)</f>
        <v>39377.64583</v>
      </c>
      <c r="B1950" s="1">
        <f>IFERROR(__xludf.DUMMYFUNCTION("""COMPUTED_VALUE"""),200.3)</f>
        <v>200.3</v>
      </c>
      <c r="C1950" s="1">
        <f>IFERROR(__xludf.DUMMYFUNCTION("""COMPUTED_VALUE"""),208.4)</f>
        <v>208.4</v>
      </c>
      <c r="D1950" s="1">
        <f>IFERROR(__xludf.DUMMYFUNCTION("""COMPUTED_VALUE"""),195.0)</f>
        <v>195</v>
      </c>
      <c r="E1950" s="1">
        <f>IFERROR(__xludf.DUMMYFUNCTION("""COMPUTED_VALUE"""),207.5)</f>
        <v>207.5</v>
      </c>
      <c r="F1950" s="1">
        <f>IFERROR(__xludf.DUMMYFUNCTION("""COMPUTED_VALUE"""),1937373.0)</f>
        <v>1937373</v>
      </c>
    </row>
    <row r="1951">
      <c r="A1951" s="2">
        <f>IFERROR(__xludf.DUMMYFUNCTION("""COMPUTED_VALUE"""),39378.645833333336)</f>
        <v>39378.64583</v>
      </c>
      <c r="B1951" s="1">
        <f>IFERROR(__xludf.DUMMYFUNCTION("""COMPUTED_VALUE"""),208.1)</f>
        <v>208.1</v>
      </c>
      <c r="C1951" s="1">
        <f>IFERROR(__xludf.DUMMYFUNCTION("""COMPUTED_VALUE"""),216.9)</f>
        <v>216.9</v>
      </c>
      <c r="D1951" s="1">
        <f>IFERROR(__xludf.DUMMYFUNCTION("""COMPUTED_VALUE"""),208.1)</f>
        <v>208.1</v>
      </c>
      <c r="E1951" s="1">
        <f>IFERROR(__xludf.DUMMYFUNCTION("""COMPUTED_VALUE"""),215.75)</f>
        <v>215.75</v>
      </c>
      <c r="F1951" s="1">
        <f>IFERROR(__xludf.DUMMYFUNCTION("""COMPUTED_VALUE"""),1800024.0)</f>
        <v>1800024</v>
      </c>
    </row>
    <row r="1952">
      <c r="A1952" s="2">
        <f>IFERROR(__xludf.DUMMYFUNCTION("""COMPUTED_VALUE"""),39379.645833333336)</f>
        <v>39379.64583</v>
      </c>
      <c r="B1952" s="1">
        <f>IFERROR(__xludf.DUMMYFUNCTION("""COMPUTED_VALUE"""),216.2)</f>
        <v>216.2</v>
      </c>
      <c r="C1952" s="1">
        <f>IFERROR(__xludf.DUMMYFUNCTION("""COMPUTED_VALUE"""),218.5)</f>
        <v>218.5</v>
      </c>
      <c r="D1952" s="1">
        <f>IFERROR(__xludf.DUMMYFUNCTION("""COMPUTED_VALUE"""),212.5)</f>
        <v>212.5</v>
      </c>
      <c r="E1952" s="1">
        <f>IFERROR(__xludf.DUMMYFUNCTION("""COMPUTED_VALUE"""),215.95)</f>
        <v>215.95</v>
      </c>
      <c r="F1952" s="1">
        <f>IFERROR(__xludf.DUMMYFUNCTION("""COMPUTED_VALUE"""),3095428.0)</f>
        <v>3095428</v>
      </c>
    </row>
    <row r="1953">
      <c r="A1953" s="2">
        <f>IFERROR(__xludf.DUMMYFUNCTION("""COMPUTED_VALUE"""),39380.645833333336)</f>
        <v>39380.64583</v>
      </c>
      <c r="B1953" s="1">
        <f>IFERROR(__xludf.DUMMYFUNCTION("""COMPUTED_VALUE"""),214.1)</f>
        <v>214.1</v>
      </c>
      <c r="C1953" s="1">
        <f>IFERROR(__xludf.DUMMYFUNCTION("""COMPUTED_VALUE"""),225.9)</f>
        <v>225.9</v>
      </c>
      <c r="D1953" s="1">
        <f>IFERROR(__xludf.DUMMYFUNCTION("""COMPUTED_VALUE"""),212.0)</f>
        <v>212</v>
      </c>
      <c r="E1953" s="1">
        <f>IFERROR(__xludf.DUMMYFUNCTION("""COMPUTED_VALUE"""),220.75)</f>
        <v>220.75</v>
      </c>
      <c r="F1953" s="1">
        <f>IFERROR(__xludf.DUMMYFUNCTION("""COMPUTED_VALUE"""),4543630.0)</f>
        <v>4543630</v>
      </c>
    </row>
    <row r="1954">
      <c r="A1954" s="2">
        <f>IFERROR(__xludf.DUMMYFUNCTION("""COMPUTED_VALUE"""),39381.645833333336)</f>
        <v>39381.64583</v>
      </c>
      <c r="B1954" s="1">
        <f>IFERROR(__xludf.DUMMYFUNCTION("""COMPUTED_VALUE"""),218.55)</f>
        <v>218.55</v>
      </c>
      <c r="C1954" s="1">
        <f>IFERROR(__xludf.DUMMYFUNCTION("""COMPUTED_VALUE"""),220.85)</f>
        <v>220.85</v>
      </c>
      <c r="D1954" s="1">
        <f>IFERROR(__xludf.DUMMYFUNCTION("""COMPUTED_VALUE"""),214.7)</f>
        <v>214.7</v>
      </c>
      <c r="E1954" s="1">
        <f>IFERROR(__xludf.DUMMYFUNCTION("""COMPUTED_VALUE"""),217.8)</f>
        <v>217.8</v>
      </c>
      <c r="F1954" s="1">
        <f>IFERROR(__xludf.DUMMYFUNCTION("""COMPUTED_VALUE"""),1.0196527E7)</f>
        <v>10196527</v>
      </c>
    </row>
    <row r="1955">
      <c r="A1955" s="2">
        <f>IFERROR(__xludf.DUMMYFUNCTION("""COMPUTED_VALUE"""),39384.645833333336)</f>
        <v>39384.64583</v>
      </c>
      <c r="B1955" s="1">
        <f>IFERROR(__xludf.DUMMYFUNCTION("""COMPUTED_VALUE"""),217.8)</f>
        <v>217.8</v>
      </c>
      <c r="C1955" s="1">
        <f>IFERROR(__xludf.DUMMYFUNCTION("""COMPUTED_VALUE"""),222.5)</f>
        <v>222.5</v>
      </c>
      <c r="D1955" s="1">
        <f>IFERROR(__xludf.DUMMYFUNCTION("""COMPUTED_VALUE"""),217.5)</f>
        <v>217.5</v>
      </c>
      <c r="E1955" s="1">
        <f>IFERROR(__xludf.DUMMYFUNCTION("""COMPUTED_VALUE"""),219.6)</f>
        <v>219.6</v>
      </c>
      <c r="F1955" s="1">
        <f>IFERROR(__xludf.DUMMYFUNCTION("""COMPUTED_VALUE"""),3772895.0)</f>
        <v>3772895</v>
      </c>
    </row>
    <row r="1956">
      <c r="A1956" s="2">
        <f>IFERROR(__xludf.DUMMYFUNCTION("""COMPUTED_VALUE"""),39385.645833333336)</f>
        <v>39385.64583</v>
      </c>
      <c r="B1956" s="1">
        <f>IFERROR(__xludf.DUMMYFUNCTION("""COMPUTED_VALUE"""),220.0)</f>
        <v>220</v>
      </c>
      <c r="C1956" s="1">
        <f>IFERROR(__xludf.DUMMYFUNCTION("""COMPUTED_VALUE"""),221.0)</f>
        <v>221</v>
      </c>
      <c r="D1956" s="1">
        <f>IFERROR(__xludf.DUMMYFUNCTION("""COMPUTED_VALUE"""),216.1)</f>
        <v>216.1</v>
      </c>
      <c r="E1956" s="1">
        <f>IFERROR(__xludf.DUMMYFUNCTION("""COMPUTED_VALUE"""),219.45)</f>
        <v>219.45</v>
      </c>
      <c r="F1956" s="1">
        <f>IFERROR(__xludf.DUMMYFUNCTION("""COMPUTED_VALUE"""),1796186.0)</f>
        <v>1796186</v>
      </c>
    </row>
    <row r="1957">
      <c r="A1957" s="2">
        <f>IFERROR(__xludf.DUMMYFUNCTION("""COMPUTED_VALUE"""),39386.645833333336)</f>
        <v>39386.64583</v>
      </c>
      <c r="B1957" s="1">
        <f>IFERROR(__xludf.DUMMYFUNCTION("""COMPUTED_VALUE"""),220.0)</f>
        <v>220</v>
      </c>
      <c r="C1957" s="1">
        <f>IFERROR(__xludf.DUMMYFUNCTION("""COMPUTED_VALUE"""),220.85)</f>
        <v>220.85</v>
      </c>
      <c r="D1957" s="1">
        <f>IFERROR(__xludf.DUMMYFUNCTION("""COMPUTED_VALUE"""),202.05)</f>
        <v>202.05</v>
      </c>
      <c r="E1957" s="1">
        <f>IFERROR(__xludf.DUMMYFUNCTION("""COMPUTED_VALUE"""),207.05)</f>
        <v>207.05</v>
      </c>
      <c r="F1957" s="1">
        <f>IFERROR(__xludf.DUMMYFUNCTION("""COMPUTED_VALUE"""),6448781.0)</f>
        <v>6448781</v>
      </c>
    </row>
    <row r="1958">
      <c r="A1958" s="2">
        <f>IFERROR(__xludf.DUMMYFUNCTION("""COMPUTED_VALUE"""),39387.645833333336)</f>
        <v>39387.64583</v>
      </c>
      <c r="B1958" s="1">
        <f>IFERROR(__xludf.DUMMYFUNCTION("""COMPUTED_VALUE"""),208.0)</f>
        <v>208</v>
      </c>
      <c r="C1958" s="1">
        <f>IFERROR(__xludf.DUMMYFUNCTION("""COMPUTED_VALUE"""),209.1)</f>
        <v>209.1</v>
      </c>
      <c r="D1958" s="1">
        <f>IFERROR(__xludf.DUMMYFUNCTION("""COMPUTED_VALUE"""),192.7)</f>
        <v>192.7</v>
      </c>
      <c r="E1958" s="1">
        <f>IFERROR(__xludf.DUMMYFUNCTION("""COMPUTED_VALUE"""),193.7)</f>
        <v>193.7</v>
      </c>
      <c r="F1958" s="1">
        <f>IFERROR(__xludf.DUMMYFUNCTION("""COMPUTED_VALUE"""),3931331.0)</f>
        <v>3931331</v>
      </c>
    </row>
    <row r="1959">
      <c r="A1959" s="2">
        <f>IFERROR(__xludf.DUMMYFUNCTION("""COMPUTED_VALUE"""),39388.645833333336)</f>
        <v>39388.64583</v>
      </c>
      <c r="B1959" s="1">
        <f>IFERROR(__xludf.DUMMYFUNCTION("""COMPUTED_VALUE"""),190.0)</f>
        <v>190</v>
      </c>
      <c r="C1959" s="1">
        <f>IFERROR(__xludf.DUMMYFUNCTION("""COMPUTED_VALUE"""),196.65)</f>
        <v>196.65</v>
      </c>
      <c r="D1959" s="1">
        <f>IFERROR(__xludf.DUMMYFUNCTION("""COMPUTED_VALUE"""),190.0)</f>
        <v>190</v>
      </c>
      <c r="E1959" s="1">
        <f>IFERROR(__xludf.DUMMYFUNCTION("""COMPUTED_VALUE"""),195.8)</f>
        <v>195.8</v>
      </c>
      <c r="F1959" s="1">
        <f>IFERROR(__xludf.DUMMYFUNCTION("""COMPUTED_VALUE"""),2642332.0)</f>
        <v>2642332</v>
      </c>
    </row>
    <row r="1960">
      <c r="A1960" s="2">
        <f>IFERROR(__xludf.DUMMYFUNCTION("""COMPUTED_VALUE"""),39391.645833333336)</f>
        <v>39391.64583</v>
      </c>
      <c r="B1960" s="1">
        <f>IFERROR(__xludf.DUMMYFUNCTION("""COMPUTED_VALUE"""),196.0)</f>
        <v>196</v>
      </c>
      <c r="C1960" s="1">
        <f>IFERROR(__xludf.DUMMYFUNCTION("""COMPUTED_VALUE"""),197.0)</f>
        <v>197</v>
      </c>
      <c r="D1960" s="1">
        <f>IFERROR(__xludf.DUMMYFUNCTION("""COMPUTED_VALUE"""),192.25)</f>
        <v>192.25</v>
      </c>
      <c r="E1960" s="1">
        <f>IFERROR(__xludf.DUMMYFUNCTION("""COMPUTED_VALUE"""),193.3)</f>
        <v>193.3</v>
      </c>
      <c r="F1960" s="1">
        <f>IFERROR(__xludf.DUMMYFUNCTION("""COMPUTED_VALUE"""),2315334.0)</f>
        <v>2315334</v>
      </c>
    </row>
    <row r="1961">
      <c r="A1961" s="2">
        <f>IFERROR(__xludf.DUMMYFUNCTION("""COMPUTED_VALUE"""),39392.645833333336)</f>
        <v>39392.64583</v>
      </c>
      <c r="B1961" s="1">
        <f>IFERROR(__xludf.DUMMYFUNCTION("""COMPUTED_VALUE"""),195.5)</f>
        <v>195.5</v>
      </c>
      <c r="C1961" s="1">
        <f>IFERROR(__xludf.DUMMYFUNCTION("""COMPUTED_VALUE"""),196.4)</f>
        <v>196.4</v>
      </c>
      <c r="D1961" s="1">
        <f>IFERROR(__xludf.DUMMYFUNCTION("""COMPUTED_VALUE"""),193.3)</f>
        <v>193.3</v>
      </c>
      <c r="E1961" s="1">
        <f>IFERROR(__xludf.DUMMYFUNCTION("""COMPUTED_VALUE"""),195.75)</f>
        <v>195.75</v>
      </c>
      <c r="F1961" s="1">
        <f>IFERROR(__xludf.DUMMYFUNCTION("""COMPUTED_VALUE"""),1678958.0)</f>
        <v>1678958</v>
      </c>
    </row>
    <row r="1962">
      <c r="A1962" s="2">
        <f>IFERROR(__xludf.DUMMYFUNCTION("""COMPUTED_VALUE"""),39393.645833333336)</f>
        <v>39393.64583</v>
      </c>
      <c r="B1962" s="1">
        <f>IFERROR(__xludf.DUMMYFUNCTION("""COMPUTED_VALUE"""),194.85)</f>
        <v>194.85</v>
      </c>
      <c r="C1962" s="1">
        <f>IFERROR(__xludf.DUMMYFUNCTION("""COMPUTED_VALUE"""),194.85)</f>
        <v>194.85</v>
      </c>
      <c r="D1962" s="1">
        <f>IFERROR(__xludf.DUMMYFUNCTION("""COMPUTED_VALUE"""),191.05)</f>
        <v>191.05</v>
      </c>
      <c r="E1962" s="1">
        <f>IFERROR(__xludf.DUMMYFUNCTION("""COMPUTED_VALUE"""),192.9)</f>
        <v>192.9</v>
      </c>
      <c r="F1962" s="1">
        <f>IFERROR(__xludf.DUMMYFUNCTION("""COMPUTED_VALUE"""),1695363.0)</f>
        <v>1695363</v>
      </c>
    </row>
    <row r="1963">
      <c r="A1963" s="2">
        <f>IFERROR(__xludf.DUMMYFUNCTION("""COMPUTED_VALUE"""),39394.645833333336)</f>
        <v>39394.64583</v>
      </c>
      <c r="B1963" s="1">
        <f>IFERROR(__xludf.DUMMYFUNCTION("""COMPUTED_VALUE"""),190.0)</f>
        <v>190</v>
      </c>
      <c r="C1963" s="1">
        <f>IFERROR(__xludf.DUMMYFUNCTION("""COMPUTED_VALUE"""),196.25)</f>
        <v>196.25</v>
      </c>
      <c r="D1963" s="1">
        <f>IFERROR(__xludf.DUMMYFUNCTION("""COMPUTED_VALUE"""),190.0)</f>
        <v>190</v>
      </c>
      <c r="E1963" s="1">
        <f>IFERROR(__xludf.DUMMYFUNCTION("""COMPUTED_VALUE"""),195.25)</f>
        <v>195.25</v>
      </c>
      <c r="F1963" s="1">
        <f>IFERROR(__xludf.DUMMYFUNCTION("""COMPUTED_VALUE"""),1292668.0)</f>
        <v>1292668</v>
      </c>
    </row>
    <row r="1964">
      <c r="A1964" s="2">
        <f>IFERROR(__xludf.DUMMYFUNCTION("""COMPUTED_VALUE"""),39395.645833333336)</f>
        <v>39395.64583</v>
      </c>
      <c r="B1964" s="1">
        <f>IFERROR(__xludf.DUMMYFUNCTION("""COMPUTED_VALUE"""),195.0)</f>
        <v>195</v>
      </c>
      <c r="C1964" s="1">
        <f>IFERROR(__xludf.DUMMYFUNCTION("""COMPUTED_VALUE"""),197.2)</f>
        <v>197.2</v>
      </c>
      <c r="D1964" s="1">
        <f>IFERROR(__xludf.DUMMYFUNCTION("""COMPUTED_VALUE"""),192.65)</f>
        <v>192.65</v>
      </c>
      <c r="E1964" s="1">
        <f>IFERROR(__xludf.DUMMYFUNCTION("""COMPUTED_VALUE"""),193.2)</f>
        <v>193.2</v>
      </c>
      <c r="F1964" s="1">
        <f>IFERROR(__xludf.DUMMYFUNCTION("""COMPUTED_VALUE"""),66938.0)</f>
        <v>66938</v>
      </c>
    </row>
    <row r="1965">
      <c r="A1965" s="2">
        <f>IFERROR(__xludf.DUMMYFUNCTION("""COMPUTED_VALUE"""),39398.645833333336)</f>
        <v>39398.64583</v>
      </c>
      <c r="B1965" s="1">
        <f>IFERROR(__xludf.DUMMYFUNCTION("""COMPUTED_VALUE"""),193.25)</f>
        <v>193.25</v>
      </c>
      <c r="C1965" s="1">
        <f>IFERROR(__xludf.DUMMYFUNCTION("""COMPUTED_VALUE"""),199.85)</f>
        <v>199.85</v>
      </c>
      <c r="D1965" s="1">
        <f>IFERROR(__xludf.DUMMYFUNCTION("""COMPUTED_VALUE"""),191.0)</f>
        <v>191</v>
      </c>
      <c r="E1965" s="1">
        <f>IFERROR(__xludf.DUMMYFUNCTION("""COMPUTED_VALUE"""),199.0)</f>
        <v>199</v>
      </c>
      <c r="F1965" s="1">
        <f>IFERROR(__xludf.DUMMYFUNCTION("""COMPUTED_VALUE"""),1298801.0)</f>
        <v>1298801</v>
      </c>
    </row>
    <row r="1966">
      <c r="A1966" s="2">
        <f>IFERROR(__xludf.DUMMYFUNCTION("""COMPUTED_VALUE"""),39399.645833333336)</f>
        <v>39399.64583</v>
      </c>
      <c r="B1966" s="1">
        <f>IFERROR(__xludf.DUMMYFUNCTION("""COMPUTED_VALUE"""),195.0)</f>
        <v>195</v>
      </c>
      <c r="C1966" s="1">
        <f>IFERROR(__xludf.DUMMYFUNCTION("""COMPUTED_VALUE"""),201.5)</f>
        <v>201.5</v>
      </c>
      <c r="D1966" s="1">
        <f>IFERROR(__xludf.DUMMYFUNCTION("""COMPUTED_VALUE"""),195.0)</f>
        <v>195</v>
      </c>
      <c r="E1966" s="1">
        <f>IFERROR(__xludf.DUMMYFUNCTION("""COMPUTED_VALUE"""),199.95)</f>
        <v>199.95</v>
      </c>
      <c r="F1966" s="1">
        <f>IFERROR(__xludf.DUMMYFUNCTION("""COMPUTED_VALUE"""),1291987.0)</f>
        <v>1291987</v>
      </c>
    </row>
    <row r="1967">
      <c r="A1967" s="2">
        <f>IFERROR(__xludf.DUMMYFUNCTION("""COMPUTED_VALUE"""),39400.645833333336)</f>
        <v>39400.64583</v>
      </c>
      <c r="B1967" s="1">
        <f>IFERROR(__xludf.DUMMYFUNCTION("""COMPUTED_VALUE"""),200.85)</f>
        <v>200.85</v>
      </c>
      <c r="C1967" s="1">
        <f>IFERROR(__xludf.DUMMYFUNCTION("""COMPUTED_VALUE"""),201.8)</f>
        <v>201.8</v>
      </c>
      <c r="D1967" s="1">
        <f>IFERROR(__xludf.DUMMYFUNCTION("""COMPUTED_VALUE"""),198.9)</f>
        <v>198.9</v>
      </c>
      <c r="E1967" s="1">
        <f>IFERROR(__xludf.DUMMYFUNCTION("""COMPUTED_VALUE"""),200.95)</f>
        <v>200.95</v>
      </c>
      <c r="F1967" s="1">
        <f>IFERROR(__xludf.DUMMYFUNCTION("""COMPUTED_VALUE"""),2058779.0)</f>
        <v>2058779</v>
      </c>
    </row>
    <row r="1968">
      <c r="A1968" s="2">
        <f>IFERROR(__xludf.DUMMYFUNCTION("""COMPUTED_VALUE"""),39401.645833333336)</f>
        <v>39401.64583</v>
      </c>
      <c r="B1968" s="1">
        <f>IFERROR(__xludf.DUMMYFUNCTION("""COMPUTED_VALUE"""),200.3)</f>
        <v>200.3</v>
      </c>
      <c r="C1968" s="1">
        <f>IFERROR(__xludf.DUMMYFUNCTION("""COMPUTED_VALUE"""),201.0)</f>
        <v>201</v>
      </c>
      <c r="D1968" s="1">
        <f>IFERROR(__xludf.DUMMYFUNCTION("""COMPUTED_VALUE"""),196.35)</f>
        <v>196.35</v>
      </c>
      <c r="E1968" s="1">
        <f>IFERROR(__xludf.DUMMYFUNCTION("""COMPUTED_VALUE"""),199.1)</f>
        <v>199.1</v>
      </c>
      <c r="F1968" s="1">
        <f>IFERROR(__xludf.DUMMYFUNCTION("""COMPUTED_VALUE"""),2619091.0)</f>
        <v>2619091</v>
      </c>
    </row>
    <row r="1969">
      <c r="A1969" s="2">
        <f>IFERROR(__xludf.DUMMYFUNCTION("""COMPUTED_VALUE"""),39402.645833333336)</f>
        <v>39402.64583</v>
      </c>
      <c r="B1969" s="1">
        <f>IFERROR(__xludf.DUMMYFUNCTION("""COMPUTED_VALUE"""),199.0)</f>
        <v>199</v>
      </c>
      <c r="C1969" s="1">
        <f>IFERROR(__xludf.DUMMYFUNCTION("""COMPUTED_VALUE"""),203.0)</f>
        <v>203</v>
      </c>
      <c r="D1969" s="1">
        <f>IFERROR(__xludf.DUMMYFUNCTION("""COMPUTED_VALUE"""),196.65)</f>
        <v>196.65</v>
      </c>
      <c r="E1969" s="1">
        <f>IFERROR(__xludf.DUMMYFUNCTION("""COMPUTED_VALUE"""),201.35)</f>
        <v>201.35</v>
      </c>
      <c r="F1969" s="1">
        <f>IFERROR(__xludf.DUMMYFUNCTION("""COMPUTED_VALUE"""),2750295.0)</f>
        <v>2750295</v>
      </c>
    </row>
    <row r="1970">
      <c r="A1970" s="2">
        <f>IFERROR(__xludf.DUMMYFUNCTION("""COMPUTED_VALUE"""),39405.645833333336)</f>
        <v>39405.64583</v>
      </c>
      <c r="B1970" s="1">
        <f>IFERROR(__xludf.DUMMYFUNCTION("""COMPUTED_VALUE"""),212.1)</f>
        <v>212.1</v>
      </c>
      <c r="C1970" s="1">
        <f>IFERROR(__xludf.DUMMYFUNCTION("""COMPUTED_VALUE"""),212.1)</f>
        <v>212.1</v>
      </c>
      <c r="D1970" s="1">
        <f>IFERROR(__xludf.DUMMYFUNCTION("""COMPUTED_VALUE"""),202.0)</f>
        <v>202</v>
      </c>
      <c r="E1970" s="1">
        <f>IFERROR(__xludf.DUMMYFUNCTION("""COMPUTED_VALUE"""),205.05)</f>
        <v>205.05</v>
      </c>
      <c r="F1970" s="1">
        <f>IFERROR(__xludf.DUMMYFUNCTION("""COMPUTED_VALUE"""),2368233.0)</f>
        <v>2368233</v>
      </c>
    </row>
    <row r="1971">
      <c r="A1971" s="2">
        <f>IFERROR(__xludf.DUMMYFUNCTION("""COMPUTED_VALUE"""),39406.645833333336)</f>
        <v>39406.64583</v>
      </c>
      <c r="B1971" s="1">
        <f>IFERROR(__xludf.DUMMYFUNCTION("""COMPUTED_VALUE"""),207.0)</f>
        <v>207</v>
      </c>
      <c r="C1971" s="1">
        <f>IFERROR(__xludf.DUMMYFUNCTION("""COMPUTED_VALUE"""),208.25)</f>
        <v>208.25</v>
      </c>
      <c r="D1971" s="1">
        <f>IFERROR(__xludf.DUMMYFUNCTION("""COMPUTED_VALUE"""),202.2)</f>
        <v>202.2</v>
      </c>
      <c r="E1971" s="1">
        <f>IFERROR(__xludf.DUMMYFUNCTION("""COMPUTED_VALUE"""),205.45)</f>
        <v>205.45</v>
      </c>
      <c r="F1971" s="1">
        <f>IFERROR(__xludf.DUMMYFUNCTION("""COMPUTED_VALUE"""),1843881.0)</f>
        <v>1843881</v>
      </c>
    </row>
    <row r="1972">
      <c r="A1972" s="2">
        <f>IFERROR(__xludf.DUMMYFUNCTION("""COMPUTED_VALUE"""),39407.645833333336)</f>
        <v>39407.64583</v>
      </c>
      <c r="B1972" s="1">
        <f>IFERROR(__xludf.DUMMYFUNCTION("""COMPUTED_VALUE"""),204.25)</f>
        <v>204.25</v>
      </c>
      <c r="C1972" s="1">
        <f>IFERROR(__xludf.DUMMYFUNCTION("""COMPUTED_VALUE"""),207.0)</f>
        <v>207</v>
      </c>
      <c r="D1972" s="1">
        <f>IFERROR(__xludf.DUMMYFUNCTION("""COMPUTED_VALUE"""),200.6)</f>
        <v>200.6</v>
      </c>
      <c r="E1972" s="1">
        <f>IFERROR(__xludf.DUMMYFUNCTION("""COMPUTED_VALUE"""),201.95)</f>
        <v>201.95</v>
      </c>
      <c r="F1972" s="1">
        <f>IFERROR(__xludf.DUMMYFUNCTION("""COMPUTED_VALUE"""),2359716.0)</f>
        <v>2359716</v>
      </c>
    </row>
    <row r="1973">
      <c r="A1973" s="2">
        <f>IFERROR(__xludf.DUMMYFUNCTION("""COMPUTED_VALUE"""),39408.645833333336)</f>
        <v>39408.64583</v>
      </c>
      <c r="B1973" s="1">
        <f>IFERROR(__xludf.DUMMYFUNCTION("""COMPUTED_VALUE"""),200.5)</f>
        <v>200.5</v>
      </c>
      <c r="C1973" s="1">
        <f>IFERROR(__xludf.DUMMYFUNCTION("""COMPUTED_VALUE"""),202.9)</f>
        <v>202.9</v>
      </c>
      <c r="D1973" s="1">
        <f>IFERROR(__xludf.DUMMYFUNCTION("""COMPUTED_VALUE"""),199.0)</f>
        <v>199</v>
      </c>
      <c r="E1973" s="1">
        <f>IFERROR(__xludf.DUMMYFUNCTION("""COMPUTED_VALUE"""),201.9)</f>
        <v>201.9</v>
      </c>
      <c r="F1973" s="1">
        <f>IFERROR(__xludf.DUMMYFUNCTION("""COMPUTED_VALUE"""),1706645.0)</f>
        <v>1706645</v>
      </c>
    </row>
    <row r="1974">
      <c r="A1974" s="2">
        <f>IFERROR(__xludf.DUMMYFUNCTION("""COMPUTED_VALUE"""),39409.645833333336)</f>
        <v>39409.64583</v>
      </c>
      <c r="B1974" s="1">
        <f>IFERROR(__xludf.DUMMYFUNCTION("""COMPUTED_VALUE"""),202.0)</f>
        <v>202</v>
      </c>
      <c r="C1974" s="1">
        <f>IFERROR(__xludf.DUMMYFUNCTION("""COMPUTED_VALUE"""),207.5)</f>
        <v>207.5</v>
      </c>
      <c r="D1974" s="1">
        <f>IFERROR(__xludf.DUMMYFUNCTION("""COMPUTED_VALUE"""),200.3)</f>
        <v>200.3</v>
      </c>
      <c r="E1974" s="1">
        <f>IFERROR(__xludf.DUMMYFUNCTION("""COMPUTED_VALUE"""),206.8)</f>
        <v>206.8</v>
      </c>
      <c r="F1974" s="1">
        <f>IFERROR(__xludf.DUMMYFUNCTION("""COMPUTED_VALUE"""),1096485.0)</f>
        <v>1096485</v>
      </c>
    </row>
    <row r="1975">
      <c r="A1975" s="2">
        <f>IFERROR(__xludf.DUMMYFUNCTION("""COMPUTED_VALUE"""),39412.645833333336)</f>
        <v>39412.64583</v>
      </c>
      <c r="B1975" s="1">
        <f>IFERROR(__xludf.DUMMYFUNCTION("""COMPUTED_VALUE"""),207.9)</f>
        <v>207.9</v>
      </c>
      <c r="C1975" s="1">
        <f>IFERROR(__xludf.DUMMYFUNCTION("""COMPUTED_VALUE"""),211.1)</f>
        <v>211.1</v>
      </c>
      <c r="D1975" s="1">
        <f>IFERROR(__xludf.DUMMYFUNCTION("""COMPUTED_VALUE"""),207.15)</f>
        <v>207.15</v>
      </c>
      <c r="E1975" s="1">
        <f>IFERROR(__xludf.DUMMYFUNCTION("""COMPUTED_VALUE"""),210.3)</f>
        <v>210.3</v>
      </c>
      <c r="F1975" s="1">
        <f>IFERROR(__xludf.DUMMYFUNCTION("""COMPUTED_VALUE"""),1977301.0)</f>
        <v>1977301</v>
      </c>
    </row>
    <row r="1976">
      <c r="A1976" s="2">
        <f>IFERROR(__xludf.DUMMYFUNCTION("""COMPUTED_VALUE"""),39413.645833333336)</f>
        <v>39413.64583</v>
      </c>
      <c r="B1976" s="1">
        <f>IFERROR(__xludf.DUMMYFUNCTION("""COMPUTED_VALUE"""),211.0)</f>
        <v>211</v>
      </c>
      <c r="C1976" s="1">
        <f>IFERROR(__xludf.DUMMYFUNCTION("""COMPUTED_VALUE"""),211.4)</f>
        <v>211.4</v>
      </c>
      <c r="D1976" s="1">
        <f>IFERROR(__xludf.DUMMYFUNCTION("""COMPUTED_VALUE"""),208.8)</f>
        <v>208.8</v>
      </c>
      <c r="E1976" s="1">
        <f>IFERROR(__xludf.DUMMYFUNCTION("""COMPUTED_VALUE"""),210.45)</f>
        <v>210.45</v>
      </c>
      <c r="F1976" s="1">
        <f>IFERROR(__xludf.DUMMYFUNCTION("""COMPUTED_VALUE"""),764488.0)</f>
        <v>764488</v>
      </c>
    </row>
    <row r="1977">
      <c r="A1977" s="2">
        <f>IFERROR(__xludf.DUMMYFUNCTION("""COMPUTED_VALUE"""),39414.645833333336)</f>
        <v>39414.64583</v>
      </c>
      <c r="B1977" s="1">
        <f>IFERROR(__xludf.DUMMYFUNCTION("""COMPUTED_VALUE"""),211.55)</f>
        <v>211.55</v>
      </c>
      <c r="C1977" s="1">
        <f>IFERROR(__xludf.DUMMYFUNCTION("""COMPUTED_VALUE"""),212.9)</f>
        <v>212.9</v>
      </c>
      <c r="D1977" s="1">
        <f>IFERROR(__xludf.DUMMYFUNCTION("""COMPUTED_VALUE"""),208.0)</f>
        <v>208</v>
      </c>
      <c r="E1977" s="1">
        <f>IFERROR(__xludf.DUMMYFUNCTION("""COMPUTED_VALUE"""),209.2)</f>
        <v>209.2</v>
      </c>
      <c r="F1977" s="1">
        <f>IFERROR(__xludf.DUMMYFUNCTION("""COMPUTED_VALUE"""),1729445.0)</f>
        <v>1729445</v>
      </c>
    </row>
    <row r="1978">
      <c r="A1978" s="2">
        <f>IFERROR(__xludf.DUMMYFUNCTION("""COMPUTED_VALUE"""),39415.645833333336)</f>
        <v>39415.64583</v>
      </c>
      <c r="B1978" s="1">
        <f>IFERROR(__xludf.DUMMYFUNCTION("""COMPUTED_VALUE"""),209.85)</f>
        <v>209.85</v>
      </c>
      <c r="C1978" s="1">
        <f>IFERROR(__xludf.DUMMYFUNCTION("""COMPUTED_VALUE"""),213.15)</f>
        <v>213.15</v>
      </c>
      <c r="D1978" s="1">
        <f>IFERROR(__xludf.DUMMYFUNCTION("""COMPUTED_VALUE"""),208.5)</f>
        <v>208.5</v>
      </c>
      <c r="E1978" s="1">
        <f>IFERROR(__xludf.DUMMYFUNCTION("""COMPUTED_VALUE"""),210.05)</f>
        <v>210.05</v>
      </c>
      <c r="F1978" s="1">
        <f>IFERROR(__xludf.DUMMYFUNCTION("""COMPUTED_VALUE"""),1859305.0)</f>
        <v>1859305</v>
      </c>
    </row>
    <row r="1979">
      <c r="A1979" s="2">
        <f>IFERROR(__xludf.DUMMYFUNCTION("""COMPUTED_VALUE"""),39416.645833333336)</f>
        <v>39416.64583</v>
      </c>
      <c r="B1979" s="1">
        <f>IFERROR(__xludf.DUMMYFUNCTION("""COMPUTED_VALUE"""),210.05)</f>
        <v>210.05</v>
      </c>
      <c r="C1979" s="1">
        <f>IFERROR(__xludf.DUMMYFUNCTION("""COMPUTED_VALUE"""),212.15)</f>
        <v>212.15</v>
      </c>
      <c r="D1979" s="1">
        <f>IFERROR(__xludf.DUMMYFUNCTION("""COMPUTED_VALUE"""),206.05)</f>
        <v>206.05</v>
      </c>
      <c r="E1979" s="1">
        <f>IFERROR(__xludf.DUMMYFUNCTION("""COMPUTED_VALUE"""),206.75)</f>
        <v>206.75</v>
      </c>
      <c r="F1979" s="1">
        <f>IFERROR(__xludf.DUMMYFUNCTION("""COMPUTED_VALUE"""),1692610.0)</f>
        <v>1692610</v>
      </c>
    </row>
    <row r="1980">
      <c r="A1980" s="2">
        <f>IFERROR(__xludf.DUMMYFUNCTION("""COMPUTED_VALUE"""),39419.645833333336)</f>
        <v>39419.64583</v>
      </c>
      <c r="B1980" s="1">
        <f>IFERROR(__xludf.DUMMYFUNCTION("""COMPUTED_VALUE"""),207.0)</f>
        <v>207</v>
      </c>
      <c r="C1980" s="1">
        <f>IFERROR(__xludf.DUMMYFUNCTION("""COMPUTED_VALUE"""),208.45)</f>
        <v>208.45</v>
      </c>
      <c r="D1980" s="1">
        <f>IFERROR(__xludf.DUMMYFUNCTION("""COMPUTED_VALUE"""),204.55)</f>
        <v>204.55</v>
      </c>
      <c r="E1980" s="1">
        <f>IFERROR(__xludf.DUMMYFUNCTION("""COMPUTED_VALUE"""),206.05)</f>
        <v>206.05</v>
      </c>
      <c r="F1980" s="1">
        <f>IFERROR(__xludf.DUMMYFUNCTION("""COMPUTED_VALUE"""),2440773.0)</f>
        <v>2440773</v>
      </c>
    </row>
    <row r="1981">
      <c r="A1981" s="2">
        <f>IFERROR(__xludf.DUMMYFUNCTION("""COMPUTED_VALUE"""),39420.645833333336)</f>
        <v>39420.64583</v>
      </c>
      <c r="B1981" s="1">
        <f>IFERROR(__xludf.DUMMYFUNCTION("""COMPUTED_VALUE"""),206.9)</f>
        <v>206.9</v>
      </c>
      <c r="C1981" s="1">
        <f>IFERROR(__xludf.DUMMYFUNCTION("""COMPUTED_VALUE"""),207.75)</f>
        <v>207.75</v>
      </c>
      <c r="D1981" s="1">
        <f>IFERROR(__xludf.DUMMYFUNCTION("""COMPUTED_VALUE"""),205.35)</f>
        <v>205.35</v>
      </c>
      <c r="E1981" s="1">
        <f>IFERROR(__xludf.DUMMYFUNCTION("""COMPUTED_VALUE"""),206.55)</f>
        <v>206.55</v>
      </c>
      <c r="F1981" s="1">
        <f>IFERROR(__xludf.DUMMYFUNCTION("""COMPUTED_VALUE"""),1707081.0)</f>
        <v>1707081</v>
      </c>
    </row>
    <row r="1982">
      <c r="A1982" s="2">
        <f>IFERROR(__xludf.DUMMYFUNCTION("""COMPUTED_VALUE"""),39421.645833333336)</f>
        <v>39421.64583</v>
      </c>
      <c r="B1982" s="1">
        <f>IFERROR(__xludf.DUMMYFUNCTION("""COMPUTED_VALUE"""),206.25)</f>
        <v>206.25</v>
      </c>
      <c r="C1982" s="1">
        <f>IFERROR(__xludf.DUMMYFUNCTION("""COMPUTED_VALUE"""),207.85)</f>
        <v>207.85</v>
      </c>
      <c r="D1982" s="1">
        <f>IFERROR(__xludf.DUMMYFUNCTION("""COMPUTED_VALUE"""),205.35)</f>
        <v>205.35</v>
      </c>
      <c r="E1982" s="1">
        <f>IFERROR(__xludf.DUMMYFUNCTION("""COMPUTED_VALUE"""),206.0)</f>
        <v>206</v>
      </c>
      <c r="F1982" s="1">
        <f>IFERROR(__xludf.DUMMYFUNCTION("""COMPUTED_VALUE"""),2142666.0)</f>
        <v>2142666</v>
      </c>
    </row>
    <row r="1983">
      <c r="A1983" s="2">
        <f>IFERROR(__xludf.DUMMYFUNCTION("""COMPUTED_VALUE"""),39422.645833333336)</f>
        <v>39422.64583</v>
      </c>
      <c r="B1983" s="1">
        <f>IFERROR(__xludf.DUMMYFUNCTION("""COMPUTED_VALUE"""),206.0)</f>
        <v>206</v>
      </c>
      <c r="C1983" s="1">
        <f>IFERROR(__xludf.DUMMYFUNCTION("""COMPUTED_VALUE"""),208.95)</f>
        <v>208.95</v>
      </c>
      <c r="D1983" s="1">
        <f>IFERROR(__xludf.DUMMYFUNCTION("""COMPUTED_VALUE"""),206.0)</f>
        <v>206</v>
      </c>
      <c r="E1983" s="1">
        <f>IFERROR(__xludf.DUMMYFUNCTION("""COMPUTED_VALUE"""),207.65)</f>
        <v>207.65</v>
      </c>
      <c r="F1983" s="1">
        <f>IFERROR(__xludf.DUMMYFUNCTION("""COMPUTED_VALUE"""),2881367.0)</f>
        <v>2881367</v>
      </c>
    </row>
    <row r="1984">
      <c r="A1984" s="2">
        <f>IFERROR(__xludf.DUMMYFUNCTION("""COMPUTED_VALUE"""),39423.645833333336)</f>
        <v>39423.64583</v>
      </c>
      <c r="B1984" s="1">
        <f>IFERROR(__xludf.DUMMYFUNCTION("""COMPUTED_VALUE"""),209.95)</f>
        <v>209.95</v>
      </c>
      <c r="C1984" s="1">
        <f>IFERROR(__xludf.DUMMYFUNCTION("""COMPUTED_VALUE"""),212.4)</f>
        <v>212.4</v>
      </c>
      <c r="D1984" s="1">
        <f>IFERROR(__xludf.DUMMYFUNCTION("""COMPUTED_VALUE"""),207.1)</f>
        <v>207.1</v>
      </c>
      <c r="E1984" s="1">
        <f>IFERROR(__xludf.DUMMYFUNCTION("""COMPUTED_VALUE"""),208.6)</f>
        <v>208.6</v>
      </c>
      <c r="F1984" s="1">
        <f>IFERROR(__xludf.DUMMYFUNCTION("""COMPUTED_VALUE"""),1399834.0)</f>
        <v>1399834</v>
      </c>
    </row>
    <row r="1985">
      <c r="A1985" s="2">
        <f>IFERROR(__xludf.DUMMYFUNCTION("""COMPUTED_VALUE"""),39426.645833333336)</f>
        <v>39426.64583</v>
      </c>
      <c r="B1985" s="1">
        <f>IFERROR(__xludf.DUMMYFUNCTION("""COMPUTED_VALUE"""),209.1)</f>
        <v>209.1</v>
      </c>
      <c r="C1985" s="1">
        <f>IFERROR(__xludf.DUMMYFUNCTION("""COMPUTED_VALUE"""),209.1)</f>
        <v>209.1</v>
      </c>
      <c r="D1985" s="1">
        <f>IFERROR(__xludf.DUMMYFUNCTION("""COMPUTED_VALUE"""),201.6)</f>
        <v>201.6</v>
      </c>
      <c r="E1985" s="1">
        <f>IFERROR(__xludf.DUMMYFUNCTION("""COMPUTED_VALUE"""),205.9)</f>
        <v>205.9</v>
      </c>
      <c r="F1985" s="1">
        <f>IFERROR(__xludf.DUMMYFUNCTION("""COMPUTED_VALUE"""),4638523.0)</f>
        <v>4638523</v>
      </c>
    </row>
    <row r="1986">
      <c r="A1986" s="2">
        <f>IFERROR(__xludf.DUMMYFUNCTION("""COMPUTED_VALUE"""),39427.645833333336)</f>
        <v>39427.64583</v>
      </c>
      <c r="B1986" s="1">
        <f>IFERROR(__xludf.DUMMYFUNCTION("""COMPUTED_VALUE"""),207.95)</f>
        <v>207.95</v>
      </c>
      <c r="C1986" s="1">
        <f>IFERROR(__xludf.DUMMYFUNCTION("""COMPUTED_VALUE"""),211.9)</f>
        <v>211.9</v>
      </c>
      <c r="D1986" s="1">
        <f>IFERROR(__xludf.DUMMYFUNCTION("""COMPUTED_VALUE"""),204.0)</f>
        <v>204</v>
      </c>
      <c r="E1986" s="1">
        <f>IFERROR(__xludf.DUMMYFUNCTION("""COMPUTED_VALUE"""),210.7)</f>
        <v>210.7</v>
      </c>
      <c r="F1986" s="1">
        <f>IFERROR(__xludf.DUMMYFUNCTION("""COMPUTED_VALUE"""),1592361.0)</f>
        <v>1592361</v>
      </c>
    </row>
    <row r="1987">
      <c r="A1987" s="2">
        <f>IFERROR(__xludf.DUMMYFUNCTION("""COMPUTED_VALUE"""),39428.645833333336)</f>
        <v>39428.64583</v>
      </c>
      <c r="B1987" s="1">
        <f>IFERROR(__xludf.DUMMYFUNCTION("""COMPUTED_VALUE"""),206.55)</f>
        <v>206.55</v>
      </c>
      <c r="C1987" s="1">
        <f>IFERROR(__xludf.DUMMYFUNCTION("""COMPUTED_VALUE"""),211.8)</f>
        <v>211.8</v>
      </c>
      <c r="D1987" s="1">
        <f>IFERROR(__xludf.DUMMYFUNCTION("""COMPUTED_VALUE"""),206.55)</f>
        <v>206.55</v>
      </c>
      <c r="E1987" s="1">
        <f>IFERROR(__xludf.DUMMYFUNCTION("""COMPUTED_VALUE"""),210.25)</f>
        <v>210.25</v>
      </c>
      <c r="F1987" s="1">
        <f>IFERROR(__xludf.DUMMYFUNCTION("""COMPUTED_VALUE"""),1773167.0)</f>
        <v>1773167</v>
      </c>
    </row>
    <row r="1988">
      <c r="A1988" s="2">
        <f>IFERROR(__xludf.DUMMYFUNCTION("""COMPUTED_VALUE"""),39429.645833333336)</f>
        <v>39429.64583</v>
      </c>
      <c r="B1988" s="1">
        <f>IFERROR(__xludf.DUMMYFUNCTION("""COMPUTED_VALUE"""),210.25)</f>
        <v>210.25</v>
      </c>
      <c r="C1988" s="1">
        <f>IFERROR(__xludf.DUMMYFUNCTION("""COMPUTED_VALUE"""),215.8)</f>
        <v>215.8</v>
      </c>
      <c r="D1988" s="1">
        <f>IFERROR(__xludf.DUMMYFUNCTION("""COMPUTED_VALUE"""),210.0)</f>
        <v>210</v>
      </c>
      <c r="E1988" s="1">
        <f>IFERROR(__xludf.DUMMYFUNCTION("""COMPUTED_VALUE"""),212.0)</f>
        <v>212</v>
      </c>
      <c r="F1988" s="1">
        <f>IFERROR(__xludf.DUMMYFUNCTION("""COMPUTED_VALUE"""),1523764.0)</f>
        <v>1523764</v>
      </c>
    </row>
    <row r="1989">
      <c r="A1989" s="2">
        <f>IFERROR(__xludf.DUMMYFUNCTION("""COMPUTED_VALUE"""),39430.645833333336)</f>
        <v>39430.64583</v>
      </c>
      <c r="B1989" s="1">
        <f>IFERROR(__xludf.DUMMYFUNCTION("""COMPUTED_VALUE"""),212.0)</f>
        <v>212</v>
      </c>
      <c r="C1989" s="1">
        <f>IFERROR(__xludf.DUMMYFUNCTION("""COMPUTED_VALUE"""),220.0)</f>
        <v>220</v>
      </c>
      <c r="D1989" s="1">
        <f>IFERROR(__xludf.DUMMYFUNCTION("""COMPUTED_VALUE"""),211.0)</f>
        <v>211</v>
      </c>
      <c r="E1989" s="1">
        <f>IFERROR(__xludf.DUMMYFUNCTION("""COMPUTED_VALUE"""),218.7)</f>
        <v>218.7</v>
      </c>
      <c r="F1989" s="1">
        <f>IFERROR(__xludf.DUMMYFUNCTION("""COMPUTED_VALUE"""),1840154.0)</f>
        <v>1840154</v>
      </c>
    </row>
    <row r="1990">
      <c r="A1990" s="2">
        <f>IFERROR(__xludf.DUMMYFUNCTION("""COMPUTED_VALUE"""),39433.645833333336)</f>
        <v>39433.64583</v>
      </c>
      <c r="B1990" s="1">
        <f>IFERROR(__xludf.DUMMYFUNCTION("""COMPUTED_VALUE"""),217.0)</f>
        <v>217</v>
      </c>
      <c r="C1990" s="1">
        <f>IFERROR(__xludf.DUMMYFUNCTION("""COMPUTED_VALUE"""),220.45)</f>
        <v>220.45</v>
      </c>
      <c r="D1990" s="1">
        <f>IFERROR(__xludf.DUMMYFUNCTION("""COMPUTED_VALUE"""),214.5)</f>
        <v>214.5</v>
      </c>
      <c r="E1990" s="1">
        <f>IFERROR(__xludf.DUMMYFUNCTION("""COMPUTED_VALUE"""),218.95)</f>
        <v>218.95</v>
      </c>
      <c r="F1990" s="1">
        <f>IFERROR(__xludf.DUMMYFUNCTION("""COMPUTED_VALUE"""),2395807.0)</f>
        <v>2395807</v>
      </c>
    </row>
    <row r="1991">
      <c r="A1991" s="2">
        <f>IFERROR(__xludf.DUMMYFUNCTION("""COMPUTED_VALUE"""),39435.645833333336)</f>
        <v>39435.64583</v>
      </c>
      <c r="B1991" s="1">
        <f>IFERROR(__xludf.DUMMYFUNCTION("""COMPUTED_VALUE"""),212.0)</f>
        <v>212</v>
      </c>
      <c r="C1991" s="1">
        <f>IFERROR(__xludf.DUMMYFUNCTION("""COMPUTED_VALUE"""),217.95)</f>
        <v>217.95</v>
      </c>
      <c r="D1991" s="1">
        <f>IFERROR(__xludf.DUMMYFUNCTION("""COMPUTED_VALUE"""),207.55)</f>
        <v>207.55</v>
      </c>
      <c r="E1991" s="1">
        <f>IFERROR(__xludf.DUMMYFUNCTION("""COMPUTED_VALUE"""),212.5)</f>
        <v>212.5</v>
      </c>
      <c r="F1991" s="1">
        <f>IFERROR(__xludf.DUMMYFUNCTION("""COMPUTED_VALUE"""),832784.0)</f>
        <v>832784</v>
      </c>
    </row>
    <row r="1992">
      <c r="A1992" s="2">
        <f>IFERROR(__xludf.DUMMYFUNCTION("""COMPUTED_VALUE"""),39436.645833333336)</f>
        <v>39436.64583</v>
      </c>
      <c r="B1992" s="1">
        <f>IFERROR(__xludf.DUMMYFUNCTION("""COMPUTED_VALUE"""),210.5)</f>
        <v>210.5</v>
      </c>
      <c r="C1992" s="1">
        <f>IFERROR(__xludf.DUMMYFUNCTION("""COMPUTED_VALUE"""),214.85)</f>
        <v>214.85</v>
      </c>
      <c r="D1992" s="1">
        <f>IFERROR(__xludf.DUMMYFUNCTION("""COMPUTED_VALUE"""),210.5)</f>
        <v>210.5</v>
      </c>
      <c r="E1992" s="1">
        <f>IFERROR(__xludf.DUMMYFUNCTION("""COMPUTED_VALUE"""),212.9)</f>
        <v>212.9</v>
      </c>
      <c r="F1992" s="1">
        <f>IFERROR(__xludf.DUMMYFUNCTION("""COMPUTED_VALUE"""),744581.0)</f>
        <v>744581</v>
      </c>
    </row>
    <row r="1993">
      <c r="A1993" s="2">
        <f>IFERROR(__xludf.DUMMYFUNCTION("""COMPUTED_VALUE"""),39440.645833333336)</f>
        <v>39440.64583</v>
      </c>
      <c r="B1993" s="1">
        <f>IFERROR(__xludf.DUMMYFUNCTION("""COMPUTED_VALUE"""),213.0)</f>
        <v>213</v>
      </c>
      <c r="C1993" s="1">
        <f>IFERROR(__xludf.DUMMYFUNCTION("""COMPUTED_VALUE"""),219.0)</f>
        <v>219</v>
      </c>
      <c r="D1993" s="1">
        <f>IFERROR(__xludf.DUMMYFUNCTION("""COMPUTED_VALUE"""),212.15)</f>
        <v>212.15</v>
      </c>
      <c r="E1993" s="1">
        <f>IFERROR(__xludf.DUMMYFUNCTION("""COMPUTED_VALUE"""),216.45)</f>
        <v>216.45</v>
      </c>
      <c r="F1993" s="1">
        <f>IFERROR(__xludf.DUMMYFUNCTION("""COMPUTED_VALUE"""),3025652.0)</f>
        <v>3025652</v>
      </c>
    </row>
    <row r="1994">
      <c r="A1994" s="2">
        <f>IFERROR(__xludf.DUMMYFUNCTION("""COMPUTED_VALUE"""),39442.645833333336)</f>
        <v>39442.64583</v>
      </c>
      <c r="B1994" s="1">
        <f>IFERROR(__xludf.DUMMYFUNCTION("""COMPUTED_VALUE"""),215.0)</f>
        <v>215</v>
      </c>
      <c r="C1994" s="1">
        <f>IFERROR(__xludf.DUMMYFUNCTION("""COMPUTED_VALUE"""),218.8)</f>
        <v>218.8</v>
      </c>
      <c r="D1994" s="1">
        <f>IFERROR(__xludf.DUMMYFUNCTION("""COMPUTED_VALUE"""),213.0)</f>
        <v>213</v>
      </c>
      <c r="E1994" s="1">
        <f>IFERROR(__xludf.DUMMYFUNCTION("""COMPUTED_VALUE"""),215.3)</f>
        <v>215.3</v>
      </c>
      <c r="F1994" s="1">
        <f>IFERROR(__xludf.DUMMYFUNCTION("""COMPUTED_VALUE"""),893900.0)</f>
        <v>893900</v>
      </c>
    </row>
    <row r="1995">
      <c r="A1995" s="2">
        <f>IFERROR(__xludf.DUMMYFUNCTION("""COMPUTED_VALUE"""),39443.645833333336)</f>
        <v>39443.64583</v>
      </c>
      <c r="B1995" s="1">
        <f>IFERROR(__xludf.DUMMYFUNCTION("""COMPUTED_VALUE"""),215.3)</f>
        <v>215.3</v>
      </c>
      <c r="C1995" s="1">
        <f>IFERROR(__xludf.DUMMYFUNCTION("""COMPUTED_VALUE"""),220.0)</f>
        <v>220</v>
      </c>
      <c r="D1995" s="1">
        <f>IFERROR(__xludf.DUMMYFUNCTION("""COMPUTED_VALUE"""),214.6)</f>
        <v>214.6</v>
      </c>
      <c r="E1995" s="1">
        <f>IFERROR(__xludf.DUMMYFUNCTION("""COMPUTED_VALUE"""),216.9)</f>
        <v>216.9</v>
      </c>
      <c r="F1995" s="1">
        <f>IFERROR(__xludf.DUMMYFUNCTION("""COMPUTED_VALUE"""),1915269.0)</f>
        <v>1915269</v>
      </c>
    </row>
    <row r="1996">
      <c r="A1996" s="2">
        <f>IFERROR(__xludf.DUMMYFUNCTION("""COMPUTED_VALUE"""),39444.645833333336)</f>
        <v>39444.64583</v>
      </c>
      <c r="B1996" s="1">
        <f>IFERROR(__xludf.DUMMYFUNCTION("""COMPUTED_VALUE"""),215.0)</f>
        <v>215</v>
      </c>
      <c r="C1996" s="1">
        <f>IFERROR(__xludf.DUMMYFUNCTION("""COMPUTED_VALUE"""),217.5)</f>
        <v>217.5</v>
      </c>
      <c r="D1996" s="1">
        <f>IFERROR(__xludf.DUMMYFUNCTION("""COMPUTED_VALUE"""),215.0)</f>
        <v>215</v>
      </c>
      <c r="E1996" s="1">
        <f>IFERROR(__xludf.DUMMYFUNCTION("""COMPUTED_VALUE"""),216.35)</f>
        <v>216.35</v>
      </c>
      <c r="F1996" s="1">
        <f>IFERROR(__xludf.DUMMYFUNCTION("""COMPUTED_VALUE"""),1713386.0)</f>
        <v>1713386</v>
      </c>
    </row>
    <row r="1997">
      <c r="A1997" s="2">
        <f>IFERROR(__xludf.DUMMYFUNCTION("""COMPUTED_VALUE"""),39447.645833333336)</f>
        <v>39447.64583</v>
      </c>
      <c r="B1997" s="1">
        <f>IFERROR(__xludf.DUMMYFUNCTION("""COMPUTED_VALUE"""),217.5)</f>
        <v>217.5</v>
      </c>
      <c r="C1997" s="1">
        <f>IFERROR(__xludf.DUMMYFUNCTION("""COMPUTED_VALUE"""),217.85)</f>
        <v>217.85</v>
      </c>
      <c r="D1997" s="1">
        <f>IFERROR(__xludf.DUMMYFUNCTION("""COMPUTED_VALUE"""),212.1)</f>
        <v>212.1</v>
      </c>
      <c r="E1997" s="1">
        <f>IFERROR(__xludf.DUMMYFUNCTION("""COMPUTED_VALUE"""),213.7)</f>
        <v>213.7</v>
      </c>
      <c r="F1997" s="1">
        <f>IFERROR(__xludf.DUMMYFUNCTION("""COMPUTED_VALUE"""),1693557.0)</f>
        <v>1693557</v>
      </c>
    </row>
    <row r="1998">
      <c r="A1998" s="2">
        <f>IFERROR(__xludf.DUMMYFUNCTION("""COMPUTED_VALUE"""),39448.645833333336)</f>
        <v>39448.64583</v>
      </c>
      <c r="B1998" s="1">
        <f>IFERROR(__xludf.DUMMYFUNCTION("""COMPUTED_VALUE"""),213.25)</f>
        <v>213.25</v>
      </c>
      <c r="C1998" s="1">
        <f>IFERROR(__xludf.DUMMYFUNCTION("""COMPUTED_VALUE"""),222.0)</f>
        <v>222</v>
      </c>
      <c r="D1998" s="1">
        <f>IFERROR(__xludf.DUMMYFUNCTION("""COMPUTED_VALUE"""),212.65)</f>
        <v>212.65</v>
      </c>
      <c r="E1998" s="1">
        <f>IFERROR(__xludf.DUMMYFUNCTION("""COMPUTED_VALUE"""),218.45)</f>
        <v>218.45</v>
      </c>
      <c r="F1998" s="1">
        <f>IFERROR(__xludf.DUMMYFUNCTION("""COMPUTED_VALUE"""),1174904.0)</f>
        <v>1174904</v>
      </c>
    </row>
    <row r="1999">
      <c r="A1999" s="2">
        <f>IFERROR(__xludf.DUMMYFUNCTION("""COMPUTED_VALUE"""),39449.645833333336)</f>
        <v>39449.64583</v>
      </c>
      <c r="B1999" s="1">
        <f>IFERROR(__xludf.DUMMYFUNCTION("""COMPUTED_VALUE"""),220.0)</f>
        <v>220</v>
      </c>
      <c r="C1999" s="1">
        <f>IFERROR(__xludf.DUMMYFUNCTION("""COMPUTED_VALUE"""),220.45)</f>
        <v>220.45</v>
      </c>
      <c r="D1999" s="1">
        <f>IFERROR(__xludf.DUMMYFUNCTION("""COMPUTED_VALUE"""),212.6)</f>
        <v>212.6</v>
      </c>
      <c r="E1999" s="1">
        <f>IFERROR(__xludf.DUMMYFUNCTION("""COMPUTED_VALUE"""),215.8)</f>
        <v>215.8</v>
      </c>
      <c r="F1999" s="1">
        <f>IFERROR(__xludf.DUMMYFUNCTION("""COMPUTED_VALUE"""),1660873.0)</f>
        <v>1660873</v>
      </c>
    </row>
    <row r="2000">
      <c r="A2000" s="2">
        <f>IFERROR(__xludf.DUMMYFUNCTION("""COMPUTED_VALUE"""),39450.645833333336)</f>
        <v>39450.64583</v>
      </c>
      <c r="B2000" s="1">
        <f>IFERROR(__xludf.DUMMYFUNCTION("""COMPUTED_VALUE"""),215.0)</f>
        <v>215</v>
      </c>
      <c r="C2000" s="1">
        <f>IFERROR(__xludf.DUMMYFUNCTION("""COMPUTED_VALUE"""),225.0)</f>
        <v>225</v>
      </c>
      <c r="D2000" s="1">
        <f>IFERROR(__xludf.DUMMYFUNCTION("""COMPUTED_VALUE"""),214.5)</f>
        <v>214.5</v>
      </c>
      <c r="E2000" s="1">
        <f>IFERROR(__xludf.DUMMYFUNCTION("""COMPUTED_VALUE"""),222.85)</f>
        <v>222.85</v>
      </c>
      <c r="F2000" s="1">
        <f>IFERROR(__xludf.DUMMYFUNCTION("""COMPUTED_VALUE"""),2717376.0)</f>
        <v>2717376</v>
      </c>
    </row>
    <row r="2001">
      <c r="A2001" s="2">
        <f>IFERROR(__xludf.DUMMYFUNCTION("""COMPUTED_VALUE"""),39451.645833333336)</f>
        <v>39451.64583</v>
      </c>
      <c r="B2001" s="1">
        <f>IFERROR(__xludf.DUMMYFUNCTION("""COMPUTED_VALUE"""),217.1)</f>
        <v>217.1</v>
      </c>
      <c r="C2001" s="1">
        <f>IFERROR(__xludf.DUMMYFUNCTION("""COMPUTED_VALUE"""),235.5)</f>
        <v>235.5</v>
      </c>
      <c r="D2001" s="1">
        <f>IFERROR(__xludf.DUMMYFUNCTION("""COMPUTED_VALUE"""),217.1)</f>
        <v>217.1</v>
      </c>
      <c r="E2001" s="1">
        <f>IFERROR(__xludf.DUMMYFUNCTION("""COMPUTED_VALUE"""),232.05)</f>
        <v>232.05</v>
      </c>
      <c r="F2001" s="1">
        <f>IFERROR(__xludf.DUMMYFUNCTION("""COMPUTED_VALUE"""),4465342.0)</f>
        <v>4465342</v>
      </c>
    </row>
    <row r="2002">
      <c r="A2002" s="2">
        <f>IFERROR(__xludf.DUMMYFUNCTION("""COMPUTED_VALUE"""),39454.645833333336)</f>
        <v>39454.64583</v>
      </c>
      <c r="B2002" s="1">
        <f>IFERROR(__xludf.DUMMYFUNCTION("""COMPUTED_VALUE"""),228.9)</f>
        <v>228.9</v>
      </c>
      <c r="C2002" s="1">
        <f>IFERROR(__xludf.DUMMYFUNCTION("""COMPUTED_VALUE"""),240.5)</f>
        <v>240.5</v>
      </c>
      <c r="D2002" s="1">
        <f>IFERROR(__xludf.DUMMYFUNCTION("""COMPUTED_VALUE"""),227.1)</f>
        <v>227.1</v>
      </c>
      <c r="E2002" s="1">
        <f>IFERROR(__xludf.DUMMYFUNCTION("""COMPUTED_VALUE"""),237.2)</f>
        <v>237.2</v>
      </c>
      <c r="F2002" s="1">
        <f>IFERROR(__xludf.DUMMYFUNCTION("""COMPUTED_VALUE"""),3230086.0)</f>
        <v>3230086</v>
      </c>
    </row>
    <row r="2003">
      <c r="A2003" s="2">
        <f>IFERROR(__xludf.DUMMYFUNCTION("""COMPUTED_VALUE"""),39455.645833333336)</f>
        <v>39455.64583</v>
      </c>
      <c r="B2003" s="1">
        <f>IFERROR(__xludf.DUMMYFUNCTION("""COMPUTED_VALUE"""),235.15)</f>
        <v>235.15</v>
      </c>
      <c r="C2003" s="1">
        <f>IFERROR(__xludf.DUMMYFUNCTION("""COMPUTED_VALUE"""),244.0)</f>
        <v>244</v>
      </c>
      <c r="D2003" s="1">
        <f>IFERROR(__xludf.DUMMYFUNCTION("""COMPUTED_VALUE"""),233.0)</f>
        <v>233</v>
      </c>
      <c r="E2003" s="1">
        <f>IFERROR(__xludf.DUMMYFUNCTION("""COMPUTED_VALUE"""),236.6)</f>
        <v>236.6</v>
      </c>
      <c r="F2003" s="1">
        <f>IFERROR(__xludf.DUMMYFUNCTION("""COMPUTED_VALUE"""),2124570.0)</f>
        <v>2124570</v>
      </c>
    </row>
    <row r="2004">
      <c r="A2004" s="2">
        <f>IFERROR(__xludf.DUMMYFUNCTION("""COMPUTED_VALUE"""),39456.645833333336)</f>
        <v>39456.64583</v>
      </c>
      <c r="B2004" s="1">
        <f>IFERROR(__xludf.DUMMYFUNCTION("""COMPUTED_VALUE"""),235.0)</f>
        <v>235</v>
      </c>
      <c r="C2004" s="1">
        <f>IFERROR(__xludf.DUMMYFUNCTION("""COMPUTED_VALUE"""),238.9)</f>
        <v>238.9</v>
      </c>
      <c r="D2004" s="1">
        <f>IFERROR(__xludf.DUMMYFUNCTION("""COMPUTED_VALUE"""),229.5)</f>
        <v>229.5</v>
      </c>
      <c r="E2004" s="1">
        <f>IFERROR(__xludf.DUMMYFUNCTION("""COMPUTED_VALUE"""),234.0)</f>
        <v>234</v>
      </c>
      <c r="F2004" s="1">
        <f>IFERROR(__xludf.DUMMYFUNCTION("""COMPUTED_VALUE"""),1195033.0)</f>
        <v>1195033</v>
      </c>
    </row>
    <row r="2005">
      <c r="A2005" s="2">
        <f>IFERROR(__xludf.DUMMYFUNCTION("""COMPUTED_VALUE"""),39457.645833333336)</f>
        <v>39457.64583</v>
      </c>
      <c r="B2005" s="1">
        <f>IFERROR(__xludf.DUMMYFUNCTION("""COMPUTED_VALUE"""),234.4)</f>
        <v>234.4</v>
      </c>
      <c r="C2005" s="1">
        <f>IFERROR(__xludf.DUMMYFUNCTION("""COMPUTED_VALUE"""),236.0)</f>
        <v>236</v>
      </c>
      <c r="D2005" s="1">
        <f>IFERROR(__xludf.DUMMYFUNCTION("""COMPUTED_VALUE"""),226.5)</f>
        <v>226.5</v>
      </c>
      <c r="E2005" s="1">
        <f>IFERROR(__xludf.DUMMYFUNCTION("""COMPUTED_VALUE"""),228.55)</f>
        <v>228.55</v>
      </c>
      <c r="F2005" s="1">
        <f>IFERROR(__xludf.DUMMYFUNCTION("""COMPUTED_VALUE"""),1342183.0)</f>
        <v>1342183</v>
      </c>
    </row>
    <row r="2006">
      <c r="A2006" s="2">
        <f>IFERROR(__xludf.DUMMYFUNCTION("""COMPUTED_VALUE"""),39458.645833333336)</f>
        <v>39458.64583</v>
      </c>
      <c r="B2006" s="1">
        <f>IFERROR(__xludf.DUMMYFUNCTION("""COMPUTED_VALUE"""),229.0)</f>
        <v>229</v>
      </c>
      <c r="C2006" s="1">
        <f>IFERROR(__xludf.DUMMYFUNCTION("""COMPUTED_VALUE"""),230.0)</f>
        <v>230</v>
      </c>
      <c r="D2006" s="1">
        <f>IFERROR(__xludf.DUMMYFUNCTION("""COMPUTED_VALUE"""),218.1)</f>
        <v>218.1</v>
      </c>
      <c r="E2006" s="1">
        <f>IFERROR(__xludf.DUMMYFUNCTION("""COMPUTED_VALUE"""),223.7)</f>
        <v>223.7</v>
      </c>
      <c r="F2006" s="1">
        <f>IFERROR(__xludf.DUMMYFUNCTION("""COMPUTED_VALUE"""),1141767.0)</f>
        <v>1141767</v>
      </c>
    </row>
    <row r="2007">
      <c r="A2007" s="2">
        <f>IFERROR(__xludf.DUMMYFUNCTION("""COMPUTED_VALUE"""),39461.645833333336)</f>
        <v>39461.64583</v>
      </c>
      <c r="B2007" s="1">
        <f>IFERROR(__xludf.DUMMYFUNCTION("""COMPUTED_VALUE"""),222.95)</f>
        <v>222.95</v>
      </c>
      <c r="C2007" s="1">
        <f>IFERROR(__xludf.DUMMYFUNCTION("""COMPUTED_VALUE"""),225.0)</f>
        <v>225</v>
      </c>
      <c r="D2007" s="1">
        <f>IFERROR(__xludf.DUMMYFUNCTION("""COMPUTED_VALUE"""),217.6)</f>
        <v>217.6</v>
      </c>
      <c r="E2007" s="1">
        <f>IFERROR(__xludf.DUMMYFUNCTION("""COMPUTED_VALUE"""),219.05)</f>
        <v>219.05</v>
      </c>
      <c r="F2007" s="1">
        <f>IFERROR(__xludf.DUMMYFUNCTION("""COMPUTED_VALUE"""),763653.0)</f>
        <v>763653</v>
      </c>
    </row>
    <row r="2008">
      <c r="A2008" s="2">
        <f>IFERROR(__xludf.DUMMYFUNCTION("""COMPUTED_VALUE"""),39462.645833333336)</f>
        <v>39462.64583</v>
      </c>
      <c r="B2008" s="1">
        <f>IFERROR(__xludf.DUMMYFUNCTION("""COMPUTED_VALUE"""),221.0)</f>
        <v>221</v>
      </c>
      <c r="C2008" s="1">
        <f>IFERROR(__xludf.DUMMYFUNCTION("""COMPUTED_VALUE"""),222.0)</f>
        <v>222</v>
      </c>
      <c r="D2008" s="1">
        <f>IFERROR(__xludf.DUMMYFUNCTION("""COMPUTED_VALUE"""),216.0)</f>
        <v>216</v>
      </c>
      <c r="E2008" s="1">
        <f>IFERROR(__xludf.DUMMYFUNCTION("""COMPUTED_VALUE"""),216.8)</f>
        <v>216.8</v>
      </c>
      <c r="F2008" s="1">
        <f>IFERROR(__xludf.DUMMYFUNCTION("""COMPUTED_VALUE"""),1030023.0)</f>
        <v>1030023</v>
      </c>
    </row>
    <row r="2009">
      <c r="A2009" s="2">
        <f>IFERROR(__xludf.DUMMYFUNCTION("""COMPUTED_VALUE"""),39463.645833333336)</f>
        <v>39463.64583</v>
      </c>
      <c r="B2009" s="1">
        <f>IFERROR(__xludf.DUMMYFUNCTION("""COMPUTED_VALUE"""),217.0)</f>
        <v>217</v>
      </c>
      <c r="C2009" s="1">
        <f>IFERROR(__xludf.DUMMYFUNCTION("""COMPUTED_VALUE"""),219.2)</f>
        <v>219.2</v>
      </c>
      <c r="D2009" s="1">
        <f>IFERROR(__xludf.DUMMYFUNCTION("""COMPUTED_VALUE"""),213.0)</f>
        <v>213</v>
      </c>
      <c r="E2009" s="1">
        <f>IFERROR(__xludf.DUMMYFUNCTION("""COMPUTED_VALUE"""),214.7)</f>
        <v>214.7</v>
      </c>
      <c r="F2009" s="1">
        <f>IFERROR(__xludf.DUMMYFUNCTION("""COMPUTED_VALUE"""),1174696.0)</f>
        <v>1174696</v>
      </c>
    </row>
    <row r="2010">
      <c r="A2010" s="2">
        <f>IFERROR(__xludf.DUMMYFUNCTION("""COMPUTED_VALUE"""),39464.645833333336)</f>
        <v>39464.64583</v>
      </c>
      <c r="B2010" s="1">
        <f>IFERROR(__xludf.DUMMYFUNCTION("""COMPUTED_VALUE"""),216.0)</f>
        <v>216</v>
      </c>
      <c r="C2010" s="1">
        <f>IFERROR(__xludf.DUMMYFUNCTION("""COMPUTED_VALUE"""),222.0)</f>
        <v>222</v>
      </c>
      <c r="D2010" s="1">
        <f>IFERROR(__xludf.DUMMYFUNCTION("""COMPUTED_VALUE"""),215.0)</f>
        <v>215</v>
      </c>
      <c r="E2010" s="1">
        <f>IFERROR(__xludf.DUMMYFUNCTION("""COMPUTED_VALUE"""),217.55)</f>
        <v>217.55</v>
      </c>
      <c r="F2010" s="1">
        <f>IFERROR(__xludf.DUMMYFUNCTION("""COMPUTED_VALUE"""),1164672.0)</f>
        <v>1164672</v>
      </c>
    </row>
    <row r="2011">
      <c r="A2011" s="2">
        <f>IFERROR(__xludf.DUMMYFUNCTION("""COMPUTED_VALUE"""),39468.645833333336)</f>
        <v>39468.64583</v>
      </c>
      <c r="B2011" s="1">
        <f>IFERROR(__xludf.DUMMYFUNCTION("""COMPUTED_VALUE"""),214.5)</f>
        <v>214.5</v>
      </c>
      <c r="C2011" s="1">
        <f>IFERROR(__xludf.DUMMYFUNCTION("""COMPUTED_VALUE"""),214.5)</f>
        <v>214.5</v>
      </c>
      <c r="D2011" s="1">
        <f>IFERROR(__xludf.DUMMYFUNCTION("""COMPUTED_VALUE"""),190.0)</f>
        <v>190</v>
      </c>
      <c r="E2011" s="1">
        <f>IFERROR(__xludf.DUMMYFUNCTION("""COMPUTED_VALUE"""),199.65)</f>
        <v>199.65</v>
      </c>
      <c r="F2011" s="1">
        <f>IFERROR(__xludf.DUMMYFUNCTION("""COMPUTED_VALUE"""),1652698.0)</f>
        <v>1652698</v>
      </c>
    </row>
    <row r="2012">
      <c r="A2012" s="2">
        <f>IFERROR(__xludf.DUMMYFUNCTION("""COMPUTED_VALUE"""),39469.645833333336)</f>
        <v>39469.64583</v>
      </c>
      <c r="B2012" s="1">
        <f>IFERROR(__xludf.DUMMYFUNCTION("""COMPUTED_VALUE"""),194.9)</f>
        <v>194.9</v>
      </c>
      <c r="C2012" s="1">
        <f>IFERROR(__xludf.DUMMYFUNCTION("""COMPUTED_VALUE"""),215.0)</f>
        <v>215</v>
      </c>
      <c r="D2012" s="1">
        <f>IFERROR(__xludf.DUMMYFUNCTION("""COMPUTED_VALUE"""),169.0)</f>
        <v>169</v>
      </c>
      <c r="E2012" s="1">
        <f>IFERROR(__xludf.DUMMYFUNCTION("""COMPUTED_VALUE"""),184.05)</f>
        <v>184.05</v>
      </c>
      <c r="F2012" s="1">
        <f>IFERROR(__xludf.DUMMYFUNCTION("""COMPUTED_VALUE"""),3751328.0)</f>
        <v>3751328</v>
      </c>
    </row>
    <row r="2013">
      <c r="A2013" s="2">
        <f>IFERROR(__xludf.DUMMYFUNCTION("""COMPUTED_VALUE"""),39470.645833333336)</f>
        <v>39470.64583</v>
      </c>
      <c r="B2013" s="1">
        <f>IFERROR(__xludf.DUMMYFUNCTION("""COMPUTED_VALUE"""),198.0)</f>
        <v>198</v>
      </c>
      <c r="C2013" s="1">
        <f>IFERROR(__xludf.DUMMYFUNCTION("""COMPUTED_VALUE"""),201.9)</f>
        <v>201.9</v>
      </c>
      <c r="D2013" s="1">
        <f>IFERROR(__xludf.DUMMYFUNCTION("""COMPUTED_VALUE"""),185.0)</f>
        <v>185</v>
      </c>
      <c r="E2013" s="1">
        <f>IFERROR(__xludf.DUMMYFUNCTION("""COMPUTED_VALUE"""),190.6)</f>
        <v>190.6</v>
      </c>
      <c r="F2013" s="1">
        <f>IFERROR(__xludf.DUMMYFUNCTION("""COMPUTED_VALUE"""),2413460.0)</f>
        <v>2413460</v>
      </c>
    </row>
    <row r="2014">
      <c r="A2014" s="2">
        <f>IFERROR(__xludf.DUMMYFUNCTION("""COMPUTED_VALUE"""),39471.645833333336)</f>
        <v>39471.64583</v>
      </c>
      <c r="B2014" s="1">
        <f>IFERROR(__xludf.DUMMYFUNCTION("""COMPUTED_VALUE"""),192.0)</f>
        <v>192</v>
      </c>
      <c r="C2014" s="1">
        <f>IFERROR(__xludf.DUMMYFUNCTION("""COMPUTED_VALUE"""),202.8)</f>
        <v>202.8</v>
      </c>
      <c r="D2014" s="1">
        <f>IFERROR(__xludf.DUMMYFUNCTION("""COMPUTED_VALUE"""),180.05)</f>
        <v>180.05</v>
      </c>
      <c r="E2014" s="1">
        <f>IFERROR(__xludf.DUMMYFUNCTION("""COMPUTED_VALUE"""),186.15)</f>
        <v>186.15</v>
      </c>
      <c r="F2014" s="1">
        <f>IFERROR(__xludf.DUMMYFUNCTION("""COMPUTED_VALUE"""),2334318.0)</f>
        <v>2334318</v>
      </c>
    </row>
    <row r="2015">
      <c r="A2015" s="2">
        <f>IFERROR(__xludf.DUMMYFUNCTION("""COMPUTED_VALUE"""),39472.645833333336)</f>
        <v>39472.64583</v>
      </c>
      <c r="B2015" s="1">
        <f>IFERROR(__xludf.DUMMYFUNCTION("""COMPUTED_VALUE"""),188.5)</f>
        <v>188.5</v>
      </c>
      <c r="C2015" s="1">
        <f>IFERROR(__xludf.DUMMYFUNCTION("""COMPUTED_VALUE"""),202.0)</f>
        <v>202</v>
      </c>
      <c r="D2015" s="1">
        <f>IFERROR(__xludf.DUMMYFUNCTION("""COMPUTED_VALUE"""),186.0)</f>
        <v>186</v>
      </c>
      <c r="E2015" s="1">
        <f>IFERROR(__xludf.DUMMYFUNCTION("""COMPUTED_VALUE"""),200.15)</f>
        <v>200.15</v>
      </c>
      <c r="F2015" s="1">
        <f>IFERROR(__xludf.DUMMYFUNCTION("""COMPUTED_VALUE"""),988816.0)</f>
        <v>988816</v>
      </c>
    </row>
    <row r="2016">
      <c r="A2016" s="2">
        <f>IFERROR(__xludf.DUMMYFUNCTION("""COMPUTED_VALUE"""),39475.645833333336)</f>
        <v>39475.64583</v>
      </c>
      <c r="B2016" s="1">
        <f>IFERROR(__xludf.DUMMYFUNCTION("""COMPUTED_VALUE"""),196.6)</f>
        <v>196.6</v>
      </c>
      <c r="C2016" s="1">
        <f>IFERROR(__xludf.DUMMYFUNCTION("""COMPUTED_VALUE"""),203.4)</f>
        <v>203.4</v>
      </c>
      <c r="D2016" s="1">
        <f>IFERROR(__xludf.DUMMYFUNCTION("""COMPUTED_VALUE"""),184.4)</f>
        <v>184.4</v>
      </c>
      <c r="E2016" s="1">
        <f>IFERROR(__xludf.DUMMYFUNCTION("""COMPUTED_VALUE"""),199.9)</f>
        <v>199.9</v>
      </c>
      <c r="F2016" s="1">
        <f>IFERROR(__xludf.DUMMYFUNCTION("""COMPUTED_VALUE"""),982732.0)</f>
        <v>982732</v>
      </c>
    </row>
    <row r="2017">
      <c r="A2017" s="2">
        <f>IFERROR(__xludf.DUMMYFUNCTION("""COMPUTED_VALUE"""),39476.645833333336)</f>
        <v>39476.64583</v>
      </c>
      <c r="B2017" s="1">
        <f>IFERROR(__xludf.DUMMYFUNCTION("""COMPUTED_VALUE"""),201.0)</f>
        <v>201</v>
      </c>
      <c r="C2017" s="1">
        <f>IFERROR(__xludf.DUMMYFUNCTION("""COMPUTED_VALUE"""),211.5)</f>
        <v>211.5</v>
      </c>
      <c r="D2017" s="1">
        <f>IFERROR(__xludf.DUMMYFUNCTION("""COMPUTED_VALUE"""),199.0)</f>
        <v>199</v>
      </c>
      <c r="E2017" s="1">
        <f>IFERROR(__xludf.DUMMYFUNCTION("""COMPUTED_VALUE"""),208.85)</f>
        <v>208.85</v>
      </c>
      <c r="F2017" s="1">
        <f>IFERROR(__xludf.DUMMYFUNCTION("""COMPUTED_VALUE"""),1411033.0)</f>
        <v>1411033</v>
      </c>
    </row>
    <row r="2018">
      <c r="A2018" s="2">
        <f>IFERROR(__xludf.DUMMYFUNCTION("""COMPUTED_VALUE"""),39477.645833333336)</f>
        <v>39477.64583</v>
      </c>
      <c r="B2018" s="1">
        <f>IFERROR(__xludf.DUMMYFUNCTION("""COMPUTED_VALUE"""),209.1)</f>
        <v>209.1</v>
      </c>
      <c r="C2018" s="1">
        <f>IFERROR(__xludf.DUMMYFUNCTION("""COMPUTED_VALUE"""),217.0)</f>
        <v>217</v>
      </c>
      <c r="D2018" s="1">
        <f>IFERROR(__xludf.DUMMYFUNCTION("""COMPUTED_VALUE"""),194.05)</f>
        <v>194.05</v>
      </c>
      <c r="E2018" s="1">
        <f>IFERROR(__xludf.DUMMYFUNCTION("""COMPUTED_VALUE"""),195.85)</f>
        <v>195.85</v>
      </c>
      <c r="F2018" s="1">
        <f>IFERROR(__xludf.DUMMYFUNCTION("""COMPUTED_VALUE"""),1232694.0)</f>
        <v>1232694</v>
      </c>
    </row>
    <row r="2019">
      <c r="A2019" s="2">
        <f>IFERROR(__xludf.DUMMYFUNCTION("""COMPUTED_VALUE"""),39478.645833333336)</f>
        <v>39478.64583</v>
      </c>
      <c r="B2019" s="1">
        <f>IFERROR(__xludf.DUMMYFUNCTION("""COMPUTED_VALUE"""),194.05)</f>
        <v>194.05</v>
      </c>
      <c r="C2019" s="1">
        <f>IFERROR(__xludf.DUMMYFUNCTION("""COMPUTED_VALUE"""),212.0)</f>
        <v>212</v>
      </c>
      <c r="D2019" s="1">
        <f>IFERROR(__xludf.DUMMYFUNCTION("""COMPUTED_VALUE"""),194.05)</f>
        <v>194.05</v>
      </c>
      <c r="E2019" s="1">
        <f>IFERROR(__xludf.DUMMYFUNCTION("""COMPUTED_VALUE"""),208.75)</f>
        <v>208.75</v>
      </c>
      <c r="F2019" s="1">
        <f>IFERROR(__xludf.DUMMYFUNCTION("""COMPUTED_VALUE"""),3350972.0)</f>
        <v>3350972</v>
      </c>
    </row>
    <row r="2020">
      <c r="A2020" s="2">
        <f>IFERROR(__xludf.DUMMYFUNCTION("""COMPUTED_VALUE"""),39479.645833333336)</f>
        <v>39479.64583</v>
      </c>
      <c r="B2020" s="1">
        <f>IFERROR(__xludf.DUMMYFUNCTION("""COMPUTED_VALUE"""),208.0)</f>
        <v>208</v>
      </c>
      <c r="C2020" s="1">
        <f>IFERROR(__xludf.DUMMYFUNCTION("""COMPUTED_VALUE"""),210.8)</f>
        <v>210.8</v>
      </c>
      <c r="D2020" s="1">
        <f>IFERROR(__xludf.DUMMYFUNCTION("""COMPUTED_VALUE"""),203.5)</f>
        <v>203.5</v>
      </c>
      <c r="E2020" s="1">
        <f>IFERROR(__xludf.DUMMYFUNCTION("""COMPUTED_VALUE"""),207.9)</f>
        <v>207.9</v>
      </c>
      <c r="F2020" s="1">
        <f>IFERROR(__xludf.DUMMYFUNCTION("""COMPUTED_VALUE"""),1629838.0)</f>
        <v>1629838</v>
      </c>
    </row>
    <row r="2021">
      <c r="A2021" s="2">
        <f>IFERROR(__xludf.DUMMYFUNCTION("""COMPUTED_VALUE"""),39482.645833333336)</f>
        <v>39482.64583</v>
      </c>
      <c r="B2021" s="1">
        <f>IFERROR(__xludf.DUMMYFUNCTION("""COMPUTED_VALUE"""),202.15)</f>
        <v>202.15</v>
      </c>
      <c r="C2021" s="1">
        <f>IFERROR(__xludf.DUMMYFUNCTION("""COMPUTED_VALUE"""),216.5)</f>
        <v>216.5</v>
      </c>
      <c r="D2021" s="1">
        <f>IFERROR(__xludf.DUMMYFUNCTION("""COMPUTED_VALUE"""),202.15)</f>
        <v>202.15</v>
      </c>
      <c r="E2021" s="1">
        <f>IFERROR(__xludf.DUMMYFUNCTION("""COMPUTED_VALUE"""),213.25)</f>
        <v>213.25</v>
      </c>
      <c r="F2021" s="1">
        <f>IFERROR(__xludf.DUMMYFUNCTION("""COMPUTED_VALUE"""),1042693.0)</f>
        <v>1042693</v>
      </c>
    </row>
    <row r="2022">
      <c r="A2022" s="2">
        <f>IFERROR(__xludf.DUMMYFUNCTION("""COMPUTED_VALUE"""),39483.645833333336)</f>
        <v>39483.64583</v>
      </c>
      <c r="B2022" s="1">
        <f>IFERROR(__xludf.DUMMYFUNCTION("""COMPUTED_VALUE"""),207.0)</f>
        <v>207</v>
      </c>
      <c r="C2022" s="1">
        <f>IFERROR(__xludf.DUMMYFUNCTION("""COMPUTED_VALUE"""),213.2)</f>
        <v>213.2</v>
      </c>
      <c r="D2022" s="1">
        <f>IFERROR(__xludf.DUMMYFUNCTION("""COMPUTED_VALUE"""),205.5)</f>
        <v>205.5</v>
      </c>
      <c r="E2022" s="1">
        <f>IFERROR(__xludf.DUMMYFUNCTION("""COMPUTED_VALUE"""),209.0)</f>
        <v>209</v>
      </c>
      <c r="F2022" s="1">
        <f>IFERROR(__xludf.DUMMYFUNCTION("""COMPUTED_VALUE"""),753304.0)</f>
        <v>753304</v>
      </c>
    </row>
    <row r="2023">
      <c r="A2023" s="2">
        <f>IFERROR(__xludf.DUMMYFUNCTION("""COMPUTED_VALUE"""),39484.645833333336)</f>
        <v>39484.64583</v>
      </c>
      <c r="B2023" s="1">
        <f>IFERROR(__xludf.DUMMYFUNCTION("""COMPUTED_VALUE"""),201.6)</f>
        <v>201.6</v>
      </c>
      <c r="C2023" s="1">
        <f>IFERROR(__xludf.DUMMYFUNCTION("""COMPUTED_VALUE"""),208.85)</f>
        <v>208.85</v>
      </c>
      <c r="D2023" s="1">
        <f>IFERROR(__xludf.DUMMYFUNCTION("""COMPUTED_VALUE"""),201.0)</f>
        <v>201</v>
      </c>
      <c r="E2023" s="1">
        <f>IFERROR(__xludf.DUMMYFUNCTION("""COMPUTED_VALUE"""),204.15)</f>
        <v>204.15</v>
      </c>
      <c r="F2023" s="1">
        <f>IFERROR(__xludf.DUMMYFUNCTION("""COMPUTED_VALUE"""),1468704.0)</f>
        <v>1468704</v>
      </c>
    </row>
    <row r="2024">
      <c r="A2024" s="2">
        <f>IFERROR(__xludf.DUMMYFUNCTION("""COMPUTED_VALUE"""),39485.645833333336)</f>
        <v>39485.64583</v>
      </c>
      <c r="B2024" s="1">
        <f>IFERROR(__xludf.DUMMYFUNCTION("""COMPUTED_VALUE"""),206.0)</f>
        <v>206</v>
      </c>
      <c r="C2024" s="1">
        <f>IFERROR(__xludf.DUMMYFUNCTION("""COMPUTED_VALUE"""),206.0)</f>
        <v>206</v>
      </c>
      <c r="D2024" s="1">
        <f>IFERROR(__xludf.DUMMYFUNCTION("""COMPUTED_VALUE"""),196.5)</f>
        <v>196.5</v>
      </c>
      <c r="E2024" s="1">
        <f>IFERROR(__xludf.DUMMYFUNCTION("""COMPUTED_VALUE"""),200.0)</f>
        <v>200</v>
      </c>
      <c r="F2024" s="1">
        <f>IFERROR(__xludf.DUMMYFUNCTION("""COMPUTED_VALUE"""),1012553.0)</f>
        <v>1012553</v>
      </c>
    </row>
    <row r="2025">
      <c r="A2025" s="2">
        <f>IFERROR(__xludf.DUMMYFUNCTION("""COMPUTED_VALUE"""),39486.645833333336)</f>
        <v>39486.64583</v>
      </c>
      <c r="B2025" s="1">
        <f>IFERROR(__xludf.DUMMYFUNCTION("""COMPUTED_VALUE"""),199.0)</f>
        <v>199</v>
      </c>
      <c r="C2025" s="1">
        <f>IFERROR(__xludf.DUMMYFUNCTION("""COMPUTED_VALUE"""),213.55)</f>
        <v>213.55</v>
      </c>
      <c r="D2025" s="1">
        <f>IFERROR(__xludf.DUMMYFUNCTION("""COMPUTED_VALUE"""),195.65)</f>
        <v>195.65</v>
      </c>
      <c r="E2025" s="1">
        <f>IFERROR(__xludf.DUMMYFUNCTION("""COMPUTED_VALUE"""),211.25)</f>
        <v>211.25</v>
      </c>
      <c r="F2025" s="1">
        <f>IFERROR(__xludf.DUMMYFUNCTION("""COMPUTED_VALUE"""),2412299.0)</f>
        <v>2412299</v>
      </c>
    </row>
    <row r="2026">
      <c r="A2026" s="2">
        <f>IFERROR(__xludf.DUMMYFUNCTION("""COMPUTED_VALUE"""),39489.645833333336)</f>
        <v>39489.64583</v>
      </c>
      <c r="B2026" s="1">
        <f>IFERROR(__xludf.DUMMYFUNCTION("""COMPUTED_VALUE"""),213.0)</f>
        <v>213</v>
      </c>
      <c r="C2026" s="1">
        <f>IFERROR(__xludf.DUMMYFUNCTION("""COMPUTED_VALUE"""),213.0)</f>
        <v>213</v>
      </c>
      <c r="D2026" s="1">
        <f>IFERROR(__xludf.DUMMYFUNCTION("""COMPUTED_VALUE"""),192.15)</f>
        <v>192.15</v>
      </c>
      <c r="E2026" s="1">
        <f>IFERROR(__xludf.DUMMYFUNCTION("""COMPUTED_VALUE"""),194.1)</f>
        <v>194.1</v>
      </c>
      <c r="F2026" s="1">
        <f>IFERROR(__xludf.DUMMYFUNCTION("""COMPUTED_VALUE"""),1967393.0)</f>
        <v>1967393</v>
      </c>
    </row>
    <row r="2027">
      <c r="A2027" s="2">
        <f>IFERROR(__xludf.DUMMYFUNCTION("""COMPUTED_VALUE"""),39490.645833333336)</f>
        <v>39490.64583</v>
      </c>
      <c r="B2027" s="1">
        <f>IFERROR(__xludf.DUMMYFUNCTION("""COMPUTED_VALUE"""),198.0)</f>
        <v>198</v>
      </c>
      <c r="C2027" s="1">
        <f>IFERROR(__xludf.DUMMYFUNCTION("""COMPUTED_VALUE"""),200.9)</f>
        <v>200.9</v>
      </c>
      <c r="D2027" s="1">
        <f>IFERROR(__xludf.DUMMYFUNCTION("""COMPUTED_VALUE"""),192.0)</f>
        <v>192</v>
      </c>
      <c r="E2027" s="1">
        <f>IFERROR(__xludf.DUMMYFUNCTION("""COMPUTED_VALUE"""),193.95)</f>
        <v>193.95</v>
      </c>
      <c r="F2027" s="1">
        <f>IFERROR(__xludf.DUMMYFUNCTION("""COMPUTED_VALUE"""),964174.0)</f>
        <v>964174</v>
      </c>
    </row>
    <row r="2028">
      <c r="A2028" s="2">
        <f>IFERROR(__xludf.DUMMYFUNCTION("""COMPUTED_VALUE"""),39491.645833333336)</f>
        <v>39491.64583</v>
      </c>
      <c r="B2028" s="1">
        <f>IFERROR(__xludf.DUMMYFUNCTION("""COMPUTED_VALUE"""),195.1)</f>
        <v>195.1</v>
      </c>
      <c r="C2028" s="1">
        <f>IFERROR(__xludf.DUMMYFUNCTION("""COMPUTED_VALUE"""),199.0)</f>
        <v>199</v>
      </c>
      <c r="D2028" s="1">
        <f>IFERROR(__xludf.DUMMYFUNCTION("""COMPUTED_VALUE"""),190.0)</f>
        <v>190</v>
      </c>
      <c r="E2028" s="1">
        <f>IFERROR(__xludf.DUMMYFUNCTION("""COMPUTED_VALUE"""),192.5)</f>
        <v>192.5</v>
      </c>
      <c r="F2028" s="1">
        <f>IFERROR(__xludf.DUMMYFUNCTION("""COMPUTED_VALUE"""),2774384.0)</f>
        <v>2774384</v>
      </c>
    </row>
    <row r="2029">
      <c r="A2029" s="2">
        <f>IFERROR(__xludf.DUMMYFUNCTION("""COMPUTED_VALUE"""),39492.645833333336)</f>
        <v>39492.64583</v>
      </c>
      <c r="B2029" s="1">
        <f>IFERROR(__xludf.DUMMYFUNCTION("""COMPUTED_VALUE"""),195.25)</f>
        <v>195.25</v>
      </c>
      <c r="C2029" s="1">
        <f>IFERROR(__xludf.DUMMYFUNCTION("""COMPUTED_VALUE"""),207.0)</f>
        <v>207</v>
      </c>
      <c r="D2029" s="1">
        <f>IFERROR(__xludf.DUMMYFUNCTION("""COMPUTED_VALUE"""),195.25)</f>
        <v>195.25</v>
      </c>
      <c r="E2029" s="1">
        <f>IFERROR(__xludf.DUMMYFUNCTION("""COMPUTED_VALUE"""),203.1)</f>
        <v>203.1</v>
      </c>
      <c r="F2029" s="1">
        <f>IFERROR(__xludf.DUMMYFUNCTION("""COMPUTED_VALUE"""),4141555.0)</f>
        <v>4141555</v>
      </c>
    </row>
    <row r="2030">
      <c r="A2030" s="2">
        <f>IFERROR(__xludf.DUMMYFUNCTION("""COMPUTED_VALUE"""),39493.645833333336)</f>
        <v>39493.64583</v>
      </c>
      <c r="B2030" s="1">
        <f>IFERROR(__xludf.DUMMYFUNCTION("""COMPUTED_VALUE"""),203.0)</f>
        <v>203</v>
      </c>
      <c r="C2030" s="1">
        <f>IFERROR(__xludf.DUMMYFUNCTION("""COMPUTED_VALUE"""),212.5)</f>
        <v>212.5</v>
      </c>
      <c r="D2030" s="1">
        <f>IFERROR(__xludf.DUMMYFUNCTION("""COMPUTED_VALUE"""),199.6)</f>
        <v>199.6</v>
      </c>
      <c r="E2030" s="1">
        <f>IFERROR(__xludf.DUMMYFUNCTION("""COMPUTED_VALUE"""),211.15)</f>
        <v>211.15</v>
      </c>
      <c r="F2030" s="1">
        <f>IFERROR(__xludf.DUMMYFUNCTION("""COMPUTED_VALUE"""),2148802.0)</f>
        <v>2148802</v>
      </c>
    </row>
    <row r="2031">
      <c r="A2031" s="2">
        <f>IFERROR(__xludf.DUMMYFUNCTION("""COMPUTED_VALUE"""),39496.645833333336)</f>
        <v>39496.64583</v>
      </c>
      <c r="B2031" s="1">
        <f>IFERROR(__xludf.DUMMYFUNCTION("""COMPUTED_VALUE"""),213.0)</f>
        <v>213</v>
      </c>
      <c r="C2031" s="1">
        <f>IFERROR(__xludf.DUMMYFUNCTION("""COMPUTED_VALUE"""),218.0)</f>
        <v>218</v>
      </c>
      <c r="D2031" s="1">
        <f>IFERROR(__xludf.DUMMYFUNCTION("""COMPUTED_VALUE"""),207.85)</f>
        <v>207.85</v>
      </c>
      <c r="E2031" s="1">
        <f>IFERROR(__xludf.DUMMYFUNCTION("""COMPUTED_VALUE"""),217.1)</f>
        <v>217.1</v>
      </c>
      <c r="F2031" s="1">
        <f>IFERROR(__xludf.DUMMYFUNCTION("""COMPUTED_VALUE"""),1994735.0)</f>
        <v>1994735</v>
      </c>
    </row>
    <row r="2032">
      <c r="A2032" s="2">
        <f>IFERROR(__xludf.DUMMYFUNCTION("""COMPUTED_VALUE"""),39497.645833333336)</f>
        <v>39497.64583</v>
      </c>
      <c r="B2032" s="1">
        <f>IFERROR(__xludf.DUMMYFUNCTION("""COMPUTED_VALUE"""),220.0)</f>
        <v>220</v>
      </c>
      <c r="C2032" s="1">
        <f>IFERROR(__xludf.DUMMYFUNCTION("""COMPUTED_VALUE"""),224.8)</f>
        <v>224.8</v>
      </c>
      <c r="D2032" s="1">
        <f>IFERROR(__xludf.DUMMYFUNCTION("""COMPUTED_VALUE"""),217.55)</f>
        <v>217.55</v>
      </c>
      <c r="E2032" s="1">
        <f>IFERROR(__xludf.DUMMYFUNCTION("""COMPUTED_VALUE"""),221.45)</f>
        <v>221.45</v>
      </c>
      <c r="F2032" s="1">
        <f>IFERROR(__xludf.DUMMYFUNCTION("""COMPUTED_VALUE"""),2847687.0)</f>
        <v>2847687</v>
      </c>
    </row>
    <row r="2033">
      <c r="A2033" s="2">
        <f>IFERROR(__xludf.DUMMYFUNCTION("""COMPUTED_VALUE"""),39498.645833333336)</f>
        <v>39498.64583</v>
      </c>
      <c r="B2033" s="1">
        <f>IFERROR(__xludf.DUMMYFUNCTION("""COMPUTED_VALUE"""),219.15)</f>
        <v>219.15</v>
      </c>
      <c r="C2033" s="1">
        <f>IFERROR(__xludf.DUMMYFUNCTION("""COMPUTED_VALUE"""),219.8)</f>
        <v>219.8</v>
      </c>
      <c r="D2033" s="1">
        <f>IFERROR(__xludf.DUMMYFUNCTION("""COMPUTED_VALUE"""),211.1)</f>
        <v>211.1</v>
      </c>
      <c r="E2033" s="1">
        <f>IFERROR(__xludf.DUMMYFUNCTION("""COMPUTED_VALUE"""),214.15)</f>
        <v>214.15</v>
      </c>
      <c r="F2033" s="1">
        <f>IFERROR(__xludf.DUMMYFUNCTION("""COMPUTED_VALUE"""),1153338.0)</f>
        <v>1153338</v>
      </c>
    </row>
    <row r="2034">
      <c r="A2034" s="2">
        <f>IFERROR(__xludf.DUMMYFUNCTION("""COMPUTED_VALUE"""),39499.645833333336)</f>
        <v>39499.64583</v>
      </c>
      <c r="B2034" s="1">
        <f>IFERROR(__xludf.DUMMYFUNCTION("""COMPUTED_VALUE"""),224.0)</f>
        <v>224</v>
      </c>
      <c r="C2034" s="1">
        <f>IFERROR(__xludf.DUMMYFUNCTION("""COMPUTED_VALUE"""),224.0)</f>
        <v>224</v>
      </c>
      <c r="D2034" s="1">
        <f>IFERROR(__xludf.DUMMYFUNCTION("""COMPUTED_VALUE"""),215.6)</f>
        <v>215.6</v>
      </c>
      <c r="E2034" s="1">
        <f>IFERROR(__xludf.DUMMYFUNCTION("""COMPUTED_VALUE"""),220.2)</f>
        <v>220.2</v>
      </c>
      <c r="F2034" s="1">
        <f>IFERROR(__xludf.DUMMYFUNCTION("""COMPUTED_VALUE"""),2081163.0)</f>
        <v>2081163</v>
      </c>
    </row>
    <row r="2035">
      <c r="A2035" s="2">
        <f>IFERROR(__xludf.DUMMYFUNCTION("""COMPUTED_VALUE"""),39500.645833333336)</f>
        <v>39500.64583</v>
      </c>
      <c r="B2035" s="1">
        <f>IFERROR(__xludf.DUMMYFUNCTION("""COMPUTED_VALUE"""),217.9)</f>
        <v>217.9</v>
      </c>
      <c r="C2035" s="1">
        <f>IFERROR(__xludf.DUMMYFUNCTION("""COMPUTED_VALUE"""),220.0)</f>
        <v>220</v>
      </c>
      <c r="D2035" s="1">
        <f>IFERROR(__xludf.DUMMYFUNCTION("""COMPUTED_VALUE"""),213.35)</f>
        <v>213.35</v>
      </c>
      <c r="E2035" s="1">
        <f>IFERROR(__xludf.DUMMYFUNCTION("""COMPUTED_VALUE"""),216.3)</f>
        <v>216.3</v>
      </c>
      <c r="F2035" s="1">
        <f>IFERROR(__xludf.DUMMYFUNCTION("""COMPUTED_VALUE"""),722104.0)</f>
        <v>722104</v>
      </c>
    </row>
    <row r="2036">
      <c r="A2036" s="2">
        <f>IFERROR(__xludf.DUMMYFUNCTION("""COMPUTED_VALUE"""),39503.645833333336)</f>
        <v>39503.64583</v>
      </c>
      <c r="B2036" s="1">
        <f>IFERROR(__xludf.DUMMYFUNCTION("""COMPUTED_VALUE"""),219.0)</f>
        <v>219</v>
      </c>
      <c r="C2036" s="1">
        <f>IFERROR(__xludf.DUMMYFUNCTION("""COMPUTED_VALUE"""),219.0)</f>
        <v>219</v>
      </c>
      <c r="D2036" s="1">
        <f>IFERROR(__xludf.DUMMYFUNCTION("""COMPUTED_VALUE"""),213.35)</f>
        <v>213.35</v>
      </c>
      <c r="E2036" s="1">
        <f>IFERROR(__xludf.DUMMYFUNCTION("""COMPUTED_VALUE"""),215.7)</f>
        <v>215.7</v>
      </c>
      <c r="F2036" s="1">
        <f>IFERROR(__xludf.DUMMYFUNCTION("""COMPUTED_VALUE"""),1451417.0)</f>
        <v>1451417</v>
      </c>
    </row>
    <row r="2037">
      <c r="A2037" s="2">
        <f>IFERROR(__xludf.DUMMYFUNCTION("""COMPUTED_VALUE"""),39504.645833333336)</f>
        <v>39504.64583</v>
      </c>
      <c r="B2037" s="1">
        <f>IFERROR(__xludf.DUMMYFUNCTION("""COMPUTED_VALUE"""),217.45)</f>
        <v>217.45</v>
      </c>
      <c r="C2037" s="1">
        <f>IFERROR(__xludf.DUMMYFUNCTION("""COMPUTED_VALUE"""),221.2)</f>
        <v>221.2</v>
      </c>
      <c r="D2037" s="1">
        <f>IFERROR(__xludf.DUMMYFUNCTION("""COMPUTED_VALUE"""),214.25)</f>
        <v>214.25</v>
      </c>
      <c r="E2037" s="1">
        <f>IFERROR(__xludf.DUMMYFUNCTION("""COMPUTED_VALUE"""),219.85)</f>
        <v>219.85</v>
      </c>
      <c r="F2037" s="1">
        <f>IFERROR(__xludf.DUMMYFUNCTION("""COMPUTED_VALUE"""),2184151.0)</f>
        <v>2184151</v>
      </c>
    </row>
    <row r="2038">
      <c r="A2038" s="2">
        <f>IFERROR(__xludf.DUMMYFUNCTION("""COMPUTED_VALUE"""),39505.645833333336)</f>
        <v>39505.64583</v>
      </c>
      <c r="B2038" s="1">
        <f>IFERROR(__xludf.DUMMYFUNCTION("""COMPUTED_VALUE"""),221.05)</f>
        <v>221.05</v>
      </c>
      <c r="C2038" s="1">
        <f>IFERROR(__xludf.DUMMYFUNCTION("""COMPUTED_VALUE"""),224.85)</f>
        <v>224.85</v>
      </c>
      <c r="D2038" s="1">
        <f>IFERROR(__xludf.DUMMYFUNCTION("""COMPUTED_VALUE"""),218.35)</f>
        <v>218.35</v>
      </c>
      <c r="E2038" s="1">
        <f>IFERROR(__xludf.DUMMYFUNCTION("""COMPUTED_VALUE"""),220.25)</f>
        <v>220.25</v>
      </c>
      <c r="F2038" s="1">
        <f>IFERROR(__xludf.DUMMYFUNCTION("""COMPUTED_VALUE"""),1213341.0)</f>
        <v>1213341</v>
      </c>
    </row>
    <row r="2039">
      <c r="A2039" s="2">
        <f>IFERROR(__xludf.DUMMYFUNCTION("""COMPUTED_VALUE"""),39506.645833333336)</f>
        <v>39506.64583</v>
      </c>
      <c r="B2039" s="1">
        <f>IFERROR(__xludf.DUMMYFUNCTION("""COMPUTED_VALUE"""),222.0)</f>
        <v>222</v>
      </c>
      <c r="C2039" s="1">
        <f>IFERROR(__xludf.DUMMYFUNCTION("""COMPUTED_VALUE"""),225.0)</f>
        <v>225</v>
      </c>
      <c r="D2039" s="1">
        <f>IFERROR(__xludf.DUMMYFUNCTION("""COMPUTED_VALUE"""),219.85)</f>
        <v>219.85</v>
      </c>
      <c r="E2039" s="1">
        <f>IFERROR(__xludf.DUMMYFUNCTION("""COMPUTED_VALUE"""),220.95)</f>
        <v>220.95</v>
      </c>
      <c r="F2039" s="1">
        <f>IFERROR(__xludf.DUMMYFUNCTION("""COMPUTED_VALUE"""),2662634.0)</f>
        <v>2662634</v>
      </c>
    </row>
    <row r="2040">
      <c r="A2040" s="2">
        <f>IFERROR(__xludf.DUMMYFUNCTION("""COMPUTED_VALUE"""),39507.645833333336)</f>
        <v>39507.64583</v>
      </c>
      <c r="B2040" s="1">
        <f>IFERROR(__xludf.DUMMYFUNCTION("""COMPUTED_VALUE"""),219.7)</f>
        <v>219.7</v>
      </c>
      <c r="C2040" s="1">
        <f>IFERROR(__xludf.DUMMYFUNCTION("""COMPUTED_VALUE"""),229.25)</f>
        <v>229.25</v>
      </c>
      <c r="D2040" s="1">
        <f>IFERROR(__xludf.DUMMYFUNCTION("""COMPUTED_VALUE"""),219.0)</f>
        <v>219</v>
      </c>
      <c r="E2040" s="1">
        <f>IFERROR(__xludf.DUMMYFUNCTION("""COMPUTED_VALUE"""),227.5)</f>
        <v>227.5</v>
      </c>
      <c r="F2040" s="1">
        <f>IFERROR(__xludf.DUMMYFUNCTION("""COMPUTED_VALUE"""),3059675.0)</f>
        <v>3059675</v>
      </c>
    </row>
    <row r="2041">
      <c r="A2041" s="2">
        <f>IFERROR(__xludf.DUMMYFUNCTION("""COMPUTED_VALUE"""),39510.645833333336)</f>
        <v>39510.64583</v>
      </c>
      <c r="B2041" s="1">
        <f>IFERROR(__xludf.DUMMYFUNCTION("""COMPUTED_VALUE"""),223.0)</f>
        <v>223</v>
      </c>
      <c r="C2041" s="1">
        <f>IFERROR(__xludf.DUMMYFUNCTION("""COMPUTED_VALUE"""),237.3)</f>
        <v>237.3</v>
      </c>
      <c r="D2041" s="1">
        <f>IFERROR(__xludf.DUMMYFUNCTION("""COMPUTED_VALUE"""),221.05)</f>
        <v>221.05</v>
      </c>
      <c r="E2041" s="1">
        <f>IFERROR(__xludf.DUMMYFUNCTION("""COMPUTED_VALUE"""),231.85)</f>
        <v>231.85</v>
      </c>
      <c r="F2041" s="1">
        <f>IFERROR(__xludf.DUMMYFUNCTION("""COMPUTED_VALUE"""),6088315.0)</f>
        <v>6088315</v>
      </c>
    </row>
    <row r="2042">
      <c r="A2042" s="2">
        <f>IFERROR(__xludf.DUMMYFUNCTION("""COMPUTED_VALUE"""),39511.645833333336)</f>
        <v>39511.64583</v>
      </c>
      <c r="B2042" s="1">
        <f>IFERROR(__xludf.DUMMYFUNCTION("""COMPUTED_VALUE"""),228.1)</f>
        <v>228.1</v>
      </c>
      <c r="C2042" s="1">
        <f>IFERROR(__xludf.DUMMYFUNCTION("""COMPUTED_VALUE"""),235.0)</f>
        <v>235</v>
      </c>
      <c r="D2042" s="1">
        <f>IFERROR(__xludf.DUMMYFUNCTION("""COMPUTED_VALUE"""),225.15)</f>
        <v>225.15</v>
      </c>
      <c r="E2042" s="1">
        <f>IFERROR(__xludf.DUMMYFUNCTION("""COMPUTED_VALUE"""),229.0)</f>
        <v>229</v>
      </c>
      <c r="F2042" s="1">
        <f>IFERROR(__xludf.DUMMYFUNCTION("""COMPUTED_VALUE"""),3371801.0)</f>
        <v>3371801</v>
      </c>
    </row>
    <row r="2043">
      <c r="A2043" s="2">
        <f>IFERROR(__xludf.DUMMYFUNCTION("""COMPUTED_VALUE"""),39512.645833333336)</f>
        <v>39512.64583</v>
      </c>
      <c r="B2043" s="1">
        <f>IFERROR(__xludf.DUMMYFUNCTION("""COMPUTED_VALUE"""),227.75)</f>
        <v>227.75</v>
      </c>
      <c r="C2043" s="1">
        <f>IFERROR(__xludf.DUMMYFUNCTION("""COMPUTED_VALUE"""),234.0)</f>
        <v>234</v>
      </c>
      <c r="D2043" s="1">
        <f>IFERROR(__xludf.DUMMYFUNCTION("""COMPUTED_VALUE"""),221.1)</f>
        <v>221.1</v>
      </c>
      <c r="E2043" s="1">
        <f>IFERROR(__xludf.DUMMYFUNCTION("""COMPUTED_VALUE"""),225.7)</f>
        <v>225.7</v>
      </c>
      <c r="F2043" s="1">
        <f>IFERROR(__xludf.DUMMYFUNCTION("""COMPUTED_VALUE"""),2007136.0)</f>
        <v>2007136</v>
      </c>
    </row>
    <row r="2044">
      <c r="A2044" s="2">
        <f>IFERROR(__xludf.DUMMYFUNCTION("""COMPUTED_VALUE"""),39514.645833333336)</f>
        <v>39514.64583</v>
      </c>
      <c r="B2044" s="1">
        <f>IFERROR(__xludf.DUMMYFUNCTION("""COMPUTED_VALUE"""),221.6)</f>
        <v>221.6</v>
      </c>
      <c r="C2044" s="1">
        <f>IFERROR(__xludf.DUMMYFUNCTION("""COMPUTED_VALUE"""),229.9)</f>
        <v>229.9</v>
      </c>
      <c r="D2044" s="1">
        <f>IFERROR(__xludf.DUMMYFUNCTION("""COMPUTED_VALUE"""),219.0)</f>
        <v>219</v>
      </c>
      <c r="E2044" s="1">
        <f>IFERROR(__xludf.DUMMYFUNCTION("""COMPUTED_VALUE"""),225.8)</f>
        <v>225.8</v>
      </c>
      <c r="F2044" s="1">
        <f>IFERROR(__xludf.DUMMYFUNCTION("""COMPUTED_VALUE"""),4748053.0)</f>
        <v>4748053</v>
      </c>
    </row>
    <row r="2045">
      <c r="A2045" s="2">
        <f>IFERROR(__xludf.DUMMYFUNCTION("""COMPUTED_VALUE"""),39517.645833333336)</f>
        <v>39517.64583</v>
      </c>
      <c r="B2045" s="1">
        <f>IFERROR(__xludf.DUMMYFUNCTION("""COMPUTED_VALUE"""),224.0)</f>
        <v>224</v>
      </c>
      <c r="C2045" s="1">
        <f>IFERROR(__xludf.DUMMYFUNCTION("""COMPUTED_VALUE"""),229.0)</f>
        <v>229</v>
      </c>
      <c r="D2045" s="1">
        <f>IFERROR(__xludf.DUMMYFUNCTION("""COMPUTED_VALUE"""),222.35)</f>
        <v>222.35</v>
      </c>
      <c r="E2045" s="1">
        <f>IFERROR(__xludf.DUMMYFUNCTION("""COMPUTED_VALUE"""),223.8)</f>
        <v>223.8</v>
      </c>
      <c r="F2045" s="1">
        <f>IFERROR(__xludf.DUMMYFUNCTION("""COMPUTED_VALUE"""),2976481.0)</f>
        <v>2976481</v>
      </c>
    </row>
    <row r="2046">
      <c r="A2046" s="2">
        <f>IFERROR(__xludf.DUMMYFUNCTION("""COMPUTED_VALUE"""),39518.645833333336)</f>
        <v>39518.64583</v>
      </c>
      <c r="B2046" s="1">
        <f>IFERROR(__xludf.DUMMYFUNCTION("""COMPUTED_VALUE"""),225.0)</f>
        <v>225</v>
      </c>
      <c r="C2046" s="1">
        <f>IFERROR(__xludf.DUMMYFUNCTION("""COMPUTED_VALUE"""),226.95)</f>
        <v>226.95</v>
      </c>
      <c r="D2046" s="1">
        <f>IFERROR(__xludf.DUMMYFUNCTION("""COMPUTED_VALUE"""),221.75)</f>
        <v>221.75</v>
      </c>
      <c r="E2046" s="1">
        <f>IFERROR(__xludf.DUMMYFUNCTION("""COMPUTED_VALUE"""),224.75)</f>
        <v>224.75</v>
      </c>
      <c r="F2046" s="1">
        <f>IFERROR(__xludf.DUMMYFUNCTION("""COMPUTED_VALUE"""),2906319.0)</f>
        <v>2906319</v>
      </c>
    </row>
    <row r="2047">
      <c r="A2047" s="2">
        <f>IFERROR(__xludf.DUMMYFUNCTION("""COMPUTED_VALUE"""),39519.645833333336)</f>
        <v>39519.64583</v>
      </c>
      <c r="B2047" s="1">
        <f>IFERROR(__xludf.DUMMYFUNCTION("""COMPUTED_VALUE"""),228.75)</f>
        <v>228.75</v>
      </c>
      <c r="C2047" s="1">
        <f>IFERROR(__xludf.DUMMYFUNCTION("""COMPUTED_VALUE"""),228.75)</f>
        <v>228.75</v>
      </c>
      <c r="D2047" s="1">
        <f>IFERROR(__xludf.DUMMYFUNCTION("""COMPUTED_VALUE"""),219.35)</f>
        <v>219.35</v>
      </c>
      <c r="E2047" s="1">
        <f>IFERROR(__xludf.DUMMYFUNCTION("""COMPUTED_VALUE"""),222.25)</f>
        <v>222.25</v>
      </c>
      <c r="F2047" s="1">
        <f>IFERROR(__xludf.DUMMYFUNCTION("""COMPUTED_VALUE"""),1755694.0)</f>
        <v>1755694</v>
      </c>
    </row>
    <row r="2048">
      <c r="A2048" s="2">
        <f>IFERROR(__xludf.DUMMYFUNCTION("""COMPUTED_VALUE"""),39520.645833333336)</f>
        <v>39520.64583</v>
      </c>
      <c r="B2048" s="1">
        <f>IFERROR(__xludf.DUMMYFUNCTION("""COMPUTED_VALUE"""),219.25)</f>
        <v>219.25</v>
      </c>
      <c r="C2048" s="1">
        <f>IFERROR(__xludf.DUMMYFUNCTION("""COMPUTED_VALUE"""),224.85)</f>
        <v>224.85</v>
      </c>
      <c r="D2048" s="1">
        <f>IFERROR(__xludf.DUMMYFUNCTION("""COMPUTED_VALUE"""),215.0)</f>
        <v>215</v>
      </c>
      <c r="E2048" s="1">
        <f>IFERROR(__xludf.DUMMYFUNCTION("""COMPUTED_VALUE"""),221.95)</f>
        <v>221.95</v>
      </c>
      <c r="F2048" s="1">
        <f>IFERROR(__xludf.DUMMYFUNCTION("""COMPUTED_VALUE"""),1778611.0)</f>
        <v>1778611</v>
      </c>
    </row>
    <row r="2049">
      <c r="A2049" s="2">
        <f>IFERROR(__xludf.DUMMYFUNCTION("""COMPUTED_VALUE"""),39521.645833333336)</f>
        <v>39521.64583</v>
      </c>
      <c r="B2049" s="1">
        <f>IFERROR(__xludf.DUMMYFUNCTION("""COMPUTED_VALUE"""),222.0)</f>
        <v>222</v>
      </c>
      <c r="C2049" s="1">
        <f>IFERROR(__xludf.DUMMYFUNCTION("""COMPUTED_VALUE"""),227.45)</f>
        <v>227.45</v>
      </c>
      <c r="D2049" s="1">
        <f>IFERROR(__xludf.DUMMYFUNCTION("""COMPUTED_VALUE"""),220.0)</f>
        <v>220</v>
      </c>
      <c r="E2049" s="1">
        <f>IFERROR(__xludf.DUMMYFUNCTION("""COMPUTED_VALUE"""),226.25)</f>
        <v>226.25</v>
      </c>
      <c r="F2049" s="1">
        <f>IFERROR(__xludf.DUMMYFUNCTION("""COMPUTED_VALUE"""),2010015.0)</f>
        <v>2010015</v>
      </c>
    </row>
    <row r="2050">
      <c r="A2050" s="2">
        <f>IFERROR(__xludf.DUMMYFUNCTION("""COMPUTED_VALUE"""),39524.645833333336)</f>
        <v>39524.64583</v>
      </c>
      <c r="B2050" s="1">
        <f>IFERROR(__xludf.DUMMYFUNCTION("""COMPUTED_VALUE"""),221.1)</f>
        <v>221.1</v>
      </c>
      <c r="C2050" s="1">
        <f>IFERROR(__xludf.DUMMYFUNCTION("""COMPUTED_VALUE"""),228.9)</f>
        <v>228.9</v>
      </c>
      <c r="D2050" s="1">
        <f>IFERROR(__xludf.DUMMYFUNCTION("""COMPUTED_VALUE"""),219.05)</f>
        <v>219.05</v>
      </c>
      <c r="E2050" s="1">
        <f>IFERROR(__xludf.DUMMYFUNCTION("""COMPUTED_VALUE"""),222.8)</f>
        <v>222.8</v>
      </c>
      <c r="F2050" s="1">
        <f>IFERROR(__xludf.DUMMYFUNCTION("""COMPUTED_VALUE"""),2488327.0)</f>
        <v>2488327</v>
      </c>
    </row>
    <row r="2051">
      <c r="A2051" s="2">
        <f>IFERROR(__xludf.DUMMYFUNCTION("""COMPUTED_VALUE"""),39525.645833333336)</f>
        <v>39525.64583</v>
      </c>
      <c r="B2051" s="1">
        <f>IFERROR(__xludf.DUMMYFUNCTION("""COMPUTED_VALUE"""),222.7)</f>
        <v>222.7</v>
      </c>
      <c r="C2051" s="1">
        <f>IFERROR(__xludf.DUMMYFUNCTION("""COMPUTED_VALUE"""),236.55)</f>
        <v>236.55</v>
      </c>
      <c r="D2051" s="1">
        <f>IFERROR(__xludf.DUMMYFUNCTION("""COMPUTED_VALUE"""),219.25)</f>
        <v>219.25</v>
      </c>
      <c r="E2051" s="1">
        <f>IFERROR(__xludf.DUMMYFUNCTION("""COMPUTED_VALUE"""),231.55)</f>
        <v>231.55</v>
      </c>
      <c r="F2051" s="1">
        <f>IFERROR(__xludf.DUMMYFUNCTION("""COMPUTED_VALUE"""),4510586.0)</f>
        <v>4510586</v>
      </c>
    </row>
    <row r="2052">
      <c r="A2052" s="2">
        <f>IFERROR(__xludf.DUMMYFUNCTION("""COMPUTED_VALUE"""),39526.645833333336)</f>
        <v>39526.64583</v>
      </c>
      <c r="B2052" s="1">
        <f>IFERROR(__xludf.DUMMYFUNCTION("""COMPUTED_VALUE"""),235.1)</f>
        <v>235.1</v>
      </c>
      <c r="C2052" s="1">
        <f>IFERROR(__xludf.DUMMYFUNCTION("""COMPUTED_VALUE"""),241.15)</f>
        <v>241.15</v>
      </c>
      <c r="D2052" s="1">
        <f>IFERROR(__xludf.DUMMYFUNCTION("""COMPUTED_VALUE"""),224.0)</f>
        <v>224</v>
      </c>
      <c r="E2052" s="1">
        <f>IFERROR(__xludf.DUMMYFUNCTION("""COMPUTED_VALUE"""),225.6)</f>
        <v>225.6</v>
      </c>
      <c r="F2052" s="1">
        <f>IFERROR(__xludf.DUMMYFUNCTION("""COMPUTED_VALUE"""),5678406.0)</f>
        <v>5678406</v>
      </c>
    </row>
    <row r="2053">
      <c r="A2053" s="2">
        <f>IFERROR(__xludf.DUMMYFUNCTION("""COMPUTED_VALUE"""),39531.645833333336)</f>
        <v>39531.64583</v>
      </c>
      <c r="B2053" s="1">
        <f>IFERROR(__xludf.DUMMYFUNCTION("""COMPUTED_VALUE"""),227.5)</f>
        <v>227.5</v>
      </c>
      <c r="C2053" s="1">
        <f>IFERROR(__xludf.DUMMYFUNCTION("""COMPUTED_VALUE"""),236.6)</f>
        <v>236.6</v>
      </c>
      <c r="D2053" s="1">
        <f>IFERROR(__xludf.DUMMYFUNCTION("""COMPUTED_VALUE"""),226.25)</f>
        <v>226.25</v>
      </c>
      <c r="E2053" s="1">
        <f>IFERROR(__xludf.DUMMYFUNCTION("""COMPUTED_VALUE"""),234.85)</f>
        <v>234.85</v>
      </c>
      <c r="F2053" s="1">
        <f>IFERROR(__xludf.DUMMYFUNCTION("""COMPUTED_VALUE"""),2605586.0)</f>
        <v>2605586</v>
      </c>
    </row>
    <row r="2054">
      <c r="A2054" s="2">
        <f>IFERROR(__xludf.DUMMYFUNCTION("""COMPUTED_VALUE"""),39532.645833333336)</f>
        <v>39532.64583</v>
      </c>
      <c r="B2054" s="1">
        <f>IFERROR(__xludf.DUMMYFUNCTION("""COMPUTED_VALUE"""),237.25)</f>
        <v>237.25</v>
      </c>
      <c r="C2054" s="1">
        <f>IFERROR(__xludf.DUMMYFUNCTION("""COMPUTED_VALUE"""),247.85)</f>
        <v>247.85</v>
      </c>
      <c r="D2054" s="1">
        <f>IFERROR(__xludf.DUMMYFUNCTION("""COMPUTED_VALUE"""),236.45)</f>
        <v>236.45</v>
      </c>
      <c r="E2054" s="1">
        <f>IFERROR(__xludf.DUMMYFUNCTION("""COMPUTED_VALUE"""),245.05)</f>
        <v>245.05</v>
      </c>
      <c r="F2054" s="1">
        <f>IFERROR(__xludf.DUMMYFUNCTION("""COMPUTED_VALUE"""),3584387.0)</f>
        <v>3584387</v>
      </c>
    </row>
    <row r="2055">
      <c r="A2055" s="2">
        <f>IFERROR(__xludf.DUMMYFUNCTION("""COMPUTED_VALUE"""),39533.645833333336)</f>
        <v>39533.64583</v>
      </c>
      <c r="B2055" s="1">
        <f>IFERROR(__xludf.DUMMYFUNCTION("""COMPUTED_VALUE"""),240.0)</f>
        <v>240</v>
      </c>
      <c r="C2055" s="1">
        <f>IFERROR(__xludf.DUMMYFUNCTION("""COMPUTED_VALUE"""),247.9)</f>
        <v>247.9</v>
      </c>
      <c r="D2055" s="1">
        <f>IFERROR(__xludf.DUMMYFUNCTION("""COMPUTED_VALUE"""),231.35)</f>
        <v>231.35</v>
      </c>
      <c r="E2055" s="1">
        <f>IFERROR(__xludf.DUMMYFUNCTION("""COMPUTED_VALUE"""),235.1)</f>
        <v>235.1</v>
      </c>
      <c r="F2055" s="1">
        <f>IFERROR(__xludf.DUMMYFUNCTION("""COMPUTED_VALUE"""),3149194.0)</f>
        <v>3149194</v>
      </c>
    </row>
    <row r="2056">
      <c r="A2056" s="2">
        <f>IFERROR(__xludf.DUMMYFUNCTION("""COMPUTED_VALUE"""),39534.645833333336)</f>
        <v>39534.64583</v>
      </c>
      <c r="B2056" s="1">
        <f>IFERROR(__xludf.DUMMYFUNCTION("""COMPUTED_VALUE"""),239.75)</f>
        <v>239.75</v>
      </c>
      <c r="C2056" s="1">
        <f>IFERROR(__xludf.DUMMYFUNCTION("""COMPUTED_VALUE"""),247.95)</f>
        <v>247.95</v>
      </c>
      <c r="D2056" s="1">
        <f>IFERROR(__xludf.DUMMYFUNCTION("""COMPUTED_VALUE"""),232.4)</f>
        <v>232.4</v>
      </c>
      <c r="E2056" s="1">
        <f>IFERROR(__xludf.DUMMYFUNCTION("""COMPUTED_VALUE"""),244.7)</f>
        <v>244.7</v>
      </c>
      <c r="F2056" s="1">
        <f>IFERROR(__xludf.DUMMYFUNCTION("""COMPUTED_VALUE"""),4697315.0)</f>
        <v>4697315</v>
      </c>
    </row>
    <row r="2057">
      <c r="A2057" s="2">
        <f>IFERROR(__xludf.DUMMYFUNCTION("""COMPUTED_VALUE"""),39535.645833333336)</f>
        <v>39535.64583</v>
      </c>
      <c r="B2057" s="1">
        <f>IFERROR(__xludf.DUMMYFUNCTION("""COMPUTED_VALUE"""),246.5)</f>
        <v>246.5</v>
      </c>
      <c r="C2057" s="1">
        <f>IFERROR(__xludf.DUMMYFUNCTION("""COMPUTED_VALUE"""),246.9)</f>
        <v>246.9</v>
      </c>
      <c r="D2057" s="1">
        <f>IFERROR(__xludf.DUMMYFUNCTION("""COMPUTED_VALUE"""),236.1)</f>
        <v>236.1</v>
      </c>
      <c r="E2057" s="1">
        <f>IFERROR(__xludf.DUMMYFUNCTION("""COMPUTED_VALUE"""),242.2)</f>
        <v>242.2</v>
      </c>
      <c r="F2057" s="1">
        <f>IFERROR(__xludf.DUMMYFUNCTION("""COMPUTED_VALUE"""),2962011.0)</f>
        <v>2962011</v>
      </c>
    </row>
    <row r="2058">
      <c r="A2058" s="2">
        <f>IFERROR(__xludf.DUMMYFUNCTION("""COMPUTED_VALUE"""),39538.645833333336)</f>
        <v>39538.64583</v>
      </c>
      <c r="B2058" s="1">
        <f>IFERROR(__xludf.DUMMYFUNCTION("""COMPUTED_VALUE"""),238.0)</f>
        <v>238</v>
      </c>
      <c r="C2058" s="1">
        <f>IFERROR(__xludf.DUMMYFUNCTION("""COMPUTED_VALUE"""),244.0)</f>
        <v>244</v>
      </c>
      <c r="D2058" s="1">
        <f>IFERROR(__xludf.DUMMYFUNCTION("""COMPUTED_VALUE"""),225.1)</f>
        <v>225.1</v>
      </c>
      <c r="E2058" s="1">
        <f>IFERROR(__xludf.DUMMYFUNCTION("""COMPUTED_VALUE"""),228.8)</f>
        <v>228.8</v>
      </c>
      <c r="F2058" s="1">
        <f>IFERROR(__xludf.DUMMYFUNCTION("""COMPUTED_VALUE"""),3988602.0)</f>
        <v>3988602</v>
      </c>
    </row>
    <row r="2059">
      <c r="A2059" s="2">
        <f>IFERROR(__xludf.DUMMYFUNCTION("""COMPUTED_VALUE"""),39539.645833333336)</f>
        <v>39539.64583</v>
      </c>
      <c r="B2059" s="1">
        <f>IFERROR(__xludf.DUMMYFUNCTION("""COMPUTED_VALUE"""),232.0)</f>
        <v>232</v>
      </c>
      <c r="C2059" s="1">
        <f>IFERROR(__xludf.DUMMYFUNCTION("""COMPUTED_VALUE"""),240.25)</f>
        <v>240.25</v>
      </c>
      <c r="D2059" s="1">
        <f>IFERROR(__xludf.DUMMYFUNCTION("""COMPUTED_VALUE"""),228.5)</f>
        <v>228.5</v>
      </c>
      <c r="E2059" s="1">
        <f>IFERROR(__xludf.DUMMYFUNCTION("""COMPUTED_VALUE"""),238.4)</f>
        <v>238.4</v>
      </c>
      <c r="F2059" s="1">
        <f>IFERROR(__xludf.DUMMYFUNCTION("""COMPUTED_VALUE"""),1429064.0)</f>
        <v>1429064</v>
      </c>
    </row>
    <row r="2060">
      <c r="A2060" s="2">
        <f>IFERROR(__xludf.DUMMYFUNCTION("""COMPUTED_VALUE"""),39540.645833333336)</f>
        <v>39540.64583</v>
      </c>
      <c r="B2060" s="1">
        <f>IFERROR(__xludf.DUMMYFUNCTION("""COMPUTED_VALUE"""),242.0)</f>
        <v>242</v>
      </c>
      <c r="C2060" s="1">
        <f>IFERROR(__xludf.DUMMYFUNCTION("""COMPUTED_VALUE"""),246.2)</f>
        <v>246.2</v>
      </c>
      <c r="D2060" s="1">
        <f>IFERROR(__xludf.DUMMYFUNCTION("""COMPUTED_VALUE"""),235.0)</f>
        <v>235</v>
      </c>
      <c r="E2060" s="1">
        <f>IFERROR(__xludf.DUMMYFUNCTION("""COMPUTED_VALUE"""),235.55)</f>
        <v>235.55</v>
      </c>
      <c r="F2060" s="1">
        <f>IFERROR(__xludf.DUMMYFUNCTION("""COMPUTED_VALUE"""),1587718.0)</f>
        <v>1587718</v>
      </c>
    </row>
    <row r="2061">
      <c r="A2061" s="2">
        <f>IFERROR(__xludf.DUMMYFUNCTION("""COMPUTED_VALUE"""),39541.645833333336)</f>
        <v>39541.64583</v>
      </c>
      <c r="B2061" s="1">
        <f>IFERROR(__xludf.DUMMYFUNCTION("""COMPUTED_VALUE"""),237.0)</f>
        <v>237</v>
      </c>
      <c r="C2061" s="1">
        <f>IFERROR(__xludf.DUMMYFUNCTION("""COMPUTED_VALUE"""),244.55)</f>
        <v>244.55</v>
      </c>
      <c r="D2061" s="1">
        <f>IFERROR(__xludf.DUMMYFUNCTION("""COMPUTED_VALUE"""),235.15)</f>
        <v>235.15</v>
      </c>
      <c r="E2061" s="1">
        <f>IFERROR(__xludf.DUMMYFUNCTION("""COMPUTED_VALUE"""),243.2)</f>
        <v>243.2</v>
      </c>
      <c r="F2061" s="1">
        <f>IFERROR(__xludf.DUMMYFUNCTION("""COMPUTED_VALUE"""),1230212.0)</f>
        <v>1230212</v>
      </c>
    </row>
    <row r="2062">
      <c r="A2062" s="2">
        <f>IFERROR(__xludf.DUMMYFUNCTION("""COMPUTED_VALUE"""),39542.645833333336)</f>
        <v>39542.64583</v>
      </c>
      <c r="B2062" s="1">
        <f>IFERROR(__xludf.DUMMYFUNCTION("""COMPUTED_VALUE"""),243.2)</f>
        <v>243.2</v>
      </c>
      <c r="C2062" s="1">
        <f>IFERROR(__xludf.DUMMYFUNCTION("""COMPUTED_VALUE"""),248.9)</f>
        <v>248.9</v>
      </c>
      <c r="D2062" s="1">
        <f>IFERROR(__xludf.DUMMYFUNCTION("""COMPUTED_VALUE"""),237.6)</f>
        <v>237.6</v>
      </c>
      <c r="E2062" s="1">
        <f>IFERROR(__xludf.DUMMYFUNCTION("""COMPUTED_VALUE"""),241.85)</f>
        <v>241.85</v>
      </c>
      <c r="F2062" s="1">
        <f>IFERROR(__xludf.DUMMYFUNCTION("""COMPUTED_VALUE"""),2510654.0)</f>
        <v>2510654</v>
      </c>
    </row>
    <row r="2063">
      <c r="A2063" s="2">
        <f>IFERROR(__xludf.DUMMYFUNCTION("""COMPUTED_VALUE"""),39545.645833333336)</f>
        <v>39545.64583</v>
      </c>
      <c r="B2063" s="1">
        <f>IFERROR(__xludf.DUMMYFUNCTION("""COMPUTED_VALUE"""),240.9)</f>
        <v>240.9</v>
      </c>
      <c r="C2063" s="1">
        <f>IFERROR(__xludf.DUMMYFUNCTION("""COMPUTED_VALUE"""),255.85)</f>
        <v>255.85</v>
      </c>
      <c r="D2063" s="1">
        <f>IFERROR(__xludf.DUMMYFUNCTION("""COMPUTED_VALUE"""),240.0)</f>
        <v>240</v>
      </c>
      <c r="E2063" s="1">
        <f>IFERROR(__xludf.DUMMYFUNCTION("""COMPUTED_VALUE"""),253.2)</f>
        <v>253.2</v>
      </c>
      <c r="F2063" s="1">
        <f>IFERROR(__xludf.DUMMYFUNCTION("""COMPUTED_VALUE"""),3979336.0)</f>
        <v>3979336</v>
      </c>
    </row>
    <row r="2064">
      <c r="A2064" s="2">
        <f>IFERROR(__xludf.DUMMYFUNCTION("""COMPUTED_VALUE"""),39546.645833333336)</f>
        <v>39546.64583</v>
      </c>
      <c r="B2064" s="1">
        <f>IFERROR(__xludf.DUMMYFUNCTION("""COMPUTED_VALUE"""),254.3)</f>
        <v>254.3</v>
      </c>
      <c r="C2064" s="1">
        <f>IFERROR(__xludf.DUMMYFUNCTION("""COMPUTED_VALUE"""),254.3)</f>
        <v>254.3</v>
      </c>
      <c r="D2064" s="1">
        <f>IFERROR(__xludf.DUMMYFUNCTION("""COMPUTED_VALUE"""),244.25)</f>
        <v>244.25</v>
      </c>
      <c r="E2064" s="1">
        <f>IFERROR(__xludf.DUMMYFUNCTION("""COMPUTED_VALUE"""),248.85)</f>
        <v>248.85</v>
      </c>
      <c r="F2064" s="1">
        <f>IFERROR(__xludf.DUMMYFUNCTION("""COMPUTED_VALUE"""),2205559.0)</f>
        <v>2205559</v>
      </c>
    </row>
    <row r="2065">
      <c r="A2065" s="2">
        <f>IFERROR(__xludf.DUMMYFUNCTION("""COMPUTED_VALUE"""),39547.645833333336)</f>
        <v>39547.64583</v>
      </c>
      <c r="B2065" s="1">
        <f>IFERROR(__xludf.DUMMYFUNCTION("""COMPUTED_VALUE"""),248.8)</f>
        <v>248.8</v>
      </c>
      <c r="C2065" s="1">
        <f>IFERROR(__xludf.DUMMYFUNCTION("""COMPUTED_VALUE"""),248.8)</f>
        <v>248.8</v>
      </c>
      <c r="D2065" s="1">
        <f>IFERROR(__xludf.DUMMYFUNCTION("""COMPUTED_VALUE"""),239.35)</f>
        <v>239.35</v>
      </c>
      <c r="E2065" s="1">
        <f>IFERROR(__xludf.DUMMYFUNCTION("""COMPUTED_VALUE"""),244.8)</f>
        <v>244.8</v>
      </c>
      <c r="F2065" s="1">
        <f>IFERROR(__xludf.DUMMYFUNCTION("""COMPUTED_VALUE"""),1426254.0)</f>
        <v>1426254</v>
      </c>
    </row>
    <row r="2066">
      <c r="A2066" s="2">
        <f>IFERROR(__xludf.DUMMYFUNCTION("""COMPUTED_VALUE"""),39548.645833333336)</f>
        <v>39548.64583</v>
      </c>
      <c r="B2066" s="1">
        <f>IFERROR(__xludf.DUMMYFUNCTION("""COMPUTED_VALUE"""),241.0)</f>
        <v>241</v>
      </c>
      <c r="C2066" s="1">
        <f>IFERROR(__xludf.DUMMYFUNCTION("""COMPUTED_VALUE"""),246.0)</f>
        <v>246</v>
      </c>
      <c r="D2066" s="1">
        <f>IFERROR(__xludf.DUMMYFUNCTION("""COMPUTED_VALUE"""),238.9)</f>
        <v>238.9</v>
      </c>
      <c r="E2066" s="1">
        <f>IFERROR(__xludf.DUMMYFUNCTION("""COMPUTED_VALUE"""),240.2)</f>
        <v>240.2</v>
      </c>
      <c r="F2066" s="1">
        <f>IFERROR(__xludf.DUMMYFUNCTION("""COMPUTED_VALUE"""),1811377.0)</f>
        <v>1811377</v>
      </c>
    </row>
    <row r="2067">
      <c r="A2067" s="2">
        <f>IFERROR(__xludf.DUMMYFUNCTION("""COMPUTED_VALUE"""),39549.645833333336)</f>
        <v>39549.64583</v>
      </c>
      <c r="B2067" s="1">
        <f>IFERROR(__xludf.DUMMYFUNCTION("""COMPUTED_VALUE"""),240.1)</f>
        <v>240.1</v>
      </c>
      <c r="C2067" s="1">
        <f>IFERROR(__xludf.DUMMYFUNCTION("""COMPUTED_VALUE"""),243.1)</f>
        <v>243.1</v>
      </c>
      <c r="D2067" s="1">
        <f>IFERROR(__xludf.DUMMYFUNCTION("""COMPUTED_VALUE"""),235.0)</f>
        <v>235</v>
      </c>
      <c r="E2067" s="1">
        <f>IFERROR(__xludf.DUMMYFUNCTION("""COMPUTED_VALUE"""),235.5)</f>
        <v>235.5</v>
      </c>
      <c r="F2067" s="1">
        <f>IFERROR(__xludf.DUMMYFUNCTION("""COMPUTED_VALUE"""),2234389.0)</f>
        <v>2234389</v>
      </c>
    </row>
    <row r="2068">
      <c r="A2068" s="2">
        <f>IFERROR(__xludf.DUMMYFUNCTION("""COMPUTED_VALUE"""),39553.645833333336)</f>
        <v>39553.64583</v>
      </c>
      <c r="B2068" s="1">
        <f>IFERROR(__xludf.DUMMYFUNCTION("""COMPUTED_VALUE"""),235.5)</f>
        <v>235.5</v>
      </c>
      <c r="C2068" s="1">
        <f>IFERROR(__xludf.DUMMYFUNCTION("""COMPUTED_VALUE"""),248.0)</f>
        <v>248</v>
      </c>
      <c r="D2068" s="1">
        <f>IFERROR(__xludf.DUMMYFUNCTION("""COMPUTED_VALUE"""),233.15)</f>
        <v>233.15</v>
      </c>
      <c r="E2068" s="1">
        <f>IFERROR(__xludf.DUMMYFUNCTION("""COMPUTED_VALUE"""),245.9)</f>
        <v>245.9</v>
      </c>
      <c r="F2068" s="1">
        <f>IFERROR(__xludf.DUMMYFUNCTION("""COMPUTED_VALUE"""),2460769.0)</f>
        <v>2460769</v>
      </c>
    </row>
    <row r="2069">
      <c r="A2069" s="2">
        <f>IFERROR(__xludf.DUMMYFUNCTION("""COMPUTED_VALUE"""),39554.645833333336)</f>
        <v>39554.64583</v>
      </c>
      <c r="B2069" s="1">
        <f>IFERROR(__xludf.DUMMYFUNCTION("""COMPUTED_VALUE"""),246.5)</f>
        <v>246.5</v>
      </c>
      <c r="C2069" s="1">
        <f>IFERROR(__xludf.DUMMYFUNCTION("""COMPUTED_VALUE"""),247.55)</f>
        <v>247.55</v>
      </c>
      <c r="D2069" s="1">
        <f>IFERROR(__xludf.DUMMYFUNCTION("""COMPUTED_VALUE"""),240.15)</f>
        <v>240.15</v>
      </c>
      <c r="E2069" s="1">
        <f>IFERROR(__xludf.DUMMYFUNCTION("""COMPUTED_VALUE"""),241.0)</f>
        <v>241</v>
      </c>
      <c r="F2069" s="1">
        <f>IFERROR(__xludf.DUMMYFUNCTION("""COMPUTED_VALUE"""),1315071.0)</f>
        <v>1315071</v>
      </c>
    </row>
    <row r="2070">
      <c r="A2070" s="2">
        <f>IFERROR(__xludf.DUMMYFUNCTION("""COMPUTED_VALUE"""),39555.645833333336)</f>
        <v>39555.64583</v>
      </c>
      <c r="B2070" s="1">
        <f>IFERROR(__xludf.DUMMYFUNCTION("""COMPUTED_VALUE"""),242.0)</f>
        <v>242</v>
      </c>
      <c r="C2070" s="1">
        <f>IFERROR(__xludf.DUMMYFUNCTION("""COMPUTED_VALUE"""),244.0)</f>
        <v>244</v>
      </c>
      <c r="D2070" s="1">
        <f>IFERROR(__xludf.DUMMYFUNCTION("""COMPUTED_VALUE"""),231.0)</f>
        <v>231</v>
      </c>
      <c r="E2070" s="1">
        <f>IFERROR(__xludf.DUMMYFUNCTION("""COMPUTED_VALUE"""),231.9)</f>
        <v>231.9</v>
      </c>
      <c r="F2070" s="1">
        <f>IFERROR(__xludf.DUMMYFUNCTION("""COMPUTED_VALUE"""),1745170.0)</f>
        <v>1745170</v>
      </c>
    </row>
    <row r="2071">
      <c r="A2071" s="2">
        <f>IFERROR(__xludf.DUMMYFUNCTION("""COMPUTED_VALUE"""),39559.645833333336)</f>
        <v>39559.64583</v>
      </c>
      <c r="B2071" s="1">
        <f>IFERROR(__xludf.DUMMYFUNCTION("""COMPUTED_VALUE"""),236.0)</f>
        <v>236</v>
      </c>
      <c r="C2071" s="1">
        <f>IFERROR(__xludf.DUMMYFUNCTION("""COMPUTED_VALUE"""),237.9)</f>
        <v>237.9</v>
      </c>
      <c r="D2071" s="1">
        <f>IFERROR(__xludf.DUMMYFUNCTION("""COMPUTED_VALUE"""),232.35)</f>
        <v>232.35</v>
      </c>
      <c r="E2071" s="1">
        <f>IFERROR(__xludf.DUMMYFUNCTION("""COMPUTED_VALUE"""),236.05)</f>
        <v>236.05</v>
      </c>
      <c r="F2071" s="1">
        <f>IFERROR(__xludf.DUMMYFUNCTION("""COMPUTED_VALUE"""),1566919.0)</f>
        <v>1566919</v>
      </c>
    </row>
    <row r="2072">
      <c r="A2072" s="2">
        <f>IFERROR(__xludf.DUMMYFUNCTION("""COMPUTED_VALUE"""),39560.645833333336)</f>
        <v>39560.64583</v>
      </c>
      <c r="B2072" s="1">
        <f>IFERROR(__xludf.DUMMYFUNCTION("""COMPUTED_VALUE"""),231.25)</f>
        <v>231.25</v>
      </c>
      <c r="C2072" s="1">
        <f>IFERROR(__xludf.DUMMYFUNCTION("""COMPUTED_VALUE"""),240.5)</f>
        <v>240.5</v>
      </c>
      <c r="D2072" s="1">
        <f>IFERROR(__xludf.DUMMYFUNCTION("""COMPUTED_VALUE"""),231.25)</f>
        <v>231.25</v>
      </c>
      <c r="E2072" s="1">
        <f>IFERROR(__xludf.DUMMYFUNCTION("""COMPUTED_VALUE"""),239.2)</f>
        <v>239.2</v>
      </c>
      <c r="F2072" s="1">
        <f>IFERROR(__xludf.DUMMYFUNCTION("""COMPUTED_VALUE"""),1176797.0)</f>
        <v>1176797</v>
      </c>
    </row>
    <row r="2073">
      <c r="A2073" s="2">
        <f>IFERROR(__xludf.DUMMYFUNCTION("""COMPUTED_VALUE"""),39561.645833333336)</f>
        <v>39561.64583</v>
      </c>
      <c r="B2073" s="1">
        <f>IFERROR(__xludf.DUMMYFUNCTION("""COMPUTED_VALUE"""),239.95)</f>
        <v>239.95</v>
      </c>
      <c r="C2073" s="1">
        <f>IFERROR(__xludf.DUMMYFUNCTION("""COMPUTED_VALUE"""),247.0)</f>
        <v>247</v>
      </c>
      <c r="D2073" s="1">
        <f>IFERROR(__xludf.DUMMYFUNCTION("""COMPUTED_VALUE"""),236.15)</f>
        <v>236.15</v>
      </c>
      <c r="E2073" s="1">
        <f>IFERROR(__xludf.DUMMYFUNCTION("""COMPUTED_VALUE"""),243.95)</f>
        <v>243.95</v>
      </c>
      <c r="F2073" s="1">
        <f>IFERROR(__xludf.DUMMYFUNCTION("""COMPUTED_VALUE"""),1744887.0)</f>
        <v>1744887</v>
      </c>
    </row>
    <row r="2074">
      <c r="A2074" s="2">
        <f>IFERROR(__xludf.DUMMYFUNCTION("""COMPUTED_VALUE"""),39562.645833333336)</f>
        <v>39562.64583</v>
      </c>
      <c r="B2074" s="1">
        <f>IFERROR(__xludf.DUMMYFUNCTION("""COMPUTED_VALUE"""),243.95)</f>
        <v>243.95</v>
      </c>
      <c r="C2074" s="1">
        <f>IFERROR(__xludf.DUMMYFUNCTION("""COMPUTED_VALUE"""),252.0)</f>
        <v>252</v>
      </c>
      <c r="D2074" s="1">
        <f>IFERROR(__xludf.DUMMYFUNCTION("""COMPUTED_VALUE"""),240.0)</f>
        <v>240</v>
      </c>
      <c r="E2074" s="1">
        <f>IFERROR(__xludf.DUMMYFUNCTION("""COMPUTED_VALUE"""),249.0)</f>
        <v>249</v>
      </c>
      <c r="F2074" s="1">
        <f>IFERROR(__xludf.DUMMYFUNCTION("""COMPUTED_VALUE"""),5347556.0)</f>
        <v>5347556</v>
      </c>
    </row>
    <row r="2075">
      <c r="A2075" s="2">
        <f>IFERROR(__xludf.DUMMYFUNCTION("""COMPUTED_VALUE"""),39563.645833333336)</f>
        <v>39563.64583</v>
      </c>
      <c r="B2075" s="1">
        <f>IFERROR(__xludf.DUMMYFUNCTION("""COMPUTED_VALUE"""),247.75)</f>
        <v>247.75</v>
      </c>
      <c r="C2075" s="1">
        <f>IFERROR(__xludf.DUMMYFUNCTION("""COMPUTED_VALUE"""),252.0)</f>
        <v>252</v>
      </c>
      <c r="D2075" s="1">
        <f>IFERROR(__xludf.DUMMYFUNCTION("""COMPUTED_VALUE"""),241.1)</f>
        <v>241.1</v>
      </c>
      <c r="E2075" s="1">
        <f>IFERROR(__xludf.DUMMYFUNCTION("""COMPUTED_VALUE"""),250.3)</f>
        <v>250.3</v>
      </c>
      <c r="F2075" s="1">
        <f>IFERROR(__xludf.DUMMYFUNCTION("""COMPUTED_VALUE"""),1547099.0)</f>
        <v>1547099</v>
      </c>
    </row>
    <row r="2076">
      <c r="A2076" s="2">
        <f>IFERROR(__xludf.DUMMYFUNCTION("""COMPUTED_VALUE"""),39566.645833333336)</f>
        <v>39566.64583</v>
      </c>
      <c r="B2076" s="1">
        <f>IFERROR(__xludf.DUMMYFUNCTION("""COMPUTED_VALUE"""),251.15)</f>
        <v>251.15</v>
      </c>
      <c r="C2076" s="1">
        <f>IFERROR(__xludf.DUMMYFUNCTION("""COMPUTED_VALUE"""),254.9)</f>
        <v>254.9</v>
      </c>
      <c r="D2076" s="1">
        <f>IFERROR(__xludf.DUMMYFUNCTION("""COMPUTED_VALUE"""),246.2)</f>
        <v>246.2</v>
      </c>
      <c r="E2076" s="1">
        <f>IFERROR(__xludf.DUMMYFUNCTION("""COMPUTED_VALUE"""),247.25)</f>
        <v>247.25</v>
      </c>
      <c r="F2076" s="1">
        <f>IFERROR(__xludf.DUMMYFUNCTION("""COMPUTED_VALUE"""),775142.0)</f>
        <v>775142</v>
      </c>
    </row>
    <row r="2077">
      <c r="A2077" s="2">
        <f>IFERROR(__xludf.DUMMYFUNCTION("""COMPUTED_VALUE"""),39567.645833333336)</f>
        <v>39567.64583</v>
      </c>
      <c r="B2077" s="1">
        <f>IFERROR(__xludf.DUMMYFUNCTION("""COMPUTED_VALUE"""),248.1)</f>
        <v>248.1</v>
      </c>
      <c r="C2077" s="1">
        <f>IFERROR(__xludf.DUMMYFUNCTION("""COMPUTED_VALUE"""),254.4)</f>
        <v>254.4</v>
      </c>
      <c r="D2077" s="1">
        <f>IFERROR(__xludf.DUMMYFUNCTION("""COMPUTED_VALUE"""),243.1)</f>
        <v>243.1</v>
      </c>
      <c r="E2077" s="1">
        <f>IFERROR(__xludf.DUMMYFUNCTION("""COMPUTED_VALUE"""),251.8)</f>
        <v>251.8</v>
      </c>
      <c r="F2077" s="1">
        <f>IFERROR(__xludf.DUMMYFUNCTION("""COMPUTED_VALUE"""),2450959.0)</f>
        <v>2450959</v>
      </c>
    </row>
    <row r="2078">
      <c r="A2078" s="2">
        <f>IFERROR(__xludf.DUMMYFUNCTION("""COMPUTED_VALUE"""),39568.645833333336)</f>
        <v>39568.64583</v>
      </c>
      <c r="B2078" s="1">
        <f>IFERROR(__xludf.DUMMYFUNCTION("""COMPUTED_VALUE"""),254.35)</f>
        <v>254.35</v>
      </c>
      <c r="C2078" s="1">
        <f>IFERROR(__xludf.DUMMYFUNCTION("""COMPUTED_VALUE"""),254.35)</f>
        <v>254.35</v>
      </c>
      <c r="D2078" s="1">
        <f>IFERROR(__xludf.DUMMYFUNCTION("""COMPUTED_VALUE"""),247.5)</f>
        <v>247.5</v>
      </c>
      <c r="E2078" s="1">
        <f>IFERROR(__xludf.DUMMYFUNCTION("""COMPUTED_VALUE"""),250.25)</f>
        <v>250.25</v>
      </c>
      <c r="F2078" s="1">
        <f>IFERROR(__xludf.DUMMYFUNCTION("""COMPUTED_VALUE"""),2105273.0)</f>
        <v>2105273</v>
      </c>
    </row>
    <row r="2079">
      <c r="A2079" s="2">
        <f>IFERROR(__xludf.DUMMYFUNCTION("""COMPUTED_VALUE"""),39570.645833333336)</f>
        <v>39570.64583</v>
      </c>
      <c r="B2079" s="1">
        <f>IFERROR(__xludf.DUMMYFUNCTION("""COMPUTED_VALUE"""),252.0)</f>
        <v>252</v>
      </c>
      <c r="C2079" s="1">
        <f>IFERROR(__xludf.DUMMYFUNCTION("""COMPUTED_VALUE"""),252.0)</f>
        <v>252</v>
      </c>
      <c r="D2079" s="1">
        <f>IFERROR(__xludf.DUMMYFUNCTION("""COMPUTED_VALUE"""),248.75)</f>
        <v>248.75</v>
      </c>
      <c r="E2079" s="1">
        <f>IFERROR(__xludf.DUMMYFUNCTION("""COMPUTED_VALUE"""),250.45)</f>
        <v>250.45</v>
      </c>
      <c r="F2079" s="1">
        <f>IFERROR(__xludf.DUMMYFUNCTION("""COMPUTED_VALUE"""),1034154.0)</f>
        <v>1034154</v>
      </c>
    </row>
    <row r="2080">
      <c r="A2080" s="2">
        <f>IFERROR(__xludf.DUMMYFUNCTION("""COMPUTED_VALUE"""),39573.645833333336)</f>
        <v>39573.64583</v>
      </c>
      <c r="B2080" s="1">
        <f>IFERROR(__xludf.DUMMYFUNCTION("""COMPUTED_VALUE"""),250.95)</f>
        <v>250.95</v>
      </c>
      <c r="C2080" s="1">
        <f>IFERROR(__xludf.DUMMYFUNCTION("""COMPUTED_VALUE"""),250.95)</f>
        <v>250.95</v>
      </c>
      <c r="D2080" s="1">
        <f>IFERROR(__xludf.DUMMYFUNCTION("""COMPUTED_VALUE"""),247.05)</f>
        <v>247.05</v>
      </c>
      <c r="E2080" s="1">
        <f>IFERROR(__xludf.DUMMYFUNCTION("""COMPUTED_VALUE"""),248.2)</f>
        <v>248.2</v>
      </c>
      <c r="F2080" s="1">
        <f>IFERROR(__xludf.DUMMYFUNCTION("""COMPUTED_VALUE"""),1084685.0)</f>
        <v>1084685</v>
      </c>
    </row>
    <row r="2081">
      <c r="A2081" s="2">
        <f>IFERROR(__xludf.DUMMYFUNCTION("""COMPUTED_VALUE"""),39574.645833333336)</f>
        <v>39574.64583</v>
      </c>
      <c r="B2081" s="1">
        <f>IFERROR(__xludf.DUMMYFUNCTION("""COMPUTED_VALUE"""),248.1)</f>
        <v>248.1</v>
      </c>
      <c r="C2081" s="1">
        <f>IFERROR(__xludf.DUMMYFUNCTION("""COMPUTED_VALUE"""),254.0)</f>
        <v>254</v>
      </c>
      <c r="D2081" s="1">
        <f>IFERROR(__xludf.DUMMYFUNCTION("""COMPUTED_VALUE"""),246.4)</f>
        <v>246.4</v>
      </c>
      <c r="E2081" s="1">
        <f>IFERROR(__xludf.DUMMYFUNCTION("""COMPUTED_VALUE"""),248.55)</f>
        <v>248.55</v>
      </c>
      <c r="F2081" s="1">
        <f>IFERROR(__xludf.DUMMYFUNCTION("""COMPUTED_VALUE"""),3654731.0)</f>
        <v>3654731</v>
      </c>
    </row>
    <row r="2082">
      <c r="A2082" s="2">
        <f>IFERROR(__xludf.DUMMYFUNCTION("""COMPUTED_VALUE"""),39575.645833333336)</f>
        <v>39575.64583</v>
      </c>
      <c r="B2082" s="1">
        <f>IFERROR(__xludf.DUMMYFUNCTION("""COMPUTED_VALUE"""),248.0)</f>
        <v>248</v>
      </c>
      <c r="C2082" s="1">
        <f>IFERROR(__xludf.DUMMYFUNCTION("""COMPUTED_VALUE"""),254.7)</f>
        <v>254.7</v>
      </c>
      <c r="D2082" s="1">
        <f>IFERROR(__xludf.DUMMYFUNCTION("""COMPUTED_VALUE"""),246.3)</f>
        <v>246.3</v>
      </c>
      <c r="E2082" s="1">
        <f>IFERROR(__xludf.DUMMYFUNCTION("""COMPUTED_VALUE"""),252.0)</f>
        <v>252</v>
      </c>
      <c r="F2082" s="1">
        <f>IFERROR(__xludf.DUMMYFUNCTION("""COMPUTED_VALUE"""),1388223.0)</f>
        <v>1388223</v>
      </c>
    </row>
    <row r="2083">
      <c r="A2083" s="2">
        <f>IFERROR(__xludf.DUMMYFUNCTION("""COMPUTED_VALUE"""),39576.645833333336)</f>
        <v>39576.64583</v>
      </c>
      <c r="B2083" s="1">
        <f>IFERROR(__xludf.DUMMYFUNCTION("""COMPUTED_VALUE"""),250.9)</f>
        <v>250.9</v>
      </c>
      <c r="C2083" s="1">
        <f>IFERROR(__xludf.DUMMYFUNCTION("""COMPUTED_VALUE"""),253.9)</f>
        <v>253.9</v>
      </c>
      <c r="D2083" s="1">
        <f>IFERROR(__xludf.DUMMYFUNCTION("""COMPUTED_VALUE"""),248.55)</f>
        <v>248.55</v>
      </c>
      <c r="E2083" s="1">
        <f>IFERROR(__xludf.DUMMYFUNCTION("""COMPUTED_VALUE"""),250.8)</f>
        <v>250.8</v>
      </c>
      <c r="F2083" s="1">
        <f>IFERROR(__xludf.DUMMYFUNCTION("""COMPUTED_VALUE"""),1151389.0)</f>
        <v>1151389</v>
      </c>
    </row>
    <row r="2084">
      <c r="A2084" s="2">
        <f>IFERROR(__xludf.DUMMYFUNCTION("""COMPUTED_VALUE"""),39577.645833333336)</f>
        <v>39577.64583</v>
      </c>
      <c r="B2084" s="1">
        <f>IFERROR(__xludf.DUMMYFUNCTION("""COMPUTED_VALUE"""),248.1)</f>
        <v>248.1</v>
      </c>
      <c r="C2084" s="1">
        <f>IFERROR(__xludf.DUMMYFUNCTION("""COMPUTED_VALUE"""),253.25)</f>
        <v>253.25</v>
      </c>
      <c r="D2084" s="1">
        <f>IFERROR(__xludf.DUMMYFUNCTION("""COMPUTED_VALUE"""),247.6)</f>
        <v>247.6</v>
      </c>
      <c r="E2084" s="1">
        <f>IFERROR(__xludf.DUMMYFUNCTION("""COMPUTED_VALUE"""),251.95)</f>
        <v>251.95</v>
      </c>
      <c r="F2084" s="1">
        <f>IFERROR(__xludf.DUMMYFUNCTION("""COMPUTED_VALUE"""),1175617.0)</f>
        <v>1175617</v>
      </c>
    </row>
    <row r="2085">
      <c r="A2085" s="2">
        <f>IFERROR(__xludf.DUMMYFUNCTION("""COMPUTED_VALUE"""),39580.645833333336)</f>
        <v>39580.64583</v>
      </c>
      <c r="B2085" s="1">
        <f>IFERROR(__xludf.DUMMYFUNCTION("""COMPUTED_VALUE"""),250.0)</f>
        <v>250</v>
      </c>
      <c r="C2085" s="1">
        <f>IFERROR(__xludf.DUMMYFUNCTION("""COMPUTED_VALUE"""),252.3)</f>
        <v>252.3</v>
      </c>
      <c r="D2085" s="1">
        <f>IFERROR(__xludf.DUMMYFUNCTION("""COMPUTED_VALUE"""),246.15)</f>
        <v>246.15</v>
      </c>
      <c r="E2085" s="1">
        <f>IFERROR(__xludf.DUMMYFUNCTION("""COMPUTED_VALUE"""),247.05)</f>
        <v>247.05</v>
      </c>
      <c r="F2085" s="1">
        <f>IFERROR(__xludf.DUMMYFUNCTION("""COMPUTED_VALUE"""),1690328.0)</f>
        <v>1690328</v>
      </c>
    </row>
    <row r="2086">
      <c r="A2086" s="2">
        <f>IFERROR(__xludf.DUMMYFUNCTION("""COMPUTED_VALUE"""),39581.645833333336)</f>
        <v>39581.64583</v>
      </c>
      <c r="B2086" s="1">
        <f>IFERROR(__xludf.DUMMYFUNCTION("""COMPUTED_VALUE"""),248.0)</f>
        <v>248</v>
      </c>
      <c r="C2086" s="1">
        <f>IFERROR(__xludf.DUMMYFUNCTION("""COMPUTED_VALUE"""),249.4)</f>
        <v>249.4</v>
      </c>
      <c r="D2086" s="1">
        <f>IFERROR(__xludf.DUMMYFUNCTION("""COMPUTED_VALUE"""),244.7)</f>
        <v>244.7</v>
      </c>
      <c r="E2086" s="1">
        <f>IFERROR(__xludf.DUMMYFUNCTION("""COMPUTED_VALUE"""),246.05)</f>
        <v>246.05</v>
      </c>
      <c r="F2086" s="1">
        <f>IFERROR(__xludf.DUMMYFUNCTION("""COMPUTED_VALUE"""),2443714.0)</f>
        <v>2443714</v>
      </c>
    </row>
    <row r="2087">
      <c r="A2087" s="2">
        <f>IFERROR(__xludf.DUMMYFUNCTION("""COMPUTED_VALUE"""),39582.645833333336)</f>
        <v>39582.64583</v>
      </c>
      <c r="B2087" s="1">
        <f>IFERROR(__xludf.DUMMYFUNCTION("""COMPUTED_VALUE"""),247.5)</f>
        <v>247.5</v>
      </c>
      <c r="C2087" s="1">
        <f>IFERROR(__xludf.DUMMYFUNCTION("""COMPUTED_VALUE"""),247.5)</f>
        <v>247.5</v>
      </c>
      <c r="D2087" s="1">
        <f>IFERROR(__xludf.DUMMYFUNCTION("""COMPUTED_VALUE"""),240.45)</f>
        <v>240.45</v>
      </c>
      <c r="E2087" s="1">
        <f>IFERROR(__xludf.DUMMYFUNCTION("""COMPUTED_VALUE"""),242.9)</f>
        <v>242.9</v>
      </c>
      <c r="F2087" s="1">
        <f>IFERROR(__xludf.DUMMYFUNCTION("""COMPUTED_VALUE"""),1553093.0)</f>
        <v>1553093</v>
      </c>
    </row>
    <row r="2088">
      <c r="A2088" s="2">
        <f>IFERROR(__xludf.DUMMYFUNCTION("""COMPUTED_VALUE"""),39583.645833333336)</f>
        <v>39583.64583</v>
      </c>
      <c r="B2088" s="1">
        <f>IFERROR(__xludf.DUMMYFUNCTION("""COMPUTED_VALUE"""),242.9)</f>
        <v>242.9</v>
      </c>
      <c r="C2088" s="1">
        <f>IFERROR(__xludf.DUMMYFUNCTION("""COMPUTED_VALUE"""),245.7)</f>
        <v>245.7</v>
      </c>
      <c r="D2088" s="1">
        <f>IFERROR(__xludf.DUMMYFUNCTION("""COMPUTED_VALUE"""),235.75)</f>
        <v>235.75</v>
      </c>
      <c r="E2088" s="1">
        <f>IFERROR(__xludf.DUMMYFUNCTION("""COMPUTED_VALUE"""),237.75)</f>
        <v>237.75</v>
      </c>
      <c r="F2088" s="1">
        <f>IFERROR(__xludf.DUMMYFUNCTION("""COMPUTED_VALUE"""),2459009.0)</f>
        <v>2459009</v>
      </c>
    </row>
    <row r="2089">
      <c r="A2089" s="2">
        <f>IFERROR(__xludf.DUMMYFUNCTION("""COMPUTED_VALUE"""),39584.645833333336)</f>
        <v>39584.64583</v>
      </c>
      <c r="B2089" s="1">
        <f>IFERROR(__xludf.DUMMYFUNCTION("""COMPUTED_VALUE"""),241.2)</f>
        <v>241.2</v>
      </c>
      <c r="C2089" s="1">
        <f>IFERROR(__xludf.DUMMYFUNCTION("""COMPUTED_VALUE"""),244.9)</f>
        <v>244.9</v>
      </c>
      <c r="D2089" s="1">
        <f>IFERROR(__xludf.DUMMYFUNCTION("""COMPUTED_VALUE"""),238.7)</f>
        <v>238.7</v>
      </c>
      <c r="E2089" s="1">
        <f>IFERROR(__xludf.DUMMYFUNCTION("""COMPUTED_VALUE"""),243.95)</f>
        <v>243.95</v>
      </c>
      <c r="F2089" s="1">
        <f>IFERROR(__xludf.DUMMYFUNCTION("""COMPUTED_VALUE"""),1678610.0)</f>
        <v>1678610</v>
      </c>
    </row>
    <row r="2090">
      <c r="A2090" s="2">
        <f>IFERROR(__xludf.DUMMYFUNCTION("""COMPUTED_VALUE"""),39588.645833333336)</f>
        <v>39588.64583</v>
      </c>
      <c r="B2090" s="1">
        <f>IFERROR(__xludf.DUMMYFUNCTION("""COMPUTED_VALUE"""),244.0)</f>
        <v>244</v>
      </c>
      <c r="C2090" s="1">
        <f>IFERROR(__xludf.DUMMYFUNCTION("""COMPUTED_VALUE"""),244.0)</f>
        <v>244</v>
      </c>
      <c r="D2090" s="1">
        <f>IFERROR(__xludf.DUMMYFUNCTION("""COMPUTED_VALUE"""),241.0)</f>
        <v>241</v>
      </c>
      <c r="E2090" s="1">
        <f>IFERROR(__xludf.DUMMYFUNCTION("""COMPUTED_VALUE"""),241.35)</f>
        <v>241.35</v>
      </c>
      <c r="F2090" s="1">
        <f>IFERROR(__xludf.DUMMYFUNCTION("""COMPUTED_VALUE"""),1993299.0)</f>
        <v>1993299</v>
      </c>
    </row>
    <row r="2091">
      <c r="A2091" s="2">
        <f>IFERROR(__xludf.DUMMYFUNCTION("""COMPUTED_VALUE"""),39589.645833333336)</f>
        <v>39589.64583</v>
      </c>
      <c r="B2091" s="1">
        <f>IFERROR(__xludf.DUMMYFUNCTION("""COMPUTED_VALUE"""),241.0)</f>
        <v>241</v>
      </c>
      <c r="C2091" s="1">
        <f>IFERROR(__xludf.DUMMYFUNCTION("""COMPUTED_VALUE"""),241.9)</f>
        <v>241.9</v>
      </c>
      <c r="D2091" s="1">
        <f>IFERROR(__xludf.DUMMYFUNCTION("""COMPUTED_VALUE"""),234.05)</f>
        <v>234.05</v>
      </c>
      <c r="E2091" s="1">
        <f>IFERROR(__xludf.DUMMYFUNCTION("""COMPUTED_VALUE"""),235.7)</f>
        <v>235.7</v>
      </c>
      <c r="F2091" s="1">
        <f>IFERROR(__xludf.DUMMYFUNCTION("""COMPUTED_VALUE"""),6304106.0)</f>
        <v>6304106</v>
      </c>
    </row>
    <row r="2092">
      <c r="A2092" s="2">
        <f>IFERROR(__xludf.DUMMYFUNCTION("""COMPUTED_VALUE"""),39590.645833333336)</f>
        <v>39590.64583</v>
      </c>
      <c r="B2092" s="1">
        <f>IFERROR(__xludf.DUMMYFUNCTION("""COMPUTED_VALUE"""),235.0)</f>
        <v>235</v>
      </c>
      <c r="C2092" s="1">
        <f>IFERROR(__xludf.DUMMYFUNCTION("""COMPUTED_VALUE"""),236.7)</f>
        <v>236.7</v>
      </c>
      <c r="D2092" s="1">
        <f>IFERROR(__xludf.DUMMYFUNCTION("""COMPUTED_VALUE"""),231.5)</f>
        <v>231.5</v>
      </c>
      <c r="E2092" s="1">
        <f>IFERROR(__xludf.DUMMYFUNCTION("""COMPUTED_VALUE"""),234.7)</f>
        <v>234.7</v>
      </c>
      <c r="F2092" s="1">
        <f>IFERROR(__xludf.DUMMYFUNCTION("""COMPUTED_VALUE"""),1571106.0)</f>
        <v>1571106</v>
      </c>
    </row>
    <row r="2093">
      <c r="A2093" s="2">
        <f>IFERROR(__xludf.DUMMYFUNCTION("""COMPUTED_VALUE"""),39591.645833333336)</f>
        <v>39591.64583</v>
      </c>
      <c r="B2093" s="1">
        <f>IFERROR(__xludf.DUMMYFUNCTION("""COMPUTED_VALUE"""),234.4)</f>
        <v>234.4</v>
      </c>
      <c r="C2093" s="1">
        <f>IFERROR(__xludf.DUMMYFUNCTION("""COMPUTED_VALUE"""),237.0)</f>
        <v>237</v>
      </c>
      <c r="D2093" s="1">
        <f>IFERROR(__xludf.DUMMYFUNCTION("""COMPUTED_VALUE"""),233.15)</f>
        <v>233.15</v>
      </c>
      <c r="E2093" s="1">
        <f>IFERROR(__xludf.DUMMYFUNCTION("""COMPUTED_VALUE"""),235.2)</f>
        <v>235.2</v>
      </c>
      <c r="F2093" s="1">
        <f>IFERROR(__xludf.DUMMYFUNCTION("""COMPUTED_VALUE"""),551947.0)</f>
        <v>551947</v>
      </c>
    </row>
    <row r="2094">
      <c r="A2094" s="2">
        <f>IFERROR(__xludf.DUMMYFUNCTION("""COMPUTED_VALUE"""),39594.645833333336)</f>
        <v>39594.64583</v>
      </c>
      <c r="B2094" s="1">
        <f>IFERROR(__xludf.DUMMYFUNCTION("""COMPUTED_VALUE"""),235.0)</f>
        <v>235</v>
      </c>
      <c r="C2094" s="1">
        <f>IFERROR(__xludf.DUMMYFUNCTION("""COMPUTED_VALUE"""),239.8)</f>
        <v>239.8</v>
      </c>
      <c r="D2094" s="1">
        <f>IFERROR(__xludf.DUMMYFUNCTION("""COMPUTED_VALUE"""),228.9)</f>
        <v>228.9</v>
      </c>
      <c r="E2094" s="1">
        <f>IFERROR(__xludf.DUMMYFUNCTION("""COMPUTED_VALUE"""),231.25)</f>
        <v>231.25</v>
      </c>
      <c r="F2094" s="1">
        <f>IFERROR(__xludf.DUMMYFUNCTION("""COMPUTED_VALUE"""),1528296.0)</f>
        <v>1528296</v>
      </c>
    </row>
    <row r="2095">
      <c r="A2095" s="2">
        <f>IFERROR(__xludf.DUMMYFUNCTION("""COMPUTED_VALUE"""),39595.645833333336)</f>
        <v>39595.64583</v>
      </c>
      <c r="B2095" s="1">
        <f>IFERROR(__xludf.DUMMYFUNCTION("""COMPUTED_VALUE"""),231.9)</f>
        <v>231.9</v>
      </c>
      <c r="C2095" s="1">
        <f>IFERROR(__xludf.DUMMYFUNCTION("""COMPUTED_VALUE"""),233.4)</f>
        <v>233.4</v>
      </c>
      <c r="D2095" s="1">
        <f>IFERROR(__xludf.DUMMYFUNCTION("""COMPUTED_VALUE"""),225.5)</f>
        <v>225.5</v>
      </c>
      <c r="E2095" s="1">
        <f>IFERROR(__xludf.DUMMYFUNCTION("""COMPUTED_VALUE"""),232.35)</f>
        <v>232.35</v>
      </c>
      <c r="F2095" s="1">
        <f>IFERROR(__xludf.DUMMYFUNCTION("""COMPUTED_VALUE"""),2309354.0)</f>
        <v>2309354</v>
      </c>
    </row>
    <row r="2096">
      <c r="A2096" s="2">
        <f>IFERROR(__xludf.DUMMYFUNCTION("""COMPUTED_VALUE"""),39596.645833333336)</f>
        <v>39596.64583</v>
      </c>
      <c r="B2096" s="1">
        <f>IFERROR(__xludf.DUMMYFUNCTION("""COMPUTED_VALUE"""),233.0)</f>
        <v>233</v>
      </c>
      <c r="C2096" s="1">
        <f>IFERROR(__xludf.DUMMYFUNCTION("""COMPUTED_VALUE"""),241.6)</f>
        <v>241.6</v>
      </c>
      <c r="D2096" s="1">
        <f>IFERROR(__xludf.DUMMYFUNCTION("""COMPUTED_VALUE"""),231.15)</f>
        <v>231.15</v>
      </c>
      <c r="E2096" s="1">
        <f>IFERROR(__xludf.DUMMYFUNCTION("""COMPUTED_VALUE"""),238.35)</f>
        <v>238.35</v>
      </c>
      <c r="F2096" s="1">
        <f>IFERROR(__xludf.DUMMYFUNCTION("""COMPUTED_VALUE"""),3641074.0)</f>
        <v>3641074</v>
      </c>
    </row>
    <row r="2097">
      <c r="A2097" s="2">
        <f>IFERROR(__xludf.DUMMYFUNCTION("""COMPUTED_VALUE"""),39597.645833333336)</f>
        <v>39597.64583</v>
      </c>
      <c r="B2097" s="1">
        <f>IFERROR(__xludf.DUMMYFUNCTION("""COMPUTED_VALUE"""),239.0)</f>
        <v>239</v>
      </c>
      <c r="C2097" s="1">
        <f>IFERROR(__xludf.DUMMYFUNCTION("""COMPUTED_VALUE"""),241.95)</f>
        <v>241.95</v>
      </c>
      <c r="D2097" s="1">
        <f>IFERROR(__xludf.DUMMYFUNCTION("""COMPUTED_VALUE"""),233.35)</f>
        <v>233.35</v>
      </c>
      <c r="E2097" s="1">
        <f>IFERROR(__xludf.DUMMYFUNCTION("""COMPUTED_VALUE"""),236.85)</f>
        <v>236.85</v>
      </c>
      <c r="F2097" s="1">
        <f>IFERROR(__xludf.DUMMYFUNCTION("""COMPUTED_VALUE"""),5693523.0)</f>
        <v>5693523</v>
      </c>
    </row>
    <row r="2098">
      <c r="A2098" s="2">
        <f>IFERROR(__xludf.DUMMYFUNCTION("""COMPUTED_VALUE"""),39598.645833333336)</f>
        <v>39598.64583</v>
      </c>
      <c r="B2098" s="1">
        <f>IFERROR(__xludf.DUMMYFUNCTION("""COMPUTED_VALUE"""),238.95)</f>
        <v>238.95</v>
      </c>
      <c r="C2098" s="1">
        <f>IFERROR(__xludf.DUMMYFUNCTION("""COMPUTED_VALUE"""),241.0)</f>
        <v>241</v>
      </c>
      <c r="D2098" s="1">
        <f>IFERROR(__xludf.DUMMYFUNCTION("""COMPUTED_VALUE"""),235.35)</f>
        <v>235.35</v>
      </c>
      <c r="E2098" s="1">
        <f>IFERROR(__xludf.DUMMYFUNCTION("""COMPUTED_VALUE"""),237.1)</f>
        <v>237.1</v>
      </c>
      <c r="F2098" s="1">
        <f>IFERROR(__xludf.DUMMYFUNCTION("""COMPUTED_VALUE"""),2478165.0)</f>
        <v>2478165</v>
      </c>
    </row>
    <row r="2099">
      <c r="A2099" s="2">
        <f>IFERROR(__xludf.DUMMYFUNCTION("""COMPUTED_VALUE"""),39601.645833333336)</f>
        <v>39601.64583</v>
      </c>
      <c r="B2099" s="1">
        <f>IFERROR(__xludf.DUMMYFUNCTION("""COMPUTED_VALUE"""),238.0)</f>
        <v>238</v>
      </c>
      <c r="C2099" s="1">
        <f>IFERROR(__xludf.DUMMYFUNCTION("""COMPUTED_VALUE"""),238.0)</f>
        <v>238</v>
      </c>
      <c r="D2099" s="1">
        <f>IFERROR(__xludf.DUMMYFUNCTION("""COMPUTED_VALUE"""),231.5)</f>
        <v>231.5</v>
      </c>
      <c r="E2099" s="1">
        <f>IFERROR(__xludf.DUMMYFUNCTION("""COMPUTED_VALUE"""),234.95)</f>
        <v>234.95</v>
      </c>
      <c r="F2099" s="1">
        <f>IFERROR(__xludf.DUMMYFUNCTION("""COMPUTED_VALUE"""),3358733.0)</f>
        <v>3358733</v>
      </c>
    </row>
    <row r="2100">
      <c r="A2100" s="2">
        <f>IFERROR(__xludf.DUMMYFUNCTION("""COMPUTED_VALUE"""),39602.645833333336)</f>
        <v>39602.64583</v>
      </c>
      <c r="B2100" s="1">
        <f>IFERROR(__xludf.DUMMYFUNCTION("""COMPUTED_VALUE"""),234.5)</f>
        <v>234.5</v>
      </c>
      <c r="C2100" s="1">
        <f>IFERROR(__xludf.DUMMYFUNCTION("""COMPUTED_VALUE"""),236.5)</f>
        <v>236.5</v>
      </c>
      <c r="D2100" s="1">
        <f>IFERROR(__xludf.DUMMYFUNCTION("""COMPUTED_VALUE"""),230.1)</f>
        <v>230.1</v>
      </c>
      <c r="E2100" s="1">
        <f>IFERROR(__xludf.DUMMYFUNCTION("""COMPUTED_VALUE"""),235.3)</f>
        <v>235.3</v>
      </c>
      <c r="F2100" s="1">
        <f>IFERROR(__xludf.DUMMYFUNCTION("""COMPUTED_VALUE"""),1570167.0)</f>
        <v>1570167</v>
      </c>
    </row>
    <row r="2101">
      <c r="A2101" s="2">
        <f>IFERROR(__xludf.DUMMYFUNCTION("""COMPUTED_VALUE"""),39603.645833333336)</f>
        <v>39603.64583</v>
      </c>
      <c r="B2101" s="1">
        <f>IFERROR(__xludf.DUMMYFUNCTION("""COMPUTED_VALUE"""),234.75)</f>
        <v>234.75</v>
      </c>
      <c r="C2101" s="1">
        <f>IFERROR(__xludf.DUMMYFUNCTION("""COMPUTED_VALUE"""),234.85)</f>
        <v>234.85</v>
      </c>
      <c r="D2101" s="1">
        <f>IFERROR(__xludf.DUMMYFUNCTION("""COMPUTED_VALUE"""),229.75)</f>
        <v>229.75</v>
      </c>
      <c r="E2101" s="1">
        <f>IFERROR(__xludf.DUMMYFUNCTION("""COMPUTED_VALUE"""),230.3)</f>
        <v>230.3</v>
      </c>
      <c r="F2101" s="1">
        <f>IFERROR(__xludf.DUMMYFUNCTION("""COMPUTED_VALUE"""),1349187.0)</f>
        <v>1349187</v>
      </c>
    </row>
    <row r="2102">
      <c r="A2102" s="2">
        <f>IFERROR(__xludf.DUMMYFUNCTION("""COMPUTED_VALUE"""),39604.645833333336)</f>
        <v>39604.64583</v>
      </c>
      <c r="B2102" s="1">
        <f>IFERROR(__xludf.DUMMYFUNCTION("""COMPUTED_VALUE"""),231.9)</f>
        <v>231.9</v>
      </c>
      <c r="C2102" s="1">
        <f>IFERROR(__xludf.DUMMYFUNCTION("""COMPUTED_VALUE"""),239.45)</f>
        <v>239.45</v>
      </c>
      <c r="D2102" s="1">
        <f>IFERROR(__xludf.DUMMYFUNCTION("""COMPUTED_VALUE"""),228.0)</f>
        <v>228</v>
      </c>
      <c r="E2102" s="1">
        <f>IFERROR(__xludf.DUMMYFUNCTION("""COMPUTED_VALUE"""),237.85)</f>
        <v>237.85</v>
      </c>
      <c r="F2102" s="1">
        <f>IFERROR(__xludf.DUMMYFUNCTION("""COMPUTED_VALUE"""),2425687.0)</f>
        <v>2425687</v>
      </c>
    </row>
    <row r="2103">
      <c r="A2103" s="2">
        <f>IFERROR(__xludf.DUMMYFUNCTION("""COMPUTED_VALUE"""),39605.645833333336)</f>
        <v>39605.64583</v>
      </c>
      <c r="B2103" s="1">
        <f>IFERROR(__xludf.DUMMYFUNCTION("""COMPUTED_VALUE"""),239.9)</f>
        <v>239.9</v>
      </c>
      <c r="C2103" s="1">
        <f>IFERROR(__xludf.DUMMYFUNCTION("""COMPUTED_VALUE"""),240.0)</f>
        <v>240</v>
      </c>
      <c r="D2103" s="1">
        <f>IFERROR(__xludf.DUMMYFUNCTION("""COMPUTED_VALUE"""),234.1)</f>
        <v>234.1</v>
      </c>
      <c r="E2103" s="1">
        <f>IFERROR(__xludf.DUMMYFUNCTION("""COMPUTED_VALUE"""),237.25)</f>
        <v>237.25</v>
      </c>
      <c r="F2103" s="1">
        <f>IFERROR(__xludf.DUMMYFUNCTION("""COMPUTED_VALUE"""),1468635.0)</f>
        <v>1468635</v>
      </c>
    </row>
    <row r="2104">
      <c r="A2104" s="2">
        <f>IFERROR(__xludf.DUMMYFUNCTION("""COMPUTED_VALUE"""),39608.645833333336)</f>
        <v>39608.64583</v>
      </c>
      <c r="B2104" s="1">
        <f>IFERROR(__xludf.DUMMYFUNCTION("""COMPUTED_VALUE"""),233.0)</f>
        <v>233</v>
      </c>
      <c r="C2104" s="1">
        <f>IFERROR(__xludf.DUMMYFUNCTION("""COMPUTED_VALUE"""),236.2)</f>
        <v>236.2</v>
      </c>
      <c r="D2104" s="1">
        <f>IFERROR(__xludf.DUMMYFUNCTION("""COMPUTED_VALUE"""),229.5)</f>
        <v>229.5</v>
      </c>
      <c r="E2104" s="1">
        <f>IFERROR(__xludf.DUMMYFUNCTION("""COMPUTED_VALUE"""),231.75)</f>
        <v>231.75</v>
      </c>
      <c r="F2104" s="1">
        <f>IFERROR(__xludf.DUMMYFUNCTION("""COMPUTED_VALUE"""),1821838.0)</f>
        <v>1821838</v>
      </c>
    </row>
    <row r="2105">
      <c r="A2105" s="2">
        <f>IFERROR(__xludf.DUMMYFUNCTION("""COMPUTED_VALUE"""),39609.645833333336)</f>
        <v>39609.64583</v>
      </c>
      <c r="B2105" s="1">
        <f>IFERROR(__xludf.DUMMYFUNCTION("""COMPUTED_VALUE"""),230.5)</f>
        <v>230.5</v>
      </c>
      <c r="C2105" s="1">
        <f>IFERROR(__xludf.DUMMYFUNCTION("""COMPUTED_VALUE"""),234.9)</f>
        <v>234.9</v>
      </c>
      <c r="D2105" s="1">
        <f>IFERROR(__xludf.DUMMYFUNCTION("""COMPUTED_VALUE"""),227.5)</f>
        <v>227.5</v>
      </c>
      <c r="E2105" s="1">
        <f>IFERROR(__xludf.DUMMYFUNCTION("""COMPUTED_VALUE"""),234.35)</f>
        <v>234.35</v>
      </c>
      <c r="F2105" s="1">
        <f>IFERROR(__xludf.DUMMYFUNCTION("""COMPUTED_VALUE"""),1290752.0)</f>
        <v>1290752</v>
      </c>
    </row>
    <row r="2106">
      <c r="A2106" s="2">
        <f>IFERROR(__xludf.DUMMYFUNCTION("""COMPUTED_VALUE"""),39610.645833333336)</f>
        <v>39610.64583</v>
      </c>
      <c r="B2106" s="1">
        <f>IFERROR(__xludf.DUMMYFUNCTION("""COMPUTED_VALUE"""),234.9)</f>
        <v>234.9</v>
      </c>
      <c r="C2106" s="1">
        <f>IFERROR(__xludf.DUMMYFUNCTION("""COMPUTED_VALUE"""),234.9)</f>
        <v>234.9</v>
      </c>
      <c r="D2106" s="1">
        <f>IFERROR(__xludf.DUMMYFUNCTION("""COMPUTED_VALUE"""),229.6)</f>
        <v>229.6</v>
      </c>
      <c r="E2106" s="1">
        <f>IFERROR(__xludf.DUMMYFUNCTION("""COMPUTED_VALUE"""),233.0)</f>
        <v>233</v>
      </c>
      <c r="F2106" s="1">
        <f>IFERROR(__xludf.DUMMYFUNCTION("""COMPUTED_VALUE"""),1853153.0)</f>
        <v>1853153</v>
      </c>
    </row>
    <row r="2107">
      <c r="A2107" s="2">
        <f>IFERROR(__xludf.DUMMYFUNCTION("""COMPUTED_VALUE"""),39611.645833333336)</f>
        <v>39611.64583</v>
      </c>
      <c r="B2107" s="1">
        <f>IFERROR(__xludf.DUMMYFUNCTION("""COMPUTED_VALUE"""),230.4)</f>
        <v>230.4</v>
      </c>
      <c r="C2107" s="1">
        <f>IFERROR(__xludf.DUMMYFUNCTION("""COMPUTED_VALUE"""),233.7)</f>
        <v>233.7</v>
      </c>
      <c r="D2107" s="1">
        <f>IFERROR(__xludf.DUMMYFUNCTION("""COMPUTED_VALUE"""),228.25)</f>
        <v>228.25</v>
      </c>
      <c r="E2107" s="1">
        <f>IFERROR(__xludf.DUMMYFUNCTION("""COMPUTED_VALUE"""),232.1)</f>
        <v>232.1</v>
      </c>
      <c r="F2107" s="1">
        <f>IFERROR(__xludf.DUMMYFUNCTION("""COMPUTED_VALUE"""),2417443.0)</f>
        <v>2417443</v>
      </c>
    </row>
    <row r="2108">
      <c r="A2108" s="2">
        <f>IFERROR(__xludf.DUMMYFUNCTION("""COMPUTED_VALUE"""),39612.645833333336)</f>
        <v>39612.64583</v>
      </c>
      <c r="B2108" s="1">
        <f>IFERROR(__xludf.DUMMYFUNCTION("""COMPUTED_VALUE"""),232.2)</f>
        <v>232.2</v>
      </c>
      <c r="C2108" s="1">
        <f>IFERROR(__xludf.DUMMYFUNCTION("""COMPUTED_VALUE"""),232.2)</f>
        <v>232.2</v>
      </c>
      <c r="D2108" s="1">
        <f>IFERROR(__xludf.DUMMYFUNCTION("""COMPUTED_VALUE"""),225.0)</f>
        <v>225</v>
      </c>
      <c r="E2108" s="1">
        <f>IFERROR(__xludf.DUMMYFUNCTION("""COMPUTED_VALUE"""),226.75)</f>
        <v>226.75</v>
      </c>
      <c r="F2108" s="1">
        <f>IFERROR(__xludf.DUMMYFUNCTION("""COMPUTED_VALUE"""),2797782.0)</f>
        <v>2797782</v>
      </c>
    </row>
    <row r="2109">
      <c r="A2109" s="2">
        <f>IFERROR(__xludf.DUMMYFUNCTION("""COMPUTED_VALUE"""),39615.645833333336)</f>
        <v>39615.64583</v>
      </c>
      <c r="B2109" s="1">
        <f>IFERROR(__xludf.DUMMYFUNCTION("""COMPUTED_VALUE"""),228.2)</f>
        <v>228.2</v>
      </c>
      <c r="C2109" s="1">
        <f>IFERROR(__xludf.DUMMYFUNCTION("""COMPUTED_VALUE"""),231.8)</f>
        <v>231.8</v>
      </c>
      <c r="D2109" s="1">
        <f>IFERROR(__xludf.DUMMYFUNCTION("""COMPUTED_VALUE"""),227.0)</f>
        <v>227</v>
      </c>
      <c r="E2109" s="1">
        <f>IFERROR(__xludf.DUMMYFUNCTION("""COMPUTED_VALUE"""),231.15)</f>
        <v>231.15</v>
      </c>
      <c r="F2109" s="1">
        <f>IFERROR(__xludf.DUMMYFUNCTION("""COMPUTED_VALUE"""),2410725.0)</f>
        <v>2410725</v>
      </c>
    </row>
    <row r="2110">
      <c r="A2110" s="2">
        <f>IFERROR(__xludf.DUMMYFUNCTION("""COMPUTED_VALUE"""),39616.645833333336)</f>
        <v>39616.64583</v>
      </c>
      <c r="B2110" s="1">
        <f>IFERROR(__xludf.DUMMYFUNCTION("""COMPUTED_VALUE"""),232.9)</f>
        <v>232.9</v>
      </c>
      <c r="C2110" s="1">
        <f>IFERROR(__xludf.DUMMYFUNCTION("""COMPUTED_VALUE"""),237.9)</f>
        <v>237.9</v>
      </c>
      <c r="D2110" s="1">
        <f>IFERROR(__xludf.DUMMYFUNCTION("""COMPUTED_VALUE"""),230.35)</f>
        <v>230.35</v>
      </c>
      <c r="E2110" s="1">
        <f>IFERROR(__xludf.DUMMYFUNCTION("""COMPUTED_VALUE"""),236.35)</f>
        <v>236.35</v>
      </c>
      <c r="F2110" s="1">
        <f>IFERROR(__xludf.DUMMYFUNCTION("""COMPUTED_VALUE"""),899979.0)</f>
        <v>899979</v>
      </c>
    </row>
    <row r="2111">
      <c r="A2111" s="2">
        <f>IFERROR(__xludf.DUMMYFUNCTION("""COMPUTED_VALUE"""),39617.645833333336)</f>
        <v>39617.64583</v>
      </c>
      <c r="B2111" s="1">
        <f>IFERROR(__xludf.DUMMYFUNCTION("""COMPUTED_VALUE"""),237.0)</f>
        <v>237</v>
      </c>
      <c r="C2111" s="1">
        <f>IFERROR(__xludf.DUMMYFUNCTION("""COMPUTED_VALUE"""),237.1)</f>
        <v>237.1</v>
      </c>
      <c r="D2111" s="1">
        <f>IFERROR(__xludf.DUMMYFUNCTION("""COMPUTED_VALUE"""),231.55)</f>
        <v>231.55</v>
      </c>
      <c r="E2111" s="1">
        <f>IFERROR(__xludf.DUMMYFUNCTION("""COMPUTED_VALUE"""),234.2)</f>
        <v>234.2</v>
      </c>
      <c r="F2111" s="1">
        <f>IFERROR(__xludf.DUMMYFUNCTION("""COMPUTED_VALUE"""),1202728.0)</f>
        <v>1202728</v>
      </c>
    </row>
    <row r="2112">
      <c r="A2112" s="2">
        <f>IFERROR(__xludf.DUMMYFUNCTION("""COMPUTED_VALUE"""),39618.645833333336)</f>
        <v>39618.64583</v>
      </c>
      <c r="B2112" s="1">
        <f>IFERROR(__xludf.DUMMYFUNCTION("""COMPUTED_VALUE"""),231.35)</f>
        <v>231.35</v>
      </c>
      <c r="C2112" s="1">
        <f>IFERROR(__xludf.DUMMYFUNCTION("""COMPUTED_VALUE"""),233.5)</f>
        <v>233.5</v>
      </c>
      <c r="D2112" s="1">
        <f>IFERROR(__xludf.DUMMYFUNCTION("""COMPUTED_VALUE"""),229.55)</f>
        <v>229.55</v>
      </c>
      <c r="E2112" s="1">
        <f>IFERROR(__xludf.DUMMYFUNCTION("""COMPUTED_VALUE"""),231.9)</f>
        <v>231.9</v>
      </c>
      <c r="F2112" s="1">
        <f>IFERROR(__xludf.DUMMYFUNCTION("""COMPUTED_VALUE"""),455680.0)</f>
        <v>455680</v>
      </c>
    </row>
    <row r="2113">
      <c r="A2113" s="2">
        <f>IFERROR(__xludf.DUMMYFUNCTION("""COMPUTED_VALUE"""),39619.645833333336)</f>
        <v>39619.64583</v>
      </c>
      <c r="B2113" s="1">
        <f>IFERROR(__xludf.DUMMYFUNCTION("""COMPUTED_VALUE"""),231.05)</f>
        <v>231.05</v>
      </c>
      <c r="C2113" s="1">
        <f>IFERROR(__xludf.DUMMYFUNCTION("""COMPUTED_VALUE"""),233.4)</f>
        <v>233.4</v>
      </c>
      <c r="D2113" s="1">
        <f>IFERROR(__xludf.DUMMYFUNCTION("""COMPUTED_VALUE"""),225.0)</f>
        <v>225</v>
      </c>
      <c r="E2113" s="1">
        <f>IFERROR(__xludf.DUMMYFUNCTION("""COMPUTED_VALUE"""),225.75)</f>
        <v>225.75</v>
      </c>
      <c r="F2113" s="1">
        <f>IFERROR(__xludf.DUMMYFUNCTION("""COMPUTED_VALUE"""),479832.0)</f>
        <v>479832</v>
      </c>
    </row>
    <row r="2114">
      <c r="A2114" s="2">
        <f>IFERROR(__xludf.DUMMYFUNCTION("""COMPUTED_VALUE"""),39622.645833333336)</f>
        <v>39622.64583</v>
      </c>
      <c r="B2114" s="1">
        <f>IFERROR(__xludf.DUMMYFUNCTION("""COMPUTED_VALUE"""),223.0)</f>
        <v>223</v>
      </c>
      <c r="C2114" s="1">
        <f>IFERROR(__xludf.DUMMYFUNCTION("""COMPUTED_VALUE"""),228.5)</f>
        <v>228.5</v>
      </c>
      <c r="D2114" s="1">
        <f>IFERROR(__xludf.DUMMYFUNCTION("""COMPUTED_VALUE"""),221.0)</f>
        <v>221</v>
      </c>
      <c r="E2114" s="1">
        <f>IFERROR(__xludf.DUMMYFUNCTION("""COMPUTED_VALUE"""),227.05)</f>
        <v>227.05</v>
      </c>
      <c r="F2114" s="1">
        <f>IFERROR(__xludf.DUMMYFUNCTION("""COMPUTED_VALUE"""),632741.0)</f>
        <v>632741</v>
      </c>
    </row>
    <row r="2115">
      <c r="A2115" s="2">
        <f>IFERROR(__xludf.DUMMYFUNCTION("""COMPUTED_VALUE"""),39623.645833333336)</f>
        <v>39623.64583</v>
      </c>
      <c r="B2115" s="1">
        <f>IFERROR(__xludf.DUMMYFUNCTION("""COMPUTED_VALUE"""),219.25)</f>
        <v>219.25</v>
      </c>
      <c r="C2115" s="1">
        <f>IFERROR(__xludf.DUMMYFUNCTION("""COMPUTED_VALUE"""),228.9)</f>
        <v>228.9</v>
      </c>
      <c r="D2115" s="1">
        <f>IFERROR(__xludf.DUMMYFUNCTION("""COMPUTED_VALUE"""),207.5)</f>
        <v>207.5</v>
      </c>
      <c r="E2115" s="1">
        <f>IFERROR(__xludf.DUMMYFUNCTION("""COMPUTED_VALUE"""),214.85)</f>
        <v>214.85</v>
      </c>
      <c r="F2115" s="1">
        <f>IFERROR(__xludf.DUMMYFUNCTION("""COMPUTED_VALUE"""),3148554.0)</f>
        <v>3148554</v>
      </c>
    </row>
    <row r="2116">
      <c r="A2116" s="2">
        <f>IFERROR(__xludf.DUMMYFUNCTION("""COMPUTED_VALUE"""),39624.645833333336)</f>
        <v>39624.64583</v>
      </c>
      <c r="B2116" s="1">
        <f>IFERROR(__xludf.DUMMYFUNCTION("""COMPUTED_VALUE"""),211.0)</f>
        <v>211</v>
      </c>
      <c r="C2116" s="1">
        <f>IFERROR(__xludf.DUMMYFUNCTION("""COMPUTED_VALUE"""),221.85)</f>
        <v>221.85</v>
      </c>
      <c r="D2116" s="1">
        <f>IFERROR(__xludf.DUMMYFUNCTION("""COMPUTED_VALUE"""),205.0)</f>
        <v>205</v>
      </c>
      <c r="E2116" s="1">
        <f>IFERROR(__xludf.DUMMYFUNCTION("""COMPUTED_VALUE"""),216.1)</f>
        <v>216.1</v>
      </c>
      <c r="F2116" s="1">
        <f>IFERROR(__xludf.DUMMYFUNCTION("""COMPUTED_VALUE"""),2553922.0)</f>
        <v>2553922</v>
      </c>
    </row>
    <row r="2117">
      <c r="A2117" s="2">
        <f>IFERROR(__xludf.DUMMYFUNCTION("""COMPUTED_VALUE"""),39625.645833333336)</f>
        <v>39625.64583</v>
      </c>
      <c r="B2117" s="1">
        <f>IFERROR(__xludf.DUMMYFUNCTION("""COMPUTED_VALUE"""),216.5)</f>
        <v>216.5</v>
      </c>
      <c r="C2117" s="1">
        <f>IFERROR(__xludf.DUMMYFUNCTION("""COMPUTED_VALUE"""),217.9)</f>
        <v>217.9</v>
      </c>
      <c r="D2117" s="1">
        <f>IFERROR(__xludf.DUMMYFUNCTION("""COMPUTED_VALUE"""),208.7)</f>
        <v>208.7</v>
      </c>
      <c r="E2117" s="1">
        <f>IFERROR(__xludf.DUMMYFUNCTION("""COMPUTED_VALUE"""),212.9)</f>
        <v>212.9</v>
      </c>
      <c r="F2117" s="1">
        <f>IFERROR(__xludf.DUMMYFUNCTION("""COMPUTED_VALUE"""),4080060.0)</f>
        <v>4080060</v>
      </c>
    </row>
    <row r="2118">
      <c r="A2118" s="2">
        <f>IFERROR(__xludf.DUMMYFUNCTION("""COMPUTED_VALUE"""),39626.645833333336)</f>
        <v>39626.64583</v>
      </c>
      <c r="B2118" s="1">
        <f>IFERROR(__xludf.DUMMYFUNCTION("""COMPUTED_VALUE"""),208.0)</f>
        <v>208</v>
      </c>
      <c r="C2118" s="1">
        <f>IFERROR(__xludf.DUMMYFUNCTION("""COMPUTED_VALUE"""),210.85)</f>
        <v>210.85</v>
      </c>
      <c r="D2118" s="1">
        <f>IFERROR(__xludf.DUMMYFUNCTION("""COMPUTED_VALUE"""),204.35)</f>
        <v>204.35</v>
      </c>
      <c r="E2118" s="1">
        <f>IFERROR(__xludf.DUMMYFUNCTION("""COMPUTED_VALUE"""),208.55)</f>
        <v>208.55</v>
      </c>
      <c r="F2118" s="1">
        <f>IFERROR(__xludf.DUMMYFUNCTION("""COMPUTED_VALUE"""),2566406.0)</f>
        <v>2566406</v>
      </c>
    </row>
    <row r="2119">
      <c r="A2119" s="2">
        <f>IFERROR(__xludf.DUMMYFUNCTION("""COMPUTED_VALUE"""),39629.645833333336)</f>
        <v>39629.64583</v>
      </c>
      <c r="B2119" s="1">
        <f>IFERROR(__xludf.DUMMYFUNCTION("""COMPUTED_VALUE"""),208.0)</f>
        <v>208</v>
      </c>
      <c r="C2119" s="1">
        <f>IFERROR(__xludf.DUMMYFUNCTION("""COMPUTED_VALUE"""),211.0)</f>
        <v>211</v>
      </c>
      <c r="D2119" s="1">
        <f>IFERROR(__xludf.DUMMYFUNCTION("""COMPUTED_VALUE"""),198.65)</f>
        <v>198.65</v>
      </c>
      <c r="E2119" s="1">
        <f>IFERROR(__xludf.DUMMYFUNCTION("""COMPUTED_VALUE"""),207.15)</f>
        <v>207.15</v>
      </c>
      <c r="F2119" s="1">
        <f>IFERROR(__xludf.DUMMYFUNCTION("""COMPUTED_VALUE"""),1754242.0)</f>
        <v>1754242</v>
      </c>
    </row>
    <row r="2120">
      <c r="A2120" s="2">
        <f>IFERROR(__xludf.DUMMYFUNCTION("""COMPUTED_VALUE"""),39630.645833333336)</f>
        <v>39630.64583</v>
      </c>
      <c r="B2120" s="1">
        <f>IFERROR(__xludf.DUMMYFUNCTION("""COMPUTED_VALUE"""),207.55)</f>
        <v>207.55</v>
      </c>
      <c r="C2120" s="1">
        <f>IFERROR(__xludf.DUMMYFUNCTION("""COMPUTED_VALUE"""),208.9)</f>
        <v>208.9</v>
      </c>
      <c r="D2120" s="1">
        <f>IFERROR(__xludf.DUMMYFUNCTION("""COMPUTED_VALUE"""),196.1)</f>
        <v>196.1</v>
      </c>
      <c r="E2120" s="1">
        <f>IFERROR(__xludf.DUMMYFUNCTION("""COMPUTED_VALUE"""),197.65)</f>
        <v>197.65</v>
      </c>
      <c r="F2120" s="1">
        <f>IFERROR(__xludf.DUMMYFUNCTION("""COMPUTED_VALUE"""),1369234.0)</f>
        <v>1369234</v>
      </c>
    </row>
    <row r="2121">
      <c r="A2121" s="2">
        <f>IFERROR(__xludf.DUMMYFUNCTION("""COMPUTED_VALUE"""),39631.645833333336)</f>
        <v>39631.64583</v>
      </c>
      <c r="B2121" s="1">
        <f>IFERROR(__xludf.DUMMYFUNCTION("""COMPUTED_VALUE"""),198.1)</f>
        <v>198.1</v>
      </c>
      <c r="C2121" s="1">
        <f>IFERROR(__xludf.DUMMYFUNCTION("""COMPUTED_VALUE"""),202.0)</f>
        <v>202</v>
      </c>
      <c r="D2121" s="1">
        <f>IFERROR(__xludf.DUMMYFUNCTION("""COMPUTED_VALUE"""),194.2)</f>
        <v>194.2</v>
      </c>
      <c r="E2121" s="1">
        <f>IFERROR(__xludf.DUMMYFUNCTION("""COMPUTED_VALUE"""),200.2)</f>
        <v>200.2</v>
      </c>
      <c r="F2121" s="1">
        <f>IFERROR(__xludf.DUMMYFUNCTION("""COMPUTED_VALUE"""),3641426.0)</f>
        <v>3641426</v>
      </c>
    </row>
    <row r="2122">
      <c r="A2122" s="2">
        <f>IFERROR(__xludf.DUMMYFUNCTION("""COMPUTED_VALUE"""),39632.645833333336)</f>
        <v>39632.64583</v>
      </c>
      <c r="B2122" s="1">
        <f>IFERROR(__xludf.DUMMYFUNCTION("""COMPUTED_VALUE"""),200.0)</f>
        <v>200</v>
      </c>
      <c r="C2122" s="1">
        <f>IFERROR(__xludf.DUMMYFUNCTION("""COMPUTED_VALUE"""),200.0)</f>
        <v>200</v>
      </c>
      <c r="D2122" s="1">
        <f>IFERROR(__xludf.DUMMYFUNCTION("""COMPUTED_VALUE"""),190.65)</f>
        <v>190.65</v>
      </c>
      <c r="E2122" s="1">
        <f>IFERROR(__xludf.DUMMYFUNCTION("""COMPUTED_VALUE"""),196.35)</f>
        <v>196.35</v>
      </c>
      <c r="F2122" s="1">
        <f>IFERROR(__xludf.DUMMYFUNCTION("""COMPUTED_VALUE"""),2255283.0)</f>
        <v>2255283</v>
      </c>
    </row>
    <row r="2123">
      <c r="A2123" s="2">
        <f>IFERROR(__xludf.DUMMYFUNCTION("""COMPUTED_VALUE"""),39633.645833333336)</f>
        <v>39633.64583</v>
      </c>
      <c r="B2123" s="1">
        <f>IFERROR(__xludf.DUMMYFUNCTION("""COMPUTED_VALUE"""),199.8)</f>
        <v>199.8</v>
      </c>
      <c r="C2123" s="1">
        <f>IFERROR(__xludf.DUMMYFUNCTION("""COMPUTED_VALUE"""),202.7)</f>
        <v>202.7</v>
      </c>
      <c r="D2123" s="1">
        <f>IFERROR(__xludf.DUMMYFUNCTION("""COMPUTED_VALUE"""),194.25)</f>
        <v>194.25</v>
      </c>
      <c r="E2123" s="1">
        <f>IFERROR(__xludf.DUMMYFUNCTION("""COMPUTED_VALUE"""),201.5)</f>
        <v>201.5</v>
      </c>
      <c r="F2123" s="1">
        <f>IFERROR(__xludf.DUMMYFUNCTION("""COMPUTED_VALUE"""),881797.0)</f>
        <v>881797</v>
      </c>
    </row>
    <row r="2124">
      <c r="A2124" s="2">
        <f>IFERROR(__xludf.DUMMYFUNCTION("""COMPUTED_VALUE"""),39636.645833333336)</f>
        <v>39636.64583</v>
      </c>
      <c r="B2124" s="1">
        <f>IFERROR(__xludf.DUMMYFUNCTION("""COMPUTED_VALUE"""),201.8)</f>
        <v>201.8</v>
      </c>
      <c r="C2124" s="1">
        <f>IFERROR(__xludf.DUMMYFUNCTION("""COMPUTED_VALUE"""),211.4)</f>
        <v>211.4</v>
      </c>
      <c r="D2124" s="1">
        <f>IFERROR(__xludf.DUMMYFUNCTION("""COMPUTED_VALUE"""),201.8)</f>
        <v>201.8</v>
      </c>
      <c r="E2124" s="1">
        <f>IFERROR(__xludf.DUMMYFUNCTION("""COMPUTED_VALUE"""),209.75)</f>
        <v>209.75</v>
      </c>
      <c r="F2124" s="1">
        <f>IFERROR(__xludf.DUMMYFUNCTION("""COMPUTED_VALUE"""),1323803.0)</f>
        <v>1323803</v>
      </c>
    </row>
    <row r="2125">
      <c r="A2125" s="2">
        <f>IFERROR(__xludf.DUMMYFUNCTION("""COMPUTED_VALUE"""),39637.645833333336)</f>
        <v>39637.64583</v>
      </c>
      <c r="B2125" s="1">
        <f>IFERROR(__xludf.DUMMYFUNCTION("""COMPUTED_VALUE"""),209.0)</f>
        <v>209</v>
      </c>
      <c r="C2125" s="1">
        <f>IFERROR(__xludf.DUMMYFUNCTION("""COMPUTED_VALUE"""),212.4)</f>
        <v>212.4</v>
      </c>
      <c r="D2125" s="1">
        <f>IFERROR(__xludf.DUMMYFUNCTION("""COMPUTED_VALUE"""),201.1)</f>
        <v>201.1</v>
      </c>
      <c r="E2125" s="1">
        <f>IFERROR(__xludf.DUMMYFUNCTION("""COMPUTED_VALUE"""),209.85)</f>
        <v>209.85</v>
      </c>
      <c r="F2125" s="1">
        <f>IFERROR(__xludf.DUMMYFUNCTION("""COMPUTED_VALUE"""),1743800.0)</f>
        <v>1743800</v>
      </c>
    </row>
    <row r="2126">
      <c r="A2126" s="2">
        <f>IFERROR(__xludf.DUMMYFUNCTION("""COMPUTED_VALUE"""),39638.645833333336)</f>
        <v>39638.64583</v>
      </c>
      <c r="B2126" s="1">
        <f>IFERROR(__xludf.DUMMYFUNCTION("""COMPUTED_VALUE"""),210.0)</f>
        <v>210</v>
      </c>
      <c r="C2126" s="1">
        <f>IFERROR(__xludf.DUMMYFUNCTION("""COMPUTED_VALUE"""),218.4)</f>
        <v>218.4</v>
      </c>
      <c r="D2126" s="1">
        <f>IFERROR(__xludf.DUMMYFUNCTION("""COMPUTED_VALUE"""),210.0)</f>
        <v>210</v>
      </c>
      <c r="E2126" s="1">
        <f>IFERROR(__xludf.DUMMYFUNCTION("""COMPUTED_VALUE"""),216.45)</f>
        <v>216.45</v>
      </c>
      <c r="F2126" s="1">
        <f>IFERROR(__xludf.DUMMYFUNCTION("""COMPUTED_VALUE"""),1968823.0)</f>
        <v>1968823</v>
      </c>
    </row>
    <row r="2127">
      <c r="A2127" s="2">
        <f>IFERROR(__xludf.DUMMYFUNCTION("""COMPUTED_VALUE"""),39639.645833333336)</f>
        <v>39639.64583</v>
      </c>
      <c r="B2127" s="1">
        <f>IFERROR(__xludf.DUMMYFUNCTION("""COMPUTED_VALUE"""),216.85)</f>
        <v>216.85</v>
      </c>
      <c r="C2127" s="1">
        <f>IFERROR(__xludf.DUMMYFUNCTION("""COMPUTED_VALUE"""),219.95)</f>
        <v>219.95</v>
      </c>
      <c r="D2127" s="1">
        <f>IFERROR(__xludf.DUMMYFUNCTION("""COMPUTED_VALUE"""),214.0)</f>
        <v>214</v>
      </c>
      <c r="E2127" s="1">
        <f>IFERROR(__xludf.DUMMYFUNCTION("""COMPUTED_VALUE"""),218.5)</f>
        <v>218.5</v>
      </c>
      <c r="F2127" s="1">
        <f>IFERROR(__xludf.DUMMYFUNCTION("""COMPUTED_VALUE"""),1879845.0)</f>
        <v>1879845</v>
      </c>
    </row>
    <row r="2128">
      <c r="A2128" s="2">
        <f>IFERROR(__xludf.DUMMYFUNCTION("""COMPUTED_VALUE"""),39640.645833333336)</f>
        <v>39640.64583</v>
      </c>
      <c r="B2128" s="1">
        <f>IFERROR(__xludf.DUMMYFUNCTION("""COMPUTED_VALUE"""),217.0)</f>
        <v>217</v>
      </c>
      <c r="C2128" s="1">
        <f>IFERROR(__xludf.DUMMYFUNCTION("""COMPUTED_VALUE"""),220.7)</f>
        <v>220.7</v>
      </c>
      <c r="D2128" s="1">
        <f>IFERROR(__xludf.DUMMYFUNCTION("""COMPUTED_VALUE"""),209.45)</f>
        <v>209.45</v>
      </c>
      <c r="E2128" s="1">
        <f>IFERROR(__xludf.DUMMYFUNCTION("""COMPUTED_VALUE"""),214.1)</f>
        <v>214.1</v>
      </c>
      <c r="F2128" s="1">
        <f>IFERROR(__xludf.DUMMYFUNCTION("""COMPUTED_VALUE"""),1865906.0)</f>
        <v>1865906</v>
      </c>
    </row>
    <row r="2129">
      <c r="A2129" s="2">
        <f>IFERROR(__xludf.DUMMYFUNCTION("""COMPUTED_VALUE"""),39643.645833333336)</f>
        <v>39643.64583</v>
      </c>
      <c r="B2129" s="1">
        <f>IFERROR(__xludf.DUMMYFUNCTION("""COMPUTED_VALUE"""),214.7)</f>
        <v>214.7</v>
      </c>
      <c r="C2129" s="1">
        <f>IFERROR(__xludf.DUMMYFUNCTION("""COMPUTED_VALUE"""),223.2)</f>
        <v>223.2</v>
      </c>
      <c r="D2129" s="1">
        <f>IFERROR(__xludf.DUMMYFUNCTION("""COMPUTED_VALUE"""),213.0)</f>
        <v>213</v>
      </c>
      <c r="E2129" s="1">
        <f>IFERROR(__xludf.DUMMYFUNCTION("""COMPUTED_VALUE"""),220.1)</f>
        <v>220.1</v>
      </c>
      <c r="F2129" s="1">
        <f>IFERROR(__xludf.DUMMYFUNCTION("""COMPUTED_VALUE"""),2364523.0)</f>
        <v>2364523</v>
      </c>
    </row>
    <row r="2130">
      <c r="A2130" s="2">
        <f>IFERROR(__xludf.DUMMYFUNCTION("""COMPUTED_VALUE"""),39644.645833333336)</f>
        <v>39644.64583</v>
      </c>
      <c r="B2130" s="1">
        <f>IFERROR(__xludf.DUMMYFUNCTION("""COMPUTED_VALUE"""),217.0)</f>
        <v>217</v>
      </c>
      <c r="C2130" s="1">
        <f>IFERROR(__xludf.DUMMYFUNCTION("""COMPUTED_VALUE"""),217.4)</f>
        <v>217.4</v>
      </c>
      <c r="D2130" s="1">
        <f>IFERROR(__xludf.DUMMYFUNCTION("""COMPUTED_VALUE"""),209.0)</f>
        <v>209</v>
      </c>
      <c r="E2130" s="1">
        <f>IFERROR(__xludf.DUMMYFUNCTION("""COMPUTED_VALUE"""),211.7)</f>
        <v>211.7</v>
      </c>
      <c r="F2130" s="1">
        <f>IFERROR(__xludf.DUMMYFUNCTION("""COMPUTED_VALUE"""),2289259.0)</f>
        <v>2289259</v>
      </c>
    </row>
    <row r="2131">
      <c r="A2131" s="2">
        <f>IFERROR(__xludf.DUMMYFUNCTION("""COMPUTED_VALUE"""),39645.645833333336)</f>
        <v>39645.64583</v>
      </c>
      <c r="B2131" s="1">
        <f>IFERROR(__xludf.DUMMYFUNCTION("""COMPUTED_VALUE"""),212.5)</f>
        <v>212.5</v>
      </c>
      <c r="C2131" s="1">
        <f>IFERROR(__xludf.DUMMYFUNCTION("""COMPUTED_VALUE"""),217.5)</f>
        <v>217.5</v>
      </c>
      <c r="D2131" s="1">
        <f>IFERROR(__xludf.DUMMYFUNCTION("""COMPUTED_VALUE"""),208.0)</f>
        <v>208</v>
      </c>
      <c r="E2131" s="1">
        <f>IFERROR(__xludf.DUMMYFUNCTION("""COMPUTED_VALUE"""),215.15)</f>
        <v>215.15</v>
      </c>
      <c r="F2131" s="1">
        <f>IFERROR(__xludf.DUMMYFUNCTION("""COMPUTED_VALUE"""),2582793.0)</f>
        <v>2582793</v>
      </c>
    </row>
    <row r="2132">
      <c r="A2132" s="2">
        <f>IFERROR(__xludf.DUMMYFUNCTION("""COMPUTED_VALUE"""),39646.645833333336)</f>
        <v>39646.64583</v>
      </c>
      <c r="B2132" s="1">
        <f>IFERROR(__xludf.DUMMYFUNCTION("""COMPUTED_VALUE"""),218.0)</f>
        <v>218</v>
      </c>
      <c r="C2132" s="1">
        <f>IFERROR(__xludf.DUMMYFUNCTION("""COMPUTED_VALUE"""),221.8)</f>
        <v>221.8</v>
      </c>
      <c r="D2132" s="1">
        <f>IFERROR(__xludf.DUMMYFUNCTION("""COMPUTED_VALUE"""),216.6)</f>
        <v>216.6</v>
      </c>
      <c r="E2132" s="1">
        <f>IFERROR(__xludf.DUMMYFUNCTION("""COMPUTED_VALUE"""),219.75)</f>
        <v>219.75</v>
      </c>
      <c r="F2132" s="1">
        <f>IFERROR(__xludf.DUMMYFUNCTION("""COMPUTED_VALUE"""),2981458.0)</f>
        <v>2981458</v>
      </c>
    </row>
    <row r="2133">
      <c r="A2133" s="2">
        <f>IFERROR(__xludf.DUMMYFUNCTION("""COMPUTED_VALUE"""),39647.645833333336)</f>
        <v>39647.64583</v>
      </c>
      <c r="B2133" s="1">
        <f>IFERROR(__xludf.DUMMYFUNCTION("""COMPUTED_VALUE"""),218.2)</f>
        <v>218.2</v>
      </c>
      <c r="C2133" s="1">
        <f>IFERROR(__xludf.DUMMYFUNCTION("""COMPUTED_VALUE"""),221.9)</f>
        <v>221.9</v>
      </c>
      <c r="D2133" s="1">
        <f>IFERROR(__xludf.DUMMYFUNCTION("""COMPUTED_VALUE"""),217.1)</f>
        <v>217.1</v>
      </c>
      <c r="E2133" s="1">
        <f>IFERROR(__xludf.DUMMYFUNCTION("""COMPUTED_VALUE"""),219.8)</f>
        <v>219.8</v>
      </c>
      <c r="F2133" s="1">
        <f>IFERROR(__xludf.DUMMYFUNCTION("""COMPUTED_VALUE"""),2658890.0)</f>
        <v>2658890</v>
      </c>
    </row>
    <row r="2134">
      <c r="A2134" s="2">
        <f>IFERROR(__xludf.DUMMYFUNCTION("""COMPUTED_VALUE"""),39650.645833333336)</f>
        <v>39650.64583</v>
      </c>
      <c r="B2134" s="1">
        <f>IFERROR(__xludf.DUMMYFUNCTION("""COMPUTED_VALUE"""),210.1)</f>
        <v>210.1</v>
      </c>
      <c r="C2134" s="1">
        <f>IFERROR(__xludf.DUMMYFUNCTION("""COMPUTED_VALUE"""),228.75)</f>
        <v>228.75</v>
      </c>
      <c r="D2134" s="1">
        <f>IFERROR(__xludf.DUMMYFUNCTION("""COMPUTED_VALUE"""),200.0)</f>
        <v>200</v>
      </c>
      <c r="E2134" s="1">
        <f>IFERROR(__xludf.DUMMYFUNCTION("""COMPUTED_VALUE"""),228.0)</f>
        <v>228</v>
      </c>
      <c r="F2134" s="1">
        <f>IFERROR(__xludf.DUMMYFUNCTION("""COMPUTED_VALUE"""),2133580.0)</f>
        <v>2133580</v>
      </c>
    </row>
    <row r="2135">
      <c r="A2135" s="2">
        <f>IFERROR(__xludf.DUMMYFUNCTION("""COMPUTED_VALUE"""),39651.645833333336)</f>
        <v>39651.64583</v>
      </c>
      <c r="B2135" s="1">
        <f>IFERROR(__xludf.DUMMYFUNCTION("""COMPUTED_VALUE"""),229.3)</f>
        <v>229.3</v>
      </c>
      <c r="C2135" s="1">
        <f>IFERROR(__xludf.DUMMYFUNCTION("""COMPUTED_VALUE"""),235.8)</f>
        <v>235.8</v>
      </c>
      <c r="D2135" s="1">
        <f>IFERROR(__xludf.DUMMYFUNCTION("""COMPUTED_VALUE"""),226.15)</f>
        <v>226.15</v>
      </c>
      <c r="E2135" s="1">
        <f>IFERROR(__xludf.DUMMYFUNCTION("""COMPUTED_VALUE"""),232.7)</f>
        <v>232.7</v>
      </c>
      <c r="F2135" s="1">
        <f>IFERROR(__xludf.DUMMYFUNCTION("""COMPUTED_VALUE"""),2688944.0)</f>
        <v>2688944</v>
      </c>
    </row>
    <row r="2136">
      <c r="A2136" s="2">
        <f>IFERROR(__xludf.DUMMYFUNCTION("""COMPUTED_VALUE"""),39652.645833333336)</f>
        <v>39652.64583</v>
      </c>
      <c r="B2136" s="1">
        <f>IFERROR(__xludf.DUMMYFUNCTION("""COMPUTED_VALUE"""),235.0)</f>
        <v>235</v>
      </c>
      <c r="C2136" s="1">
        <f>IFERROR(__xludf.DUMMYFUNCTION("""COMPUTED_VALUE"""),242.0)</f>
        <v>242</v>
      </c>
      <c r="D2136" s="1">
        <f>IFERROR(__xludf.DUMMYFUNCTION("""COMPUTED_VALUE"""),227.2)</f>
        <v>227.2</v>
      </c>
      <c r="E2136" s="1">
        <f>IFERROR(__xludf.DUMMYFUNCTION("""COMPUTED_VALUE"""),230.85)</f>
        <v>230.85</v>
      </c>
      <c r="F2136" s="1">
        <f>IFERROR(__xludf.DUMMYFUNCTION("""COMPUTED_VALUE"""),6700195.0)</f>
        <v>6700195</v>
      </c>
    </row>
    <row r="2137">
      <c r="A2137" s="2">
        <f>IFERROR(__xludf.DUMMYFUNCTION("""COMPUTED_VALUE"""),39653.645833333336)</f>
        <v>39653.64583</v>
      </c>
      <c r="B2137" s="1">
        <f>IFERROR(__xludf.DUMMYFUNCTION("""COMPUTED_VALUE"""),231.0)</f>
        <v>231</v>
      </c>
      <c r="C2137" s="1">
        <f>IFERROR(__xludf.DUMMYFUNCTION("""COMPUTED_VALUE"""),232.9)</f>
        <v>232.9</v>
      </c>
      <c r="D2137" s="1">
        <f>IFERROR(__xludf.DUMMYFUNCTION("""COMPUTED_VALUE"""),223.65)</f>
        <v>223.65</v>
      </c>
      <c r="E2137" s="1">
        <f>IFERROR(__xludf.DUMMYFUNCTION("""COMPUTED_VALUE"""),227.7)</f>
        <v>227.7</v>
      </c>
      <c r="F2137" s="1">
        <f>IFERROR(__xludf.DUMMYFUNCTION("""COMPUTED_VALUE"""),3958996.0)</f>
        <v>3958996</v>
      </c>
    </row>
    <row r="2138">
      <c r="A2138" s="2">
        <f>IFERROR(__xludf.DUMMYFUNCTION("""COMPUTED_VALUE"""),39654.645833333336)</f>
        <v>39654.64583</v>
      </c>
      <c r="B2138" s="1">
        <f>IFERROR(__xludf.DUMMYFUNCTION("""COMPUTED_VALUE"""),223.85)</f>
        <v>223.85</v>
      </c>
      <c r="C2138" s="1">
        <f>IFERROR(__xludf.DUMMYFUNCTION("""COMPUTED_VALUE"""),234.5)</f>
        <v>234.5</v>
      </c>
      <c r="D2138" s="1">
        <f>IFERROR(__xludf.DUMMYFUNCTION("""COMPUTED_VALUE"""),221.65)</f>
        <v>221.65</v>
      </c>
      <c r="E2138" s="1">
        <f>IFERROR(__xludf.DUMMYFUNCTION("""COMPUTED_VALUE"""),233.2)</f>
        <v>233.2</v>
      </c>
      <c r="F2138" s="1">
        <f>IFERROR(__xludf.DUMMYFUNCTION("""COMPUTED_VALUE"""),4075459.0)</f>
        <v>4075459</v>
      </c>
    </row>
    <row r="2139">
      <c r="A2139" s="2">
        <f>IFERROR(__xludf.DUMMYFUNCTION("""COMPUTED_VALUE"""),39657.645833333336)</f>
        <v>39657.64583</v>
      </c>
      <c r="B2139" s="1">
        <f>IFERROR(__xludf.DUMMYFUNCTION("""COMPUTED_VALUE"""),234.5)</f>
        <v>234.5</v>
      </c>
      <c r="C2139" s="1">
        <f>IFERROR(__xludf.DUMMYFUNCTION("""COMPUTED_VALUE"""),238.0)</f>
        <v>238</v>
      </c>
      <c r="D2139" s="1">
        <f>IFERROR(__xludf.DUMMYFUNCTION("""COMPUTED_VALUE"""),229.6)</f>
        <v>229.6</v>
      </c>
      <c r="E2139" s="1">
        <f>IFERROR(__xludf.DUMMYFUNCTION("""COMPUTED_VALUE"""),230.85)</f>
        <v>230.85</v>
      </c>
      <c r="F2139" s="1">
        <f>IFERROR(__xludf.DUMMYFUNCTION("""COMPUTED_VALUE"""),4369198.0)</f>
        <v>4369198</v>
      </c>
    </row>
    <row r="2140">
      <c r="A2140" s="2">
        <f>IFERROR(__xludf.DUMMYFUNCTION("""COMPUTED_VALUE"""),39658.645833333336)</f>
        <v>39658.64583</v>
      </c>
      <c r="B2140" s="1">
        <f>IFERROR(__xludf.DUMMYFUNCTION("""COMPUTED_VALUE"""),228.0)</f>
        <v>228</v>
      </c>
      <c r="C2140" s="1">
        <f>IFERROR(__xludf.DUMMYFUNCTION("""COMPUTED_VALUE"""),239.0)</f>
        <v>239</v>
      </c>
      <c r="D2140" s="1">
        <f>IFERROR(__xludf.DUMMYFUNCTION("""COMPUTED_VALUE"""),227.05)</f>
        <v>227.05</v>
      </c>
      <c r="E2140" s="1">
        <f>IFERROR(__xludf.DUMMYFUNCTION("""COMPUTED_VALUE"""),237.8)</f>
        <v>237.8</v>
      </c>
      <c r="F2140" s="1">
        <f>IFERROR(__xludf.DUMMYFUNCTION("""COMPUTED_VALUE"""),1676336.0)</f>
        <v>1676336</v>
      </c>
    </row>
    <row r="2141">
      <c r="A2141" s="2">
        <f>IFERROR(__xludf.DUMMYFUNCTION("""COMPUTED_VALUE"""),39659.645833333336)</f>
        <v>39659.64583</v>
      </c>
      <c r="B2141" s="1">
        <f>IFERROR(__xludf.DUMMYFUNCTION("""COMPUTED_VALUE"""),240.55)</f>
        <v>240.55</v>
      </c>
      <c r="C2141" s="1">
        <f>IFERROR(__xludf.DUMMYFUNCTION("""COMPUTED_VALUE"""),240.55)</f>
        <v>240.55</v>
      </c>
      <c r="D2141" s="1">
        <f>IFERROR(__xludf.DUMMYFUNCTION("""COMPUTED_VALUE"""),234.0)</f>
        <v>234</v>
      </c>
      <c r="E2141" s="1">
        <f>IFERROR(__xludf.DUMMYFUNCTION("""COMPUTED_VALUE"""),238.65)</f>
        <v>238.65</v>
      </c>
      <c r="F2141" s="1">
        <f>IFERROR(__xludf.DUMMYFUNCTION("""COMPUTED_VALUE"""),4554134.0)</f>
        <v>4554134</v>
      </c>
    </row>
    <row r="2142">
      <c r="A2142" s="2">
        <f>IFERROR(__xludf.DUMMYFUNCTION("""COMPUTED_VALUE"""),39660.645833333336)</f>
        <v>39660.64583</v>
      </c>
      <c r="B2142" s="1">
        <f>IFERROR(__xludf.DUMMYFUNCTION("""COMPUTED_VALUE"""),237.6)</f>
        <v>237.6</v>
      </c>
      <c r="C2142" s="1">
        <f>IFERROR(__xludf.DUMMYFUNCTION("""COMPUTED_VALUE"""),241.4)</f>
        <v>241.4</v>
      </c>
      <c r="D2142" s="1">
        <f>IFERROR(__xludf.DUMMYFUNCTION("""COMPUTED_VALUE"""),236.1)</f>
        <v>236.1</v>
      </c>
      <c r="E2142" s="1">
        <f>IFERROR(__xludf.DUMMYFUNCTION("""COMPUTED_VALUE"""),239.65)</f>
        <v>239.65</v>
      </c>
      <c r="F2142" s="1">
        <f>IFERROR(__xludf.DUMMYFUNCTION("""COMPUTED_VALUE"""),5954985.0)</f>
        <v>5954985</v>
      </c>
    </row>
    <row r="2143">
      <c r="A2143" s="2">
        <f>IFERROR(__xludf.DUMMYFUNCTION("""COMPUTED_VALUE"""),39661.645833333336)</f>
        <v>39661.64583</v>
      </c>
      <c r="B2143" s="1">
        <f>IFERROR(__xludf.DUMMYFUNCTION("""COMPUTED_VALUE"""),238.0)</f>
        <v>238</v>
      </c>
      <c r="C2143" s="1">
        <f>IFERROR(__xludf.DUMMYFUNCTION("""COMPUTED_VALUE"""),240.0)</f>
        <v>240</v>
      </c>
      <c r="D2143" s="1">
        <f>IFERROR(__xludf.DUMMYFUNCTION("""COMPUTED_VALUE"""),232.55)</f>
        <v>232.55</v>
      </c>
      <c r="E2143" s="1">
        <f>IFERROR(__xludf.DUMMYFUNCTION("""COMPUTED_VALUE"""),234.95)</f>
        <v>234.95</v>
      </c>
      <c r="F2143" s="1">
        <f>IFERROR(__xludf.DUMMYFUNCTION("""COMPUTED_VALUE"""),4425574.0)</f>
        <v>4425574</v>
      </c>
    </row>
    <row r="2144">
      <c r="A2144" s="2">
        <f>IFERROR(__xludf.DUMMYFUNCTION("""COMPUTED_VALUE"""),39664.645833333336)</f>
        <v>39664.64583</v>
      </c>
      <c r="B2144" s="1">
        <f>IFERROR(__xludf.DUMMYFUNCTION("""COMPUTED_VALUE"""),233.85)</f>
        <v>233.85</v>
      </c>
      <c r="C2144" s="1">
        <f>IFERROR(__xludf.DUMMYFUNCTION("""COMPUTED_VALUE"""),235.3)</f>
        <v>235.3</v>
      </c>
      <c r="D2144" s="1">
        <f>IFERROR(__xludf.DUMMYFUNCTION("""COMPUTED_VALUE"""),230.1)</f>
        <v>230.1</v>
      </c>
      <c r="E2144" s="1">
        <f>IFERROR(__xludf.DUMMYFUNCTION("""COMPUTED_VALUE"""),234.15)</f>
        <v>234.15</v>
      </c>
      <c r="F2144" s="1">
        <f>IFERROR(__xludf.DUMMYFUNCTION("""COMPUTED_VALUE"""),1943391.0)</f>
        <v>1943391</v>
      </c>
    </row>
    <row r="2145">
      <c r="A2145" s="2">
        <f>IFERROR(__xludf.DUMMYFUNCTION("""COMPUTED_VALUE"""),39665.645833333336)</f>
        <v>39665.64583</v>
      </c>
      <c r="B2145" s="1">
        <f>IFERROR(__xludf.DUMMYFUNCTION("""COMPUTED_VALUE"""),232.0)</f>
        <v>232</v>
      </c>
      <c r="C2145" s="1">
        <f>IFERROR(__xludf.DUMMYFUNCTION("""COMPUTED_VALUE"""),241.9)</f>
        <v>241.9</v>
      </c>
      <c r="D2145" s="1">
        <f>IFERROR(__xludf.DUMMYFUNCTION("""COMPUTED_VALUE"""),232.0)</f>
        <v>232</v>
      </c>
      <c r="E2145" s="1">
        <f>IFERROR(__xludf.DUMMYFUNCTION("""COMPUTED_VALUE"""),239.95)</f>
        <v>239.95</v>
      </c>
      <c r="F2145" s="1">
        <f>IFERROR(__xludf.DUMMYFUNCTION("""COMPUTED_VALUE"""),3452027.0)</f>
        <v>3452027</v>
      </c>
    </row>
    <row r="2146">
      <c r="A2146" s="2">
        <f>IFERROR(__xludf.DUMMYFUNCTION("""COMPUTED_VALUE"""),39666.645833333336)</f>
        <v>39666.64583</v>
      </c>
      <c r="B2146" s="1">
        <f>IFERROR(__xludf.DUMMYFUNCTION("""COMPUTED_VALUE"""),242.15)</f>
        <v>242.15</v>
      </c>
      <c r="C2146" s="1">
        <f>IFERROR(__xludf.DUMMYFUNCTION("""COMPUTED_VALUE"""),250.95)</f>
        <v>250.95</v>
      </c>
      <c r="D2146" s="1">
        <f>IFERROR(__xludf.DUMMYFUNCTION("""COMPUTED_VALUE"""),242.05)</f>
        <v>242.05</v>
      </c>
      <c r="E2146" s="1">
        <f>IFERROR(__xludf.DUMMYFUNCTION("""COMPUTED_VALUE"""),245.7)</f>
        <v>245.7</v>
      </c>
      <c r="F2146" s="1">
        <f>IFERROR(__xludf.DUMMYFUNCTION("""COMPUTED_VALUE"""),5798819.0)</f>
        <v>5798819</v>
      </c>
    </row>
    <row r="2147">
      <c r="A2147" s="2">
        <f>IFERROR(__xludf.DUMMYFUNCTION("""COMPUTED_VALUE"""),39667.645833333336)</f>
        <v>39667.64583</v>
      </c>
      <c r="B2147" s="1">
        <f>IFERROR(__xludf.DUMMYFUNCTION("""COMPUTED_VALUE"""),244.25)</f>
        <v>244.25</v>
      </c>
      <c r="C2147" s="1">
        <f>IFERROR(__xludf.DUMMYFUNCTION("""COMPUTED_VALUE"""),247.85)</f>
        <v>247.85</v>
      </c>
      <c r="D2147" s="1">
        <f>IFERROR(__xludf.DUMMYFUNCTION("""COMPUTED_VALUE"""),240.0)</f>
        <v>240</v>
      </c>
      <c r="E2147" s="1">
        <f>IFERROR(__xludf.DUMMYFUNCTION("""COMPUTED_VALUE"""),242.25)</f>
        <v>242.25</v>
      </c>
      <c r="F2147" s="1">
        <f>IFERROR(__xludf.DUMMYFUNCTION("""COMPUTED_VALUE"""),3011098.0)</f>
        <v>3011098</v>
      </c>
    </row>
    <row r="2148">
      <c r="A2148" s="2">
        <f>IFERROR(__xludf.DUMMYFUNCTION("""COMPUTED_VALUE"""),39668.645833333336)</f>
        <v>39668.64583</v>
      </c>
      <c r="B2148" s="1">
        <f>IFERROR(__xludf.DUMMYFUNCTION("""COMPUTED_VALUE"""),244.6)</f>
        <v>244.6</v>
      </c>
      <c r="C2148" s="1">
        <f>IFERROR(__xludf.DUMMYFUNCTION("""COMPUTED_VALUE"""),245.0)</f>
        <v>245</v>
      </c>
      <c r="D2148" s="1">
        <f>IFERROR(__xludf.DUMMYFUNCTION("""COMPUTED_VALUE"""),239.5)</f>
        <v>239.5</v>
      </c>
      <c r="E2148" s="1">
        <f>IFERROR(__xludf.DUMMYFUNCTION("""COMPUTED_VALUE"""),242.0)</f>
        <v>242</v>
      </c>
      <c r="F2148" s="1">
        <f>IFERROR(__xludf.DUMMYFUNCTION("""COMPUTED_VALUE"""),1248413.0)</f>
        <v>1248413</v>
      </c>
    </row>
    <row r="2149">
      <c r="A2149" s="2">
        <f>IFERROR(__xludf.DUMMYFUNCTION("""COMPUTED_VALUE"""),39671.645833333336)</f>
        <v>39671.64583</v>
      </c>
      <c r="B2149" s="1">
        <f>IFERROR(__xludf.DUMMYFUNCTION("""COMPUTED_VALUE"""),244.85)</f>
        <v>244.85</v>
      </c>
      <c r="C2149" s="1">
        <f>IFERROR(__xludf.DUMMYFUNCTION("""COMPUTED_VALUE"""),246.8)</f>
        <v>246.8</v>
      </c>
      <c r="D2149" s="1">
        <f>IFERROR(__xludf.DUMMYFUNCTION("""COMPUTED_VALUE"""),238.7)</f>
        <v>238.7</v>
      </c>
      <c r="E2149" s="1">
        <f>IFERROR(__xludf.DUMMYFUNCTION("""COMPUTED_VALUE"""),241.95)</f>
        <v>241.95</v>
      </c>
      <c r="F2149" s="1">
        <f>IFERROR(__xludf.DUMMYFUNCTION("""COMPUTED_VALUE"""),3572133.0)</f>
        <v>3572133</v>
      </c>
    </row>
    <row r="2150">
      <c r="A2150" s="2">
        <f>IFERROR(__xludf.DUMMYFUNCTION("""COMPUTED_VALUE"""),39672.645833333336)</f>
        <v>39672.64583</v>
      </c>
      <c r="B2150" s="1">
        <f>IFERROR(__xludf.DUMMYFUNCTION("""COMPUTED_VALUE"""),244.25)</f>
        <v>244.25</v>
      </c>
      <c r="C2150" s="1">
        <f>IFERROR(__xludf.DUMMYFUNCTION("""COMPUTED_VALUE"""),246.0)</f>
        <v>246</v>
      </c>
      <c r="D2150" s="1">
        <f>IFERROR(__xludf.DUMMYFUNCTION("""COMPUTED_VALUE"""),242.5)</f>
        <v>242.5</v>
      </c>
      <c r="E2150" s="1">
        <f>IFERROR(__xludf.DUMMYFUNCTION("""COMPUTED_VALUE"""),242.95)</f>
        <v>242.95</v>
      </c>
      <c r="F2150" s="1">
        <f>IFERROR(__xludf.DUMMYFUNCTION("""COMPUTED_VALUE"""),2304259.0)</f>
        <v>2304259</v>
      </c>
    </row>
    <row r="2151">
      <c r="A2151" s="2">
        <f>IFERROR(__xludf.DUMMYFUNCTION("""COMPUTED_VALUE"""),39673.645833333336)</f>
        <v>39673.64583</v>
      </c>
      <c r="B2151" s="1">
        <f>IFERROR(__xludf.DUMMYFUNCTION("""COMPUTED_VALUE"""),239.0)</f>
        <v>239</v>
      </c>
      <c r="C2151" s="1">
        <f>IFERROR(__xludf.DUMMYFUNCTION("""COMPUTED_VALUE"""),244.85)</f>
        <v>244.85</v>
      </c>
      <c r="D2151" s="1">
        <f>IFERROR(__xludf.DUMMYFUNCTION("""COMPUTED_VALUE"""),239.0)</f>
        <v>239</v>
      </c>
      <c r="E2151" s="1">
        <f>IFERROR(__xludf.DUMMYFUNCTION("""COMPUTED_VALUE"""),243.7)</f>
        <v>243.7</v>
      </c>
      <c r="F2151" s="1">
        <f>IFERROR(__xludf.DUMMYFUNCTION("""COMPUTED_VALUE"""),2148474.0)</f>
        <v>2148474</v>
      </c>
    </row>
    <row r="2152">
      <c r="A2152" s="2">
        <f>IFERROR(__xludf.DUMMYFUNCTION("""COMPUTED_VALUE"""),39674.645833333336)</f>
        <v>39674.64583</v>
      </c>
      <c r="B2152" s="1">
        <f>IFERROR(__xludf.DUMMYFUNCTION("""COMPUTED_VALUE"""),243.2)</f>
        <v>243.2</v>
      </c>
      <c r="C2152" s="1">
        <f>IFERROR(__xludf.DUMMYFUNCTION("""COMPUTED_VALUE"""),243.2)</f>
        <v>243.2</v>
      </c>
      <c r="D2152" s="1">
        <f>IFERROR(__xludf.DUMMYFUNCTION("""COMPUTED_VALUE"""),238.1)</f>
        <v>238.1</v>
      </c>
      <c r="E2152" s="1">
        <f>IFERROR(__xludf.DUMMYFUNCTION("""COMPUTED_VALUE"""),239.65)</f>
        <v>239.65</v>
      </c>
      <c r="F2152" s="1">
        <f>IFERROR(__xludf.DUMMYFUNCTION("""COMPUTED_VALUE"""),705109.0)</f>
        <v>705109</v>
      </c>
    </row>
    <row r="2153">
      <c r="A2153" s="2">
        <f>IFERROR(__xludf.DUMMYFUNCTION("""COMPUTED_VALUE"""),39678.645833333336)</f>
        <v>39678.64583</v>
      </c>
      <c r="B2153" s="1">
        <f>IFERROR(__xludf.DUMMYFUNCTION("""COMPUTED_VALUE"""),239.95)</f>
        <v>239.95</v>
      </c>
      <c r="C2153" s="1">
        <f>IFERROR(__xludf.DUMMYFUNCTION("""COMPUTED_VALUE"""),245.0)</f>
        <v>245</v>
      </c>
      <c r="D2153" s="1">
        <f>IFERROR(__xludf.DUMMYFUNCTION("""COMPUTED_VALUE"""),236.55)</f>
        <v>236.55</v>
      </c>
      <c r="E2153" s="1">
        <f>IFERROR(__xludf.DUMMYFUNCTION("""COMPUTED_VALUE"""),241.5)</f>
        <v>241.5</v>
      </c>
      <c r="F2153" s="1">
        <f>IFERROR(__xludf.DUMMYFUNCTION("""COMPUTED_VALUE"""),1096643.0)</f>
        <v>1096643</v>
      </c>
    </row>
    <row r="2154">
      <c r="A2154" s="2">
        <f>IFERROR(__xludf.DUMMYFUNCTION("""COMPUTED_VALUE"""),39679.645833333336)</f>
        <v>39679.64583</v>
      </c>
      <c r="B2154" s="1">
        <f>IFERROR(__xludf.DUMMYFUNCTION("""COMPUTED_VALUE"""),241.0)</f>
        <v>241</v>
      </c>
      <c r="C2154" s="1">
        <f>IFERROR(__xludf.DUMMYFUNCTION("""COMPUTED_VALUE"""),244.7)</f>
        <v>244.7</v>
      </c>
      <c r="D2154" s="1">
        <f>IFERROR(__xludf.DUMMYFUNCTION("""COMPUTED_VALUE"""),238.6)</f>
        <v>238.6</v>
      </c>
      <c r="E2154" s="1">
        <f>IFERROR(__xludf.DUMMYFUNCTION("""COMPUTED_VALUE"""),243.4)</f>
        <v>243.4</v>
      </c>
      <c r="F2154" s="1">
        <f>IFERROR(__xludf.DUMMYFUNCTION("""COMPUTED_VALUE"""),1546046.0)</f>
        <v>1546046</v>
      </c>
    </row>
    <row r="2155">
      <c r="A2155" s="2">
        <f>IFERROR(__xludf.DUMMYFUNCTION("""COMPUTED_VALUE"""),39680.645833333336)</f>
        <v>39680.64583</v>
      </c>
      <c r="B2155" s="1">
        <f>IFERROR(__xludf.DUMMYFUNCTION("""COMPUTED_VALUE"""),244.0)</f>
        <v>244</v>
      </c>
      <c r="C2155" s="1">
        <f>IFERROR(__xludf.DUMMYFUNCTION("""COMPUTED_VALUE"""),245.0)</f>
        <v>245</v>
      </c>
      <c r="D2155" s="1">
        <f>IFERROR(__xludf.DUMMYFUNCTION("""COMPUTED_VALUE"""),242.2)</f>
        <v>242.2</v>
      </c>
      <c r="E2155" s="1">
        <f>IFERROR(__xludf.DUMMYFUNCTION("""COMPUTED_VALUE"""),243.1)</f>
        <v>243.1</v>
      </c>
      <c r="F2155" s="1">
        <f>IFERROR(__xludf.DUMMYFUNCTION("""COMPUTED_VALUE"""),931930.0)</f>
        <v>931930</v>
      </c>
    </row>
    <row r="2156">
      <c r="A2156" s="2">
        <f>IFERROR(__xludf.DUMMYFUNCTION("""COMPUTED_VALUE"""),39681.645833333336)</f>
        <v>39681.64583</v>
      </c>
      <c r="B2156" s="1">
        <f>IFERROR(__xludf.DUMMYFUNCTION("""COMPUTED_VALUE"""),243.1)</f>
        <v>243.1</v>
      </c>
      <c r="C2156" s="1">
        <f>IFERROR(__xludf.DUMMYFUNCTION("""COMPUTED_VALUE"""),243.1)</f>
        <v>243.1</v>
      </c>
      <c r="D2156" s="1">
        <f>IFERROR(__xludf.DUMMYFUNCTION("""COMPUTED_VALUE"""),235.0)</f>
        <v>235</v>
      </c>
      <c r="E2156" s="1">
        <f>IFERROR(__xludf.DUMMYFUNCTION("""COMPUTED_VALUE"""),235.8)</f>
        <v>235.8</v>
      </c>
      <c r="F2156" s="1">
        <f>IFERROR(__xludf.DUMMYFUNCTION("""COMPUTED_VALUE"""),1008674.0)</f>
        <v>1008674</v>
      </c>
    </row>
    <row r="2157">
      <c r="A2157" s="2">
        <f>IFERROR(__xludf.DUMMYFUNCTION("""COMPUTED_VALUE"""),39682.645833333336)</f>
        <v>39682.64583</v>
      </c>
      <c r="B2157" s="1">
        <f>IFERROR(__xludf.DUMMYFUNCTION("""COMPUTED_VALUE"""),234.15)</f>
        <v>234.15</v>
      </c>
      <c r="C2157" s="1">
        <f>IFERROR(__xludf.DUMMYFUNCTION("""COMPUTED_VALUE"""),245.5)</f>
        <v>245.5</v>
      </c>
      <c r="D2157" s="1">
        <f>IFERROR(__xludf.DUMMYFUNCTION("""COMPUTED_VALUE"""),233.1)</f>
        <v>233.1</v>
      </c>
      <c r="E2157" s="1">
        <f>IFERROR(__xludf.DUMMYFUNCTION("""COMPUTED_VALUE"""),244.9)</f>
        <v>244.9</v>
      </c>
      <c r="F2157" s="1">
        <f>IFERROR(__xludf.DUMMYFUNCTION("""COMPUTED_VALUE"""),2315458.0)</f>
        <v>2315458</v>
      </c>
    </row>
    <row r="2158">
      <c r="A2158" s="2">
        <f>IFERROR(__xludf.DUMMYFUNCTION("""COMPUTED_VALUE"""),39685.645833333336)</f>
        <v>39685.64583</v>
      </c>
      <c r="B2158" s="1">
        <f>IFERROR(__xludf.DUMMYFUNCTION("""COMPUTED_VALUE"""),245.0)</f>
        <v>245</v>
      </c>
      <c r="C2158" s="1">
        <f>IFERROR(__xludf.DUMMYFUNCTION("""COMPUTED_VALUE"""),246.95)</f>
        <v>246.95</v>
      </c>
      <c r="D2158" s="1">
        <f>IFERROR(__xludf.DUMMYFUNCTION("""COMPUTED_VALUE"""),240.15)</f>
        <v>240.15</v>
      </c>
      <c r="E2158" s="1">
        <f>IFERROR(__xludf.DUMMYFUNCTION("""COMPUTED_VALUE"""),243.4)</f>
        <v>243.4</v>
      </c>
      <c r="F2158" s="1">
        <f>IFERROR(__xludf.DUMMYFUNCTION("""COMPUTED_VALUE"""),2646145.0)</f>
        <v>2646145</v>
      </c>
    </row>
    <row r="2159">
      <c r="A2159" s="2">
        <f>IFERROR(__xludf.DUMMYFUNCTION("""COMPUTED_VALUE"""),39686.645833333336)</f>
        <v>39686.64583</v>
      </c>
      <c r="B2159" s="1">
        <f>IFERROR(__xludf.DUMMYFUNCTION("""COMPUTED_VALUE"""),241.7)</f>
        <v>241.7</v>
      </c>
      <c r="C2159" s="1">
        <f>IFERROR(__xludf.DUMMYFUNCTION("""COMPUTED_VALUE"""),249.0)</f>
        <v>249</v>
      </c>
      <c r="D2159" s="1">
        <f>IFERROR(__xludf.DUMMYFUNCTION("""COMPUTED_VALUE"""),241.5)</f>
        <v>241.5</v>
      </c>
      <c r="E2159" s="1">
        <f>IFERROR(__xludf.DUMMYFUNCTION("""COMPUTED_VALUE"""),247.35)</f>
        <v>247.35</v>
      </c>
      <c r="F2159" s="1">
        <f>IFERROR(__xludf.DUMMYFUNCTION("""COMPUTED_VALUE"""),2449494.0)</f>
        <v>2449494</v>
      </c>
    </row>
    <row r="2160">
      <c r="A2160" s="2">
        <f>IFERROR(__xludf.DUMMYFUNCTION("""COMPUTED_VALUE"""),39687.645833333336)</f>
        <v>39687.64583</v>
      </c>
      <c r="B2160" s="1">
        <f>IFERROR(__xludf.DUMMYFUNCTION("""COMPUTED_VALUE"""),248.0)</f>
        <v>248</v>
      </c>
      <c r="C2160" s="1">
        <f>IFERROR(__xludf.DUMMYFUNCTION("""COMPUTED_VALUE"""),248.45)</f>
        <v>248.45</v>
      </c>
      <c r="D2160" s="1">
        <f>IFERROR(__xludf.DUMMYFUNCTION("""COMPUTED_VALUE"""),245.0)</f>
        <v>245</v>
      </c>
      <c r="E2160" s="1">
        <f>IFERROR(__xludf.DUMMYFUNCTION("""COMPUTED_VALUE"""),246.5)</f>
        <v>246.5</v>
      </c>
      <c r="F2160" s="1">
        <f>IFERROR(__xludf.DUMMYFUNCTION("""COMPUTED_VALUE"""),1395650.0)</f>
        <v>1395650</v>
      </c>
    </row>
    <row r="2161">
      <c r="A2161" s="2">
        <f>IFERROR(__xludf.DUMMYFUNCTION("""COMPUTED_VALUE"""),39688.645833333336)</f>
        <v>39688.64583</v>
      </c>
      <c r="B2161" s="1">
        <f>IFERROR(__xludf.DUMMYFUNCTION("""COMPUTED_VALUE"""),246.95)</f>
        <v>246.95</v>
      </c>
      <c r="C2161" s="1">
        <f>IFERROR(__xludf.DUMMYFUNCTION("""COMPUTED_VALUE"""),247.4)</f>
        <v>247.4</v>
      </c>
      <c r="D2161" s="1">
        <f>IFERROR(__xludf.DUMMYFUNCTION("""COMPUTED_VALUE"""),237.2)</f>
        <v>237.2</v>
      </c>
      <c r="E2161" s="1">
        <f>IFERROR(__xludf.DUMMYFUNCTION("""COMPUTED_VALUE"""),239.5)</f>
        <v>239.5</v>
      </c>
      <c r="F2161" s="1">
        <f>IFERROR(__xludf.DUMMYFUNCTION("""COMPUTED_VALUE"""),2576546.0)</f>
        <v>2576546</v>
      </c>
    </row>
    <row r="2162">
      <c r="A2162" s="2">
        <f>IFERROR(__xludf.DUMMYFUNCTION("""COMPUTED_VALUE"""),39689.645833333336)</f>
        <v>39689.64583</v>
      </c>
      <c r="B2162" s="1">
        <f>IFERROR(__xludf.DUMMYFUNCTION("""COMPUTED_VALUE"""),241.0)</f>
        <v>241</v>
      </c>
      <c r="C2162" s="1">
        <f>IFERROR(__xludf.DUMMYFUNCTION("""COMPUTED_VALUE"""),247.7)</f>
        <v>247.7</v>
      </c>
      <c r="D2162" s="1">
        <f>IFERROR(__xludf.DUMMYFUNCTION("""COMPUTED_VALUE"""),241.0)</f>
        <v>241</v>
      </c>
      <c r="E2162" s="1">
        <f>IFERROR(__xludf.DUMMYFUNCTION("""COMPUTED_VALUE"""),245.4)</f>
        <v>245.4</v>
      </c>
      <c r="F2162" s="1">
        <f>IFERROR(__xludf.DUMMYFUNCTION("""COMPUTED_VALUE"""),2087379.0)</f>
        <v>2087379</v>
      </c>
    </row>
    <row r="2163">
      <c r="A2163" s="2">
        <f>IFERROR(__xludf.DUMMYFUNCTION("""COMPUTED_VALUE"""),39692.645833333336)</f>
        <v>39692.64583</v>
      </c>
      <c r="B2163" s="1">
        <f>IFERROR(__xludf.DUMMYFUNCTION("""COMPUTED_VALUE"""),245.4)</f>
        <v>245.4</v>
      </c>
      <c r="C2163" s="1">
        <f>IFERROR(__xludf.DUMMYFUNCTION("""COMPUTED_VALUE"""),245.85)</f>
        <v>245.85</v>
      </c>
      <c r="D2163" s="1">
        <f>IFERROR(__xludf.DUMMYFUNCTION("""COMPUTED_VALUE"""),238.6)</f>
        <v>238.6</v>
      </c>
      <c r="E2163" s="1">
        <f>IFERROR(__xludf.DUMMYFUNCTION("""COMPUTED_VALUE"""),241.95)</f>
        <v>241.95</v>
      </c>
      <c r="F2163" s="1">
        <f>IFERROR(__xludf.DUMMYFUNCTION("""COMPUTED_VALUE"""),1309666.0)</f>
        <v>1309666</v>
      </c>
    </row>
    <row r="2164">
      <c r="A2164" s="2">
        <f>IFERROR(__xludf.DUMMYFUNCTION("""COMPUTED_VALUE"""),39693.645833333336)</f>
        <v>39693.64583</v>
      </c>
      <c r="B2164" s="1">
        <f>IFERROR(__xludf.DUMMYFUNCTION("""COMPUTED_VALUE"""),242.4)</f>
        <v>242.4</v>
      </c>
      <c r="C2164" s="1">
        <f>IFERROR(__xludf.DUMMYFUNCTION("""COMPUTED_VALUE"""),248.4)</f>
        <v>248.4</v>
      </c>
      <c r="D2164" s="1">
        <f>IFERROR(__xludf.DUMMYFUNCTION("""COMPUTED_VALUE"""),242.0)</f>
        <v>242</v>
      </c>
      <c r="E2164" s="1">
        <f>IFERROR(__xludf.DUMMYFUNCTION("""COMPUTED_VALUE"""),247.0)</f>
        <v>247</v>
      </c>
      <c r="F2164" s="1">
        <f>IFERROR(__xludf.DUMMYFUNCTION("""COMPUTED_VALUE"""),3162708.0)</f>
        <v>3162708</v>
      </c>
    </row>
    <row r="2165">
      <c r="A2165" s="2">
        <f>IFERROR(__xludf.DUMMYFUNCTION("""COMPUTED_VALUE"""),39695.645833333336)</f>
        <v>39695.64583</v>
      </c>
      <c r="B2165" s="1">
        <f>IFERROR(__xludf.DUMMYFUNCTION("""COMPUTED_VALUE"""),247.2)</f>
        <v>247.2</v>
      </c>
      <c r="C2165" s="1">
        <f>IFERROR(__xludf.DUMMYFUNCTION("""COMPUTED_VALUE"""),248.0)</f>
        <v>248</v>
      </c>
      <c r="D2165" s="1">
        <f>IFERROR(__xludf.DUMMYFUNCTION("""COMPUTED_VALUE"""),239.4)</f>
        <v>239.4</v>
      </c>
      <c r="E2165" s="1">
        <f>IFERROR(__xludf.DUMMYFUNCTION("""COMPUTED_VALUE"""),240.65)</f>
        <v>240.65</v>
      </c>
      <c r="F2165" s="1">
        <f>IFERROR(__xludf.DUMMYFUNCTION("""COMPUTED_VALUE"""),5085106.0)</f>
        <v>5085106</v>
      </c>
    </row>
    <row r="2166">
      <c r="A2166" s="2">
        <f>IFERROR(__xludf.DUMMYFUNCTION("""COMPUTED_VALUE"""),39696.645833333336)</f>
        <v>39696.64583</v>
      </c>
      <c r="B2166" s="1">
        <f>IFERROR(__xludf.DUMMYFUNCTION("""COMPUTED_VALUE"""),240.65)</f>
        <v>240.65</v>
      </c>
      <c r="C2166" s="1">
        <f>IFERROR(__xludf.DUMMYFUNCTION("""COMPUTED_VALUE"""),245.8)</f>
        <v>245.8</v>
      </c>
      <c r="D2166" s="1">
        <f>IFERROR(__xludf.DUMMYFUNCTION("""COMPUTED_VALUE"""),237.35)</f>
        <v>237.35</v>
      </c>
      <c r="E2166" s="1">
        <f>IFERROR(__xludf.DUMMYFUNCTION("""COMPUTED_VALUE"""),245.1)</f>
        <v>245.1</v>
      </c>
      <c r="F2166" s="1">
        <f>IFERROR(__xludf.DUMMYFUNCTION("""COMPUTED_VALUE"""),1441378.0)</f>
        <v>1441378</v>
      </c>
    </row>
    <row r="2167">
      <c r="A2167" s="2">
        <f>IFERROR(__xludf.DUMMYFUNCTION("""COMPUTED_VALUE"""),39699.645833333336)</f>
        <v>39699.64583</v>
      </c>
      <c r="B2167" s="1">
        <f>IFERROR(__xludf.DUMMYFUNCTION("""COMPUTED_VALUE"""),249.0)</f>
        <v>249</v>
      </c>
      <c r="C2167" s="1">
        <f>IFERROR(__xludf.DUMMYFUNCTION("""COMPUTED_VALUE"""),254.9)</f>
        <v>254.9</v>
      </c>
      <c r="D2167" s="1">
        <f>IFERROR(__xludf.DUMMYFUNCTION("""COMPUTED_VALUE"""),247.15)</f>
        <v>247.15</v>
      </c>
      <c r="E2167" s="1">
        <f>IFERROR(__xludf.DUMMYFUNCTION("""COMPUTED_VALUE"""),252.95)</f>
        <v>252.95</v>
      </c>
      <c r="F2167" s="1">
        <f>IFERROR(__xludf.DUMMYFUNCTION("""COMPUTED_VALUE"""),2774207.0)</f>
        <v>2774207</v>
      </c>
    </row>
    <row r="2168">
      <c r="A2168" s="2">
        <f>IFERROR(__xludf.DUMMYFUNCTION("""COMPUTED_VALUE"""),39700.645833333336)</f>
        <v>39700.64583</v>
      </c>
      <c r="B2168" s="1">
        <f>IFERROR(__xludf.DUMMYFUNCTION("""COMPUTED_VALUE"""),253.0)</f>
        <v>253</v>
      </c>
      <c r="C2168" s="1">
        <f>IFERROR(__xludf.DUMMYFUNCTION("""COMPUTED_VALUE"""),253.95)</f>
        <v>253.95</v>
      </c>
      <c r="D2168" s="1">
        <f>IFERROR(__xludf.DUMMYFUNCTION("""COMPUTED_VALUE"""),249.05)</f>
        <v>249.05</v>
      </c>
      <c r="E2168" s="1">
        <f>IFERROR(__xludf.DUMMYFUNCTION("""COMPUTED_VALUE"""),251.5)</f>
        <v>251.5</v>
      </c>
      <c r="F2168" s="1">
        <f>IFERROR(__xludf.DUMMYFUNCTION("""COMPUTED_VALUE"""),982718.0)</f>
        <v>982718</v>
      </c>
    </row>
    <row r="2169">
      <c r="A2169" s="2">
        <f>IFERROR(__xludf.DUMMYFUNCTION("""COMPUTED_VALUE"""),39701.645833333336)</f>
        <v>39701.64583</v>
      </c>
      <c r="B2169" s="1">
        <f>IFERROR(__xludf.DUMMYFUNCTION("""COMPUTED_VALUE"""),250.05)</f>
        <v>250.05</v>
      </c>
      <c r="C2169" s="1">
        <f>IFERROR(__xludf.DUMMYFUNCTION("""COMPUTED_VALUE"""),253.95)</f>
        <v>253.95</v>
      </c>
      <c r="D2169" s="1">
        <f>IFERROR(__xludf.DUMMYFUNCTION("""COMPUTED_VALUE"""),248.0)</f>
        <v>248</v>
      </c>
      <c r="E2169" s="1">
        <f>IFERROR(__xludf.DUMMYFUNCTION("""COMPUTED_VALUE"""),250.65)</f>
        <v>250.65</v>
      </c>
      <c r="F2169" s="1">
        <f>IFERROR(__xludf.DUMMYFUNCTION("""COMPUTED_VALUE"""),2324297.0)</f>
        <v>2324297</v>
      </c>
    </row>
    <row r="2170">
      <c r="A2170" s="2">
        <f>IFERROR(__xludf.DUMMYFUNCTION("""COMPUTED_VALUE"""),39702.645833333336)</f>
        <v>39702.64583</v>
      </c>
      <c r="B2170" s="1">
        <f>IFERROR(__xludf.DUMMYFUNCTION("""COMPUTED_VALUE"""),252.0)</f>
        <v>252</v>
      </c>
      <c r="C2170" s="1">
        <f>IFERROR(__xludf.DUMMYFUNCTION("""COMPUTED_VALUE"""),252.0)</f>
        <v>252</v>
      </c>
      <c r="D2170" s="1">
        <f>IFERROR(__xludf.DUMMYFUNCTION("""COMPUTED_VALUE"""),243.5)</f>
        <v>243.5</v>
      </c>
      <c r="E2170" s="1">
        <f>IFERROR(__xludf.DUMMYFUNCTION("""COMPUTED_VALUE"""),246.85)</f>
        <v>246.85</v>
      </c>
      <c r="F2170" s="1">
        <f>IFERROR(__xludf.DUMMYFUNCTION("""COMPUTED_VALUE"""),1966004.0)</f>
        <v>1966004</v>
      </c>
    </row>
    <row r="2171">
      <c r="A2171" s="2">
        <f>IFERROR(__xludf.DUMMYFUNCTION("""COMPUTED_VALUE"""),39703.645833333336)</f>
        <v>39703.64583</v>
      </c>
      <c r="B2171" s="1">
        <f>IFERROR(__xludf.DUMMYFUNCTION("""COMPUTED_VALUE"""),247.4)</f>
        <v>247.4</v>
      </c>
      <c r="C2171" s="1">
        <f>IFERROR(__xludf.DUMMYFUNCTION("""COMPUTED_VALUE"""),250.0)</f>
        <v>250</v>
      </c>
      <c r="D2171" s="1">
        <f>IFERROR(__xludf.DUMMYFUNCTION("""COMPUTED_VALUE"""),244.2)</f>
        <v>244.2</v>
      </c>
      <c r="E2171" s="1">
        <f>IFERROR(__xludf.DUMMYFUNCTION("""COMPUTED_VALUE"""),248.8)</f>
        <v>248.8</v>
      </c>
      <c r="F2171" s="1">
        <f>IFERROR(__xludf.DUMMYFUNCTION("""COMPUTED_VALUE"""),4362017.0)</f>
        <v>4362017</v>
      </c>
    </row>
    <row r="2172">
      <c r="A2172" s="2">
        <f>IFERROR(__xludf.DUMMYFUNCTION("""COMPUTED_VALUE"""),39706.645833333336)</f>
        <v>39706.64583</v>
      </c>
      <c r="B2172" s="1">
        <f>IFERROR(__xludf.DUMMYFUNCTION("""COMPUTED_VALUE"""),245.8)</f>
        <v>245.8</v>
      </c>
      <c r="C2172" s="1">
        <f>IFERROR(__xludf.DUMMYFUNCTION("""COMPUTED_VALUE"""),246.85)</f>
        <v>246.85</v>
      </c>
      <c r="D2172" s="1">
        <f>IFERROR(__xludf.DUMMYFUNCTION("""COMPUTED_VALUE"""),233.1)</f>
        <v>233.1</v>
      </c>
      <c r="E2172" s="1">
        <f>IFERROR(__xludf.DUMMYFUNCTION("""COMPUTED_VALUE"""),243.05)</f>
        <v>243.05</v>
      </c>
      <c r="F2172" s="1">
        <f>IFERROR(__xludf.DUMMYFUNCTION("""COMPUTED_VALUE"""),3141998.0)</f>
        <v>3141998</v>
      </c>
    </row>
    <row r="2173">
      <c r="A2173" s="2">
        <f>IFERROR(__xludf.DUMMYFUNCTION("""COMPUTED_VALUE"""),39708.645833333336)</f>
        <v>39708.64583</v>
      </c>
      <c r="B2173" s="1">
        <f>IFERROR(__xludf.DUMMYFUNCTION("""COMPUTED_VALUE"""),240.5)</f>
        <v>240.5</v>
      </c>
      <c r="C2173" s="1">
        <f>IFERROR(__xludf.DUMMYFUNCTION("""COMPUTED_VALUE"""),242.0)</f>
        <v>242</v>
      </c>
      <c r="D2173" s="1">
        <f>IFERROR(__xludf.DUMMYFUNCTION("""COMPUTED_VALUE"""),235.0)</f>
        <v>235</v>
      </c>
      <c r="E2173" s="1">
        <f>IFERROR(__xludf.DUMMYFUNCTION("""COMPUTED_VALUE"""),238.15)</f>
        <v>238.15</v>
      </c>
      <c r="F2173" s="1">
        <f>IFERROR(__xludf.DUMMYFUNCTION("""COMPUTED_VALUE"""),2624939.0)</f>
        <v>2624939</v>
      </c>
    </row>
    <row r="2174">
      <c r="A2174" s="2">
        <f>IFERROR(__xludf.DUMMYFUNCTION("""COMPUTED_VALUE"""),39709.645833333336)</f>
        <v>39709.64583</v>
      </c>
      <c r="B2174" s="1">
        <f>IFERROR(__xludf.DUMMYFUNCTION("""COMPUTED_VALUE"""),221.15)</f>
        <v>221.15</v>
      </c>
      <c r="C2174" s="1">
        <f>IFERROR(__xludf.DUMMYFUNCTION("""COMPUTED_VALUE"""),244.4)</f>
        <v>244.4</v>
      </c>
      <c r="D2174" s="1">
        <f>IFERROR(__xludf.DUMMYFUNCTION("""COMPUTED_VALUE"""),221.15)</f>
        <v>221.15</v>
      </c>
      <c r="E2174" s="1">
        <f>IFERROR(__xludf.DUMMYFUNCTION("""COMPUTED_VALUE"""),240.7)</f>
        <v>240.7</v>
      </c>
      <c r="F2174" s="1">
        <f>IFERROR(__xludf.DUMMYFUNCTION("""COMPUTED_VALUE"""),3390475.0)</f>
        <v>3390475</v>
      </c>
    </row>
    <row r="2175">
      <c r="A2175" s="2">
        <f>IFERROR(__xludf.DUMMYFUNCTION("""COMPUTED_VALUE"""),39710.645833333336)</f>
        <v>39710.64583</v>
      </c>
      <c r="B2175" s="1">
        <f>IFERROR(__xludf.DUMMYFUNCTION("""COMPUTED_VALUE"""),242.0)</f>
        <v>242</v>
      </c>
      <c r="C2175" s="1">
        <f>IFERROR(__xludf.DUMMYFUNCTION("""COMPUTED_VALUE"""),247.85)</f>
        <v>247.85</v>
      </c>
      <c r="D2175" s="1">
        <f>IFERROR(__xludf.DUMMYFUNCTION("""COMPUTED_VALUE"""),242.0)</f>
        <v>242</v>
      </c>
      <c r="E2175" s="1">
        <f>IFERROR(__xludf.DUMMYFUNCTION("""COMPUTED_VALUE"""),245.2)</f>
        <v>245.2</v>
      </c>
      <c r="F2175" s="1">
        <f>IFERROR(__xludf.DUMMYFUNCTION("""COMPUTED_VALUE"""),3217153.0)</f>
        <v>3217153</v>
      </c>
    </row>
    <row r="2176">
      <c r="A2176" s="2">
        <f>IFERROR(__xludf.DUMMYFUNCTION("""COMPUTED_VALUE"""),39713.645833333336)</f>
        <v>39713.64583</v>
      </c>
      <c r="B2176" s="1">
        <f>IFERROR(__xludf.DUMMYFUNCTION("""COMPUTED_VALUE"""),246.0)</f>
        <v>246</v>
      </c>
      <c r="C2176" s="1">
        <f>IFERROR(__xludf.DUMMYFUNCTION("""COMPUTED_VALUE"""),250.1)</f>
        <v>250.1</v>
      </c>
      <c r="D2176" s="1">
        <f>IFERROR(__xludf.DUMMYFUNCTION("""COMPUTED_VALUE"""),244.0)</f>
        <v>244</v>
      </c>
      <c r="E2176" s="1">
        <f>IFERROR(__xludf.DUMMYFUNCTION("""COMPUTED_VALUE"""),249.7)</f>
        <v>249.7</v>
      </c>
      <c r="F2176" s="1">
        <f>IFERROR(__xludf.DUMMYFUNCTION("""COMPUTED_VALUE"""),2299313.0)</f>
        <v>2299313</v>
      </c>
    </row>
    <row r="2177">
      <c r="A2177" s="2">
        <f>IFERROR(__xludf.DUMMYFUNCTION("""COMPUTED_VALUE"""),39714.645833333336)</f>
        <v>39714.64583</v>
      </c>
      <c r="B2177" s="1">
        <f>IFERROR(__xludf.DUMMYFUNCTION("""COMPUTED_VALUE"""),248.0)</f>
        <v>248</v>
      </c>
      <c r="C2177" s="1">
        <f>IFERROR(__xludf.DUMMYFUNCTION("""COMPUTED_VALUE"""),250.0)</f>
        <v>250</v>
      </c>
      <c r="D2177" s="1">
        <f>IFERROR(__xludf.DUMMYFUNCTION("""COMPUTED_VALUE"""),245.5)</f>
        <v>245.5</v>
      </c>
      <c r="E2177" s="1">
        <f>IFERROR(__xludf.DUMMYFUNCTION("""COMPUTED_VALUE"""),247.15)</f>
        <v>247.15</v>
      </c>
      <c r="F2177" s="1">
        <f>IFERROR(__xludf.DUMMYFUNCTION("""COMPUTED_VALUE"""),2410720.0)</f>
        <v>2410720</v>
      </c>
    </row>
    <row r="2178">
      <c r="A2178" s="2">
        <f>IFERROR(__xludf.DUMMYFUNCTION("""COMPUTED_VALUE"""),39715.645833333336)</f>
        <v>39715.64583</v>
      </c>
      <c r="B2178" s="1">
        <f>IFERROR(__xludf.DUMMYFUNCTION("""COMPUTED_VALUE"""),247.0)</f>
        <v>247</v>
      </c>
      <c r="C2178" s="1">
        <f>IFERROR(__xludf.DUMMYFUNCTION("""COMPUTED_VALUE"""),250.5)</f>
        <v>250.5</v>
      </c>
      <c r="D2178" s="1">
        <f>IFERROR(__xludf.DUMMYFUNCTION("""COMPUTED_VALUE"""),246.35)</f>
        <v>246.35</v>
      </c>
      <c r="E2178" s="1">
        <f>IFERROR(__xludf.DUMMYFUNCTION("""COMPUTED_VALUE"""),249.7)</f>
        <v>249.7</v>
      </c>
      <c r="F2178" s="1">
        <f>IFERROR(__xludf.DUMMYFUNCTION("""COMPUTED_VALUE"""),2477086.0)</f>
        <v>2477086</v>
      </c>
    </row>
    <row r="2179">
      <c r="A2179" s="2">
        <f>IFERROR(__xludf.DUMMYFUNCTION("""COMPUTED_VALUE"""),39716.645833333336)</f>
        <v>39716.64583</v>
      </c>
      <c r="B2179" s="1">
        <f>IFERROR(__xludf.DUMMYFUNCTION("""COMPUTED_VALUE"""),247.8)</f>
        <v>247.8</v>
      </c>
      <c r="C2179" s="1">
        <f>IFERROR(__xludf.DUMMYFUNCTION("""COMPUTED_VALUE"""),252.1)</f>
        <v>252.1</v>
      </c>
      <c r="D2179" s="1">
        <f>IFERROR(__xludf.DUMMYFUNCTION("""COMPUTED_VALUE"""),247.2)</f>
        <v>247.2</v>
      </c>
      <c r="E2179" s="1">
        <f>IFERROR(__xludf.DUMMYFUNCTION("""COMPUTED_VALUE"""),249.15)</f>
        <v>249.15</v>
      </c>
      <c r="F2179" s="1">
        <f>IFERROR(__xludf.DUMMYFUNCTION("""COMPUTED_VALUE"""),6813357.0)</f>
        <v>6813357</v>
      </c>
    </row>
    <row r="2180">
      <c r="A2180" s="2">
        <f>IFERROR(__xludf.DUMMYFUNCTION("""COMPUTED_VALUE"""),39717.645833333336)</f>
        <v>39717.64583</v>
      </c>
      <c r="B2180" s="1">
        <f>IFERROR(__xludf.DUMMYFUNCTION("""COMPUTED_VALUE"""),248.9)</f>
        <v>248.9</v>
      </c>
      <c r="C2180" s="1">
        <f>IFERROR(__xludf.DUMMYFUNCTION("""COMPUTED_VALUE"""),255.5)</f>
        <v>255.5</v>
      </c>
      <c r="D2180" s="1">
        <f>IFERROR(__xludf.DUMMYFUNCTION("""COMPUTED_VALUE"""),248.0)</f>
        <v>248</v>
      </c>
      <c r="E2180" s="1">
        <f>IFERROR(__xludf.DUMMYFUNCTION("""COMPUTED_VALUE"""),252.5)</f>
        <v>252.5</v>
      </c>
      <c r="F2180" s="1">
        <f>IFERROR(__xludf.DUMMYFUNCTION("""COMPUTED_VALUE"""),6608807.0)</f>
        <v>6608807</v>
      </c>
    </row>
    <row r="2181">
      <c r="A2181" s="2">
        <f>IFERROR(__xludf.DUMMYFUNCTION("""COMPUTED_VALUE"""),39720.645833333336)</f>
        <v>39720.64583</v>
      </c>
      <c r="B2181" s="1">
        <f>IFERROR(__xludf.DUMMYFUNCTION("""COMPUTED_VALUE"""),252.5)</f>
        <v>252.5</v>
      </c>
      <c r="C2181" s="1">
        <f>IFERROR(__xludf.DUMMYFUNCTION("""COMPUTED_VALUE"""),265.5)</f>
        <v>265.5</v>
      </c>
      <c r="D2181" s="1">
        <f>IFERROR(__xludf.DUMMYFUNCTION("""COMPUTED_VALUE"""),249.1)</f>
        <v>249.1</v>
      </c>
      <c r="E2181" s="1">
        <f>IFERROR(__xludf.DUMMYFUNCTION("""COMPUTED_VALUE"""),254.65)</f>
        <v>254.65</v>
      </c>
      <c r="F2181" s="1">
        <f>IFERROR(__xludf.DUMMYFUNCTION("""COMPUTED_VALUE"""),7205805.0)</f>
        <v>7205805</v>
      </c>
    </row>
    <row r="2182">
      <c r="A2182" s="2">
        <f>IFERROR(__xludf.DUMMYFUNCTION("""COMPUTED_VALUE"""),39721.645833333336)</f>
        <v>39721.64583</v>
      </c>
      <c r="B2182" s="1">
        <f>IFERROR(__xludf.DUMMYFUNCTION("""COMPUTED_VALUE"""),250.0)</f>
        <v>250</v>
      </c>
      <c r="C2182" s="1">
        <f>IFERROR(__xludf.DUMMYFUNCTION("""COMPUTED_VALUE"""),254.95)</f>
        <v>254.95</v>
      </c>
      <c r="D2182" s="1">
        <f>IFERROR(__xludf.DUMMYFUNCTION("""COMPUTED_VALUE"""),247.7)</f>
        <v>247.7</v>
      </c>
      <c r="E2182" s="1">
        <f>IFERROR(__xludf.DUMMYFUNCTION("""COMPUTED_VALUE"""),252.25)</f>
        <v>252.25</v>
      </c>
      <c r="F2182" s="1">
        <f>IFERROR(__xludf.DUMMYFUNCTION("""COMPUTED_VALUE"""),7316002.0)</f>
        <v>7316002</v>
      </c>
    </row>
    <row r="2183">
      <c r="A2183" s="2">
        <f>IFERROR(__xludf.DUMMYFUNCTION("""COMPUTED_VALUE"""),39722.645833333336)</f>
        <v>39722.64583</v>
      </c>
      <c r="B2183" s="1">
        <f>IFERROR(__xludf.DUMMYFUNCTION("""COMPUTED_VALUE"""),255.0)</f>
        <v>255</v>
      </c>
      <c r="C2183" s="1">
        <f>IFERROR(__xludf.DUMMYFUNCTION("""COMPUTED_VALUE"""),259.75)</f>
        <v>259.75</v>
      </c>
      <c r="D2183" s="1">
        <f>IFERROR(__xludf.DUMMYFUNCTION("""COMPUTED_VALUE"""),251.0)</f>
        <v>251</v>
      </c>
      <c r="E2183" s="1">
        <f>IFERROR(__xludf.DUMMYFUNCTION("""COMPUTED_VALUE"""),254.35)</f>
        <v>254.35</v>
      </c>
      <c r="F2183" s="1">
        <f>IFERROR(__xludf.DUMMYFUNCTION("""COMPUTED_VALUE"""),3950809.0)</f>
        <v>3950809</v>
      </c>
    </row>
    <row r="2184">
      <c r="A2184" s="2">
        <f>IFERROR(__xludf.DUMMYFUNCTION("""COMPUTED_VALUE"""),39724.645833333336)</f>
        <v>39724.64583</v>
      </c>
      <c r="B2184" s="1">
        <f>IFERROR(__xludf.DUMMYFUNCTION("""COMPUTED_VALUE"""),251.5)</f>
        <v>251.5</v>
      </c>
      <c r="C2184" s="1">
        <f>IFERROR(__xludf.DUMMYFUNCTION("""COMPUTED_VALUE"""),259.75)</f>
        <v>259.75</v>
      </c>
      <c r="D2184" s="1">
        <f>IFERROR(__xludf.DUMMYFUNCTION("""COMPUTED_VALUE"""),249.5)</f>
        <v>249.5</v>
      </c>
      <c r="E2184" s="1">
        <f>IFERROR(__xludf.DUMMYFUNCTION("""COMPUTED_VALUE"""),256.7)</f>
        <v>256.7</v>
      </c>
      <c r="F2184" s="1">
        <f>IFERROR(__xludf.DUMMYFUNCTION("""COMPUTED_VALUE"""),3836502.0)</f>
        <v>3836502</v>
      </c>
    </row>
    <row r="2185">
      <c r="A2185" s="2">
        <f>IFERROR(__xludf.DUMMYFUNCTION("""COMPUTED_VALUE"""),39727.645833333336)</f>
        <v>39727.64583</v>
      </c>
      <c r="B2185" s="1">
        <f>IFERROR(__xludf.DUMMYFUNCTION("""COMPUTED_VALUE"""),255.0)</f>
        <v>255</v>
      </c>
      <c r="C2185" s="1">
        <f>IFERROR(__xludf.DUMMYFUNCTION("""COMPUTED_VALUE"""),258.95)</f>
        <v>258.95</v>
      </c>
      <c r="D2185" s="1">
        <f>IFERROR(__xludf.DUMMYFUNCTION("""COMPUTED_VALUE"""),247.6)</f>
        <v>247.6</v>
      </c>
      <c r="E2185" s="1">
        <f>IFERROR(__xludf.DUMMYFUNCTION("""COMPUTED_VALUE"""),249.55)</f>
        <v>249.55</v>
      </c>
      <c r="F2185" s="1">
        <f>IFERROR(__xludf.DUMMYFUNCTION("""COMPUTED_VALUE"""),3810948.0)</f>
        <v>3810948</v>
      </c>
    </row>
    <row r="2186">
      <c r="A2186" s="2">
        <f>IFERROR(__xludf.DUMMYFUNCTION("""COMPUTED_VALUE"""),39728.645833333336)</f>
        <v>39728.64583</v>
      </c>
      <c r="B2186" s="1">
        <f>IFERROR(__xludf.DUMMYFUNCTION("""COMPUTED_VALUE"""),251.0)</f>
        <v>251</v>
      </c>
      <c r="C2186" s="1">
        <f>IFERROR(__xludf.DUMMYFUNCTION("""COMPUTED_VALUE"""),254.9)</f>
        <v>254.9</v>
      </c>
      <c r="D2186" s="1">
        <f>IFERROR(__xludf.DUMMYFUNCTION("""COMPUTED_VALUE"""),241.8)</f>
        <v>241.8</v>
      </c>
      <c r="E2186" s="1">
        <f>IFERROR(__xludf.DUMMYFUNCTION("""COMPUTED_VALUE"""),249.3)</f>
        <v>249.3</v>
      </c>
      <c r="F2186" s="1">
        <f>IFERROR(__xludf.DUMMYFUNCTION("""COMPUTED_VALUE"""),4940607.0)</f>
        <v>4940607</v>
      </c>
    </row>
    <row r="2187">
      <c r="A2187" s="2">
        <f>IFERROR(__xludf.DUMMYFUNCTION("""COMPUTED_VALUE"""),39729.645833333336)</f>
        <v>39729.64583</v>
      </c>
      <c r="B2187" s="1">
        <f>IFERROR(__xludf.DUMMYFUNCTION("""COMPUTED_VALUE"""),250.25)</f>
        <v>250.25</v>
      </c>
      <c r="C2187" s="1">
        <f>IFERROR(__xludf.DUMMYFUNCTION("""COMPUTED_VALUE"""),250.25)</f>
        <v>250.25</v>
      </c>
      <c r="D2187" s="1">
        <f>IFERROR(__xludf.DUMMYFUNCTION("""COMPUTED_VALUE"""),232.8)</f>
        <v>232.8</v>
      </c>
      <c r="E2187" s="1">
        <f>IFERROR(__xludf.DUMMYFUNCTION("""COMPUTED_VALUE"""),238.15)</f>
        <v>238.15</v>
      </c>
      <c r="F2187" s="1">
        <f>IFERROR(__xludf.DUMMYFUNCTION("""COMPUTED_VALUE"""),6977076.0)</f>
        <v>6977076</v>
      </c>
    </row>
    <row r="2188">
      <c r="A2188" s="2">
        <f>IFERROR(__xludf.DUMMYFUNCTION("""COMPUTED_VALUE"""),39731.645833333336)</f>
        <v>39731.64583</v>
      </c>
      <c r="B2188" s="1">
        <f>IFERROR(__xludf.DUMMYFUNCTION("""COMPUTED_VALUE"""),235.0)</f>
        <v>235</v>
      </c>
      <c r="C2188" s="1">
        <f>IFERROR(__xludf.DUMMYFUNCTION("""COMPUTED_VALUE"""),235.0)</f>
        <v>235</v>
      </c>
      <c r="D2188" s="1">
        <f>IFERROR(__xludf.DUMMYFUNCTION("""COMPUTED_VALUE"""),217.5)</f>
        <v>217.5</v>
      </c>
      <c r="E2188" s="1">
        <f>IFERROR(__xludf.DUMMYFUNCTION("""COMPUTED_VALUE"""),221.85)</f>
        <v>221.85</v>
      </c>
      <c r="F2188" s="1">
        <f>IFERROR(__xludf.DUMMYFUNCTION("""COMPUTED_VALUE"""),1.1154702E7)</f>
        <v>11154702</v>
      </c>
    </row>
    <row r="2189">
      <c r="A2189" s="2">
        <f>IFERROR(__xludf.DUMMYFUNCTION("""COMPUTED_VALUE"""),39734.645833333336)</f>
        <v>39734.64583</v>
      </c>
      <c r="B2189" s="1">
        <f>IFERROR(__xludf.DUMMYFUNCTION("""COMPUTED_VALUE"""),222.0)</f>
        <v>222</v>
      </c>
      <c r="C2189" s="1">
        <f>IFERROR(__xludf.DUMMYFUNCTION("""COMPUTED_VALUE"""),236.75)</f>
        <v>236.75</v>
      </c>
      <c r="D2189" s="1">
        <f>IFERROR(__xludf.DUMMYFUNCTION("""COMPUTED_VALUE"""),216.5)</f>
        <v>216.5</v>
      </c>
      <c r="E2189" s="1">
        <f>IFERROR(__xludf.DUMMYFUNCTION("""COMPUTED_VALUE"""),231.0)</f>
        <v>231</v>
      </c>
      <c r="F2189" s="1">
        <f>IFERROR(__xludf.DUMMYFUNCTION("""COMPUTED_VALUE"""),6512211.0)</f>
        <v>6512211</v>
      </c>
    </row>
    <row r="2190">
      <c r="A2190" s="2">
        <f>IFERROR(__xludf.DUMMYFUNCTION("""COMPUTED_VALUE"""),39735.645833333336)</f>
        <v>39735.64583</v>
      </c>
      <c r="B2190" s="1">
        <f>IFERROR(__xludf.DUMMYFUNCTION("""COMPUTED_VALUE"""),239.0)</f>
        <v>239</v>
      </c>
      <c r="C2190" s="1">
        <f>IFERROR(__xludf.DUMMYFUNCTION("""COMPUTED_VALUE"""),243.65)</f>
        <v>243.65</v>
      </c>
      <c r="D2190" s="1">
        <f>IFERROR(__xludf.DUMMYFUNCTION("""COMPUTED_VALUE"""),233.35)</f>
        <v>233.35</v>
      </c>
      <c r="E2190" s="1">
        <f>IFERROR(__xludf.DUMMYFUNCTION("""COMPUTED_VALUE"""),238.8)</f>
        <v>238.8</v>
      </c>
      <c r="F2190" s="1">
        <f>IFERROR(__xludf.DUMMYFUNCTION("""COMPUTED_VALUE"""),4859395.0)</f>
        <v>4859395</v>
      </c>
    </row>
    <row r="2191">
      <c r="A2191" s="2">
        <f>IFERROR(__xludf.DUMMYFUNCTION("""COMPUTED_VALUE"""),39736.645833333336)</f>
        <v>39736.64583</v>
      </c>
      <c r="B2191" s="1">
        <f>IFERROR(__xludf.DUMMYFUNCTION("""COMPUTED_VALUE"""),239.95)</f>
        <v>239.95</v>
      </c>
      <c r="C2191" s="1">
        <f>IFERROR(__xludf.DUMMYFUNCTION("""COMPUTED_VALUE"""),240.9)</f>
        <v>240.9</v>
      </c>
      <c r="D2191" s="1">
        <f>IFERROR(__xludf.DUMMYFUNCTION("""COMPUTED_VALUE"""),228.75)</f>
        <v>228.75</v>
      </c>
      <c r="E2191" s="1">
        <f>IFERROR(__xludf.DUMMYFUNCTION("""COMPUTED_VALUE"""),231.35)</f>
        <v>231.35</v>
      </c>
      <c r="F2191" s="1">
        <f>IFERROR(__xludf.DUMMYFUNCTION("""COMPUTED_VALUE"""),5185186.0)</f>
        <v>5185186</v>
      </c>
    </row>
    <row r="2192">
      <c r="A2192" s="2">
        <f>IFERROR(__xludf.DUMMYFUNCTION("""COMPUTED_VALUE"""),39737.645833333336)</f>
        <v>39737.64583</v>
      </c>
      <c r="B2192" s="1">
        <f>IFERROR(__xludf.DUMMYFUNCTION("""COMPUTED_VALUE"""),225.0)</f>
        <v>225</v>
      </c>
      <c r="C2192" s="1">
        <f>IFERROR(__xludf.DUMMYFUNCTION("""COMPUTED_VALUE"""),251.1)</f>
        <v>251.1</v>
      </c>
      <c r="D2192" s="1">
        <f>IFERROR(__xludf.DUMMYFUNCTION("""COMPUTED_VALUE"""),223.05)</f>
        <v>223.05</v>
      </c>
      <c r="E2192" s="1">
        <f>IFERROR(__xludf.DUMMYFUNCTION("""COMPUTED_VALUE"""),247.55)</f>
        <v>247.55</v>
      </c>
      <c r="F2192" s="1">
        <f>IFERROR(__xludf.DUMMYFUNCTION("""COMPUTED_VALUE"""),1.040343E7)</f>
        <v>10403430</v>
      </c>
    </row>
    <row r="2193">
      <c r="A2193" s="2">
        <f>IFERROR(__xludf.DUMMYFUNCTION("""COMPUTED_VALUE"""),39738.645833333336)</f>
        <v>39738.64583</v>
      </c>
      <c r="B2193" s="1">
        <f>IFERROR(__xludf.DUMMYFUNCTION("""COMPUTED_VALUE"""),247.5)</f>
        <v>247.5</v>
      </c>
      <c r="C2193" s="1">
        <f>IFERROR(__xludf.DUMMYFUNCTION("""COMPUTED_VALUE"""),250.65)</f>
        <v>250.65</v>
      </c>
      <c r="D2193" s="1">
        <f>IFERROR(__xludf.DUMMYFUNCTION("""COMPUTED_VALUE"""),239.05)</f>
        <v>239.05</v>
      </c>
      <c r="E2193" s="1">
        <f>IFERROR(__xludf.DUMMYFUNCTION("""COMPUTED_VALUE"""),241.55)</f>
        <v>241.55</v>
      </c>
      <c r="F2193" s="1">
        <f>IFERROR(__xludf.DUMMYFUNCTION("""COMPUTED_VALUE"""),3883445.0)</f>
        <v>3883445</v>
      </c>
    </row>
    <row r="2194">
      <c r="A2194" s="2">
        <f>IFERROR(__xludf.DUMMYFUNCTION("""COMPUTED_VALUE"""),39741.645833333336)</f>
        <v>39741.64583</v>
      </c>
      <c r="B2194" s="1">
        <f>IFERROR(__xludf.DUMMYFUNCTION("""COMPUTED_VALUE"""),241.5)</f>
        <v>241.5</v>
      </c>
      <c r="C2194" s="1">
        <f>IFERROR(__xludf.DUMMYFUNCTION("""COMPUTED_VALUE"""),251.0)</f>
        <v>251</v>
      </c>
      <c r="D2194" s="1">
        <f>IFERROR(__xludf.DUMMYFUNCTION("""COMPUTED_VALUE"""),237.3)</f>
        <v>237.3</v>
      </c>
      <c r="E2194" s="1">
        <f>IFERROR(__xludf.DUMMYFUNCTION("""COMPUTED_VALUE"""),239.3)</f>
        <v>239.3</v>
      </c>
      <c r="F2194" s="1">
        <f>IFERROR(__xludf.DUMMYFUNCTION("""COMPUTED_VALUE"""),4062920.0)</f>
        <v>4062920</v>
      </c>
    </row>
    <row r="2195">
      <c r="A2195" s="2">
        <f>IFERROR(__xludf.DUMMYFUNCTION("""COMPUTED_VALUE"""),39742.645833333336)</f>
        <v>39742.64583</v>
      </c>
      <c r="B2195" s="1">
        <f>IFERROR(__xludf.DUMMYFUNCTION("""COMPUTED_VALUE"""),241.0)</f>
        <v>241</v>
      </c>
      <c r="C2195" s="1">
        <f>IFERROR(__xludf.DUMMYFUNCTION("""COMPUTED_VALUE"""),254.9)</f>
        <v>254.9</v>
      </c>
      <c r="D2195" s="1">
        <f>IFERROR(__xludf.DUMMYFUNCTION("""COMPUTED_VALUE"""),239.5)</f>
        <v>239.5</v>
      </c>
      <c r="E2195" s="1">
        <f>IFERROR(__xludf.DUMMYFUNCTION("""COMPUTED_VALUE"""),250.3)</f>
        <v>250.3</v>
      </c>
      <c r="F2195" s="1">
        <f>IFERROR(__xludf.DUMMYFUNCTION("""COMPUTED_VALUE"""),1.1428728E7)</f>
        <v>11428728</v>
      </c>
    </row>
    <row r="2196">
      <c r="A2196" s="2">
        <f>IFERROR(__xludf.DUMMYFUNCTION("""COMPUTED_VALUE"""),39743.645833333336)</f>
        <v>39743.64583</v>
      </c>
      <c r="B2196" s="1">
        <f>IFERROR(__xludf.DUMMYFUNCTION("""COMPUTED_VALUE"""),251.0)</f>
        <v>251</v>
      </c>
      <c r="C2196" s="1">
        <f>IFERROR(__xludf.DUMMYFUNCTION("""COMPUTED_VALUE"""),256.7)</f>
        <v>256.7</v>
      </c>
      <c r="D2196" s="1">
        <f>IFERROR(__xludf.DUMMYFUNCTION("""COMPUTED_VALUE"""),247.5)</f>
        <v>247.5</v>
      </c>
      <c r="E2196" s="1">
        <f>IFERROR(__xludf.DUMMYFUNCTION("""COMPUTED_VALUE"""),252.0)</f>
        <v>252</v>
      </c>
      <c r="F2196" s="1">
        <f>IFERROR(__xludf.DUMMYFUNCTION("""COMPUTED_VALUE"""),5239908.0)</f>
        <v>5239908</v>
      </c>
    </row>
    <row r="2197">
      <c r="A2197" s="2">
        <f>IFERROR(__xludf.DUMMYFUNCTION("""COMPUTED_VALUE"""),39744.645833333336)</f>
        <v>39744.64583</v>
      </c>
      <c r="B2197" s="1">
        <f>IFERROR(__xludf.DUMMYFUNCTION("""COMPUTED_VALUE"""),246.0)</f>
        <v>246</v>
      </c>
      <c r="C2197" s="1">
        <f>IFERROR(__xludf.DUMMYFUNCTION("""COMPUTED_VALUE"""),252.75)</f>
        <v>252.75</v>
      </c>
      <c r="D2197" s="1">
        <f>IFERROR(__xludf.DUMMYFUNCTION("""COMPUTED_VALUE"""),240.0)</f>
        <v>240</v>
      </c>
      <c r="E2197" s="1">
        <f>IFERROR(__xludf.DUMMYFUNCTION("""COMPUTED_VALUE"""),241.75)</f>
        <v>241.75</v>
      </c>
      <c r="F2197" s="1">
        <f>IFERROR(__xludf.DUMMYFUNCTION("""COMPUTED_VALUE"""),5683624.0)</f>
        <v>5683624</v>
      </c>
    </row>
    <row r="2198">
      <c r="A2198" s="2">
        <f>IFERROR(__xludf.DUMMYFUNCTION("""COMPUTED_VALUE"""),39745.645833333336)</f>
        <v>39745.64583</v>
      </c>
      <c r="B2198" s="1">
        <f>IFERROR(__xludf.DUMMYFUNCTION("""COMPUTED_VALUE"""),245.8)</f>
        <v>245.8</v>
      </c>
      <c r="C2198" s="1">
        <f>IFERROR(__xludf.DUMMYFUNCTION("""COMPUTED_VALUE"""),247.5)</f>
        <v>247.5</v>
      </c>
      <c r="D2198" s="1">
        <f>IFERROR(__xludf.DUMMYFUNCTION("""COMPUTED_VALUE"""),220.55)</f>
        <v>220.55</v>
      </c>
      <c r="E2198" s="1">
        <f>IFERROR(__xludf.DUMMYFUNCTION("""COMPUTED_VALUE"""),226.45)</f>
        <v>226.45</v>
      </c>
      <c r="F2198" s="1">
        <f>IFERROR(__xludf.DUMMYFUNCTION("""COMPUTED_VALUE"""),7727325.0)</f>
        <v>7727325</v>
      </c>
    </row>
    <row r="2199">
      <c r="A2199" s="2">
        <f>IFERROR(__xludf.DUMMYFUNCTION("""COMPUTED_VALUE"""),39748.645833333336)</f>
        <v>39748.64583</v>
      </c>
      <c r="B2199" s="1">
        <f>IFERROR(__xludf.DUMMYFUNCTION("""COMPUTED_VALUE"""),223.0)</f>
        <v>223</v>
      </c>
      <c r="C2199" s="1">
        <f>IFERROR(__xludf.DUMMYFUNCTION("""COMPUTED_VALUE"""),226.0)</f>
        <v>226</v>
      </c>
      <c r="D2199" s="1">
        <f>IFERROR(__xludf.DUMMYFUNCTION("""COMPUTED_VALUE"""),185.1)</f>
        <v>185.1</v>
      </c>
      <c r="E2199" s="1">
        <f>IFERROR(__xludf.DUMMYFUNCTION("""COMPUTED_VALUE"""),211.65)</f>
        <v>211.65</v>
      </c>
      <c r="F2199" s="1">
        <f>IFERROR(__xludf.DUMMYFUNCTION("""COMPUTED_VALUE"""),1.1233021E7)</f>
        <v>11233021</v>
      </c>
    </row>
    <row r="2200">
      <c r="A2200" s="2">
        <f>IFERROR(__xludf.DUMMYFUNCTION("""COMPUTED_VALUE"""),39750.645833333336)</f>
        <v>39750.64583</v>
      </c>
      <c r="B2200" s="1">
        <f>IFERROR(__xludf.DUMMYFUNCTION("""COMPUTED_VALUE"""),220.0)</f>
        <v>220</v>
      </c>
      <c r="C2200" s="1">
        <f>IFERROR(__xludf.DUMMYFUNCTION("""COMPUTED_VALUE"""),224.9)</f>
        <v>224.9</v>
      </c>
      <c r="D2200" s="1">
        <f>IFERROR(__xludf.DUMMYFUNCTION("""COMPUTED_VALUE"""),200.7)</f>
        <v>200.7</v>
      </c>
      <c r="E2200" s="1">
        <f>IFERROR(__xludf.DUMMYFUNCTION("""COMPUTED_VALUE"""),207.4)</f>
        <v>207.4</v>
      </c>
      <c r="F2200" s="1">
        <f>IFERROR(__xludf.DUMMYFUNCTION("""COMPUTED_VALUE"""),1.2965835E7)</f>
        <v>12965835</v>
      </c>
    </row>
    <row r="2201">
      <c r="A2201" s="2">
        <f>IFERROR(__xludf.DUMMYFUNCTION("""COMPUTED_VALUE"""),39752.645833333336)</f>
        <v>39752.64583</v>
      </c>
      <c r="B2201" s="1">
        <f>IFERROR(__xludf.DUMMYFUNCTION("""COMPUTED_VALUE"""),209.4)</f>
        <v>209.4</v>
      </c>
      <c r="C2201" s="1">
        <f>IFERROR(__xludf.DUMMYFUNCTION("""COMPUTED_VALUE"""),227.0)</f>
        <v>227</v>
      </c>
      <c r="D2201" s="1">
        <f>IFERROR(__xludf.DUMMYFUNCTION("""COMPUTED_VALUE"""),209.4)</f>
        <v>209.4</v>
      </c>
      <c r="E2201" s="1">
        <f>IFERROR(__xludf.DUMMYFUNCTION("""COMPUTED_VALUE"""),221.75)</f>
        <v>221.75</v>
      </c>
      <c r="F2201" s="1">
        <f>IFERROR(__xludf.DUMMYFUNCTION("""COMPUTED_VALUE"""),7595819.0)</f>
        <v>7595819</v>
      </c>
    </row>
    <row r="2202">
      <c r="A2202" s="2">
        <f>IFERROR(__xludf.DUMMYFUNCTION("""COMPUTED_VALUE"""),39755.645833333336)</f>
        <v>39755.64583</v>
      </c>
      <c r="B2202" s="1">
        <f>IFERROR(__xludf.DUMMYFUNCTION("""COMPUTED_VALUE"""),225.4)</f>
        <v>225.4</v>
      </c>
      <c r="C2202" s="1">
        <f>IFERROR(__xludf.DUMMYFUNCTION("""COMPUTED_VALUE"""),241.5)</f>
        <v>241.5</v>
      </c>
      <c r="D2202" s="1">
        <f>IFERROR(__xludf.DUMMYFUNCTION("""COMPUTED_VALUE"""),225.1)</f>
        <v>225.1</v>
      </c>
      <c r="E2202" s="1">
        <f>IFERROR(__xludf.DUMMYFUNCTION("""COMPUTED_VALUE"""),237.35)</f>
        <v>237.35</v>
      </c>
      <c r="F2202" s="1">
        <f>IFERROR(__xludf.DUMMYFUNCTION("""COMPUTED_VALUE"""),3159183.0)</f>
        <v>3159183</v>
      </c>
    </row>
    <row r="2203">
      <c r="A2203" s="2">
        <f>IFERROR(__xludf.DUMMYFUNCTION("""COMPUTED_VALUE"""),39756.645833333336)</f>
        <v>39756.64583</v>
      </c>
      <c r="B2203" s="1">
        <f>IFERROR(__xludf.DUMMYFUNCTION("""COMPUTED_VALUE"""),240.0)</f>
        <v>240</v>
      </c>
      <c r="C2203" s="1">
        <f>IFERROR(__xludf.DUMMYFUNCTION("""COMPUTED_VALUE"""),249.0)</f>
        <v>249</v>
      </c>
      <c r="D2203" s="1">
        <f>IFERROR(__xludf.DUMMYFUNCTION("""COMPUTED_VALUE"""),237.0)</f>
        <v>237</v>
      </c>
      <c r="E2203" s="1">
        <f>IFERROR(__xludf.DUMMYFUNCTION("""COMPUTED_VALUE"""),247.25)</f>
        <v>247.25</v>
      </c>
      <c r="F2203" s="1">
        <f>IFERROR(__xludf.DUMMYFUNCTION("""COMPUTED_VALUE"""),3528481.0)</f>
        <v>3528481</v>
      </c>
    </row>
    <row r="2204">
      <c r="A2204" s="2">
        <f>IFERROR(__xludf.DUMMYFUNCTION("""COMPUTED_VALUE"""),39757.645833333336)</f>
        <v>39757.64583</v>
      </c>
      <c r="B2204" s="1">
        <f>IFERROR(__xludf.DUMMYFUNCTION("""COMPUTED_VALUE"""),250.0)</f>
        <v>250</v>
      </c>
      <c r="C2204" s="1">
        <f>IFERROR(__xludf.DUMMYFUNCTION("""COMPUTED_VALUE"""),251.65)</f>
        <v>251.65</v>
      </c>
      <c r="D2204" s="1">
        <f>IFERROR(__xludf.DUMMYFUNCTION("""COMPUTED_VALUE"""),233.55)</f>
        <v>233.55</v>
      </c>
      <c r="E2204" s="1">
        <f>IFERROR(__xludf.DUMMYFUNCTION("""COMPUTED_VALUE"""),238.85)</f>
        <v>238.85</v>
      </c>
      <c r="F2204" s="1">
        <f>IFERROR(__xludf.DUMMYFUNCTION("""COMPUTED_VALUE"""),5994909.0)</f>
        <v>5994909</v>
      </c>
    </row>
    <row r="2205">
      <c r="A2205" s="2">
        <f>IFERROR(__xludf.DUMMYFUNCTION("""COMPUTED_VALUE"""),39758.645833333336)</f>
        <v>39758.64583</v>
      </c>
      <c r="B2205" s="1">
        <f>IFERROR(__xludf.DUMMYFUNCTION("""COMPUTED_VALUE"""),230.15)</f>
        <v>230.15</v>
      </c>
      <c r="C2205" s="1">
        <f>IFERROR(__xludf.DUMMYFUNCTION("""COMPUTED_VALUE"""),248.35)</f>
        <v>248.35</v>
      </c>
      <c r="D2205" s="1">
        <f>IFERROR(__xludf.DUMMYFUNCTION("""COMPUTED_VALUE"""),230.15)</f>
        <v>230.15</v>
      </c>
      <c r="E2205" s="1">
        <f>IFERROR(__xludf.DUMMYFUNCTION("""COMPUTED_VALUE"""),244.95)</f>
        <v>244.95</v>
      </c>
      <c r="F2205" s="1">
        <f>IFERROR(__xludf.DUMMYFUNCTION("""COMPUTED_VALUE"""),4246187.0)</f>
        <v>4246187</v>
      </c>
    </row>
    <row r="2206">
      <c r="A2206" s="2">
        <f>IFERROR(__xludf.DUMMYFUNCTION("""COMPUTED_VALUE"""),39759.645833333336)</f>
        <v>39759.64583</v>
      </c>
      <c r="B2206" s="1">
        <f>IFERROR(__xludf.DUMMYFUNCTION("""COMPUTED_VALUE"""),240.0)</f>
        <v>240</v>
      </c>
      <c r="C2206" s="1">
        <f>IFERROR(__xludf.DUMMYFUNCTION("""COMPUTED_VALUE"""),252.5)</f>
        <v>252.5</v>
      </c>
      <c r="D2206" s="1">
        <f>IFERROR(__xludf.DUMMYFUNCTION("""COMPUTED_VALUE"""),240.0)</f>
        <v>240</v>
      </c>
      <c r="E2206" s="1">
        <f>IFERROR(__xludf.DUMMYFUNCTION("""COMPUTED_VALUE"""),249.7)</f>
        <v>249.7</v>
      </c>
      <c r="F2206" s="1">
        <f>IFERROR(__xludf.DUMMYFUNCTION("""COMPUTED_VALUE"""),3319447.0)</f>
        <v>3319447</v>
      </c>
    </row>
    <row r="2207">
      <c r="A2207" s="2">
        <f>IFERROR(__xludf.DUMMYFUNCTION("""COMPUTED_VALUE"""),39762.645833333336)</f>
        <v>39762.64583</v>
      </c>
      <c r="B2207" s="1">
        <f>IFERROR(__xludf.DUMMYFUNCTION("""COMPUTED_VALUE"""),251.75)</f>
        <v>251.75</v>
      </c>
      <c r="C2207" s="1">
        <f>IFERROR(__xludf.DUMMYFUNCTION("""COMPUTED_VALUE"""),254.0)</f>
        <v>254</v>
      </c>
      <c r="D2207" s="1">
        <f>IFERROR(__xludf.DUMMYFUNCTION("""COMPUTED_VALUE"""),249.5)</f>
        <v>249.5</v>
      </c>
      <c r="E2207" s="1">
        <f>IFERROR(__xludf.DUMMYFUNCTION("""COMPUTED_VALUE"""),251.5)</f>
        <v>251.5</v>
      </c>
      <c r="F2207" s="1">
        <f>IFERROR(__xludf.DUMMYFUNCTION("""COMPUTED_VALUE"""),2836170.0)</f>
        <v>2836170</v>
      </c>
    </row>
    <row r="2208">
      <c r="A2208" s="2">
        <f>IFERROR(__xludf.DUMMYFUNCTION("""COMPUTED_VALUE"""),39763.645833333336)</f>
        <v>39763.64583</v>
      </c>
      <c r="B2208" s="1">
        <f>IFERROR(__xludf.DUMMYFUNCTION("""COMPUTED_VALUE"""),250.0)</f>
        <v>250</v>
      </c>
      <c r="C2208" s="1">
        <f>IFERROR(__xludf.DUMMYFUNCTION("""COMPUTED_VALUE"""),255.95)</f>
        <v>255.95</v>
      </c>
      <c r="D2208" s="1">
        <f>IFERROR(__xludf.DUMMYFUNCTION("""COMPUTED_VALUE"""),243.5)</f>
        <v>243.5</v>
      </c>
      <c r="E2208" s="1">
        <f>IFERROR(__xludf.DUMMYFUNCTION("""COMPUTED_VALUE"""),246.9)</f>
        <v>246.9</v>
      </c>
      <c r="F2208" s="1">
        <f>IFERROR(__xludf.DUMMYFUNCTION("""COMPUTED_VALUE"""),2508046.0)</f>
        <v>2508046</v>
      </c>
    </row>
    <row r="2209">
      <c r="A2209" s="2">
        <f>IFERROR(__xludf.DUMMYFUNCTION("""COMPUTED_VALUE"""),39764.645833333336)</f>
        <v>39764.64583</v>
      </c>
      <c r="B2209" s="1">
        <f>IFERROR(__xludf.DUMMYFUNCTION("""COMPUTED_VALUE"""),246.5)</f>
        <v>246.5</v>
      </c>
      <c r="C2209" s="1">
        <f>IFERROR(__xludf.DUMMYFUNCTION("""COMPUTED_VALUE"""),248.5)</f>
        <v>248.5</v>
      </c>
      <c r="D2209" s="1">
        <f>IFERROR(__xludf.DUMMYFUNCTION("""COMPUTED_VALUE"""),230.6)</f>
        <v>230.6</v>
      </c>
      <c r="E2209" s="1">
        <f>IFERROR(__xludf.DUMMYFUNCTION("""COMPUTED_VALUE"""),234.55)</f>
        <v>234.55</v>
      </c>
      <c r="F2209" s="1">
        <f>IFERROR(__xludf.DUMMYFUNCTION("""COMPUTED_VALUE"""),3491172.0)</f>
        <v>3491172</v>
      </c>
    </row>
    <row r="2210">
      <c r="A2210" s="2">
        <f>IFERROR(__xludf.DUMMYFUNCTION("""COMPUTED_VALUE"""),39766.645833333336)</f>
        <v>39766.64583</v>
      </c>
      <c r="B2210" s="1">
        <f>IFERROR(__xludf.DUMMYFUNCTION("""COMPUTED_VALUE"""),237.6)</f>
        <v>237.6</v>
      </c>
      <c r="C2210" s="1">
        <f>IFERROR(__xludf.DUMMYFUNCTION("""COMPUTED_VALUE"""),237.6)</f>
        <v>237.6</v>
      </c>
      <c r="D2210" s="1">
        <f>IFERROR(__xludf.DUMMYFUNCTION("""COMPUTED_VALUE"""),230.65)</f>
        <v>230.65</v>
      </c>
      <c r="E2210" s="1">
        <f>IFERROR(__xludf.DUMMYFUNCTION("""COMPUTED_VALUE"""),234.65)</f>
        <v>234.65</v>
      </c>
      <c r="F2210" s="1">
        <f>IFERROR(__xludf.DUMMYFUNCTION("""COMPUTED_VALUE"""),4264258.0)</f>
        <v>4264258</v>
      </c>
    </row>
    <row r="2211">
      <c r="A2211" s="2">
        <f>IFERROR(__xludf.DUMMYFUNCTION("""COMPUTED_VALUE"""),39769.645833333336)</f>
        <v>39769.64583</v>
      </c>
      <c r="B2211" s="1">
        <f>IFERROR(__xludf.DUMMYFUNCTION("""COMPUTED_VALUE"""),235.0)</f>
        <v>235</v>
      </c>
      <c r="C2211" s="1">
        <f>IFERROR(__xludf.DUMMYFUNCTION("""COMPUTED_VALUE"""),236.4)</f>
        <v>236.4</v>
      </c>
      <c r="D2211" s="1">
        <f>IFERROR(__xludf.DUMMYFUNCTION("""COMPUTED_VALUE"""),230.0)</f>
        <v>230</v>
      </c>
      <c r="E2211" s="1">
        <f>IFERROR(__xludf.DUMMYFUNCTION("""COMPUTED_VALUE"""),235.55)</f>
        <v>235.55</v>
      </c>
      <c r="F2211" s="1">
        <f>IFERROR(__xludf.DUMMYFUNCTION("""COMPUTED_VALUE"""),5952608.0)</f>
        <v>5952608</v>
      </c>
    </row>
    <row r="2212">
      <c r="A2212" s="2">
        <f>IFERROR(__xludf.DUMMYFUNCTION("""COMPUTED_VALUE"""),39770.645833333336)</f>
        <v>39770.64583</v>
      </c>
      <c r="B2212" s="1">
        <f>IFERROR(__xludf.DUMMYFUNCTION("""COMPUTED_VALUE"""),235.4)</f>
        <v>235.4</v>
      </c>
      <c r="C2212" s="1">
        <f>IFERROR(__xludf.DUMMYFUNCTION("""COMPUTED_VALUE"""),236.0)</f>
        <v>236</v>
      </c>
      <c r="D2212" s="1">
        <f>IFERROR(__xludf.DUMMYFUNCTION("""COMPUTED_VALUE"""),231.15)</f>
        <v>231.15</v>
      </c>
      <c r="E2212" s="1">
        <f>IFERROR(__xludf.DUMMYFUNCTION("""COMPUTED_VALUE"""),235.1)</f>
        <v>235.1</v>
      </c>
      <c r="F2212" s="1">
        <f>IFERROR(__xludf.DUMMYFUNCTION("""COMPUTED_VALUE"""),3050261.0)</f>
        <v>3050261</v>
      </c>
    </row>
    <row r="2213">
      <c r="A2213" s="2">
        <f>IFERROR(__xludf.DUMMYFUNCTION("""COMPUTED_VALUE"""),39771.645833333336)</f>
        <v>39771.64583</v>
      </c>
      <c r="B2213" s="1">
        <f>IFERROR(__xludf.DUMMYFUNCTION("""COMPUTED_VALUE"""),235.9)</f>
        <v>235.9</v>
      </c>
      <c r="C2213" s="1">
        <f>IFERROR(__xludf.DUMMYFUNCTION("""COMPUTED_VALUE"""),237.5)</f>
        <v>237.5</v>
      </c>
      <c r="D2213" s="1">
        <f>IFERROR(__xludf.DUMMYFUNCTION("""COMPUTED_VALUE"""),231.15)</f>
        <v>231.15</v>
      </c>
      <c r="E2213" s="1">
        <f>IFERROR(__xludf.DUMMYFUNCTION("""COMPUTED_VALUE"""),234.25)</f>
        <v>234.25</v>
      </c>
      <c r="F2213" s="1">
        <f>IFERROR(__xludf.DUMMYFUNCTION("""COMPUTED_VALUE"""),4216229.0)</f>
        <v>4216229</v>
      </c>
    </row>
    <row r="2214">
      <c r="A2214" s="2">
        <f>IFERROR(__xludf.DUMMYFUNCTION("""COMPUTED_VALUE"""),39773.645833333336)</f>
        <v>39773.64583</v>
      </c>
      <c r="B2214" s="1">
        <f>IFERROR(__xludf.DUMMYFUNCTION("""COMPUTED_VALUE"""),225.1)</f>
        <v>225.1</v>
      </c>
      <c r="C2214" s="1">
        <f>IFERROR(__xludf.DUMMYFUNCTION("""COMPUTED_VALUE"""),236.0)</f>
        <v>236</v>
      </c>
      <c r="D2214" s="1">
        <f>IFERROR(__xludf.DUMMYFUNCTION("""COMPUTED_VALUE"""),225.1)</f>
        <v>225.1</v>
      </c>
      <c r="E2214" s="1">
        <f>IFERROR(__xludf.DUMMYFUNCTION("""COMPUTED_VALUE"""),235.05)</f>
        <v>235.05</v>
      </c>
      <c r="F2214" s="1">
        <f>IFERROR(__xludf.DUMMYFUNCTION("""COMPUTED_VALUE"""),4136062.0)</f>
        <v>4136062</v>
      </c>
    </row>
    <row r="2215">
      <c r="A2215" s="2">
        <f>IFERROR(__xludf.DUMMYFUNCTION("""COMPUTED_VALUE"""),39776.645833333336)</f>
        <v>39776.64583</v>
      </c>
      <c r="B2215" s="1">
        <f>IFERROR(__xludf.DUMMYFUNCTION("""COMPUTED_VALUE"""),235.05)</f>
        <v>235.05</v>
      </c>
      <c r="C2215" s="1">
        <f>IFERROR(__xludf.DUMMYFUNCTION("""COMPUTED_VALUE"""),236.0)</f>
        <v>236</v>
      </c>
      <c r="D2215" s="1">
        <f>IFERROR(__xludf.DUMMYFUNCTION("""COMPUTED_VALUE"""),234.1)</f>
        <v>234.1</v>
      </c>
      <c r="E2215" s="1">
        <f>IFERROR(__xludf.DUMMYFUNCTION("""COMPUTED_VALUE"""),236.0)</f>
        <v>236</v>
      </c>
      <c r="F2215" s="1">
        <f>IFERROR(__xludf.DUMMYFUNCTION("""COMPUTED_VALUE"""),8311058.0)</f>
        <v>8311058</v>
      </c>
    </row>
    <row r="2216">
      <c r="A2216" s="2">
        <f>IFERROR(__xludf.DUMMYFUNCTION("""COMPUTED_VALUE"""),39777.645833333336)</f>
        <v>39777.64583</v>
      </c>
      <c r="B2216" s="1">
        <f>IFERROR(__xludf.DUMMYFUNCTION("""COMPUTED_VALUE"""),237.05)</f>
        <v>237.05</v>
      </c>
      <c r="C2216" s="1">
        <f>IFERROR(__xludf.DUMMYFUNCTION("""COMPUTED_VALUE"""),237.4)</f>
        <v>237.4</v>
      </c>
      <c r="D2216" s="1">
        <f>IFERROR(__xludf.DUMMYFUNCTION("""COMPUTED_VALUE"""),234.0)</f>
        <v>234</v>
      </c>
      <c r="E2216" s="1">
        <f>IFERROR(__xludf.DUMMYFUNCTION("""COMPUTED_VALUE"""),236.25)</f>
        <v>236.25</v>
      </c>
      <c r="F2216" s="1">
        <f>IFERROR(__xludf.DUMMYFUNCTION("""COMPUTED_VALUE"""),2739650.0)</f>
        <v>2739650</v>
      </c>
    </row>
    <row r="2217">
      <c r="A2217" s="2">
        <f>IFERROR(__xludf.DUMMYFUNCTION("""COMPUTED_VALUE"""),39778.645833333336)</f>
        <v>39778.64583</v>
      </c>
      <c r="B2217" s="1">
        <f>IFERROR(__xludf.DUMMYFUNCTION("""COMPUTED_VALUE"""),236.25)</f>
        <v>236.25</v>
      </c>
      <c r="C2217" s="1">
        <f>IFERROR(__xludf.DUMMYFUNCTION("""COMPUTED_VALUE"""),239.45)</f>
        <v>239.45</v>
      </c>
      <c r="D2217" s="1">
        <f>IFERROR(__xludf.DUMMYFUNCTION("""COMPUTED_VALUE"""),233.5)</f>
        <v>233.5</v>
      </c>
      <c r="E2217" s="1">
        <f>IFERROR(__xludf.DUMMYFUNCTION("""COMPUTED_VALUE"""),236.6)</f>
        <v>236.6</v>
      </c>
      <c r="F2217" s="1">
        <f>IFERROR(__xludf.DUMMYFUNCTION("""COMPUTED_VALUE"""),6777036.0)</f>
        <v>6777036</v>
      </c>
    </row>
    <row r="2218">
      <c r="A2218" s="2">
        <f>IFERROR(__xludf.DUMMYFUNCTION("""COMPUTED_VALUE"""),39780.645833333336)</f>
        <v>39780.64583</v>
      </c>
      <c r="B2218" s="1">
        <f>IFERROR(__xludf.DUMMYFUNCTION("""COMPUTED_VALUE"""),236.0)</f>
        <v>236</v>
      </c>
      <c r="C2218" s="1">
        <f>IFERROR(__xludf.DUMMYFUNCTION("""COMPUTED_VALUE"""),238.0)</f>
        <v>238</v>
      </c>
      <c r="D2218" s="1">
        <f>IFERROR(__xludf.DUMMYFUNCTION("""COMPUTED_VALUE"""),233.15)</f>
        <v>233.15</v>
      </c>
      <c r="E2218" s="1">
        <f>IFERROR(__xludf.DUMMYFUNCTION("""COMPUTED_VALUE"""),236.4)</f>
        <v>236.4</v>
      </c>
      <c r="F2218" s="1">
        <f>IFERROR(__xludf.DUMMYFUNCTION("""COMPUTED_VALUE"""),5304522.0)</f>
        <v>5304522</v>
      </c>
    </row>
    <row r="2219">
      <c r="A2219" s="2">
        <f>IFERROR(__xludf.DUMMYFUNCTION("""COMPUTED_VALUE"""),39783.645833333336)</f>
        <v>39783.64583</v>
      </c>
      <c r="B2219" s="1">
        <f>IFERROR(__xludf.DUMMYFUNCTION("""COMPUTED_VALUE"""),236.5)</f>
        <v>236.5</v>
      </c>
      <c r="C2219" s="1">
        <f>IFERROR(__xludf.DUMMYFUNCTION("""COMPUTED_VALUE"""),243.0)</f>
        <v>243</v>
      </c>
      <c r="D2219" s="1">
        <f>IFERROR(__xludf.DUMMYFUNCTION("""COMPUTED_VALUE"""),230.0)</f>
        <v>230</v>
      </c>
      <c r="E2219" s="1">
        <f>IFERROR(__xludf.DUMMYFUNCTION("""COMPUTED_VALUE"""),232.5)</f>
        <v>232.5</v>
      </c>
      <c r="F2219" s="1">
        <f>IFERROR(__xludf.DUMMYFUNCTION("""COMPUTED_VALUE"""),3185960.0)</f>
        <v>3185960</v>
      </c>
    </row>
    <row r="2220">
      <c r="A2220" s="2">
        <f>IFERROR(__xludf.DUMMYFUNCTION("""COMPUTED_VALUE"""),39784.645833333336)</f>
        <v>39784.64583</v>
      </c>
      <c r="B2220" s="1">
        <f>IFERROR(__xludf.DUMMYFUNCTION("""COMPUTED_VALUE"""),240.0)</f>
        <v>240</v>
      </c>
      <c r="C2220" s="1">
        <f>IFERROR(__xludf.DUMMYFUNCTION("""COMPUTED_VALUE"""),240.0)</f>
        <v>240</v>
      </c>
      <c r="D2220" s="1">
        <f>IFERROR(__xludf.DUMMYFUNCTION("""COMPUTED_VALUE"""),229.2)</f>
        <v>229.2</v>
      </c>
      <c r="E2220" s="1">
        <f>IFERROR(__xludf.DUMMYFUNCTION("""COMPUTED_VALUE"""),233.15)</f>
        <v>233.15</v>
      </c>
      <c r="F2220" s="1">
        <f>IFERROR(__xludf.DUMMYFUNCTION("""COMPUTED_VALUE"""),4340447.0)</f>
        <v>4340447</v>
      </c>
    </row>
    <row r="2221">
      <c r="A2221" s="2">
        <f>IFERROR(__xludf.DUMMYFUNCTION("""COMPUTED_VALUE"""),39785.645833333336)</f>
        <v>39785.64583</v>
      </c>
      <c r="B2221" s="1">
        <f>IFERROR(__xludf.DUMMYFUNCTION("""COMPUTED_VALUE"""),235.85)</f>
        <v>235.85</v>
      </c>
      <c r="C2221" s="1">
        <f>IFERROR(__xludf.DUMMYFUNCTION("""COMPUTED_VALUE"""),235.85)</f>
        <v>235.85</v>
      </c>
      <c r="D2221" s="1">
        <f>IFERROR(__xludf.DUMMYFUNCTION("""COMPUTED_VALUE"""),229.05)</f>
        <v>229.05</v>
      </c>
      <c r="E2221" s="1">
        <f>IFERROR(__xludf.DUMMYFUNCTION("""COMPUTED_VALUE"""),232.15)</f>
        <v>232.15</v>
      </c>
      <c r="F2221" s="1">
        <f>IFERROR(__xludf.DUMMYFUNCTION("""COMPUTED_VALUE"""),3628057.0)</f>
        <v>3628057</v>
      </c>
    </row>
    <row r="2222">
      <c r="A2222" s="2">
        <f>IFERROR(__xludf.DUMMYFUNCTION("""COMPUTED_VALUE"""),39786.645833333336)</f>
        <v>39786.64583</v>
      </c>
      <c r="B2222" s="1">
        <f>IFERROR(__xludf.DUMMYFUNCTION("""COMPUTED_VALUE"""),239.75)</f>
        <v>239.75</v>
      </c>
      <c r="C2222" s="1">
        <f>IFERROR(__xludf.DUMMYFUNCTION("""COMPUTED_VALUE"""),239.75)</f>
        <v>239.75</v>
      </c>
      <c r="D2222" s="1">
        <f>IFERROR(__xludf.DUMMYFUNCTION("""COMPUTED_VALUE"""),230.1)</f>
        <v>230.1</v>
      </c>
      <c r="E2222" s="1">
        <f>IFERROR(__xludf.DUMMYFUNCTION("""COMPUTED_VALUE"""),236.5)</f>
        <v>236.5</v>
      </c>
      <c r="F2222" s="1">
        <f>IFERROR(__xludf.DUMMYFUNCTION("""COMPUTED_VALUE"""),2068631.0)</f>
        <v>2068631</v>
      </c>
    </row>
    <row r="2223">
      <c r="A2223" s="2">
        <f>IFERROR(__xludf.DUMMYFUNCTION("""COMPUTED_VALUE"""),39787.645833333336)</f>
        <v>39787.64583</v>
      </c>
      <c r="B2223" s="1">
        <f>IFERROR(__xludf.DUMMYFUNCTION("""COMPUTED_VALUE"""),236.5)</f>
        <v>236.5</v>
      </c>
      <c r="C2223" s="1">
        <f>IFERROR(__xludf.DUMMYFUNCTION("""COMPUTED_VALUE"""),237.0)</f>
        <v>237</v>
      </c>
      <c r="D2223" s="1">
        <f>IFERROR(__xludf.DUMMYFUNCTION("""COMPUTED_VALUE"""),230.9)</f>
        <v>230.9</v>
      </c>
      <c r="E2223" s="1">
        <f>IFERROR(__xludf.DUMMYFUNCTION("""COMPUTED_VALUE"""),234.75)</f>
        <v>234.75</v>
      </c>
      <c r="F2223" s="1">
        <f>IFERROR(__xludf.DUMMYFUNCTION("""COMPUTED_VALUE"""),2478090.0)</f>
        <v>2478090</v>
      </c>
    </row>
    <row r="2224">
      <c r="A2224" s="2">
        <f>IFERROR(__xludf.DUMMYFUNCTION("""COMPUTED_VALUE"""),39790.645833333336)</f>
        <v>39790.64583</v>
      </c>
      <c r="B2224" s="1">
        <f>IFERROR(__xludf.DUMMYFUNCTION("""COMPUTED_VALUE"""),239.45)</f>
        <v>239.45</v>
      </c>
      <c r="C2224" s="1">
        <f>IFERROR(__xludf.DUMMYFUNCTION("""COMPUTED_VALUE"""),245.0)</f>
        <v>245</v>
      </c>
      <c r="D2224" s="1">
        <f>IFERROR(__xludf.DUMMYFUNCTION("""COMPUTED_VALUE"""),238.0)</f>
        <v>238</v>
      </c>
      <c r="E2224" s="1">
        <f>IFERROR(__xludf.DUMMYFUNCTION("""COMPUTED_VALUE"""),240.4)</f>
        <v>240.4</v>
      </c>
      <c r="F2224" s="1">
        <f>IFERROR(__xludf.DUMMYFUNCTION("""COMPUTED_VALUE"""),5254057.0)</f>
        <v>5254057</v>
      </c>
    </row>
    <row r="2225">
      <c r="A2225" s="2">
        <f>IFERROR(__xludf.DUMMYFUNCTION("""COMPUTED_VALUE"""),39792.645833333336)</f>
        <v>39792.64583</v>
      </c>
      <c r="B2225" s="1">
        <f>IFERROR(__xludf.DUMMYFUNCTION("""COMPUTED_VALUE"""),242.65)</f>
        <v>242.65</v>
      </c>
      <c r="C2225" s="1">
        <f>IFERROR(__xludf.DUMMYFUNCTION("""COMPUTED_VALUE"""),245.85)</f>
        <v>245.85</v>
      </c>
      <c r="D2225" s="1">
        <f>IFERROR(__xludf.DUMMYFUNCTION("""COMPUTED_VALUE"""),236.8)</f>
        <v>236.8</v>
      </c>
      <c r="E2225" s="1">
        <f>IFERROR(__xludf.DUMMYFUNCTION("""COMPUTED_VALUE"""),244.7)</f>
        <v>244.7</v>
      </c>
      <c r="F2225" s="1">
        <f>IFERROR(__xludf.DUMMYFUNCTION("""COMPUTED_VALUE"""),4117902.0)</f>
        <v>4117902</v>
      </c>
    </row>
    <row r="2226">
      <c r="A2226" s="2">
        <f>IFERROR(__xludf.DUMMYFUNCTION("""COMPUTED_VALUE"""),39793.645833333336)</f>
        <v>39793.64583</v>
      </c>
      <c r="B2226" s="1">
        <f>IFERROR(__xludf.DUMMYFUNCTION("""COMPUTED_VALUE"""),242.7)</f>
        <v>242.7</v>
      </c>
      <c r="C2226" s="1">
        <f>IFERROR(__xludf.DUMMYFUNCTION("""COMPUTED_VALUE"""),245.0)</f>
        <v>245</v>
      </c>
      <c r="D2226" s="1">
        <f>IFERROR(__xludf.DUMMYFUNCTION("""COMPUTED_VALUE"""),238.25)</f>
        <v>238.25</v>
      </c>
      <c r="E2226" s="1">
        <f>IFERROR(__xludf.DUMMYFUNCTION("""COMPUTED_VALUE"""),241.6)</f>
        <v>241.6</v>
      </c>
      <c r="F2226" s="1">
        <f>IFERROR(__xludf.DUMMYFUNCTION("""COMPUTED_VALUE"""),3313596.0)</f>
        <v>3313596</v>
      </c>
    </row>
    <row r="2227">
      <c r="A2227" s="2">
        <f>IFERROR(__xludf.DUMMYFUNCTION("""COMPUTED_VALUE"""),39794.645833333336)</f>
        <v>39794.64583</v>
      </c>
      <c r="B2227" s="1">
        <f>IFERROR(__xludf.DUMMYFUNCTION("""COMPUTED_VALUE"""),241.0)</f>
        <v>241</v>
      </c>
      <c r="C2227" s="1">
        <f>IFERROR(__xludf.DUMMYFUNCTION("""COMPUTED_VALUE"""),241.85)</f>
        <v>241.85</v>
      </c>
      <c r="D2227" s="1">
        <f>IFERROR(__xludf.DUMMYFUNCTION("""COMPUTED_VALUE"""),236.15)</f>
        <v>236.15</v>
      </c>
      <c r="E2227" s="1">
        <f>IFERROR(__xludf.DUMMYFUNCTION("""COMPUTED_VALUE"""),240.4)</f>
        <v>240.4</v>
      </c>
      <c r="F2227" s="1">
        <f>IFERROR(__xludf.DUMMYFUNCTION("""COMPUTED_VALUE"""),3525884.0)</f>
        <v>3525884</v>
      </c>
    </row>
    <row r="2228">
      <c r="A2228" s="2">
        <f>IFERROR(__xludf.DUMMYFUNCTION("""COMPUTED_VALUE"""),39797.645833333336)</f>
        <v>39797.64583</v>
      </c>
      <c r="B2228" s="1">
        <f>IFERROR(__xludf.DUMMYFUNCTION("""COMPUTED_VALUE"""),240.0)</f>
        <v>240</v>
      </c>
      <c r="C2228" s="1">
        <f>IFERROR(__xludf.DUMMYFUNCTION("""COMPUTED_VALUE"""),245.5)</f>
        <v>245.5</v>
      </c>
      <c r="D2228" s="1">
        <f>IFERROR(__xludf.DUMMYFUNCTION("""COMPUTED_VALUE"""),237.7)</f>
        <v>237.7</v>
      </c>
      <c r="E2228" s="1">
        <f>IFERROR(__xludf.DUMMYFUNCTION("""COMPUTED_VALUE"""),243.95)</f>
        <v>243.95</v>
      </c>
      <c r="F2228" s="1">
        <f>IFERROR(__xludf.DUMMYFUNCTION("""COMPUTED_VALUE"""),2365099.0)</f>
        <v>2365099</v>
      </c>
    </row>
    <row r="2229">
      <c r="A2229" s="2">
        <f>IFERROR(__xludf.DUMMYFUNCTION("""COMPUTED_VALUE"""),39798.645833333336)</f>
        <v>39798.64583</v>
      </c>
      <c r="B2229" s="1">
        <f>IFERROR(__xludf.DUMMYFUNCTION("""COMPUTED_VALUE"""),244.25)</f>
        <v>244.25</v>
      </c>
      <c r="C2229" s="1">
        <f>IFERROR(__xludf.DUMMYFUNCTION("""COMPUTED_VALUE"""),249.8)</f>
        <v>249.8</v>
      </c>
      <c r="D2229" s="1">
        <f>IFERROR(__xludf.DUMMYFUNCTION("""COMPUTED_VALUE"""),243.0)</f>
        <v>243</v>
      </c>
      <c r="E2229" s="1">
        <f>IFERROR(__xludf.DUMMYFUNCTION("""COMPUTED_VALUE"""),248.3)</f>
        <v>248.3</v>
      </c>
      <c r="F2229" s="1">
        <f>IFERROR(__xludf.DUMMYFUNCTION("""COMPUTED_VALUE"""),2670027.0)</f>
        <v>2670027</v>
      </c>
    </row>
    <row r="2230">
      <c r="A2230" s="2">
        <f>IFERROR(__xludf.DUMMYFUNCTION("""COMPUTED_VALUE"""),39799.645833333336)</f>
        <v>39799.64583</v>
      </c>
      <c r="B2230" s="1">
        <f>IFERROR(__xludf.DUMMYFUNCTION("""COMPUTED_VALUE"""),246.8)</f>
        <v>246.8</v>
      </c>
      <c r="C2230" s="1">
        <f>IFERROR(__xludf.DUMMYFUNCTION("""COMPUTED_VALUE"""),255.85)</f>
        <v>255.85</v>
      </c>
      <c r="D2230" s="1">
        <f>IFERROR(__xludf.DUMMYFUNCTION("""COMPUTED_VALUE"""),246.2)</f>
        <v>246.2</v>
      </c>
      <c r="E2230" s="1">
        <f>IFERROR(__xludf.DUMMYFUNCTION("""COMPUTED_VALUE"""),252.0)</f>
        <v>252</v>
      </c>
      <c r="F2230" s="1">
        <f>IFERROR(__xludf.DUMMYFUNCTION("""COMPUTED_VALUE"""),5331542.0)</f>
        <v>5331542</v>
      </c>
    </row>
    <row r="2231">
      <c r="A2231" s="2">
        <f>IFERROR(__xludf.DUMMYFUNCTION("""COMPUTED_VALUE"""),39800.645833333336)</f>
        <v>39800.64583</v>
      </c>
      <c r="B2231" s="1">
        <f>IFERROR(__xludf.DUMMYFUNCTION("""COMPUTED_VALUE"""),252.0)</f>
        <v>252</v>
      </c>
      <c r="C2231" s="1">
        <f>IFERROR(__xludf.DUMMYFUNCTION("""COMPUTED_VALUE"""),257.5)</f>
        <v>257.5</v>
      </c>
      <c r="D2231" s="1">
        <f>IFERROR(__xludf.DUMMYFUNCTION("""COMPUTED_VALUE"""),250.65)</f>
        <v>250.65</v>
      </c>
      <c r="E2231" s="1">
        <f>IFERROR(__xludf.DUMMYFUNCTION("""COMPUTED_VALUE"""),255.5)</f>
        <v>255.5</v>
      </c>
      <c r="F2231" s="1">
        <f>IFERROR(__xludf.DUMMYFUNCTION("""COMPUTED_VALUE"""),3480876.0)</f>
        <v>3480876</v>
      </c>
    </row>
    <row r="2232">
      <c r="A2232" s="2">
        <f>IFERROR(__xludf.DUMMYFUNCTION("""COMPUTED_VALUE"""),39801.645833333336)</f>
        <v>39801.64583</v>
      </c>
      <c r="B2232" s="1">
        <f>IFERROR(__xludf.DUMMYFUNCTION("""COMPUTED_VALUE"""),256.0)</f>
        <v>256</v>
      </c>
      <c r="C2232" s="1">
        <f>IFERROR(__xludf.DUMMYFUNCTION("""COMPUTED_VALUE"""),267.8)</f>
        <v>267.8</v>
      </c>
      <c r="D2232" s="1">
        <f>IFERROR(__xludf.DUMMYFUNCTION("""COMPUTED_VALUE"""),254.2)</f>
        <v>254.2</v>
      </c>
      <c r="E2232" s="1">
        <f>IFERROR(__xludf.DUMMYFUNCTION("""COMPUTED_VALUE"""),265.65)</f>
        <v>265.65</v>
      </c>
      <c r="F2232" s="1">
        <f>IFERROR(__xludf.DUMMYFUNCTION("""COMPUTED_VALUE"""),3802328.0)</f>
        <v>3802328</v>
      </c>
    </row>
    <row r="2233">
      <c r="A2233" s="2">
        <f>IFERROR(__xludf.DUMMYFUNCTION("""COMPUTED_VALUE"""),39804.645833333336)</f>
        <v>39804.64583</v>
      </c>
      <c r="B2233" s="1">
        <f>IFERROR(__xludf.DUMMYFUNCTION("""COMPUTED_VALUE"""),256.6)</f>
        <v>256.6</v>
      </c>
      <c r="C2233" s="1">
        <f>IFERROR(__xludf.DUMMYFUNCTION("""COMPUTED_VALUE"""),267.0)</f>
        <v>267</v>
      </c>
      <c r="D2233" s="1">
        <f>IFERROR(__xludf.DUMMYFUNCTION("""COMPUTED_VALUE"""),256.6)</f>
        <v>256.6</v>
      </c>
      <c r="E2233" s="1">
        <f>IFERROR(__xludf.DUMMYFUNCTION("""COMPUTED_VALUE"""),262.3)</f>
        <v>262.3</v>
      </c>
      <c r="F2233" s="1">
        <f>IFERROR(__xludf.DUMMYFUNCTION("""COMPUTED_VALUE"""),1798195.0)</f>
        <v>1798195</v>
      </c>
    </row>
    <row r="2234">
      <c r="A2234" s="2">
        <f>IFERROR(__xludf.DUMMYFUNCTION("""COMPUTED_VALUE"""),39805.645833333336)</f>
        <v>39805.64583</v>
      </c>
      <c r="B2234" s="1">
        <f>IFERROR(__xludf.DUMMYFUNCTION("""COMPUTED_VALUE"""),262.3)</f>
        <v>262.3</v>
      </c>
      <c r="C2234" s="1">
        <f>IFERROR(__xludf.DUMMYFUNCTION("""COMPUTED_VALUE"""),263.9)</f>
        <v>263.9</v>
      </c>
      <c r="D2234" s="1">
        <f>IFERROR(__xludf.DUMMYFUNCTION("""COMPUTED_VALUE"""),256.0)</f>
        <v>256</v>
      </c>
      <c r="E2234" s="1">
        <f>IFERROR(__xludf.DUMMYFUNCTION("""COMPUTED_VALUE"""),257.75)</f>
        <v>257.75</v>
      </c>
      <c r="F2234" s="1">
        <f>IFERROR(__xludf.DUMMYFUNCTION("""COMPUTED_VALUE"""),1602714.0)</f>
        <v>1602714</v>
      </c>
    </row>
    <row r="2235">
      <c r="A2235" s="2">
        <f>IFERROR(__xludf.DUMMYFUNCTION("""COMPUTED_VALUE"""),39806.645833333336)</f>
        <v>39806.64583</v>
      </c>
      <c r="B2235" s="1">
        <f>IFERROR(__xludf.DUMMYFUNCTION("""COMPUTED_VALUE"""),257.05)</f>
        <v>257.05</v>
      </c>
      <c r="C2235" s="1">
        <f>IFERROR(__xludf.DUMMYFUNCTION("""COMPUTED_VALUE"""),259.45)</f>
        <v>259.45</v>
      </c>
      <c r="D2235" s="1">
        <f>IFERROR(__xludf.DUMMYFUNCTION("""COMPUTED_VALUE"""),255.2)</f>
        <v>255.2</v>
      </c>
      <c r="E2235" s="1">
        <f>IFERROR(__xludf.DUMMYFUNCTION("""COMPUTED_VALUE"""),257.45)</f>
        <v>257.45</v>
      </c>
      <c r="F2235" s="1">
        <f>IFERROR(__xludf.DUMMYFUNCTION("""COMPUTED_VALUE"""),2858195.0)</f>
        <v>2858195</v>
      </c>
    </row>
    <row r="2236">
      <c r="A2236" s="2">
        <f>IFERROR(__xludf.DUMMYFUNCTION("""COMPUTED_VALUE"""),39808.645833333336)</f>
        <v>39808.64583</v>
      </c>
      <c r="B2236" s="1">
        <f>IFERROR(__xludf.DUMMYFUNCTION("""COMPUTED_VALUE"""),255.1)</f>
        <v>255.1</v>
      </c>
      <c r="C2236" s="1">
        <f>IFERROR(__xludf.DUMMYFUNCTION("""COMPUTED_VALUE"""),258.5)</f>
        <v>258.5</v>
      </c>
      <c r="D2236" s="1">
        <f>IFERROR(__xludf.DUMMYFUNCTION("""COMPUTED_VALUE"""),251.1)</f>
        <v>251.1</v>
      </c>
      <c r="E2236" s="1">
        <f>IFERROR(__xludf.DUMMYFUNCTION("""COMPUTED_VALUE"""),252.1)</f>
        <v>252.1</v>
      </c>
      <c r="F2236" s="1">
        <f>IFERROR(__xludf.DUMMYFUNCTION("""COMPUTED_VALUE"""),832138.0)</f>
        <v>832138</v>
      </c>
    </row>
    <row r="2237">
      <c r="A2237" s="2">
        <f>IFERROR(__xludf.DUMMYFUNCTION("""COMPUTED_VALUE"""),39811.645833333336)</f>
        <v>39811.64583</v>
      </c>
      <c r="B2237" s="1">
        <f>IFERROR(__xludf.DUMMYFUNCTION("""COMPUTED_VALUE"""),252.6)</f>
        <v>252.6</v>
      </c>
      <c r="C2237" s="1">
        <f>IFERROR(__xludf.DUMMYFUNCTION("""COMPUTED_VALUE"""),254.45)</f>
        <v>254.45</v>
      </c>
      <c r="D2237" s="1">
        <f>IFERROR(__xludf.DUMMYFUNCTION("""COMPUTED_VALUE"""),247.85)</f>
        <v>247.85</v>
      </c>
      <c r="E2237" s="1">
        <f>IFERROR(__xludf.DUMMYFUNCTION("""COMPUTED_VALUE"""),252.85)</f>
        <v>252.85</v>
      </c>
      <c r="F2237" s="1">
        <f>IFERROR(__xludf.DUMMYFUNCTION("""COMPUTED_VALUE"""),1719193.0)</f>
        <v>1719193</v>
      </c>
    </row>
    <row r="2238">
      <c r="A2238" s="2">
        <f>IFERROR(__xludf.DUMMYFUNCTION("""COMPUTED_VALUE"""),39812.645833333336)</f>
        <v>39812.64583</v>
      </c>
      <c r="B2238" s="1">
        <f>IFERROR(__xludf.DUMMYFUNCTION("""COMPUTED_VALUE"""),253.55)</f>
        <v>253.55</v>
      </c>
      <c r="C2238" s="1">
        <f>IFERROR(__xludf.DUMMYFUNCTION("""COMPUTED_VALUE"""),256.0)</f>
        <v>256</v>
      </c>
      <c r="D2238" s="1">
        <f>IFERROR(__xludf.DUMMYFUNCTION("""COMPUTED_VALUE"""),249.6)</f>
        <v>249.6</v>
      </c>
      <c r="E2238" s="1">
        <f>IFERROR(__xludf.DUMMYFUNCTION("""COMPUTED_VALUE"""),252.3)</f>
        <v>252.3</v>
      </c>
      <c r="F2238" s="1">
        <f>IFERROR(__xludf.DUMMYFUNCTION("""COMPUTED_VALUE"""),1397119.0)</f>
        <v>1397119</v>
      </c>
    </row>
    <row r="2239">
      <c r="A2239" s="2">
        <f>IFERROR(__xludf.DUMMYFUNCTION("""COMPUTED_VALUE"""),39813.645833333336)</f>
        <v>39813.64583</v>
      </c>
      <c r="B2239" s="1">
        <f>IFERROR(__xludf.DUMMYFUNCTION("""COMPUTED_VALUE"""),251.2)</f>
        <v>251.2</v>
      </c>
      <c r="C2239" s="1">
        <f>IFERROR(__xludf.DUMMYFUNCTION("""COMPUTED_VALUE"""),253.5)</f>
        <v>253.5</v>
      </c>
      <c r="D2239" s="1">
        <f>IFERROR(__xludf.DUMMYFUNCTION("""COMPUTED_VALUE"""),248.7)</f>
        <v>248.7</v>
      </c>
      <c r="E2239" s="1">
        <f>IFERROR(__xludf.DUMMYFUNCTION("""COMPUTED_VALUE"""),250.3)</f>
        <v>250.3</v>
      </c>
      <c r="F2239" s="1">
        <f>IFERROR(__xludf.DUMMYFUNCTION("""COMPUTED_VALUE"""),1520750.0)</f>
        <v>1520750</v>
      </c>
    </row>
    <row r="2240">
      <c r="A2240" s="2">
        <f>IFERROR(__xludf.DUMMYFUNCTION("""COMPUTED_VALUE"""),39814.645833333336)</f>
        <v>39814.64583</v>
      </c>
      <c r="B2240" s="1">
        <f>IFERROR(__xludf.DUMMYFUNCTION("""COMPUTED_VALUE"""),251.0)</f>
        <v>251</v>
      </c>
      <c r="C2240" s="1">
        <f>IFERROR(__xludf.DUMMYFUNCTION("""COMPUTED_VALUE"""),251.85)</f>
        <v>251.85</v>
      </c>
      <c r="D2240" s="1">
        <f>IFERROR(__xludf.DUMMYFUNCTION("""COMPUTED_VALUE"""),249.15)</f>
        <v>249.15</v>
      </c>
      <c r="E2240" s="1">
        <f>IFERROR(__xludf.DUMMYFUNCTION("""COMPUTED_VALUE"""),250.75)</f>
        <v>250.75</v>
      </c>
      <c r="F2240" s="1">
        <f>IFERROR(__xludf.DUMMYFUNCTION("""COMPUTED_VALUE"""),594427.0)</f>
        <v>594427</v>
      </c>
    </row>
    <row r="2241">
      <c r="A2241" s="2">
        <f>IFERROR(__xludf.DUMMYFUNCTION("""COMPUTED_VALUE"""),39815.645833333336)</f>
        <v>39815.64583</v>
      </c>
      <c r="B2241" s="1">
        <f>IFERROR(__xludf.DUMMYFUNCTION("""COMPUTED_VALUE"""),251.0)</f>
        <v>251</v>
      </c>
      <c r="C2241" s="1">
        <f>IFERROR(__xludf.DUMMYFUNCTION("""COMPUTED_VALUE"""),252.75)</f>
        <v>252.75</v>
      </c>
      <c r="D2241" s="1">
        <f>IFERROR(__xludf.DUMMYFUNCTION("""COMPUTED_VALUE"""),246.55)</f>
        <v>246.55</v>
      </c>
      <c r="E2241" s="1">
        <f>IFERROR(__xludf.DUMMYFUNCTION("""COMPUTED_VALUE"""),247.5)</f>
        <v>247.5</v>
      </c>
      <c r="F2241" s="1">
        <f>IFERROR(__xludf.DUMMYFUNCTION("""COMPUTED_VALUE"""),1415794.0)</f>
        <v>1415794</v>
      </c>
    </row>
    <row r="2242">
      <c r="A2242" s="2">
        <f>IFERROR(__xludf.DUMMYFUNCTION("""COMPUTED_VALUE"""),39818.645833333336)</f>
        <v>39818.64583</v>
      </c>
      <c r="B2242" s="1">
        <f>IFERROR(__xludf.DUMMYFUNCTION("""COMPUTED_VALUE"""),248.0)</f>
        <v>248</v>
      </c>
      <c r="C2242" s="1">
        <f>IFERROR(__xludf.DUMMYFUNCTION("""COMPUTED_VALUE"""),249.65)</f>
        <v>249.65</v>
      </c>
      <c r="D2242" s="1">
        <f>IFERROR(__xludf.DUMMYFUNCTION("""COMPUTED_VALUE"""),238.5)</f>
        <v>238.5</v>
      </c>
      <c r="E2242" s="1">
        <f>IFERROR(__xludf.DUMMYFUNCTION("""COMPUTED_VALUE"""),243.0)</f>
        <v>243</v>
      </c>
      <c r="F2242" s="1">
        <f>IFERROR(__xludf.DUMMYFUNCTION("""COMPUTED_VALUE"""),4583358.0)</f>
        <v>4583358</v>
      </c>
    </row>
    <row r="2243">
      <c r="A2243" s="2">
        <f>IFERROR(__xludf.DUMMYFUNCTION("""COMPUTED_VALUE"""),39819.645833333336)</f>
        <v>39819.64583</v>
      </c>
      <c r="B2243" s="1">
        <f>IFERROR(__xludf.DUMMYFUNCTION("""COMPUTED_VALUE"""),244.0)</f>
        <v>244</v>
      </c>
      <c r="C2243" s="1">
        <f>IFERROR(__xludf.DUMMYFUNCTION("""COMPUTED_VALUE"""),248.6)</f>
        <v>248.6</v>
      </c>
      <c r="D2243" s="1">
        <f>IFERROR(__xludf.DUMMYFUNCTION("""COMPUTED_VALUE"""),241.0)</f>
        <v>241</v>
      </c>
      <c r="E2243" s="1">
        <f>IFERROR(__xludf.DUMMYFUNCTION("""COMPUTED_VALUE"""),246.9)</f>
        <v>246.9</v>
      </c>
      <c r="F2243" s="1">
        <f>IFERROR(__xludf.DUMMYFUNCTION("""COMPUTED_VALUE"""),2435869.0)</f>
        <v>2435869</v>
      </c>
    </row>
    <row r="2244">
      <c r="A2244" s="2">
        <f>IFERROR(__xludf.DUMMYFUNCTION("""COMPUTED_VALUE"""),39820.645833333336)</f>
        <v>39820.64583</v>
      </c>
      <c r="B2244" s="1">
        <f>IFERROR(__xludf.DUMMYFUNCTION("""COMPUTED_VALUE"""),250.0)</f>
        <v>250</v>
      </c>
      <c r="C2244" s="1">
        <f>IFERROR(__xludf.DUMMYFUNCTION("""COMPUTED_VALUE"""),253.0)</f>
        <v>253</v>
      </c>
      <c r="D2244" s="1">
        <f>IFERROR(__xludf.DUMMYFUNCTION("""COMPUTED_VALUE"""),240.7)</f>
        <v>240.7</v>
      </c>
      <c r="E2244" s="1">
        <f>IFERROR(__xludf.DUMMYFUNCTION("""COMPUTED_VALUE"""),251.15)</f>
        <v>251.15</v>
      </c>
      <c r="F2244" s="1">
        <f>IFERROR(__xludf.DUMMYFUNCTION("""COMPUTED_VALUE"""),2727668.0)</f>
        <v>2727668</v>
      </c>
    </row>
    <row r="2245">
      <c r="A2245" s="2">
        <f>IFERROR(__xludf.DUMMYFUNCTION("""COMPUTED_VALUE"""),39822.645833333336)</f>
        <v>39822.64583</v>
      </c>
      <c r="B2245" s="1">
        <f>IFERROR(__xludf.DUMMYFUNCTION("""COMPUTED_VALUE"""),249.0)</f>
        <v>249</v>
      </c>
      <c r="C2245" s="1">
        <f>IFERROR(__xludf.DUMMYFUNCTION("""COMPUTED_VALUE"""),270.0)</f>
        <v>270</v>
      </c>
      <c r="D2245" s="1">
        <f>IFERROR(__xludf.DUMMYFUNCTION("""COMPUTED_VALUE"""),247.0)</f>
        <v>247</v>
      </c>
      <c r="E2245" s="1">
        <f>IFERROR(__xludf.DUMMYFUNCTION("""COMPUTED_VALUE"""),263.4)</f>
        <v>263.4</v>
      </c>
      <c r="F2245" s="1">
        <f>IFERROR(__xludf.DUMMYFUNCTION("""COMPUTED_VALUE"""),4872202.0)</f>
        <v>4872202</v>
      </c>
    </row>
    <row r="2246">
      <c r="A2246" s="2">
        <f>IFERROR(__xludf.DUMMYFUNCTION("""COMPUTED_VALUE"""),39825.645833333336)</f>
        <v>39825.64583</v>
      </c>
      <c r="B2246" s="1">
        <f>IFERROR(__xludf.DUMMYFUNCTION("""COMPUTED_VALUE"""),262.6)</f>
        <v>262.6</v>
      </c>
      <c r="C2246" s="1">
        <f>IFERROR(__xludf.DUMMYFUNCTION("""COMPUTED_VALUE"""),267.75)</f>
        <v>267.75</v>
      </c>
      <c r="D2246" s="1">
        <f>IFERROR(__xludf.DUMMYFUNCTION("""COMPUTED_VALUE"""),257.0)</f>
        <v>257</v>
      </c>
      <c r="E2246" s="1">
        <f>IFERROR(__xludf.DUMMYFUNCTION("""COMPUTED_VALUE"""),263.85)</f>
        <v>263.85</v>
      </c>
      <c r="F2246" s="1">
        <f>IFERROR(__xludf.DUMMYFUNCTION("""COMPUTED_VALUE"""),4887877.0)</f>
        <v>4887877</v>
      </c>
    </row>
    <row r="2247">
      <c r="A2247" s="2">
        <f>IFERROR(__xludf.DUMMYFUNCTION("""COMPUTED_VALUE"""),39826.645833333336)</f>
        <v>39826.64583</v>
      </c>
      <c r="B2247" s="1">
        <f>IFERROR(__xludf.DUMMYFUNCTION("""COMPUTED_VALUE"""),261.5)</f>
        <v>261.5</v>
      </c>
      <c r="C2247" s="1">
        <f>IFERROR(__xludf.DUMMYFUNCTION("""COMPUTED_VALUE"""),263.85)</f>
        <v>263.85</v>
      </c>
      <c r="D2247" s="1">
        <f>IFERROR(__xludf.DUMMYFUNCTION("""COMPUTED_VALUE"""),254.0)</f>
        <v>254</v>
      </c>
      <c r="E2247" s="1">
        <f>IFERROR(__xludf.DUMMYFUNCTION("""COMPUTED_VALUE"""),254.55)</f>
        <v>254.55</v>
      </c>
      <c r="F2247" s="1">
        <f>IFERROR(__xludf.DUMMYFUNCTION("""COMPUTED_VALUE"""),4562118.0)</f>
        <v>4562118</v>
      </c>
    </row>
    <row r="2248">
      <c r="A2248" s="2">
        <f>IFERROR(__xludf.DUMMYFUNCTION("""COMPUTED_VALUE"""),39827.645833333336)</f>
        <v>39827.64583</v>
      </c>
      <c r="B2248" s="1">
        <f>IFERROR(__xludf.DUMMYFUNCTION("""COMPUTED_VALUE"""),255.5)</f>
        <v>255.5</v>
      </c>
      <c r="C2248" s="1">
        <f>IFERROR(__xludf.DUMMYFUNCTION("""COMPUTED_VALUE"""),257.0)</f>
        <v>257</v>
      </c>
      <c r="D2248" s="1">
        <f>IFERROR(__xludf.DUMMYFUNCTION("""COMPUTED_VALUE"""),252.6)</f>
        <v>252.6</v>
      </c>
      <c r="E2248" s="1">
        <f>IFERROR(__xludf.DUMMYFUNCTION("""COMPUTED_VALUE"""),254.0)</f>
        <v>254</v>
      </c>
      <c r="F2248" s="1">
        <f>IFERROR(__xludf.DUMMYFUNCTION("""COMPUTED_VALUE"""),1936251.0)</f>
        <v>1936251</v>
      </c>
    </row>
    <row r="2249">
      <c r="A2249" s="2">
        <f>IFERROR(__xludf.DUMMYFUNCTION("""COMPUTED_VALUE"""),39828.645833333336)</f>
        <v>39828.64583</v>
      </c>
      <c r="B2249" s="1">
        <f>IFERROR(__xludf.DUMMYFUNCTION("""COMPUTED_VALUE"""),252.2)</f>
        <v>252.2</v>
      </c>
      <c r="C2249" s="1">
        <f>IFERROR(__xludf.DUMMYFUNCTION("""COMPUTED_VALUE"""),252.2)</f>
        <v>252.2</v>
      </c>
      <c r="D2249" s="1">
        <f>IFERROR(__xludf.DUMMYFUNCTION("""COMPUTED_VALUE"""),244.15)</f>
        <v>244.15</v>
      </c>
      <c r="E2249" s="1">
        <f>IFERROR(__xludf.DUMMYFUNCTION("""COMPUTED_VALUE"""),247.0)</f>
        <v>247</v>
      </c>
      <c r="F2249" s="1">
        <f>IFERROR(__xludf.DUMMYFUNCTION("""COMPUTED_VALUE"""),1959175.0)</f>
        <v>1959175</v>
      </c>
    </row>
    <row r="2250">
      <c r="A2250" s="2">
        <f>IFERROR(__xludf.DUMMYFUNCTION("""COMPUTED_VALUE"""),39829.645833333336)</f>
        <v>39829.64583</v>
      </c>
      <c r="B2250" s="1">
        <f>IFERROR(__xludf.DUMMYFUNCTION("""COMPUTED_VALUE"""),246.35)</f>
        <v>246.35</v>
      </c>
      <c r="C2250" s="1">
        <f>IFERROR(__xludf.DUMMYFUNCTION("""COMPUTED_VALUE"""),252.5)</f>
        <v>252.5</v>
      </c>
      <c r="D2250" s="1">
        <f>IFERROR(__xludf.DUMMYFUNCTION("""COMPUTED_VALUE"""),246.35)</f>
        <v>246.35</v>
      </c>
      <c r="E2250" s="1">
        <f>IFERROR(__xludf.DUMMYFUNCTION("""COMPUTED_VALUE"""),250.8)</f>
        <v>250.8</v>
      </c>
      <c r="F2250" s="1">
        <f>IFERROR(__xludf.DUMMYFUNCTION("""COMPUTED_VALUE"""),1048081.0)</f>
        <v>1048081</v>
      </c>
    </row>
    <row r="2251">
      <c r="A2251" s="2">
        <f>IFERROR(__xludf.DUMMYFUNCTION("""COMPUTED_VALUE"""),39832.645833333336)</f>
        <v>39832.64583</v>
      </c>
      <c r="B2251" s="1">
        <f>IFERROR(__xludf.DUMMYFUNCTION("""COMPUTED_VALUE"""),245.8)</f>
        <v>245.8</v>
      </c>
      <c r="C2251" s="1">
        <f>IFERROR(__xludf.DUMMYFUNCTION("""COMPUTED_VALUE"""),254.95)</f>
        <v>254.95</v>
      </c>
      <c r="D2251" s="1">
        <f>IFERROR(__xludf.DUMMYFUNCTION("""COMPUTED_VALUE"""),245.8)</f>
        <v>245.8</v>
      </c>
      <c r="E2251" s="1">
        <f>IFERROR(__xludf.DUMMYFUNCTION("""COMPUTED_VALUE"""),254.2)</f>
        <v>254.2</v>
      </c>
      <c r="F2251" s="1">
        <f>IFERROR(__xludf.DUMMYFUNCTION("""COMPUTED_VALUE"""),1408926.0)</f>
        <v>1408926</v>
      </c>
    </row>
    <row r="2252">
      <c r="A2252" s="2">
        <f>IFERROR(__xludf.DUMMYFUNCTION("""COMPUTED_VALUE"""),39833.645833333336)</f>
        <v>39833.64583</v>
      </c>
      <c r="B2252" s="1">
        <f>IFERROR(__xludf.DUMMYFUNCTION("""COMPUTED_VALUE"""),247.25)</f>
        <v>247.25</v>
      </c>
      <c r="C2252" s="1">
        <f>IFERROR(__xludf.DUMMYFUNCTION("""COMPUTED_VALUE"""),253.5)</f>
        <v>253.5</v>
      </c>
      <c r="D2252" s="1">
        <f>IFERROR(__xludf.DUMMYFUNCTION("""COMPUTED_VALUE"""),245.1)</f>
        <v>245.1</v>
      </c>
      <c r="E2252" s="1">
        <f>IFERROR(__xludf.DUMMYFUNCTION("""COMPUTED_VALUE"""),246.05)</f>
        <v>246.05</v>
      </c>
      <c r="F2252" s="1">
        <f>IFERROR(__xludf.DUMMYFUNCTION("""COMPUTED_VALUE"""),2851991.0)</f>
        <v>2851991</v>
      </c>
    </row>
    <row r="2253">
      <c r="A2253" s="2">
        <f>IFERROR(__xludf.DUMMYFUNCTION("""COMPUTED_VALUE"""),39834.645833333336)</f>
        <v>39834.64583</v>
      </c>
      <c r="B2253" s="1">
        <f>IFERROR(__xludf.DUMMYFUNCTION("""COMPUTED_VALUE"""),240.0)</f>
        <v>240</v>
      </c>
      <c r="C2253" s="1">
        <f>IFERROR(__xludf.DUMMYFUNCTION("""COMPUTED_VALUE"""),257.85)</f>
        <v>257.85</v>
      </c>
      <c r="D2253" s="1">
        <f>IFERROR(__xludf.DUMMYFUNCTION("""COMPUTED_VALUE"""),240.0)</f>
        <v>240</v>
      </c>
      <c r="E2253" s="1">
        <f>IFERROR(__xludf.DUMMYFUNCTION("""COMPUTED_VALUE"""),255.1)</f>
        <v>255.1</v>
      </c>
      <c r="F2253" s="1">
        <f>IFERROR(__xludf.DUMMYFUNCTION("""COMPUTED_VALUE"""),2870346.0)</f>
        <v>2870346</v>
      </c>
    </row>
    <row r="2254">
      <c r="A2254" s="2">
        <f>IFERROR(__xludf.DUMMYFUNCTION("""COMPUTED_VALUE"""),39835.645833333336)</f>
        <v>39835.64583</v>
      </c>
      <c r="B2254" s="1">
        <f>IFERROR(__xludf.DUMMYFUNCTION("""COMPUTED_VALUE"""),254.9)</f>
        <v>254.9</v>
      </c>
      <c r="C2254" s="1">
        <f>IFERROR(__xludf.DUMMYFUNCTION("""COMPUTED_VALUE"""),257.5)</f>
        <v>257.5</v>
      </c>
      <c r="D2254" s="1">
        <f>IFERROR(__xludf.DUMMYFUNCTION("""COMPUTED_VALUE"""),251.1)</f>
        <v>251.1</v>
      </c>
      <c r="E2254" s="1">
        <f>IFERROR(__xludf.DUMMYFUNCTION("""COMPUTED_VALUE"""),253.25)</f>
        <v>253.25</v>
      </c>
      <c r="F2254" s="1">
        <f>IFERROR(__xludf.DUMMYFUNCTION("""COMPUTED_VALUE"""),2602861.0)</f>
        <v>2602861</v>
      </c>
    </row>
    <row r="2255">
      <c r="A2255" s="2">
        <f>IFERROR(__xludf.DUMMYFUNCTION("""COMPUTED_VALUE"""),39836.645833333336)</f>
        <v>39836.64583</v>
      </c>
      <c r="B2255" s="1">
        <f>IFERROR(__xludf.DUMMYFUNCTION("""COMPUTED_VALUE"""),254.0)</f>
        <v>254</v>
      </c>
      <c r="C2255" s="1">
        <f>IFERROR(__xludf.DUMMYFUNCTION("""COMPUTED_VALUE"""),254.0)</f>
        <v>254</v>
      </c>
      <c r="D2255" s="1">
        <f>IFERROR(__xludf.DUMMYFUNCTION("""COMPUTED_VALUE"""),244.7)</f>
        <v>244.7</v>
      </c>
      <c r="E2255" s="1">
        <f>IFERROR(__xludf.DUMMYFUNCTION("""COMPUTED_VALUE"""),246.8)</f>
        <v>246.8</v>
      </c>
      <c r="F2255" s="1">
        <f>IFERROR(__xludf.DUMMYFUNCTION("""COMPUTED_VALUE"""),2678647.0)</f>
        <v>2678647</v>
      </c>
    </row>
    <row r="2256">
      <c r="A2256" s="2">
        <f>IFERROR(__xludf.DUMMYFUNCTION("""COMPUTED_VALUE"""),39840.645833333336)</f>
        <v>39840.64583</v>
      </c>
      <c r="B2256" s="1">
        <f>IFERROR(__xludf.DUMMYFUNCTION("""COMPUTED_VALUE"""),250.0)</f>
        <v>250</v>
      </c>
      <c r="C2256" s="1">
        <f>IFERROR(__xludf.DUMMYFUNCTION("""COMPUTED_VALUE"""),257.5)</f>
        <v>257.5</v>
      </c>
      <c r="D2256" s="1">
        <f>IFERROR(__xludf.DUMMYFUNCTION("""COMPUTED_VALUE"""),243.5)</f>
        <v>243.5</v>
      </c>
      <c r="E2256" s="1">
        <f>IFERROR(__xludf.DUMMYFUNCTION("""COMPUTED_VALUE"""),253.35)</f>
        <v>253.35</v>
      </c>
      <c r="F2256" s="1">
        <f>IFERROR(__xludf.DUMMYFUNCTION("""COMPUTED_VALUE"""),3879693.0)</f>
        <v>3879693</v>
      </c>
    </row>
    <row r="2257">
      <c r="A2257" s="2">
        <f>IFERROR(__xludf.DUMMYFUNCTION("""COMPUTED_VALUE"""),39841.645833333336)</f>
        <v>39841.64583</v>
      </c>
      <c r="B2257" s="1">
        <f>IFERROR(__xludf.DUMMYFUNCTION("""COMPUTED_VALUE"""),254.0)</f>
        <v>254</v>
      </c>
      <c r="C2257" s="1">
        <f>IFERROR(__xludf.DUMMYFUNCTION("""COMPUTED_VALUE"""),260.5)</f>
        <v>260.5</v>
      </c>
      <c r="D2257" s="1">
        <f>IFERROR(__xludf.DUMMYFUNCTION("""COMPUTED_VALUE"""),253.0)</f>
        <v>253</v>
      </c>
      <c r="E2257" s="1">
        <f>IFERROR(__xludf.DUMMYFUNCTION("""COMPUTED_VALUE"""),259.05)</f>
        <v>259.05</v>
      </c>
      <c r="F2257" s="1">
        <f>IFERROR(__xludf.DUMMYFUNCTION("""COMPUTED_VALUE"""),2285524.0)</f>
        <v>2285524</v>
      </c>
    </row>
    <row r="2258">
      <c r="A2258" s="2">
        <f>IFERROR(__xludf.DUMMYFUNCTION("""COMPUTED_VALUE"""),39842.645833333336)</f>
        <v>39842.64583</v>
      </c>
      <c r="B2258" s="1">
        <f>IFERROR(__xludf.DUMMYFUNCTION("""COMPUTED_VALUE"""),259.95)</f>
        <v>259.95</v>
      </c>
      <c r="C2258" s="1">
        <f>IFERROR(__xludf.DUMMYFUNCTION("""COMPUTED_VALUE"""),262.35)</f>
        <v>262.35</v>
      </c>
      <c r="D2258" s="1">
        <f>IFERROR(__xludf.DUMMYFUNCTION("""COMPUTED_VALUE"""),254.5)</f>
        <v>254.5</v>
      </c>
      <c r="E2258" s="1">
        <f>IFERROR(__xludf.DUMMYFUNCTION("""COMPUTED_VALUE"""),257.05)</f>
        <v>257.05</v>
      </c>
      <c r="F2258" s="1">
        <f>IFERROR(__xludf.DUMMYFUNCTION("""COMPUTED_VALUE"""),4729499.0)</f>
        <v>4729499</v>
      </c>
    </row>
    <row r="2259">
      <c r="A2259" s="2">
        <f>IFERROR(__xludf.DUMMYFUNCTION("""COMPUTED_VALUE"""),39843.645833333336)</f>
        <v>39843.64583</v>
      </c>
      <c r="B2259" s="1">
        <f>IFERROR(__xludf.DUMMYFUNCTION("""COMPUTED_VALUE"""),256.25)</f>
        <v>256.25</v>
      </c>
      <c r="C2259" s="1">
        <f>IFERROR(__xludf.DUMMYFUNCTION("""COMPUTED_VALUE"""),263.0)</f>
        <v>263</v>
      </c>
      <c r="D2259" s="1">
        <f>IFERROR(__xludf.DUMMYFUNCTION("""COMPUTED_VALUE"""),254.0)</f>
        <v>254</v>
      </c>
      <c r="E2259" s="1">
        <f>IFERROR(__xludf.DUMMYFUNCTION("""COMPUTED_VALUE"""),261.65)</f>
        <v>261.65</v>
      </c>
      <c r="F2259" s="1">
        <f>IFERROR(__xludf.DUMMYFUNCTION("""COMPUTED_VALUE"""),1696094.0)</f>
        <v>1696094</v>
      </c>
    </row>
    <row r="2260">
      <c r="A2260" s="2">
        <f>IFERROR(__xludf.DUMMYFUNCTION("""COMPUTED_VALUE"""),39846.645833333336)</f>
        <v>39846.64583</v>
      </c>
      <c r="B2260" s="1">
        <f>IFERROR(__xludf.DUMMYFUNCTION("""COMPUTED_VALUE"""),259.0)</f>
        <v>259</v>
      </c>
      <c r="C2260" s="1">
        <f>IFERROR(__xludf.DUMMYFUNCTION("""COMPUTED_VALUE"""),263.7)</f>
        <v>263.7</v>
      </c>
      <c r="D2260" s="1">
        <f>IFERROR(__xludf.DUMMYFUNCTION("""COMPUTED_VALUE"""),255.25)</f>
        <v>255.25</v>
      </c>
      <c r="E2260" s="1">
        <f>IFERROR(__xludf.DUMMYFUNCTION("""COMPUTED_VALUE"""),261.9)</f>
        <v>261.9</v>
      </c>
      <c r="F2260" s="1">
        <f>IFERROR(__xludf.DUMMYFUNCTION("""COMPUTED_VALUE"""),3244570.0)</f>
        <v>3244570</v>
      </c>
    </row>
    <row r="2261">
      <c r="A2261" s="2">
        <f>IFERROR(__xludf.DUMMYFUNCTION("""COMPUTED_VALUE"""),39847.645833333336)</f>
        <v>39847.64583</v>
      </c>
      <c r="B2261" s="1">
        <f>IFERROR(__xludf.DUMMYFUNCTION("""COMPUTED_VALUE"""),260.05)</f>
        <v>260.05</v>
      </c>
      <c r="C2261" s="1">
        <f>IFERROR(__xludf.DUMMYFUNCTION("""COMPUTED_VALUE"""),268.5)</f>
        <v>268.5</v>
      </c>
      <c r="D2261" s="1">
        <f>IFERROR(__xludf.DUMMYFUNCTION("""COMPUTED_VALUE"""),259.0)</f>
        <v>259</v>
      </c>
      <c r="E2261" s="1">
        <f>IFERROR(__xludf.DUMMYFUNCTION("""COMPUTED_VALUE"""),266.1)</f>
        <v>266.1</v>
      </c>
      <c r="F2261" s="1">
        <f>IFERROR(__xludf.DUMMYFUNCTION("""COMPUTED_VALUE"""),3656406.0)</f>
        <v>3656406</v>
      </c>
    </row>
    <row r="2262">
      <c r="A2262" s="2">
        <f>IFERROR(__xludf.DUMMYFUNCTION("""COMPUTED_VALUE"""),39848.645833333336)</f>
        <v>39848.64583</v>
      </c>
      <c r="B2262" s="1">
        <f>IFERROR(__xludf.DUMMYFUNCTION("""COMPUTED_VALUE"""),266.55)</f>
        <v>266.55</v>
      </c>
      <c r="C2262" s="1">
        <f>IFERROR(__xludf.DUMMYFUNCTION("""COMPUTED_VALUE"""),268.5)</f>
        <v>268.5</v>
      </c>
      <c r="D2262" s="1">
        <f>IFERROR(__xludf.DUMMYFUNCTION("""COMPUTED_VALUE"""),263.7)</f>
        <v>263.7</v>
      </c>
      <c r="E2262" s="1">
        <f>IFERROR(__xludf.DUMMYFUNCTION("""COMPUTED_VALUE"""),267.9)</f>
        <v>267.9</v>
      </c>
      <c r="F2262" s="1">
        <f>IFERROR(__xludf.DUMMYFUNCTION("""COMPUTED_VALUE"""),2994622.0)</f>
        <v>2994622</v>
      </c>
    </row>
    <row r="2263">
      <c r="A2263" s="2">
        <f>IFERROR(__xludf.DUMMYFUNCTION("""COMPUTED_VALUE"""),39849.645833333336)</f>
        <v>39849.64583</v>
      </c>
      <c r="B2263" s="1">
        <f>IFERROR(__xludf.DUMMYFUNCTION("""COMPUTED_VALUE"""),260.0)</f>
        <v>260</v>
      </c>
      <c r="C2263" s="1">
        <f>IFERROR(__xludf.DUMMYFUNCTION("""COMPUTED_VALUE"""),271.9)</f>
        <v>271.9</v>
      </c>
      <c r="D2263" s="1">
        <f>IFERROR(__xludf.DUMMYFUNCTION("""COMPUTED_VALUE"""),260.0)</f>
        <v>260</v>
      </c>
      <c r="E2263" s="1">
        <f>IFERROR(__xludf.DUMMYFUNCTION("""COMPUTED_VALUE"""),263.4)</f>
        <v>263.4</v>
      </c>
      <c r="F2263" s="1">
        <f>IFERROR(__xludf.DUMMYFUNCTION("""COMPUTED_VALUE"""),3604333.0)</f>
        <v>3604333</v>
      </c>
    </row>
    <row r="2264">
      <c r="A2264" s="2">
        <f>IFERROR(__xludf.DUMMYFUNCTION("""COMPUTED_VALUE"""),39850.645833333336)</f>
        <v>39850.64583</v>
      </c>
      <c r="B2264" s="1">
        <f>IFERROR(__xludf.DUMMYFUNCTION("""COMPUTED_VALUE"""),268.0)</f>
        <v>268</v>
      </c>
      <c r="C2264" s="1">
        <f>IFERROR(__xludf.DUMMYFUNCTION("""COMPUTED_VALUE"""),269.85)</f>
        <v>269.85</v>
      </c>
      <c r="D2264" s="1">
        <f>IFERROR(__xludf.DUMMYFUNCTION("""COMPUTED_VALUE"""),260.0)</f>
        <v>260</v>
      </c>
      <c r="E2264" s="1">
        <f>IFERROR(__xludf.DUMMYFUNCTION("""COMPUTED_VALUE"""),260.6)</f>
        <v>260.6</v>
      </c>
      <c r="F2264" s="1">
        <f>IFERROR(__xludf.DUMMYFUNCTION("""COMPUTED_VALUE"""),3827622.0)</f>
        <v>3827622</v>
      </c>
    </row>
    <row r="2265">
      <c r="A2265" s="2">
        <f>IFERROR(__xludf.DUMMYFUNCTION("""COMPUTED_VALUE"""),39853.645833333336)</f>
        <v>39853.64583</v>
      </c>
      <c r="B2265" s="1">
        <f>IFERROR(__xludf.DUMMYFUNCTION("""COMPUTED_VALUE"""),260.0)</f>
        <v>260</v>
      </c>
      <c r="C2265" s="1">
        <f>IFERROR(__xludf.DUMMYFUNCTION("""COMPUTED_VALUE"""),263.3)</f>
        <v>263.3</v>
      </c>
      <c r="D2265" s="1">
        <f>IFERROR(__xludf.DUMMYFUNCTION("""COMPUTED_VALUE"""),258.35)</f>
        <v>258.35</v>
      </c>
      <c r="E2265" s="1">
        <f>IFERROR(__xludf.DUMMYFUNCTION("""COMPUTED_VALUE"""),260.15)</f>
        <v>260.15</v>
      </c>
      <c r="F2265" s="1">
        <f>IFERROR(__xludf.DUMMYFUNCTION("""COMPUTED_VALUE"""),4805572.0)</f>
        <v>4805572</v>
      </c>
    </row>
    <row r="2266">
      <c r="A2266" s="2">
        <f>IFERROR(__xludf.DUMMYFUNCTION("""COMPUTED_VALUE"""),39854.645833333336)</f>
        <v>39854.64583</v>
      </c>
      <c r="B2266" s="1">
        <f>IFERROR(__xludf.DUMMYFUNCTION("""COMPUTED_VALUE"""),260.5)</f>
        <v>260.5</v>
      </c>
      <c r="C2266" s="1">
        <f>IFERROR(__xludf.DUMMYFUNCTION("""COMPUTED_VALUE"""),261.95)</f>
        <v>261.95</v>
      </c>
      <c r="D2266" s="1">
        <f>IFERROR(__xludf.DUMMYFUNCTION("""COMPUTED_VALUE"""),255.35)</f>
        <v>255.35</v>
      </c>
      <c r="E2266" s="1">
        <f>IFERROR(__xludf.DUMMYFUNCTION("""COMPUTED_VALUE"""),258.95)</f>
        <v>258.95</v>
      </c>
      <c r="F2266" s="1">
        <f>IFERROR(__xludf.DUMMYFUNCTION("""COMPUTED_VALUE"""),2126933.0)</f>
        <v>2126933</v>
      </c>
    </row>
    <row r="2267">
      <c r="A2267" s="2">
        <f>IFERROR(__xludf.DUMMYFUNCTION("""COMPUTED_VALUE"""),39855.645833333336)</f>
        <v>39855.64583</v>
      </c>
      <c r="B2267" s="1">
        <f>IFERROR(__xludf.DUMMYFUNCTION("""COMPUTED_VALUE"""),258.5)</f>
        <v>258.5</v>
      </c>
      <c r="C2267" s="1">
        <f>IFERROR(__xludf.DUMMYFUNCTION("""COMPUTED_VALUE"""),260.0)</f>
        <v>260</v>
      </c>
      <c r="D2267" s="1">
        <f>IFERROR(__xludf.DUMMYFUNCTION("""COMPUTED_VALUE"""),255.55)</f>
        <v>255.55</v>
      </c>
      <c r="E2267" s="1">
        <f>IFERROR(__xludf.DUMMYFUNCTION("""COMPUTED_VALUE"""),259.2)</f>
        <v>259.2</v>
      </c>
      <c r="F2267" s="1">
        <f>IFERROR(__xludf.DUMMYFUNCTION("""COMPUTED_VALUE"""),1891415.0)</f>
        <v>1891415</v>
      </c>
    </row>
    <row r="2268">
      <c r="A2268" s="2">
        <f>IFERROR(__xludf.DUMMYFUNCTION("""COMPUTED_VALUE"""),39856.645833333336)</f>
        <v>39856.64583</v>
      </c>
      <c r="B2268" s="1">
        <f>IFERROR(__xludf.DUMMYFUNCTION("""COMPUTED_VALUE"""),259.0)</f>
        <v>259</v>
      </c>
      <c r="C2268" s="1">
        <f>IFERROR(__xludf.DUMMYFUNCTION("""COMPUTED_VALUE"""),260.0)</f>
        <v>260</v>
      </c>
      <c r="D2268" s="1">
        <f>IFERROR(__xludf.DUMMYFUNCTION("""COMPUTED_VALUE"""),256.55)</f>
        <v>256.55</v>
      </c>
      <c r="E2268" s="1">
        <f>IFERROR(__xludf.DUMMYFUNCTION("""COMPUTED_VALUE"""),258.7)</f>
        <v>258.7</v>
      </c>
      <c r="F2268" s="1">
        <f>IFERROR(__xludf.DUMMYFUNCTION("""COMPUTED_VALUE"""),953167.0)</f>
        <v>953167</v>
      </c>
    </row>
    <row r="2269">
      <c r="A2269" s="2">
        <f>IFERROR(__xludf.DUMMYFUNCTION("""COMPUTED_VALUE"""),39857.645833333336)</f>
        <v>39857.64583</v>
      </c>
      <c r="B2269" s="1">
        <f>IFERROR(__xludf.DUMMYFUNCTION("""COMPUTED_VALUE"""),260.4)</f>
        <v>260.4</v>
      </c>
      <c r="C2269" s="1">
        <f>IFERROR(__xludf.DUMMYFUNCTION("""COMPUTED_VALUE"""),261.45)</f>
        <v>261.45</v>
      </c>
      <c r="D2269" s="1">
        <f>IFERROR(__xludf.DUMMYFUNCTION("""COMPUTED_VALUE"""),258.2)</f>
        <v>258.2</v>
      </c>
      <c r="E2269" s="1">
        <f>IFERROR(__xludf.DUMMYFUNCTION("""COMPUTED_VALUE"""),259.25)</f>
        <v>259.25</v>
      </c>
      <c r="F2269" s="1">
        <f>IFERROR(__xludf.DUMMYFUNCTION("""COMPUTED_VALUE"""),1128899.0)</f>
        <v>1128899</v>
      </c>
    </row>
    <row r="2270">
      <c r="A2270" s="2">
        <f>IFERROR(__xludf.DUMMYFUNCTION("""COMPUTED_VALUE"""),39860.645833333336)</f>
        <v>39860.64583</v>
      </c>
      <c r="B2270" s="1">
        <f>IFERROR(__xludf.DUMMYFUNCTION("""COMPUTED_VALUE"""),252.25)</f>
        <v>252.25</v>
      </c>
      <c r="C2270" s="1">
        <f>IFERROR(__xludf.DUMMYFUNCTION("""COMPUTED_VALUE"""),260.0)</f>
        <v>260</v>
      </c>
      <c r="D2270" s="1">
        <f>IFERROR(__xludf.DUMMYFUNCTION("""COMPUTED_VALUE"""),252.25)</f>
        <v>252.25</v>
      </c>
      <c r="E2270" s="1">
        <f>IFERROR(__xludf.DUMMYFUNCTION("""COMPUTED_VALUE"""),256.25)</f>
        <v>256.25</v>
      </c>
      <c r="F2270" s="1">
        <f>IFERROR(__xludf.DUMMYFUNCTION("""COMPUTED_VALUE"""),923665.0)</f>
        <v>923665</v>
      </c>
    </row>
    <row r="2271">
      <c r="A2271" s="2">
        <f>IFERROR(__xludf.DUMMYFUNCTION("""COMPUTED_VALUE"""),39861.645833333336)</f>
        <v>39861.64583</v>
      </c>
      <c r="B2271" s="1">
        <f>IFERROR(__xludf.DUMMYFUNCTION("""COMPUTED_VALUE"""),255.75)</f>
        <v>255.75</v>
      </c>
      <c r="C2271" s="1">
        <f>IFERROR(__xludf.DUMMYFUNCTION("""COMPUTED_VALUE"""),255.75)</f>
        <v>255.75</v>
      </c>
      <c r="D2271" s="1">
        <f>IFERROR(__xludf.DUMMYFUNCTION("""COMPUTED_VALUE"""),251.1)</f>
        <v>251.1</v>
      </c>
      <c r="E2271" s="1">
        <f>IFERROR(__xludf.DUMMYFUNCTION("""COMPUTED_VALUE"""),252.45)</f>
        <v>252.45</v>
      </c>
      <c r="F2271" s="1">
        <f>IFERROR(__xludf.DUMMYFUNCTION("""COMPUTED_VALUE"""),1654507.0)</f>
        <v>1654507</v>
      </c>
    </row>
    <row r="2272">
      <c r="A2272" s="2">
        <f>IFERROR(__xludf.DUMMYFUNCTION("""COMPUTED_VALUE"""),39862.645833333336)</f>
        <v>39862.64583</v>
      </c>
      <c r="B2272" s="1">
        <f>IFERROR(__xludf.DUMMYFUNCTION("""COMPUTED_VALUE"""),251.95)</f>
        <v>251.95</v>
      </c>
      <c r="C2272" s="1">
        <f>IFERROR(__xludf.DUMMYFUNCTION("""COMPUTED_VALUE"""),254.7)</f>
        <v>254.7</v>
      </c>
      <c r="D2272" s="1">
        <f>IFERROR(__xludf.DUMMYFUNCTION("""COMPUTED_VALUE"""),245.7)</f>
        <v>245.7</v>
      </c>
      <c r="E2272" s="1">
        <f>IFERROR(__xludf.DUMMYFUNCTION("""COMPUTED_VALUE"""),253.45)</f>
        <v>253.45</v>
      </c>
      <c r="F2272" s="1">
        <f>IFERROR(__xludf.DUMMYFUNCTION("""COMPUTED_VALUE"""),3541286.0)</f>
        <v>3541286</v>
      </c>
    </row>
    <row r="2273">
      <c r="A2273" s="2">
        <f>IFERROR(__xludf.DUMMYFUNCTION("""COMPUTED_VALUE"""),39863.645833333336)</f>
        <v>39863.64583</v>
      </c>
      <c r="B2273" s="1">
        <f>IFERROR(__xludf.DUMMYFUNCTION("""COMPUTED_VALUE"""),253.45)</f>
        <v>253.45</v>
      </c>
      <c r="C2273" s="1">
        <f>IFERROR(__xludf.DUMMYFUNCTION("""COMPUTED_VALUE"""),254.5)</f>
        <v>254.5</v>
      </c>
      <c r="D2273" s="1">
        <f>IFERROR(__xludf.DUMMYFUNCTION("""COMPUTED_VALUE"""),247.1)</f>
        <v>247.1</v>
      </c>
      <c r="E2273" s="1">
        <f>IFERROR(__xludf.DUMMYFUNCTION("""COMPUTED_VALUE"""),249.3)</f>
        <v>249.3</v>
      </c>
      <c r="F2273" s="1">
        <f>IFERROR(__xludf.DUMMYFUNCTION("""COMPUTED_VALUE"""),3540202.0)</f>
        <v>3540202</v>
      </c>
    </row>
    <row r="2274">
      <c r="A2274" s="2">
        <f>IFERROR(__xludf.DUMMYFUNCTION("""COMPUTED_VALUE"""),39864.645833333336)</f>
        <v>39864.64583</v>
      </c>
      <c r="B2274" s="1">
        <f>IFERROR(__xludf.DUMMYFUNCTION("""COMPUTED_VALUE"""),249.0)</f>
        <v>249</v>
      </c>
      <c r="C2274" s="1">
        <f>IFERROR(__xludf.DUMMYFUNCTION("""COMPUTED_VALUE"""),251.25)</f>
        <v>251.25</v>
      </c>
      <c r="D2274" s="1">
        <f>IFERROR(__xludf.DUMMYFUNCTION("""COMPUTED_VALUE"""),245.9)</f>
        <v>245.9</v>
      </c>
      <c r="E2274" s="1">
        <f>IFERROR(__xludf.DUMMYFUNCTION("""COMPUTED_VALUE"""),249.25)</f>
        <v>249.25</v>
      </c>
      <c r="F2274" s="1">
        <f>IFERROR(__xludf.DUMMYFUNCTION("""COMPUTED_VALUE"""),1109630.0)</f>
        <v>1109630</v>
      </c>
    </row>
    <row r="2275">
      <c r="A2275" s="2">
        <f>IFERROR(__xludf.DUMMYFUNCTION("""COMPUTED_VALUE"""),39868.645833333336)</f>
        <v>39868.64583</v>
      </c>
      <c r="B2275" s="1">
        <f>IFERROR(__xludf.DUMMYFUNCTION("""COMPUTED_VALUE"""),248.75)</f>
        <v>248.75</v>
      </c>
      <c r="C2275" s="1">
        <f>IFERROR(__xludf.DUMMYFUNCTION("""COMPUTED_VALUE"""),254.1)</f>
        <v>254.1</v>
      </c>
      <c r="D2275" s="1">
        <f>IFERROR(__xludf.DUMMYFUNCTION("""COMPUTED_VALUE"""),247.45)</f>
        <v>247.45</v>
      </c>
      <c r="E2275" s="1">
        <f>IFERROR(__xludf.DUMMYFUNCTION("""COMPUTED_VALUE"""),252.9)</f>
        <v>252.9</v>
      </c>
      <c r="F2275" s="1">
        <f>IFERROR(__xludf.DUMMYFUNCTION("""COMPUTED_VALUE"""),1711851.0)</f>
        <v>1711851</v>
      </c>
    </row>
    <row r="2276">
      <c r="A2276" s="2">
        <f>IFERROR(__xludf.DUMMYFUNCTION("""COMPUTED_VALUE"""),39869.645833333336)</f>
        <v>39869.64583</v>
      </c>
      <c r="B2276" s="1">
        <f>IFERROR(__xludf.DUMMYFUNCTION("""COMPUTED_VALUE"""),253.1)</f>
        <v>253.1</v>
      </c>
      <c r="C2276" s="1">
        <f>IFERROR(__xludf.DUMMYFUNCTION("""COMPUTED_VALUE"""),254.5)</f>
        <v>254.5</v>
      </c>
      <c r="D2276" s="1">
        <f>IFERROR(__xludf.DUMMYFUNCTION("""COMPUTED_VALUE"""),250.35)</f>
        <v>250.35</v>
      </c>
      <c r="E2276" s="1">
        <f>IFERROR(__xludf.DUMMYFUNCTION("""COMPUTED_VALUE"""),251.55)</f>
        <v>251.55</v>
      </c>
      <c r="F2276" s="1">
        <f>IFERROR(__xludf.DUMMYFUNCTION("""COMPUTED_VALUE"""),1330960.0)</f>
        <v>1330960</v>
      </c>
    </row>
    <row r="2277">
      <c r="A2277" s="2">
        <f>IFERROR(__xludf.DUMMYFUNCTION("""COMPUTED_VALUE"""),39870.645833333336)</f>
        <v>39870.64583</v>
      </c>
      <c r="B2277" s="1">
        <f>IFERROR(__xludf.DUMMYFUNCTION("""COMPUTED_VALUE"""),251.0)</f>
        <v>251</v>
      </c>
      <c r="C2277" s="1">
        <f>IFERROR(__xludf.DUMMYFUNCTION("""COMPUTED_VALUE"""),255.85)</f>
        <v>255.85</v>
      </c>
      <c r="D2277" s="1">
        <f>IFERROR(__xludf.DUMMYFUNCTION("""COMPUTED_VALUE"""),248.6)</f>
        <v>248.6</v>
      </c>
      <c r="E2277" s="1">
        <f>IFERROR(__xludf.DUMMYFUNCTION("""COMPUTED_VALUE"""),253.7)</f>
        <v>253.7</v>
      </c>
      <c r="F2277" s="1">
        <f>IFERROR(__xludf.DUMMYFUNCTION("""COMPUTED_VALUE"""),3968018.0)</f>
        <v>3968018</v>
      </c>
    </row>
    <row r="2278">
      <c r="A2278" s="2">
        <f>IFERROR(__xludf.DUMMYFUNCTION("""COMPUTED_VALUE"""),39871.645833333336)</f>
        <v>39871.64583</v>
      </c>
      <c r="B2278" s="1">
        <f>IFERROR(__xludf.DUMMYFUNCTION("""COMPUTED_VALUE"""),255.0)</f>
        <v>255</v>
      </c>
      <c r="C2278" s="1">
        <f>IFERROR(__xludf.DUMMYFUNCTION("""COMPUTED_VALUE"""),255.0)</f>
        <v>255</v>
      </c>
      <c r="D2278" s="1">
        <f>IFERROR(__xludf.DUMMYFUNCTION("""COMPUTED_VALUE"""),248.35)</f>
        <v>248.35</v>
      </c>
      <c r="E2278" s="1">
        <f>IFERROR(__xludf.DUMMYFUNCTION("""COMPUTED_VALUE"""),253.5)</f>
        <v>253.5</v>
      </c>
      <c r="F2278" s="1">
        <f>IFERROR(__xludf.DUMMYFUNCTION("""COMPUTED_VALUE"""),3441212.0)</f>
        <v>3441212</v>
      </c>
    </row>
    <row r="2279">
      <c r="A2279" s="2">
        <f>IFERROR(__xludf.DUMMYFUNCTION("""COMPUTED_VALUE"""),39874.645833333336)</f>
        <v>39874.64583</v>
      </c>
      <c r="B2279" s="1">
        <f>IFERROR(__xludf.DUMMYFUNCTION("""COMPUTED_VALUE"""),248.1)</f>
        <v>248.1</v>
      </c>
      <c r="C2279" s="1">
        <f>IFERROR(__xludf.DUMMYFUNCTION("""COMPUTED_VALUE"""),253.1)</f>
        <v>253.1</v>
      </c>
      <c r="D2279" s="1">
        <f>IFERROR(__xludf.DUMMYFUNCTION("""COMPUTED_VALUE"""),243.6)</f>
        <v>243.6</v>
      </c>
      <c r="E2279" s="1">
        <f>IFERROR(__xludf.DUMMYFUNCTION("""COMPUTED_VALUE"""),244.8)</f>
        <v>244.8</v>
      </c>
      <c r="F2279" s="1">
        <f>IFERROR(__xludf.DUMMYFUNCTION("""COMPUTED_VALUE"""),3874520.0)</f>
        <v>3874520</v>
      </c>
    </row>
    <row r="2280">
      <c r="A2280" s="2">
        <f>IFERROR(__xludf.DUMMYFUNCTION("""COMPUTED_VALUE"""),39875.645833333336)</f>
        <v>39875.64583</v>
      </c>
      <c r="B2280" s="1">
        <f>IFERROR(__xludf.DUMMYFUNCTION("""COMPUTED_VALUE"""),243.0)</f>
        <v>243</v>
      </c>
      <c r="C2280" s="1">
        <f>IFERROR(__xludf.DUMMYFUNCTION("""COMPUTED_VALUE"""),245.9)</f>
        <v>245.9</v>
      </c>
      <c r="D2280" s="1">
        <f>IFERROR(__xludf.DUMMYFUNCTION("""COMPUTED_VALUE"""),240.25)</f>
        <v>240.25</v>
      </c>
      <c r="E2280" s="1">
        <f>IFERROR(__xludf.DUMMYFUNCTION("""COMPUTED_VALUE"""),241.65)</f>
        <v>241.65</v>
      </c>
      <c r="F2280" s="1">
        <f>IFERROR(__xludf.DUMMYFUNCTION("""COMPUTED_VALUE"""),2503407.0)</f>
        <v>2503407</v>
      </c>
    </row>
    <row r="2281">
      <c r="A2281" s="2">
        <f>IFERROR(__xludf.DUMMYFUNCTION("""COMPUTED_VALUE"""),39876.645833333336)</f>
        <v>39876.64583</v>
      </c>
      <c r="B2281" s="1">
        <f>IFERROR(__xludf.DUMMYFUNCTION("""COMPUTED_VALUE"""),242.25)</f>
        <v>242.25</v>
      </c>
      <c r="C2281" s="1">
        <f>IFERROR(__xludf.DUMMYFUNCTION("""COMPUTED_VALUE"""),244.95)</f>
        <v>244.95</v>
      </c>
      <c r="D2281" s="1">
        <f>IFERROR(__xludf.DUMMYFUNCTION("""COMPUTED_VALUE"""),239.5)</f>
        <v>239.5</v>
      </c>
      <c r="E2281" s="1">
        <f>IFERROR(__xludf.DUMMYFUNCTION("""COMPUTED_VALUE"""),240.85)</f>
        <v>240.85</v>
      </c>
      <c r="F2281" s="1">
        <f>IFERROR(__xludf.DUMMYFUNCTION("""COMPUTED_VALUE"""),2114028.0)</f>
        <v>2114028</v>
      </c>
    </row>
    <row r="2282">
      <c r="A2282" s="2">
        <f>IFERROR(__xludf.DUMMYFUNCTION("""COMPUTED_VALUE"""),39877.645833333336)</f>
        <v>39877.64583</v>
      </c>
      <c r="B2282" s="1">
        <f>IFERROR(__xludf.DUMMYFUNCTION("""COMPUTED_VALUE"""),242.25)</f>
        <v>242.25</v>
      </c>
      <c r="C2282" s="1">
        <f>IFERROR(__xludf.DUMMYFUNCTION("""COMPUTED_VALUE"""),242.5)</f>
        <v>242.5</v>
      </c>
      <c r="D2282" s="1">
        <f>IFERROR(__xludf.DUMMYFUNCTION("""COMPUTED_VALUE"""),217.0)</f>
        <v>217</v>
      </c>
      <c r="E2282" s="1">
        <f>IFERROR(__xludf.DUMMYFUNCTION("""COMPUTED_VALUE"""),230.15)</f>
        <v>230.15</v>
      </c>
      <c r="F2282" s="1">
        <f>IFERROR(__xludf.DUMMYFUNCTION("""COMPUTED_VALUE"""),8560577.0)</f>
        <v>8560577</v>
      </c>
    </row>
    <row r="2283">
      <c r="A2283" s="2">
        <f>IFERROR(__xludf.DUMMYFUNCTION("""COMPUTED_VALUE"""),39878.645833333336)</f>
        <v>39878.64583</v>
      </c>
      <c r="B2283" s="1">
        <f>IFERROR(__xludf.DUMMYFUNCTION("""COMPUTED_VALUE"""),230.0)</f>
        <v>230</v>
      </c>
      <c r="C2283" s="1">
        <f>IFERROR(__xludf.DUMMYFUNCTION("""COMPUTED_VALUE"""),230.15)</f>
        <v>230.15</v>
      </c>
      <c r="D2283" s="1">
        <f>IFERROR(__xludf.DUMMYFUNCTION("""COMPUTED_VALUE"""),220.75)</f>
        <v>220.75</v>
      </c>
      <c r="E2283" s="1">
        <f>IFERROR(__xludf.DUMMYFUNCTION("""COMPUTED_VALUE"""),223.95)</f>
        <v>223.95</v>
      </c>
      <c r="F2283" s="1">
        <f>IFERROR(__xludf.DUMMYFUNCTION("""COMPUTED_VALUE"""),5538425.0)</f>
        <v>5538425</v>
      </c>
    </row>
    <row r="2284">
      <c r="A2284" s="2">
        <f>IFERROR(__xludf.DUMMYFUNCTION("""COMPUTED_VALUE"""),39881.645833333336)</f>
        <v>39881.64583</v>
      </c>
      <c r="B2284" s="1">
        <f>IFERROR(__xludf.DUMMYFUNCTION("""COMPUTED_VALUE"""),222.0)</f>
        <v>222</v>
      </c>
      <c r="C2284" s="1">
        <f>IFERROR(__xludf.DUMMYFUNCTION("""COMPUTED_VALUE"""),225.0)</f>
        <v>225</v>
      </c>
      <c r="D2284" s="1">
        <f>IFERROR(__xludf.DUMMYFUNCTION("""COMPUTED_VALUE"""),210.85)</f>
        <v>210.85</v>
      </c>
      <c r="E2284" s="1">
        <f>IFERROR(__xludf.DUMMYFUNCTION("""COMPUTED_VALUE"""),216.25)</f>
        <v>216.25</v>
      </c>
      <c r="F2284" s="1">
        <f>IFERROR(__xludf.DUMMYFUNCTION("""COMPUTED_VALUE"""),8065466.0)</f>
        <v>8065466</v>
      </c>
    </row>
    <row r="2285">
      <c r="A2285" s="2">
        <f>IFERROR(__xludf.DUMMYFUNCTION("""COMPUTED_VALUE"""),39884.645833333336)</f>
        <v>39884.64583</v>
      </c>
      <c r="B2285" s="1">
        <f>IFERROR(__xludf.DUMMYFUNCTION("""COMPUTED_VALUE"""),218.0)</f>
        <v>218</v>
      </c>
      <c r="C2285" s="1">
        <f>IFERROR(__xludf.DUMMYFUNCTION("""COMPUTED_VALUE"""),231.45)</f>
        <v>231.45</v>
      </c>
      <c r="D2285" s="1">
        <f>IFERROR(__xludf.DUMMYFUNCTION("""COMPUTED_VALUE"""),218.0)</f>
        <v>218</v>
      </c>
      <c r="E2285" s="1">
        <f>IFERROR(__xludf.DUMMYFUNCTION("""COMPUTED_VALUE"""),225.65)</f>
        <v>225.65</v>
      </c>
      <c r="F2285" s="1">
        <f>IFERROR(__xludf.DUMMYFUNCTION("""COMPUTED_VALUE"""),6891643.0)</f>
        <v>6891643</v>
      </c>
    </row>
    <row r="2286">
      <c r="A2286" s="2">
        <f>IFERROR(__xludf.DUMMYFUNCTION("""COMPUTED_VALUE"""),39885.645833333336)</f>
        <v>39885.64583</v>
      </c>
      <c r="B2286" s="1">
        <f>IFERROR(__xludf.DUMMYFUNCTION("""COMPUTED_VALUE"""),227.0)</f>
        <v>227</v>
      </c>
      <c r="C2286" s="1">
        <f>IFERROR(__xludf.DUMMYFUNCTION("""COMPUTED_VALUE"""),230.95)</f>
        <v>230.95</v>
      </c>
      <c r="D2286" s="1">
        <f>IFERROR(__xludf.DUMMYFUNCTION("""COMPUTED_VALUE"""),225.7)</f>
        <v>225.7</v>
      </c>
      <c r="E2286" s="1">
        <f>IFERROR(__xludf.DUMMYFUNCTION("""COMPUTED_VALUE"""),229.4)</f>
        <v>229.4</v>
      </c>
      <c r="F2286" s="1">
        <f>IFERROR(__xludf.DUMMYFUNCTION("""COMPUTED_VALUE"""),5458537.0)</f>
        <v>5458537</v>
      </c>
    </row>
    <row r="2287">
      <c r="A2287" s="2">
        <f>IFERROR(__xludf.DUMMYFUNCTION("""COMPUTED_VALUE"""),39888.645833333336)</f>
        <v>39888.64583</v>
      </c>
      <c r="B2287" s="1">
        <f>IFERROR(__xludf.DUMMYFUNCTION("""COMPUTED_VALUE"""),230.0)</f>
        <v>230</v>
      </c>
      <c r="C2287" s="1">
        <f>IFERROR(__xludf.DUMMYFUNCTION("""COMPUTED_VALUE"""),238.0)</f>
        <v>238</v>
      </c>
      <c r="D2287" s="1">
        <f>IFERROR(__xludf.DUMMYFUNCTION("""COMPUTED_VALUE"""),229.25)</f>
        <v>229.25</v>
      </c>
      <c r="E2287" s="1">
        <f>IFERROR(__xludf.DUMMYFUNCTION("""COMPUTED_VALUE"""),235.45)</f>
        <v>235.45</v>
      </c>
      <c r="F2287" s="1">
        <f>IFERROR(__xludf.DUMMYFUNCTION("""COMPUTED_VALUE"""),1595826.0)</f>
        <v>1595826</v>
      </c>
    </row>
    <row r="2288">
      <c r="A2288" s="2">
        <f>IFERROR(__xludf.DUMMYFUNCTION("""COMPUTED_VALUE"""),39889.645833333336)</f>
        <v>39889.64583</v>
      </c>
      <c r="B2288" s="1">
        <f>IFERROR(__xludf.DUMMYFUNCTION("""COMPUTED_VALUE"""),235.0)</f>
        <v>235</v>
      </c>
      <c r="C2288" s="1">
        <f>IFERROR(__xludf.DUMMYFUNCTION("""COMPUTED_VALUE"""),239.7)</f>
        <v>239.7</v>
      </c>
      <c r="D2288" s="1">
        <f>IFERROR(__xludf.DUMMYFUNCTION("""COMPUTED_VALUE"""),229.55)</f>
        <v>229.55</v>
      </c>
      <c r="E2288" s="1">
        <f>IFERROR(__xludf.DUMMYFUNCTION("""COMPUTED_VALUE"""),233.4)</f>
        <v>233.4</v>
      </c>
      <c r="F2288" s="1">
        <f>IFERROR(__xludf.DUMMYFUNCTION("""COMPUTED_VALUE"""),2732506.0)</f>
        <v>2732506</v>
      </c>
    </row>
    <row r="2289">
      <c r="A2289" s="2">
        <f>IFERROR(__xludf.DUMMYFUNCTION("""COMPUTED_VALUE"""),39890.645833333336)</f>
        <v>39890.64583</v>
      </c>
      <c r="B2289" s="1">
        <f>IFERROR(__xludf.DUMMYFUNCTION("""COMPUTED_VALUE"""),234.0)</f>
        <v>234</v>
      </c>
      <c r="C2289" s="1">
        <f>IFERROR(__xludf.DUMMYFUNCTION("""COMPUTED_VALUE"""),236.0)</f>
        <v>236</v>
      </c>
      <c r="D2289" s="1">
        <f>IFERROR(__xludf.DUMMYFUNCTION("""COMPUTED_VALUE"""),230.5)</f>
        <v>230.5</v>
      </c>
      <c r="E2289" s="1">
        <f>IFERROR(__xludf.DUMMYFUNCTION("""COMPUTED_VALUE"""),232.3)</f>
        <v>232.3</v>
      </c>
      <c r="F2289" s="1">
        <f>IFERROR(__xludf.DUMMYFUNCTION("""COMPUTED_VALUE"""),1667937.0)</f>
        <v>1667937</v>
      </c>
    </row>
    <row r="2290">
      <c r="A2290" s="2">
        <f>IFERROR(__xludf.DUMMYFUNCTION("""COMPUTED_VALUE"""),39891.645833333336)</f>
        <v>39891.64583</v>
      </c>
      <c r="B2290" s="1">
        <f>IFERROR(__xludf.DUMMYFUNCTION("""COMPUTED_VALUE"""),232.9)</f>
        <v>232.9</v>
      </c>
      <c r="C2290" s="1">
        <f>IFERROR(__xludf.DUMMYFUNCTION("""COMPUTED_VALUE"""),232.9)</f>
        <v>232.9</v>
      </c>
      <c r="D2290" s="1">
        <f>IFERROR(__xludf.DUMMYFUNCTION("""COMPUTED_VALUE"""),225.5)</f>
        <v>225.5</v>
      </c>
      <c r="E2290" s="1">
        <f>IFERROR(__xludf.DUMMYFUNCTION("""COMPUTED_VALUE"""),230.3)</f>
        <v>230.3</v>
      </c>
      <c r="F2290" s="1">
        <f>IFERROR(__xludf.DUMMYFUNCTION("""COMPUTED_VALUE"""),3002859.0)</f>
        <v>3002859</v>
      </c>
    </row>
    <row r="2291">
      <c r="A2291" s="2">
        <f>IFERROR(__xludf.DUMMYFUNCTION("""COMPUTED_VALUE"""),39892.645833333336)</f>
        <v>39892.64583</v>
      </c>
      <c r="B2291" s="1">
        <f>IFERROR(__xludf.DUMMYFUNCTION("""COMPUTED_VALUE"""),229.0)</f>
        <v>229</v>
      </c>
      <c r="C2291" s="1">
        <f>IFERROR(__xludf.DUMMYFUNCTION("""COMPUTED_VALUE"""),234.05)</f>
        <v>234.05</v>
      </c>
      <c r="D2291" s="1">
        <f>IFERROR(__xludf.DUMMYFUNCTION("""COMPUTED_VALUE"""),227.7)</f>
        <v>227.7</v>
      </c>
      <c r="E2291" s="1">
        <f>IFERROR(__xludf.DUMMYFUNCTION("""COMPUTED_VALUE"""),233.3)</f>
        <v>233.3</v>
      </c>
      <c r="F2291" s="1">
        <f>IFERROR(__xludf.DUMMYFUNCTION("""COMPUTED_VALUE"""),1540505.0)</f>
        <v>1540505</v>
      </c>
    </row>
    <row r="2292">
      <c r="A2292" s="2">
        <f>IFERROR(__xludf.DUMMYFUNCTION("""COMPUTED_VALUE"""),39895.645833333336)</f>
        <v>39895.64583</v>
      </c>
      <c r="B2292" s="1">
        <f>IFERROR(__xludf.DUMMYFUNCTION("""COMPUTED_VALUE"""),233.05)</f>
        <v>233.05</v>
      </c>
      <c r="C2292" s="1">
        <f>IFERROR(__xludf.DUMMYFUNCTION("""COMPUTED_VALUE"""),240.0)</f>
        <v>240</v>
      </c>
      <c r="D2292" s="1">
        <f>IFERROR(__xludf.DUMMYFUNCTION("""COMPUTED_VALUE"""),233.05)</f>
        <v>233.05</v>
      </c>
      <c r="E2292" s="1">
        <f>IFERROR(__xludf.DUMMYFUNCTION("""COMPUTED_VALUE"""),238.6)</f>
        <v>238.6</v>
      </c>
      <c r="F2292" s="1">
        <f>IFERROR(__xludf.DUMMYFUNCTION("""COMPUTED_VALUE"""),1545778.0)</f>
        <v>1545778</v>
      </c>
    </row>
    <row r="2293">
      <c r="A2293" s="2">
        <f>IFERROR(__xludf.DUMMYFUNCTION("""COMPUTED_VALUE"""),39896.645833333336)</f>
        <v>39896.64583</v>
      </c>
      <c r="B2293" s="1">
        <f>IFERROR(__xludf.DUMMYFUNCTION("""COMPUTED_VALUE"""),240.0)</f>
        <v>240</v>
      </c>
      <c r="C2293" s="1">
        <f>IFERROR(__xludf.DUMMYFUNCTION("""COMPUTED_VALUE"""),240.5)</f>
        <v>240.5</v>
      </c>
      <c r="D2293" s="1">
        <f>IFERROR(__xludf.DUMMYFUNCTION("""COMPUTED_VALUE"""),235.1)</f>
        <v>235.1</v>
      </c>
      <c r="E2293" s="1">
        <f>IFERROR(__xludf.DUMMYFUNCTION("""COMPUTED_VALUE"""),239.25)</f>
        <v>239.25</v>
      </c>
      <c r="F2293" s="1">
        <f>IFERROR(__xludf.DUMMYFUNCTION("""COMPUTED_VALUE"""),4959565.0)</f>
        <v>4959565</v>
      </c>
    </row>
    <row r="2294">
      <c r="A2294" s="2">
        <f>IFERROR(__xludf.DUMMYFUNCTION("""COMPUTED_VALUE"""),39897.645833333336)</f>
        <v>39897.64583</v>
      </c>
      <c r="B2294" s="1">
        <f>IFERROR(__xludf.DUMMYFUNCTION("""COMPUTED_VALUE"""),235.0)</f>
        <v>235</v>
      </c>
      <c r="C2294" s="1">
        <f>IFERROR(__xludf.DUMMYFUNCTION("""COMPUTED_VALUE"""),241.75)</f>
        <v>241.75</v>
      </c>
      <c r="D2294" s="1">
        <f>IFERROR(__xludf.DUMMYFUNCTION("""COMPUTED_VALUE"""),233.45)</f>
        <v>233.45</v>
      </c>
      <c r="E2294" s="1">
        <f>IFERROR(__xludf.DUMMYFUNCTION("""COMPUTED_VALUE"""),234.65)</f>
        <v>234.65</v>
      </c>
      <c r="F2294" s="1">
        <f>IFERROR(__xludf.DUMMYFUNCTION("""COMPUTED_VALUE"""),3763047.0)</f>
        <v>3763047</v>
      </c>
    </row>
    <row r="2295">
      <c r="A2295" s="2">
        <f>IFERROR(__xludf.DUMMYFUNCTION("""COMPUTED_VALUE"""),39898.645833333336)</f>
        <v>39898.64583</v>
      </c>
      <c r="B2295" s="1">
        <f>IFERROR(__xludf.DUMMYFUNCTION("""COMPUTED_VALUE"""),235.25)</f>
        <v>235.25</v>
      </c>
      <c r="C2295" s="1">
        <f>IFERROR(__xludf.DUMMYFUNCTION("""COMPUTED_VALUE"""),241.0)</f>
        <v>241</v>
      </c>
      <c r="D2295" s="1">
        <f>IFERROR(__xludf.DUMMYFUNCTION("""COMPUTED_VALUE"""),235.05)</f>
        <v>235.05</v>
      </c>
      <c r="E2295" s="1">
        <f>IFERROR(__xludf.DUMMYFUNCTION("""COMPUTED_VALUE"""),239.75)</f>
        <v>239.75</v>
      </c>
      <c r="F2295" s="1">
        <f>IFERROR(__xludf.DUMMYFUNCTION("""COMPUTED_VALUE"""),4155555.0)</f>
        <v>4155555</v>
      </c>
    </row>
    <row r="2296">
      <c r="A2296" s="2">
        <f>IFERROR(__xludf.DUMMYFUNCTION("""COMPUTED_VALUE"""),39899.645833333336)</f>
        <v>39899.64583</v>
      </c>
      <c r="B2296" s="1">
        <f>IFERROR(__xludf.DUMMYFUNCTION("""COMPUTED_VALUE"""),239.95)</f>
        <v>239.95</v>
      </c>
      <c r="C2296" s="1">
        <f>IFERROR(__xludf.DUMMYFUNCTION("""COMPUTED_VALUE"""),240.5)</f>
        <v>240.5</v>
      </c>
      <c r="D2296" s="1">
        <f>IFERROR(__xludf.DUMMYFUNCTION("""COMPUTED_VALUE"""),235.6)</f>
        <v>235.6</v>
      </c>
      <c r="E2296" s="1">
        <f>IFERROR(__xludf.DUMMYFUNCTION("""COMPUTED_VALUE"""),240.0)</f>
        <v>240</v>
      </c>
      <c r="F2296" s="1">
        <f>IFERROR(__xludf.DUMMYFUNCTION("""COMPUTED_VALUE"""),4362155.0)</f>
        <v>4362155</v>
      </c>
    </row>
    <row r="2297">
      <c r="A2297" s="2">
        <f>IFERROR(__xludf.DUMMYFUNCTION("""COMPUTED_VALUE"""),39902.645833333336)</f>
        <v>39902.64583</v>
      </c>
      <c r="B2297" s="1">
        <f>IFERROR(__xludf.DUMMYFUNCTION("""COMPUTED_VALUE"""),238.0)</f>
        <v>238</v>
      </c>
      <c r="C2297" s="1">
        <f>IFERROR(__xludf.DUMMYFUNCTION("""COMPUTED_VALUE"""),244.85)</f>
        <v>244.85</v>
      </c>
      <c r="D2297" s="1">
        <f>IFERROR(__xludf.DUMMYFUNCTION("""COMPUTED_VALUE"""),237.0)</f>
        <v>237</v>
      </c>
      <c r="E2297" s="1">
        <f>IFERROR(__xludf.DUMMYFUNCTION("""COMPUTED_VALUE"""),239.75)</f>
        <v>239.75</v>
      </c>
      <c r="F2297" s="1">
        <f>IFERROR(__xludf.DUMMYFUNCTION("""COMPUTED_VALUE"""),2576617.0)</f>
        <v>2576617</v>
      </c>
    </row>
    <row r="2298">
      <c r="A2298" s="2">
        <f>IFERROR(__xludf.DUMMYFUNCTION("""COMPUTED_VALUE"""),39903.645833333336)</f>
        <v>39903.64583</v>
      </c>
      <c r="B2298" s="1">
        <f>IFERROR(__xludf.DUMMYFUNCTION("""COMPUTED_VALUE"""),235.25)</f>
        <v>235.25</v>
      </c>
      <c r="C2298" s="1">
        <f>IFERROR(__xludf.DUMMYFUNCTION("""COMPUTED_VALUE"""),241.4)</f>
        <v>241.4</v>
      </c>
      <c r="D2298" s="1">
        <f>IFERROR(__xludf.DUMMYFUNCTION("""COMPUTED_VALUE"""),235.25)</f>
        <v>235.25</v>
      </c>
      <c r="E2298" s="1">
        <f>IFERROR(__xludf.DUMMYFUNCTION("""COMPUTED_VALUE"""),237.5)</f>
        <v>237.5</v>
      </c>
      <c r="F2298" s="1">
        <f>IFERROR(__xludf.DUMMYFUNCTION("""COMPUTED_VALUE"""),5324502.0)</f>
        <v>5324502</v>
      </c>
    </row>
    <row r="2299">
      <c r="A2299" s="2">
        <f>IFERROR(__xludf.DUMMYFUNCTION("""COMPUTED_VALUE"""),39904.645833333336)</f>
        <v>39904.64583</v>
      </c>
      <c r="B2299" s="1">
        <f>IFERROR(__xludf.DUMMYFUNCTION("""COMPUTED_VALUE"""),235.0)</f>
        <v>235</v>
      </c>
      <c r="C2299" s="1">
        <f>IFERROR(__xludf.DUMMYFUNCTION("""COMPUTED_VALUE"""),240.85)</f>
        <v>240.85</v>
      </c>
      <c r="D2299" s="1">
        <f>IFERROR(__xludf.DUMMYFUNCTION("""COMPUTED_VALUE"""),228.35)</f>
        <v>228.35</v>
      </c>
      <c r="E2299" s="1">
        <f>IFERROR(__xludf.DUMMYFUNCTION("""COMPUTED_VALUE"""),236.45)</f>
        <v>236.45</v>
      </c>
      <c r="F2299" s="1">
        <f>IFERROR(__xludf.DUMMYFUNCTION("""COMPUTED_VALUE"""),8073338.0)</f>
        <v>8073338</v>
      </c>
    </row>
    <row r="2300">
      <c r="A2300" s="2">
        <f>IFERROR(__xludf.DUMMYFUNCTION("""COMPUTED_VALUE"""),39905.645833333336)</f>
        <v>39905.64583</v>
      </c>
      <c r="B2300" s="1">
        <f>IFERROR(__xludf.DUMMYFUNCTION("""COMPUTED_VALUE"""),235.1)</f>
        <v>235.1</v>
      </c>
      <c r="C2300" s="1">
        <f>IFERROR(__xludf.DUMMYFUNCTION("""COMPUTED_VALUE"""),242.7)</f>
        <v>242.7</v>
      </c>
      <c r="D2300" s="1">
        <f>IFERROR(__xludf.DUMMYFUNCTION("""COMPUTED_VALUE"""),230.1)</f>
        <v>230.1</v>
      </c>
      <c r="E2300" s="1">
        <f>IFERROR(__xludf.DUMMYFUNCTION("""COMPUTED_VALUE"""),231.0)</f>
        <v>231</v>
      </c>
      <c r="F2300" s="1">
        <f>IFERROR(__xludf.DUMMYFUNCTION("""COMPUTED_VALUE"""),6272514.0)</f>
        <v>6272514</v>
      </c>
    </row>
    <row r="2301">
      <c r="A2301" s="2">
        <f>IFERROR(__xludf.DUMMYFUNCTION("""COMPUTED_VALUE"""),39909.645833333336)</f>
        <v>39909.64583</v>
      </c>
      <c r="B2301" s="1">
        <f>IFERROR(__xludf.DUMMYFUNCTION("""COMPUTED_VALUE"""),234.9)</f>
        <v>234.9</v>
      </c>
      <c r="C2301" s="1">
        <f>IFERROR(__xludf.DUMMYFUNCTION("""COMPUTED_VALUE"""),235.0)</f>
        <v>235</v>
      </c>
      <c r="D2301" s="1">
        <f>IFERROR(__xludf.DUMMYFUNCTION("""COMPUTED_VALUE"""),224.75)</f>
        <v>224.75</v>
      </c>
      <c r="E2301" s="1">
        <f>IFERROR(__xludf.DUMMYFUNCTION("""COMPUTED_VALUE"""),227.4)</f>
        <v>227.4</v>
      </c>
      <c r="F2301" s="1">
        <f>IFERROR(__xludf.DUMMYFUNCTION("""COMPUTED_VALUE"""),1.2114483E7)</f>
        <v>12114483</v>
      </c>
    </row>
    <row r="2302">
      <c r="A2302" s="2">
        <f>IFERROR(__xludf.DUMMYFUNCTION("""COMPUTED_VALUE"""),39911.645833333336)</f>
        <v>39911.64583</v>
      </c>
      <c r="B2302" s="1">
        <f>IFERROR(__xludf.DUMMYFUNCTION("""COMPUTED_VALUE"""),225.2)</f>
        <v>225.2</v>
      </c>
      <c r="C2302" s="1">
        <f>IFERROR(__xludf.DUMMYFUNCTION("""COMPUTED_VALUE"""),243.75)</f>
        <v>243.75</v>
      </c>
      <c r="D2302" s="1">
        <f>IFERROR(__xludf.DUMMYFUNCTION("""COMPUTED_VALUE"""),224.0)</f>
        <v>224</v>
      </c>
      <c r="E2302" s="1">
        <f>IFERROR(__xludf.DUMMYFUNCTION("""COMPUTED_VALUE"""),241.3)</f>
        <v>241.3</v>
      </c>
      <c r="F2302" s="1">
        <f>IFERROR(__xludf.DUMMYFUNCTION("""COMPUTED_VALUE"""),8051460.0)</f>
        <v>8051460</v>
      </c>
    </row>
    <row r="2303">
      <c r="A2303" s="2">
        <f>IFERROR(__xludf.DUMMYFUNCTION("""COMPUTED_VALUE"""),39912.645833333336)</f>
        <v>39912.64583</v>
      </c>
      <c r="B2303" s="1">
        <f>IFERROR(__xludf.DUMMYFUNCTION("""COMPUTED_VALUE"""),242.9)</f>
        <v>242.9</v>
      </c>
      <c r="C2303" s="1">
        <f>IFERROR(__xludf.DUMMYFUNCTION("""COMPUTED_VALUE"""),242.9)</f>
        <v>242.9</v>
      </c>
      <c r="D2303" s="1">
        <f>IFERROR(__xludf.DUMMYFUNCTION("""COMPUTED_VALUE"""),230.85)</f>
        <v>230.85</v>
      </c>
      <c r="E2303" s="1">
        <f>IFERROR(__xludf.DUMMYFUNCTION("""COMPUTED_VALUE"""),233.0)</f>
        <v>233</v>
      </c>
      <c r="F2303" s="1">
        <f>IFERROR(__xludf.DUMMYFUNCTION("""COMPUTED_VALUE"""),5915343.0)</f>
        <v>5915343</v>
      </c>
    </row>
    <row r="2304">
      <c r="A2304" s="2">
        <f>IFERROR(__xludf.DUMMYFUNCTION("""COMPUTED_VALUE"""),39916.645833333336)</f>
        <v>39916.64583</v>
      </c>
      <c r="B2304" s="1">
        <f>IFERROR(__xludf.DUMMYFUNCTION("""COMPUTED_VALUE"""),235.05)</f>
        <v>235.05</v>
      </c>
      <c r="C2304" s="1">
        <f>IFERROR(__xludf.DUMMYFUNCTION("""COMPUTED_VALUE"""),235.95)</f>
        <v>235.95</v>
      </c>
      <c r="D2304" s="1">
        <f>IFERROR(__xludf.DUMMYFUNCTION("""COMPUTED_VALUE"""),226.6)</f>
        <v>226.6</v>
      </c>
      <c r="E2304" s="1">
        <f>IFERROR(__xludf.DUMMYFUNCTION("""COMPUTED_VALUE"""),230.0)</f>
        <v>230</v>
      </c>
      <c r="F2304" s="1">
        <f>IFERROR(__xludf.DUMMYFUNCTION("""COMPUTED_VALUE"""),4589893.0)</f>
        <v>4589893</v>
      </c>
    </row>
    <row r="2305">
      <c r="A2305" s="2">
        <f>IFERROR(__xludf.DUMMYFUNCTION("""COMPUTED_VALUE"""),39918.645833333336)</f>
        <v>39918.64583</v>
      </c>
      <c r="B2305" s="1">
        <f>IFERROR(__xludf.DUMMYFUNCTION("""COMPUTED_VALUE"""),230.0)</f>
        <v>230</v>
      </c>
      <c r="C2305" s="1">
        <f>IFERROR(__xludf.DUMMYFUNCTION("""COMPUTED_VALUE"""),236.9)</f>
        <v>236.9</v>
      </c>
      <c r="D2305" s="1">
        <f>IFERROR(__xludf.DUMMYFUNCTION("""COMPUTED_VALUE"""),229.3)</f>
        <v>229.3</v>
      </c>
      <c r="E2305" s="1">
        <f>IFERROR(__xludf.DUMMYFUNCTION("""COMPUTED_VALUE"""),235.45)</f>
        <v>235.45</v>
      </c>
      <c r="F2305" s="1">
        <f>IFERROR(__xludf.DUMMYFUNCTION("""COMPUTED_VALUE"""),6005935.0)</f>
        <v>6005935</v>
      </c>
    </row>
    <row r="2306">
      <c r="A2306" s="2">
        <f>IFERROR(__xludf.DUMMYFUNCTION("""COMPUTED_VALUE"""),39919.645833333336)</f>
        <v>39919.64583</v>
      </c>
      <c r="B2306" s="1">
        <f>IFERROR(__xludf.DUMMYFUNCTION("""COMPUTED_VALUE"""),235.45)</f>
        <v>235.45</v>
      </c>
      <c r="C2306" s="1">
        <f>IFERROR(__xludf.DUMMYFUNCTION("""COMPUTED_VALUE"""),241.0)</f>
        <v>241</v>
      </c>
      <c r="D2306" s="1">
        <f>IFERROR(__xludf.DUMMYFUNCTION("""COMPUTED_VALUE"""),234.0)</f>
        <v>234</v>
      </c>
      <c r="E2306" s="1">
        <f>IFERROR(__xludf.DUMMYFUNCTION("""COMPUTED_VALUE"""),239.15)</f>
        <v>239.15</v>
      </c>
      <c r="F2306" s="1">
        <f>IFERROR(__xludf.DUMMYFUNCTION("""COMPUTED_VALUE"""),7874188.0)</f>
        <v>7874188</v>
      </c>
    </row>
    <row r="2307">
      <c r="A2307" s="2">
        <f>IFERROR(__xludf.DUMMYFUNCTION("""COMPUTED_VALUE"""),39920.645833333336)</f>
        <v>39920.64583</v>
      </c>
      <c r="B2307" s="1">
        <f>IFERROR(__xludf.DUMMYFUNCTION("""COMPUTED_VALUE"""),241.0)</f>
        <v>241</v>
      </c>
      <c r="C2307" s="1">
        <f>IFERROR(__xludf.DUMMYFUNCTION("""COMPUTED_VALUE"""),242.1)</f>
        <v>242.1</v>
      </c>
      <c r="D2307" s="1">
        <f>IFERROR(__xludf.DUMMYFUNCTION("""COMPUTED_VALUE"""),236.35)</f>
        <v>236.35</v>
      </c>
      <c r="E2307" s="1">
        <f>IFERROR(__xludf.DUMMYFUNCTION("""COMPUTED_VALUE"""),239.1)</f>
        <v>239.1</v>
      </c>
      <c r="F2307" s="1">
        <f>IFERROR(__xludf.DUMMYFUNCTION("""COMPUTED_VALUE"""),2437839.0)</f>
        <v>2437839</v>
      </c>
    </row>
    <row r="2308">
      <c r="A2308" s="2">
        <f>IFERROR(__xludf.DUMMYFUNCTION("""COMPUTED_VALUE"""),39923.645833333336)</f>
        <v>39923.64583</v>
      </c>
      <c r="B2308" s="1">
        <f>IFERROR(__xludf.DUMMYFUNCTION("""COMPUTED_VALUE"""),240.0)</f>
        <v>240</v>
      </c>
      <c r="C2308" s="1">
        <f>IFERROR(__xludf.DUMMYFUNCTION("""COMPUTED_VALUE"""),240.15)</f>
        <v>240.15</v>
      </c>
      <c r="D2308" s="1">
        <f>IFERROR(__xludf.DUMMYFUNCTION("""COMPUTED_VALUE"""),234.6)</f>
        <v>234.6</v>
      </c>
      <c r="E2308" s="1">
        <f>IFERROR(__xludf.DUMMYFUNCTION("""COMPUTED_VALUE"""),238.0)</f>
        <v>238</v>
      </c>
      <c r="F2308" s="1">
        <f>IFERROR(__xludf.DUMMYFUNCTION("""COMPUTED_VALUE"""),4070911.0)</f>
        <v>4070911</v>
      </c>
    </row>
    <row r="2309">
      <c r="A2309" s="2">
        <f>IFERROR(__xludf.DUMMYFUNCTION("""COMPUTED_VALUE"""),39924.645833333336)</f>
        <v>39924.64583</v>
      </c>
      <c r="B2309" s="1">
        <f>IFERROR(__xludf.DUMMYFUNCTION("""COMPUTED_VALUE"""),237.65)</f>
        <v>237.65</v>
      </c>
      <c r="C2309" s="1">
        <f>IFERROR(__xludf.DUMMYFUNCTION("""COMPUTED_VALUE"""),244.9)</f>
        <v>244.9</v>
      </c>
      <c r="D2309" s="1">
        <f>IFERROR(__xludf.DUMMYFUNCTION("""COMPUTED_VALUE"""),236.15)</f>
        <v>236.15</v>
      </c>
      <c r="E2309" s="1">
        <f>IFERROR(__xludf.DUMMYFUNCTION("""COMPUTED_VALUE"""),242.9)</f>
        <v>242.9</v>
      </c>
      <c r="F2309" s="1">
        <f>IFERROR(__xludf.DUMMYFUNCTION("""COMPUTED_VALUE"""),4586448.0)</f>
        <v>4586448</v>
      </c>
    </row>
    <row r="2310">
      <c r="A2310" s="2">
        <f>IFERROR(__xludf.DUMMYFUNCTION("""COMPUTED_VALUE"""),39925.645833333336)</f>
        <v>39925.64583</v>
      </c>
      <c r="B2310" s="1">
        <f>IFERROR(__xludf.DUMMYFUNCTION("""COMPUTED_VALUE"""),243.1)</f>
        <v>243.1</v>
      </c>
      <c r="C2310" s="1">
        <f>IFERROR(__xludf.DUMMYFUNCTION("""COMPUTED_VALUE"""),244.8)</f>
        <v>244.8</v>
      </c>
      <c r="D2310" s="1">
        <f>IFERROR(__xludf.DUMMYFUNCTION("""COMPUTED_VALUE"""),238.6)</f>
        <v>238.6</v>
      </c>
      <c r="E2310" s="1">
        <f>IFERROR(__xludf.DUMMYFUNCTION("""COMPUTED_VALUE"""),240.6)</f>
        <v>240.6</v>
      </c>
      <c r="F2310" s="1">
        <f>IFERROR(__xludf.DUMMYFUNCTION("""COMPUTED_VALUE"""),3774437.0)</f>
        <v>3774437</v>
      </c>
    </row>
    <row r="2311">
      <c r="A2311" s="2">
        <f>IFERROR(__xludf.DUMMYFUNCTION("""COMPUTED_VALUE"""),39926.645833333336)</f>
        <v>39926.64583</v>
      </c>
      <c r="B2311" s="1">
        <f>IFERROR(__xludf.DUMMYFUNCTION("""COMPUTED_VALUE"""),240.6)</f>
        <v>240.6</v>
      </c>
      <c r="C2311" s="1">
        <f>IFERROR(__xludf.DUMMYFUNCTION("""COMPUTED_VALUE"""),245.45)</f>
        <v>245.45</v>
      </c>
      <c r="D2311" s="1">
        <f>IFERROR(__xludf.DUMMYFUNCTION("""COMPUTED_VALUE"""),239.75)</f>
        <v>239.75</v>
      </c>
      <c r="E2311" s="1">
        <f>IFERROR(__xludf.DUMMYFUNCTION("""COMPUTED_VALUE"""),240.25)</f>
        <v>240.25</v>
      </c>
      <c r="F2311" s="1">
        <f>IFERROR(__xludf.DUMMYFUNCTION("""COMPUTED_VALUE"""),3219224.0)</f>
        <v>3219224</v>
      </c>
    </row>
    <row r="2312">
      <c r="A2312" s="2">
        <f>IFERROR(__xludf.DUMMYFUNCTION("""COMPUTED_VALUE"""),39927.645833333336)</f>
        <v>39927.64583</v>
      </c>
      <c r="B2312" s="1">
        <f>IFERROR(__xludf.DUMMYFUNCTION("""COMPUTED_VALUE"""),241.0)</f>
        <v>241</v>
      </c>
      <c r="C2312" s="1">
        <f>IFERROR(__xludf.DUMMYFUNCTION("""COMPUTED_VALUE"""),241.5)</f>
        <v>241.5</v>
      </c>
      <c r="D2312" s="1">
        <f>IFERROR(__xludf.DUMMYFUNCTION("""COMPUTED_VALUE"""),237.35)</f>
        <v>237.35</v>
      </c>
      <c r="E2312" s="1">
        <f>IFERROR(__xludf.DUMMYFUNCTION("""COMPUTED_VALUE"""),238.3)</f>
        <v>238.3</v>
      </c>
      <c r="F2312" s="1">
        <f>IFERROR(__xludf.DUMMYFUNCTION("""COMPUTED_VALUE"""),1638666.0)</f>
        <v>1638666</v>
      </c>
    </row>
    <row r="2313">
      <c r="A2313" s="2">
        <f>IFERROR(__xludf.DUMMYFUNCTION("""COMPUTED_VALUE"""),39930.645833333336)</f>
        <v>39930.64583</v>
      </c>
      <c r="B2313" s="1">
        <f>IFERROR(__xludf.DUMMYFUNCTION("""COMPUTED_VALUE"""),239.0)</f>
        <v>239</v>
      </c>
      <c r="C2313" s="1">
        <f>IFERROR(__xludf.DUMMYFUNCTION("""COMPUTED_VALUE"""),239.0)</f>
        <v>239</v>
      </c>
      <c r="D2313" s="1">
        <f>IFERROR(__xludf.DUMMYFUNCTION("""COMPUTED_VALUE"""),230.2)</f>
        <v>230.2</v>
      </c>
      <c r="E2313" s="1">
        <f>IFERROR(__xludf.DUMMYFUNCTION("""COMPUTED_VALUE"""),230.8)</f>
        <v>230.8</v>
      </c>
      <c r="F2313" s="1">
        <f>IFERROR(__xludf.DUMMYFUNCTION("""COMPUTED_VALUE"""),4466849.0)</f>
        <v>4466849</v>
      </c>
    </row>
    <row r="2314">
      <c r="A2314" s="2">
        <f>IFERROR(__xludf.DUMMYFUNCTION("""COMPUTED_VALUE"""),39931.645833333336)</f>
        <v>39931.64583</v>
      </c>
      <c r="B2314" s="1">
        <f>IFERROR(__xludf.DUMMYFUNCTION("""COMPUTED_VALUE"""),230.55)</f>
        <v>230.55</v>
      </c>
      <c r="C2314" s="1">
        <f>IFERROR(__xludf.DUMMYFUNCTION("""COMPUTED_VALUE"""),232.0)</f>
        <v>232</v>
      </c>
      <c r="D2314" s="1">
        <f>IFERROR(__xludf.DUMMYFUNCTION("""COMPUTED_VALUE"""),224.65)</f>
        <v>224.65</v>
      </c>
      <c r="E2314" s="1">
        <f>IFERROR(__xludf.DUMMYFUNCTION("""COMPUTED_VALUE"""),225.3)</f>
        <v>225.3</v>
      </c>
      <c r="F2314" s="1">
        <f>IFERROR(__xludf.DUMMYFUNCTION("""COMPUTED_VALUE"""),4412540.0)</f>
        <v>4412540</v>
      </c>
    </row>
    <row r="2315">
      <c r="A2315" s="2">
        <f>IFERROR(__xludf.DUMMYFUNCTION("""COMPUTED_VALUE"""),39932.645833333336)</f>
        <v>39932.64583</v>
      </c>
      <c r="B2315" s="1">
        <f>IFERROR(__xludf.DUMMYFUNCTION("""COMPUTED_VALUE"""),226.0)</f>
        <v>226</v>
      </c>
      <c r="C2315" s="1">
        <f>IFERROR(__xludf.DUMMYFUNCTION("""COMPUTED_VALUE"""),236.0)</f>
        <v>236</v>
      </c>
      <c r="D2315" s="1">
        <f>IFERROR(__xludf.DUMMYFUNCTION("""COMPUTED_VALUE"""),222.25)</f>
        <v>222.25</v>
      </c>
      <c r="E2315" s="1">
        <f>IFERROR(__xludf.DUMMYFUNCTION("""COMPUTED_VALUE"""),234.75)</f>
        <v>234.75</v>
      </c>
      <c r="F2315" s="1">
        <f>IFERROR(__xludf.DUMMYFUNCTION("""COMPUTED_VALUE"""),7189615.0)</f>
        <v>7189615</v>
      </c>
    </row>
    <row r="2316">
      <c r="A2316" s="2">
        <f>IFERROR(__xludf.DUMMYFUNCTION("""COMPUTED_VALUE"""),39937.645833333336)</f>
        <v>39937.64583</v>
      </c>
      <c r="B2316" s="1">
        <f>IFERROR(__xludf.DUMMYFUNCTION("""COMPUTED_VALUE"""),236.0)</f>
        <v>236</v>
      </c>
      <c r="C2316" s="1">
        <f>IFERROR(__xludf.DUMMYFUNCTION("""COMPUTED_VALUE"""),242.0)</f>
        <v>242</v>
      </c>
      <c r="D2316" s="1">
        <f>IFERROR(__xludf.DUMMYFUNCTION("""COMPUTED_VALUE"""),233.1)</f>
        <v>233.1</v>
      </c>
      <c r="E2316" s="1">
        <f>IFERROR(__xludf.DUMMYFUNCTION("""COMPUTED_VALUE"""),239.9)</f>
        <v>239.9</v>
      </c>
      <c r="F2316" s="1">
        <f>IFERROR(__xludf.DUMMYFUNCTION("""COMPUTED_VALUE"""),4896016.0)</f>
        <v>4896016</v>
      </c>
    </row>
    <row r="2317">
      <c r="A2317" s="2">
        <f>IFERROR(__xludf.DUMMYFUNCTION("""COMPUTED_VALUE"""),39938.645833333336)</f>
        <v>39938.64583</v>
      </c>
      <c r="B2317" s="1">
        <f>IFERROR(__xludf.DUMMYFUNCTION("""COMPUTED_VALUE"""),240.0)</f>
        <v>240</v>
      </c>
      <c r="C2317" s="1">
        <f>IFERROR(__xludf.DUMMYFUNCTION("""COMPUTED_VALUE"""),241.5)</f>
        <v>241.5</v>
      </c>
      <c r="D2317" s="1">
        <f>IFERROR(__xludf.DUMMYFUNCTION("""COMPUTED_VALUE"""),235.5)</f>
        <v>235.5</v>
      </c>
      <c r="E2317" s="1">
        <f>IFERROR(__xludf.DUMMYFUNCTION("""COMPUTED_VALUE"""),238.35)</f>
        <v>238.35</v>
      </c>
      <c r="F2317" s="1">
        <f>IFERROR(__xludf.DUMMYFUNCTION("""COMPUTED_VALUE"""),2813418.0)</f>
        <v>2813418</v>
      </c>
    </row>
    <row r="2318">
      <c r="A2318" s="2">
        <f>IFERROR(__xludf.DUMMYFUNCTION("""COMPUTED_VALUE"""),39939.645833333336)</f>
        <v>39939.64583</v>
      </c>
      <c r="B2318" s="1">
        <f>IFERROR(__xludf.DUMMYFUNCTION("""COMPUTED_VALUE"""),239.9)</f>
        <v>239.9</v>
      </c>
      <c r="C2318" s="1">
        <f>IFERROR(__xludf.DUMMYFUNCTION("""COMPUTED_VALUE"""),240.85)</f>
        <v>240.85</v>
      </c>
      <c r="D2318" s="1">
        <f>IFERROR(__xludf.DUMMYFUNCTION("""COMPUTED_VALUE"""),232.2)</f>
        <v>232.2</v>
      </c>
      <c r="E2318" s="1">
        <f>IFERROR(__xludf.DUMMYFUNCTION("""COMPUTED_VALUE"""),234.6)</f>
        <v>234.6</v>
      </c>
      <c r="F2318" s="1">
        <f>IFERROR(__xludf.DUMMYFUNCTION("""COMPUTED_VALUE"""),5167053.0)</f>
        <v>5167053</v>
      </c>
    </row>
    <row r="2319">
      <c r="A2319" s="2">
        <f>IFERROR(__xludf.DUMMYFUNCTION("""COMPUTED_VALUE"""),39940.645833333336)</f>
        <v>39940.64583</v>
      </c>
      <c r="B2319" s="1">
        <f>IFERROR(__xludf.DUMMYFUNCTION("""COMPUTED_VALUE"""),234.5)</f>
        <v>234.5</v>
      </c>
      <c r="C2319" s="1">
        <f>IFERROR(__xludf.DUMMYFUNCTION("""COMPUTED_VALUE"""),238.0)</f>
        <v>238</v>
      </c>
      <c r="D2319" s="1">
        <f>IFERROR(__xludf.DUMMYFUNCTION("""COMPUTED_VALUE"""),229.35)</f>
        <v>229.35</v>
      </c>
      <c r="E2319" s="1">
        <f>IFERROR(__xludf.DUMMYFUNCTION("""COMPUTED_VALUE"""),230.65)</f>
        <v>230.65</v>
      </c>
      <c r="F2319" s="1">
        <f>IFERROR(__xludf.DUMMYFUNCTION("""COMPUTED_VALUE"""),5075534.0)</f>
        <v>5075534</v>
      </c>
    </row>
    <row r="2320">
      <c r="A2320" s="2">
        <f>IFERROR(__xludf.DUMMYFUNCTION("""COMPUTED_VALUE"""),39941.645833333336)</f>
        <v>39941.64583</v>
      </c>
      <c r="B2320" s="1">
        <f>IFERROR(__xludf.DUMMYFUNCTION("""COMPUTED_VALUE"""),230.75)</f>
        <v>230.75</v>
      </c>
      <c r="C2320" s="1">
        <f>IFERROR(__xludf.DUMMYFUNCTION("""COMPUTED_VALUE"""),234.15)</f>
        <v>234.15</v>
      </c>
      <c r="D2320" s="1">
        <f>IFERROR(__xludf.DUMMYFUNCTION("""COMPUTED_VALUE"""),230.0)</f>
        <v>230</v>
      </c>
      <c r="E2320" s="1">
        <f>IFERROR(__xludf.DUMMYFUNCTION("""COMPUTED_VALUE"""),233.05)</f>
        <v>233.05</v>
      </c>
      <c r="F2320" s="1">
        <f>IFERROR(__xludf.DUMMYFUNCTION("""COMPUTED_VALUE"""),5443176.0)</f>
        <v>5443176</v>
      </c>
    </row>
    <row r="2321">
      <c r="A2321" s="2">
        <f>IFERROR(__xludf.DUMMYFUNCTION("""COMPUTED_VALUE"""),39944.645833333336)</f>
        <v>39944.64583</v>
      </c>
      <c r="B2321" s="1">
        <f>IFERROR(__xludf.DUMMYFUNCTION("""COMPUTED_VALUE"""),235.25)</f>
        <v>235.25</v>
      </c>
      <c r="C2321" s="1">
        <f>IFERROR(__xludf.DUMMYFUNCTION("""COMPUTED_VALUE"""),236.5)</f>
        <v>236.5</v>
      </c>
      <c r="D2321" s="1">
        <f>IFERROR(__xludf.DUMMYFUNCTION("""COMPUTED_VALUE"""),226.0)</f>
        <v>226</v>
      </c>
      <c r="E2321" s="1">
        <f>IFERROR(__xludf.DUMMYFUNCTION("""COMPUTED_VALUE"""),227.15)</f>
        <v>227.15</v>
      </c>
      <c r="F2321" s="1">
        <f>IFERROR(__xludf.DUMMYFUNCTION("""COMPUTED_VALUE"""),7025750.0)</f>
        <v>7025750</v>
      </c>
    </row>
    <row r="2322">
      <c r="A2322" s="2">
        <f>IFERROR(__xludf.DUMMYFUNCTION("""COMPUTED_VALUE"""),39945.645833333336)</f>
        <v>39945.64583</v>
      </c>
      <c r="B2322" s="1">
        <f>IFERROR(__xludf.DUMMYFUNCTION("""COMPUTED_VALUE"""),227.6)</f>
        <v>227.6</v>
      </c>
      <c r="C2322" s="1">
        <f>IFERROR(__xludf.DUMMYFUNCTION("""COMPUTED_VALUE"""),227.85)</f>
        <v>227.85</v>
      </c>
      <c r="D2322" s="1">
        <f>IFERROR(__xludf.DUMMYFUNCTION("""COMPUTED_VALUE"""),221.8)</f>
        <v>221.8</v>
      </c>
      <c r="E2322" s="1">
        <f>IFERROR(__xludf.DUMMYFUNCTION("""COMPUTED_VALUE"""),225.1)</f>
        <v>225.1</v>
      </c>
      <c r="F2322" s="1">
        <f>IFERROR(__xludf.DUMMYFUNCTION("""COMPUTED_VALUE"""),8210288.0)</f>
        <v>8210288</v>
      </c>
    </row>
    <row r="2323">
      <c r="A2323" s="2">
        <f>IFERROR(__xludf.DUMMYFUNCTION("""COMPUTED_VALUE"""),39946.645833333336)</f>
        <v>39946.64583</v>
      </c>
      <c r="B2323" s="1">
        <f>IFERROR(__xludf.DUMMYFUNCTION("""COMPUTED_VALUE"""),225.1)</f>
        <v>225.1</v>
      </c>
      <c r="C2323" s="1">
        <f>IFERROR(__xludf.DUMMYFUNCTION("""COMPUTED_VALUE"""),227.2)</f>
        <v>227.2</v>
      </c>
      <c r="D2323" s="1">
        <f>IFERROR(__xludf.DUMMYFUNCTION("""COMPUTED_VALUE"""),221.1)</f>
        <v>221.1</v>
      </c>
      <c r="E2323" s="1">
        <f>IFERROR(__xludf.DUMMYFUNCTION("""COMPUTED_VALUE"""),221.95)</f>
        <v>221.95</v>
      </c>
      <c r="F2323" s="1">
        <f>IFERROR(__xludf.DUMMYFUNCTION("""COMPUTED_VALUE"""),3149690.0)</f>
        <v>3149690</v>
      </c>
    </row>
    <row r="2324">
      <c r="A2324" s="2">
        <f>IFERROR(__xludf.DUMMYFUNCTION("""COMPUTED_VALUE"""),39947.645833333336)</f>
        <v>39947.64583</v>
      </c>
      <c r="B2324" s="1">
        <f>IFERROR(__xludf.DUMMYFUNCTION("""COMPUTED_VALUE"""),222.0)</f>
        <v>222</v>
      </c>
      <c r="C2324" s="1">
        <f>IFERROR(__xludf.DUMMYFUNCTION("""COMPUTED_VALUE"""),225.65)</f>
        <v>225.65</v>
      </c>
      <c r="D2324" s="1">
        <f>IFERROR(__xludf.DUMMYFUNCTION("""COMPUTED_VALUE"""),218.1)</f>
        <v>218.1</v>
      </c>
      <c r="E2324" s="1">
        <f>IFERROR(__xludf.DUMMYFUNCTION("""COMPUTED_VALUE"""),224.85)</f>
        <v>224.85</v>
      </c>
      <c r="F2324" s="1">
        <f>IFERROR(__xludf.DUMMYFUNCTION("""COMPUTED_VALUE"""),7493434.0)</f>
        <v>7493434</v>
      </c>
    </row>
    <row r="2325">
      <c r="A2325" s="2">
        <f>IFERROR(__xludf.DUMMYFUNCTION("""COMPUTED_VALUE"""),39948.645833333336)</f>
        <v>39948.64583</v>
      </c>
      <c r="B2325" s="1">
        <f>IFERROR(__xludf.DUMMYFUNCTION("""COMPUTED_VALUE"""),226.0)</f>
        <v>226</v>
      </c>
      <c r="C2325" s="1">
        <f>IFERROR(__xludf.DUMMYFUNCTION("""COMPUTED_VALUE"""),227.4)</f>
        <v>227.4</v>
      </c>
      <c r="D2325" s="1">
        <f>IFERROR(__xludf.DUMMYFUNCTION("""COMPUTED_VALUE"""),223.65)</f>
        <v>223.65</v>
      </c>
      <c r="E2325" s="1">
        <f>IFERROR(__xludf.DUMMYFUNCTION("""COMPUTED_VALUE"""),224.3)</f>
        <v>224.3</v>
      </c>
      <c r="F2325" s="1">
        <f>IFERROR(__xludf.DUMMYFUNCTION("""COMPUTED_VALUE"""),2449088.0)</f>
        <v>2449088</v>
      </c>
    </row>
    <row r="2326">
      <c r="A2326" s="2">
        <f>IFERROR(__xludf.DUMMYFUNCTION("""COMPUTED_VALUE"""),39951.645833333336)</f>
        <v>39951.64583</v>
      </c>
      <c r="B2326" s="1">
        <f>IFERROR(__xludf.DUMMYFUNCTION("""COMPUTED_VALUE"""),244.95)</f>
        <v>244.95</v>
      </c>
      <c r="C2326" s="1">
        <f>IFERROR(__xludf.DUMMYFUNCTION("""COMPUTED_VALUE"""),264.4)</f>
        <v>264.4</v>
      </c>
      <c r="D2326" s="1">
        <f>IFERROR(__xludf.DUMMYFUNCTION("""COMPUTED_VALUE"""),228.0)</f>
        <v>228</v>
      </c>
      <c r="E2326" s="1">
        <f>IFERROR(__xludf.DUMMYFUNCTION("""COMPUTED_VALUE"""),239.6)</f>
        <v>239.6</v>
      </c>
      <c r="F2326" s="1">
        <f>IFERROR(__xludf.DUMMYFUNCTION("""COMPUTED_VALUE"""),51515.0)</f>
        <v>51515</v>
      </c>
    </row>
    <row r="2327">
      <c r="A2327" s="2">
        <f>IFERROR(__xludf.DUMMYFUNCTION("""COMPUTED_VALUE"""),39952.645833333336)</f>
        <v>39952.64583</v>
      </c>
      <c r="B2327" s="1">
        <f>IFERROR(__xludf.DUMMYFUNCTION("""COMPUTED_VALUE"""),245.0)</f>
        <v>245</v>
      </c>
      <c r="C2327" s="1">
        <f>IFERROR(__xludf.DUMMYFUNCTION("""COMPUTED_VALUE"""),251.0)</f>
        <v>251</v>
      </c>
      <c r="D2327" s="1">
        <f>IFERROR(__xludf.DUMMYFUNCTION("""COMPUTED_VALUE"""),224.0)</f>
        <v>224</v>
      </c>
      <c r="E2327" s="1">
        <f>IFERROR(__xludf.DUMMYFUNCTION("""COMPUTED_VALUE"""),229.5)</f>
        <v>229.5</v>
      </c>
      <c r="F2327" s="1">
        <f>IFERROR(__xludf.DUMMYFUNCTION("""COMPUTED_VALUE"""),1.3669545E7)</f>
        <v>13669545</v>
      </c>
    </row>
    <row r="2328">
      <c r="A2328" s="2">
        <f>IFERROR(__xludf.DUMMYFUNCTION("""COMPUTED_VALUE"""),39953.645833333336)</f>
        <v>39953.64583</v>
      </c>
      <c r="B2328" s="1">
        <f>IFERROR(__xludf.DUMMYFUNCTION("""COMPUTED_VALUE"""),234.9)</f>
        <v>234.9</v>
      </c>
      <c r="C2328" s="1">
        <f>IFERROR(__xludf.DUMMYFUNCTION("""COMPUTED_VALUE"""),235.85)</f>
        <v>235.85</v>
      </c>
      <c r="D2328" s="1">
        <f>IFERROR(__xludf.DUMMYFUNCTION("""COMPUTED_VALUE"""),225.0)</f>
        <v>225</v>
      </c>
      <c r="E2328" s="1">
        <f>IFERROR(__xludf.DUMMYFUNCTION("""COMPUTED_VALUE"""),233.45)</f>
        <v>233.45</v>
      </c>
      <c r="F2328" s="1">
        <f>IFERROR(__xludf.DUMMYFUNCTION("""COMPUTED_VALUE"""),1.0140045E7)</f>
        <v>10140045</v>
      </c>
    </row>
    <row r="2329">
      <c r="A2329" s="2">
        <f>IFERROR(__xludf.DUMMYFUNCTION("""COMPUTED_VALUE"""),39954.645833333336)</f>
        <v>39954.64583</v>
      </c>
      <c r="B2329" s="1">
        <f>IFERROR(__xludf.DUMMYFUNCTION("""COMPUTED_VALUE"""),233.2)</f>
        <v>233.2</v>
      </c>
      <c r="C2329" s="1">
        <f>IFERROR(__xludf.DUMMYFUNCTION("""COMPUTED_VALUE"""),235.0)</f>
        <v>235</v>
      </c>
      <c r="D2329" s="1">
        <f>IFERROR(__xludf.DUMMYFUNCTION("""COMPUTED_VALUE"""),226.55)</f>
        <v>226.55</v>
      </c>
      <c r="E2329" s="1">
        <f>IFERROR(__xludf.DUMMYFUNCTION("""COMPUTED_VALUE"""),230.4)</f>
        <v>230.4</v>
      </c>
      <c r="F2329" s="1">
        <f>IFERROR(__xludf.DUMMYFUNCTION("""COMPUTED_VALUE"""),2715676.0)</f>
        <v>2715676</v>
      </c>
    </row>
    <row r="2330">
      <c r="A2330" s="2">
        <f>IFERROR(__xludf.DUMMYFUNCTION("""COMPUTED_VALUE"""),39955.645833333336)</f>
        <v>39955.64583</v>
      </c>
      <c r="B2330" s="1">
        <f>IFERROR(__xludf.DUMMYFUNCTION("""COMPUTED_VALUE"""),231.0)</f>
        <v>231</v>
      </c>
      <c r="C2330" s="1">
        <f>IFERROR(__xludf.DUMMYFUNCTION("""COMPUTED_VALUE"""),234.3)</f>
        <v>234.3</v>
      </c>
      <c r="D2330" s="1">
        <f>IFERROR(__xludf.DUMMYFUNCTION("""COMPUTED_VALUE"""),228.1)</f>
        <v>228.1</v>
      </c>
      <c r="E2330" s="1">
        <f>IFERROR(__xludf.DUMMYFUNCTION("""COMPUTED_VALUE"""),232.0)</f>
        <v>232</v>
      </c>
      <c r="F2330" s="1">
        <f>IFERROR(__xludf.DUMMYFUNCTION("""COMPUTED_VALUE"""),2391122.0)</f>
        <v>2391122</v>
      </c>
    </row>
    <row r="2331">
      <c r="A2331" s="2">
        <f>IFERROR(__xludf.DUMMYFUNCTION("""COMPUTED_VALUE"""),39958.645833333336)</f>
        <v>39958.64583</v>
      </c>
      <c r="B2331" s="1">
        <f>IFERROR(__xludf.DUMMYFUNCTION("""COMPUTED_VALUE"""),231.0)</f>
        <v>231</v>
      </c>
      <c r="C2331" s="1">
        <f>IFERROR(__xludf.DUMMYFUNCTION("""COMPUTED_VALUE"""),235.5)</f>
        <v>235.5</v>
      </c>
      <c r="D2331" s="1">
        <f>IFERROR(__xludf.DUMMYFUNCTION("""COMPUTED_VALUE"""),229.9)</f>
        <v>229.9</v>
      </c>
      <c r="E2331" s="1">
        <f>IFERROR(__xludf.DUMMYFUNCTION("""COMPUTED_VALUE"""),233.05)</f>
        <v>233.05</v>
      </c>
      <c r="F2331" s="1">
        <f>IFERROR(__xludf.DUMMYFUNCTION("""COMPUTED_VALUE"""),3418801.0)</f>
        <v>3418801</v>
      </c>
    </row>
    <row r="2332">
      <c r="A2332" s="2">
        <f>IFERROR(__xludf.DUMMYFUNCTION("""COMPUTED_VALUE"""),39959.645833333336)</f>
        <v>39959.64583</v>
      </c>
      <c r="B2332" s="1">
        <f>IFERROR(__xludf.DUMMYFUNCTION("""COMPUTED_VALUE"""),238.7)</f>
        <v>238.7</v>
      </c>
      <c r="C2332" s="1">
        <f>IFERROR(__xludf.DUMMYFUNCTION("""COMPUTED_VALUE"""),238.7)</f>
        <v>238.7</v>
      </c>
      <c r="D2332" s="1">
        <f>IFERROR(__xludf.DUMMYFUNCTION("""COMPUTED_VALUE"""),229.5)</f>
        <v>229.5</v>
      </c>
      <c r="E2332" s="1">
        <f>IFERROR(__xludf.DUMMYFUNCTION("""COMPUTED_VALUE"""),231.0)</f>
        <v>231</v>
      </c>
      <c r="F2332" s="1">
        <f>IFERROR(__xludf.DUMMYFUNCTION("""COMPUTED_VALUE"""),3475193.0)</f>
        <v>3475193</v>
      </c>
    </row>
    <row r="2333">
      <c r="A2333" s="2">
        <f>IFERROR(__xludf.DUMMYFUNCTION("""COMPUTED_VALUE"""),39960.645833333336)</f>
        <v>39960.64583</v>
      </c>
      <c r="B2333" s="1">
        <f>IFERROR(__xludf.DUMMYFUNCTION("""COMPUTED_VALUE"""),233.3)</f>
        <v>233.3</v>
      </c>
      <c r="C2333" s="1">
        <f>IFERROR(__xludf.DUMMYFUNCTION("""COMPUTED_VALUE"""),233.3)</f>
        <v>233.3</v>
      </c>
      <c r="D2333" s="1">
        <f>IFERROR(__xludf.DUMMYFUNCTION("""COMPUTED_VALUE"""),228.1)</f>
        <v>228.1</v>
      </c>
      <c r="E2333" s="1">
        <f>IFERROR(__xludf.DUMMYFUNCTION("""COMPUTED_VALUE"""),230.15)</f>
        <v>230.15</v>
      </c>
      <c r="F2333" s="1">
        <f>IFERROR(__xludf.DUMMYFUNCTION("""COMPUTED_VALUE"""),3314721.0)</f>
        <v>3314721</v>
      </c>
    </row>
    <row r="2334">
      <c r="A2334" s="2">
        <f>IFERROR(__xludf.DUMMYFUNCTION("""COMPUTED_VALUE"""),39961.645833333336)</f>
        <v>39961.64583</v>
      </c>
      <c r="B2334" s="1">
        <f>IFERROR(__xludf.DUMMYFUNCTION("""COMPUTED_VALUE"""),232.0)</f>
        <v>232</v>
      </c>
      <c r="C2334" s="1">
        <f>IFERROR(__xludf.DUMMYFUNCTION("""COMPUTED_VALUE"""),233.5)</f>
        <v>233.5</v>
      </c>
      <c r="D2334" s="1">
        <f>IFERROR(__xludf.DUMMYFUNCTION("""COMPUTED_VALUE"""),228.5)</f>
        <v>228.5</v>
      </c>
      <c r="E2334" s="1">
        <f>IFERROR(__xludf.DUMMYFUNCTION("""COMPUTED_VALUE"""),231.0)</f>
        <v>231</v>
      </c>
      <c r="F2334" s="1">
        <f>IFERROR(__xludf.DUMMYFUNCTION("""COMPUTED_VALUE"""),5375654.0)</f>
        <v>5375654</v>
      </c>
    </row>
    <row r="2335">
      <c r="A2335" s="2">
        <f>IFERROR(__xludf.DUMMYFUNCTION("""COMPUTED_VALUE"""),39962.645833333336)</f>
        <v>39962.64583</v>
      </c>
      <c r="B2335" s="1">
        <f>IFERROR(__xludf.DUMMYFUNCTION("""COMPUTED_VALUE"""),232.0)</f>
        <v>232</v>
      </c>
      <c r="C2335" s="1">
        <f>IFERROR(__xludf.DUMMYFUNCTION("""COMPUTED_VALUE"""),233.9)</f>
        <v>233.9</v>
      </c>
      <c r="D2335" s="1">
        <f>IFERROR(__xludf.DUMMYFUNCTION("""COMPUTED_VALUE"""),229.55)</f>
        <v>229.55</v>
      </c>
      <c r="E2335" s="1">
        <f>IFERROR(__xludf.DUMMYFUNCTION("""COMPUTED_VALUE"""),230.8)</f>
        <v>230.8</v>
      </c>
      <c r="F2335" s="1">
        <f>IFERROR(__xludf.DUMMYFUNCTION("""COMPUTED_VALUE"""),4633440.0)</f>
        <v>4633440</v>
      </c>
    </row>
    <row r="2336">
      <c r="A2336" s="2">
        <f>IFERROR(__xludf.DUMMYFUNCTION("""COMPUTED_VALUE"""),39965.645833333336)</f>
        <v>39965.64583</v>
      </c>
      <c r="B2336" s="1">
        <f>IFERROR(__xludf.DUMMYFUNCTION("""COMPUTED_VALUE"""),228.55)</f>
        <v>228.55</v>
      </c>
      <c r="C2336" s="1">
        <f>IFERROR(__xludf.DUMMYFUNCTION("""COMPUTED_VALUE"""),233.45)</f>
        <v>233.45</v>
      </c>
      <c r="D2336" s="1">
        <f>IFERROR(__xludf.DUMMYFUNCTION("""COMPUTED_VALUE"""),228.55)</f>
        <v>228.55</v>
      </c>
      <c r="E2336" s="1">
        <f>IFERROR(__xludf.DUMMYFUNCTION("""COMPUTED_VALUE"""),232.65)</f>
        <v>232.65</v>
      </c>
      <c r="F2336" s="1">
        <f>IFERROR(__xludf.DUMMYFUNCTION("""COMPUTED_VALUE"""),2701891.0)</f>
        <v>2701891</v>
      </c>
    </row>
    <row r="2337">
      <c r="A2337" s="2">
        <f>IFERROR(__xludf.DUMMYFUNCTION("""COMPUTED_VALUE"""),39966.645833333336)</f>
        <v>39966.64583</v>
      </c>
      <c r="B2337" s="1">
        <f>IFERROR(__xludf.DUMMYFUNCTION("""COMPUTED_VALUE"""),233.1)</f>
        <v>233.1</v>
      </c>
      <c r="C2337" s="1">
        <f>IFERROR(__xludf.DUMMYFUNCTION("""COMPUTED_VALUE"""),235.15)</f>
        <v>235.15</v>
      </c>
      <c r="D2337" s="1">
        <f>IFERROR(__xludf.DUMMYFUNCTION("""COMPUTED_VALUE"""),232.55)</f>
        <v>232.55</v>
      </c>
      <c r="E2337" s="1">
        <f>IFERROR(__xludf.DUMMYFUNCTION("""COMPUTED_VALUE"""),233.75)</f>
        <v>233.75</v>
      </c>
      <c r="F2337" s="1">
        <f>IFERROR(__xludf.DUMMYFUNCTION("""COMPUTED_VALUE"""),3417724.0)</f>
        <v>3417724</v>
      </c>
    </row>
    <row r="2338">
      <c r="A2338" s="2">
        <f>IFERROR(__xludf.DUMMYFUNCTION("""COMPUTED_VALUE"""),39967.645833333336)</f>
        <v>39967.64583</v>
      </c>
      <c r="B2338" s="1">
        <f>IFERROR(__xludf.DUMMYFUNCTION("""COMPUTED_VALUE"""),235.0)</f>
        <v>235</v>
      </c>
      <c r="C2338" s="1">
        <f>IFERROR(__xludf.DUMMYFUNCTION("""COMPUTED_VALUE"""),241.0)</f>
        <v>241</v>
      </c>
      <c r="D2338" s="1">
        <f>IFERROR(__xludf.DUMMYFUNCTION("""COMPUTED_VALUE"""),233.45)</f>
        <v>233.45</v>
      </c>
      <c r="E2338" s="1">
        <f>IFERROR(__xludf.DUMMYFUNCTION("""COMPUTED_VALUE"""),239.7)</f>
        <v>239.7</v>
      </c>
      <c r="F2338" s="1">
        <f>IFERROR(__xludf.DUMMYFUNCTION("""COMPUTED_VALUE"""),4986667.0)</f>
        <v>4986667</v>
      </c>
    </row>
    <row r="2339">
      <c r="A2339" s="2">
        <f>IFERROR(__xludf.DUMMYFUNCTION("""COMPUTED_VALUE"""),39968.645833333336)</f>
        <v>39968.64583</v>
      </c>
      <c r="B2339" s="1">
        <f>IFERROR(__xludf.DUMMYFUNCTION("""COMPUTED_VALUE"""),236.5)</f>
        <v>236.5</v>
      </c>
      <c r="C2339" s="1">
        <f>IFERROR(__xludf.DUMMYFUNCTION("""COMPUTED_VALUE"""),251.0)</f>
        <v>251</v>
      </c>
      <c r="D2339" s="1">
        <f>IFERROR(__xludf.DUMMYFUNCTION("""COMPUTED_VALUE"""),236.5)</f>
        <v>236.5</v>
      </c>
      <c r="E2339" s="1">
        <f>IFERROR(__xludf.DUMMYFUNCTION("""COMPUTED_VALUE"""),249.5)</f>
        <v>249.5</v>
      </c>
      <c r="F2339" s="1">
        <f>IFERROR(__xludf.DUMMYFUNCTION("""COMPUTED_VALUE"""),4636344.0)</f>
        <v>4636344</v>
      </c>
    </row>
    <row r="2340">
      <c r="A2340" s="2">
        <f>IFERROR(__xludf.DUMMYFUNCTION("""COMPUTED_VALUE"""),39969.645833333336)</f>
        <v>39969.64583</v>
      </c>
      <c r="B2340" s="1">
        <f>IFERROR(__xludf.DUMMYFUNCTION("""COMPUTED_VALUE"""),250.25)</f>
        <v>250.25</v>
      </c>
      <c r="C2340" s="1">
        <f>IFERROR(__xludf.DUMMYFUNCTION("""COMPUTED_VALUE"""),257.7)</f>
        <v>257.7</v>
      </c>
      <c r="D2340" s="1">
        <f>IFERROR(__xludf.DUMMYFUNCTION("""COMPUTED_VALUE"""),246.2)</f>
        <v>246.2</v>
      </c>
      <c r="E2340" s="1">
        <f>IFERROR(__xludf.DUMMYFUNCTION("""COMPUTED_VALUE"""),252.0)</f>
        <v>252</v>
      </c>
      <c r="F2340" s="1">
        <f>IFERROR(__xludf.DUMMYFUNCTION("""COMPUTED_VALUE"""),4499129.0)</f>
        <v>4499129</v>
      </c>
    </row>
    <row r="2341">
      <c r="A2341" s="2">
        <f>IFERROR(__xludf.DUMMYFUNCTION("""COMPUTED_VALUE"""),39972.645833333336)</f>
        <v>39972.64583</v>
      </c>
      <c r="B2341" s="1">
        <f>IFERROR(__xludf.DUMMYFUNCTION("""COMPUTED_VALUE"""),252.0)</f>
        <v>252</v>
      </c>
      <c r="C2341" s="1">
        <f>IFERROR(__xludf.DUMMYFUNCTION("""COMPUTED_VALUE"""),253.5)</f>
        <v>253.5</v>
      </c>
      <c r="D2341" s="1">
        <f>IFERROR(__xludf.DUMMYFUNCTION("""COMPUTED_VALUE"""),245.35)</f>
        <v>245.35</v>
      </c>
      <c r="E2341" s="1">
        <f>IFERROR(__xludf.DUMMYFUNCTION("""COMPUTED_VALUE"""),252.25)</f>
        <v>252.25</v>
      </c>
      <c r="F2341" s="1">
        <f>IFERROR(__xludf.DUMMYFUNCTION("""COMPUTED_VALUE"""),2847980.0)</f>
        <v>2847980</v>
      </c>
    </row>
    <row r="2342">
      <c r="A2342" s="2">
        <f>IFERROR(__xludf.DUMMYFUNCTION("""COMPUTED_VALUE"""),39973.645833333336)</f>
        <v>39973.64583</v>
      </c>
      <c r="B2342" s="1">
        <f>IFERROR(__xludf.DUMMYFUNCTION("""COMPUTED_VALUE"""),252.0)</f>
        <v>252</v>
      </c>
      <c r="C2342" s="1">
        <f>IFERROR(__xludf.DUMMYFUNCTION("""COMPUTED_VALUE"""),259.0)</f>
        <v>259</v>
      </c>
      <c r="D2342" s="1">
        <f>IFERROR(__xludf.DUMMYFUNCTION("""COMPUTED_VALUE"""),248.25)</f>
        <v>248.25</v>
      </c>
      <c r="E2342" s="1">
        <f>IFERROR(__xludf.DUMMYFUNCTION("""COMPUTED_VALUE"""),256.75)</f>
        <v>256.75</v>
      </c>
      <c r="F2342" s="1">
        <f>IFERROR(__xludf.DUMMYFUNCTION("""COMPUTED_VALUE"""),2932775.0)</f>
        <v>2932775</v>
      </c>
    </row>
    <row r="2343">
      <c r="A2343" s="2">
        <f>IFERROR(__xludf.DUMMYFUNCTION("""COMPUTED_VALUE"""),39974.645833333336)</f>
        <v>39974.64583</v>
      </c>
      <c r="B2343" s="1">
        <f>IFERROR(__xludf.DUMMYFUNCTION("""COMPUTED_VALUE"""),257.0)</f>
        <v>257</v>
      </c>
      <c r="C2343" s="1">
        <f>IFERROR(__xludf.DUMMYFUNCTION("""COMPUTED_VALUE"""),269.9)</f>
        <v>269.9</v>
      </c>
      <c r="D2343" s="1">
        <f>IFERROR(__xludf.DUMMYFUNCTION("""COMPUTED_VALUE"""),256.0)</f>
        <v>256</v>
      </c>
      <c r="E2343" s="1">
        <f>IFERROR(__xludf.DUMMYFUNCTION("""COMPUTED_VALUE"""),264.35)</f>
        <v>264.35</v>
      </c>
      <c r="F2343" s="1">
        <f>IFERROR(__xludf.DUMMYFUNCTION("""COMPUTED_VALUE"""),6277803.0)</f>
        <v>6277803</v>
      </c>
    </row>
    <row r="2344">
      <c r="A2344" s="2">
        <f>IFERROR(__xludf.DUMMYFUNCTION("""COMPUTED_VALUE"""),39975.645833333336)</f>
        <v>39975.64583</v>
      </c>
      <c r="B2344" s="1">
        <f>IFERROR(__xludf.DUMMYFUNCTION("""COMPUTED_VALUE"""),264.0)</f>
        <v>264</v>
      </c>
      <c r="C2344" s="1">
        <f>IFERROR(__xludf.DUMMYFUNCTION("""COMPUTED_VALUE"""),264.9)</f>
        <v>264.9</v>
      </c>
      <c r="D2344" s="1">
        <f>IFERROR(__xludf.DUMMYFUNCTION("""COMPUTED_VALUE"""),258.5)</f>
        <v>258.5</v>
      </c>
      <c r="E2344" s="1">
        <f>IFERROR(__xludf.DUMMYFUNCTION("""COMPUTED_VALUE"""),259.95)</f>
        <v>259.95</v>
      </c>
      <c r="F2344" s="1">
        <f>IFERROR(__xludf.DUMMYFUNCTION("""COMPUTED_VALUE"""),3587460.0)</f>
        <v>3587460</v>
      </c>
    </row>
    <row r="2345">
      <c r="A2345" s="2">
        <f>IFERROR(__xludf.DUMMYFUNCTION("""COMPUTED_VALUE"""),39976.645833333336)</f>
        <v>39976.64583</v>
      </c>
      <c r="B2345" s="1">
        <f>IFERROR(__xludf.DUMMYFUNCTION("""COMPUTED_VALUE"""),257.0)</f>
        <v>257</v>
      </c>
      <c r="C2345" s="1">
        <f>IFERROR(__xludf.DUMMYFUNCTION("""COMPUTED_VALUE"""),258.5)</f>
        <v>258.5</v>
      </c>
      <c r="D2345" s="1">
        <f>IFERROR(__xludf.DUMMYFUNCTION("""COMPUTED_VALUE"""),252.0)</f>
        <v>252</v>
      </c>
      <c r="E2345" s="1">
        <f>IFERROR(__xludf.DUMMYFUNCTION("""COMPUTED_VALUE"""),255.75)</f>
        <v>255.75</v>
      </c>
      <c r="F2345" s="1">
        <f>IFERROR(__xludf.DUMMYFUNCTION("""COMPUTED_VALUE"""),4793781.0)</f>
        <v>4793781</v>
      </c>
    </row>
    <row r="2346">
      <c r="A2346" s="2">
        <f>IFERROR(__xludf.DUMMYFUNCTION("""COMPUTED_VALUE"""),39979.645833333336)</f>
        <v>39979.64583</v>
      </c>
      <c r="B2346" s="1">
        <f>IFERROR(__xludf.DUMMYFUNCTION("""COMPUTED_VALUE"""),257.9)</f>
        <v>257.9</v>
      </c>
      <c r="C2346" s="1">
        <f>IFERROR(__xludf.DUMMYFUNCTION("""COMPUTED_VALUE"""),262.85)</f>
        <v>262.85</v>
      </c>
      <c r="D2346" s="1">
        <f>IFERROR(__xludf.DUMMYFUNCTION("""COMPUTED_VALUE"""),252.15)</f>
        <v>252.15</v>
      </c>
      <c r="E2346" s="1">
        <f>IFERROR(__xludf.DUMMYFUNCTION("""COMPUTED_VALUE"""),259.15)</f>
        <v>259.15</v>
      </c>
      <c r="F2346" s="1">
        <f>IFERROR(__xludf.DUMMYFUNCTION("""COMPUTED_VALUE"""),4900720.0)</f>
        <v>4900720</v>
      </c>
    </row>
    <row r="2347">
      <c r="A2347" s="2">
        <f>IFERROR(__xludf.DUMMYFUNCTION("""COMPUTED_VALUE"""),39980.645833333336)</f>
        <v>39980.64583</v>
      </c>
      <c r="B2347" s="1">
        <f>IFERROR(__xludf.DUMMYFUNCTION("""COMPUTED_VALUE"""),258.0)</f>
        <v>258</v>
      </c>
      <c r="C2347" s="1">
        <f>IFERROR(__xludf.DUMMYFUNCTION("""COMPUTED_VALUE"""),265.75)</f>
        <v>265.75</v>
      </c>
      <c r="D2347" s="1">
        <f>IFERROR(__xludf.DUMMYFUNCTION("""COMPUTED_VALUE"""),257.7)</f>
        <v>257.7</v>
      </c>
      <c r="E2347" s="1">
        <f>IFERROR(__xludf.DUMMYFUNCTION("""COMPUTED_VALUE"""),263.45)</f>
        <v>263.45</v>
      </c>
      <c r="F2347" s="1">
        <f>IFERROR(__xludf.DUMMYFUNCTION("""COMPUTED_VALUE"""),2197923.0)</f>
        <v>2197923</v>
      </c>
    </row>
    <row r="2348">
      <c r="A2348" s="2">
        <f>IFERROR(__xludf.DUMMYFUNCTION("""COMPUTED_VALUE"""),39981.645833333336)</f>
        <v>39981.64583</v>
      </c>
      <c r="B2348" s="1">
        <f>IFERROR(__xludf.DUMMYFUNCTION("""COMPUTED_VALUE"""),267.0)</f>
        <v>267</v>
      </c>
      <c r="C2348" s="1">
        <f>IFERROR(__xludf.DUMMYFUNCTION("""COMPUTED_VALUE"""),267.0)</f>
        <v>267</v>
      </c>
      <c r="D2348" s="1">
        <f>IFERROR(__xludf.DUMMYFUNCTION("""COMPUTED_VALUE"""),256.4)</f>
        <v>256.4</v>
      </c>
      <c r="E2348" s="1">
        <f>IFERROR(__xludf.DUMMYFUNCTION("""COMPUTED_VALUE"""),261.6)</f>
        <v>261.6</v>
      </c>
      <c r="F2348" s="1">
        <f>IFERROR(__xludf.DUMMYFUNCTION("""COMPUTED_VALUE"""),2993196.0)</f>
        <v>2993196</v>
      </c>
    </row>
    <row r="2349">
      <c r="A2349" s="2">
        <f>IFERROR(__xludf.DUMMYFUNCTION("""COMPUTED_VALUE"""),39982.645833333336)</f>
        <v>39982.64583</v>
      </c>
      <c r="B2349" s="1">
        <f>IFERROR(__xludf.DUMMYFUNCTION("""COMPUTED_VALUE"""),261.25)</f>
        <v>261.25</v>
      </c>
      <c r="C2349" s="1">
        <f>IFERROR(__xludf.DUMMYFUNCTION("""COMPUTED_VALUE"""),265.5)</f>
        <v>265.5</v>
      </c>
      <c r="D2349" s="1">
        <f>IFERROR(__xludf.DUMMYFUNCTION("""COMPUTED_VALUE"""),257.6)</f>
        <v>257.6</v>
      </c>
      <c r="E2349" s="1">
        <f>IFERROR(__xludf.DUMMYFUNCTION("""COMPUTED_VALUE"""),259.75)</f>
        <v>259.75</v>
      </c>
      <c r="F2349" s="1">
        <f>IFERROR(__xludf.DUMMYFUNCTION("""COMPUTED_VALUE"""),2837816.0)</f>
        <v>2837816</v>
      </c>
    </row>
    <row r="2350">
      <c r="A2350" s="2">
        <f>IFERROR(__xludf.DUMMYFUNCTION("""COMPUTED_VALUE"""),39983.645833333336)</f>
        <v>39983.64583</v>
      </c>
      <c r="B2350" s="1">
        <f>IFERROR(__xludf.DUMMYFUNCTION("""COMPUTED_VALUE"""),260.5)</f>
        <v>260.5</v>
      </c>
      <c r="C2350" s="1">
        <f>IFERROR(__xludf.DUMMYFUNCTION("""COMPUTED_VALUE"""),263.0)</f>
        <v>263</v>
      </c>
      <c r="D2350" s="1">
        <f>IFERROR(__xludf.DUMMYFUNCTION("""COMPUTED_VALUE"""),259.05)</f>
        <v>259.05</v>
      </c>
      <c r="E2350" s="1">
        <f>IFERROR(__xludf.DUMMYFUNCTION("""COMPUTED_VALUE"""),260.75)</f>
        <v>260.75</v>
      </c>
      <c r="F2350" s="1">
        <f>IFERROR(__xludf.DUMMYFUNCTION("""COMPUTED_VALUE"""),1906831.0)</f>
        <v>1906831</v>
      </c>
    </row>
    <row r="2351">
      <c r="A2351" s="2">
        <f>IFERROR(__xludf.DUMMYFUNCTION("""COMPUTED_VALUE"""),39986.645833333336)</f>
        <v>39986.64583</v>
      </c>
      <c r="B2351" s="1">
        <f>IFERROR(__xludf.DUMMYFUNCTION("""COMPUTED_VALUE"""),260.55)</f>
        <v>260.55</v>
      </c>
      <c r="C2351" s="1">
        <f>IFERROR(__xludf.DUMMYFUNCTION("""COMPUTED_VALUE"""),263.5)</f>
        <v>263.5</v>
      </c>
      <c r="D2351" s="1">
        <f>IFERROR(__xludf.DUMMYFUNCTION("""COMPUTED_VALUE"""),252.4)</f>
        <v>252.4</v>
      </c>
      <c r="E2351" s="1">
        <f>IFERROR(__xludf.DUMMYFUNCTION("""COMPUTED_VALUE"""),259.25)</f>
        <v>259.25</v>
      </c>
      <c r="F2351" s="1">
        <f>IFERROR(__xludf.DUMMYFUNCTION("""COMPUTED_VALUE"""),5785095.0)</f>
        <v>5785095</v>
      </c>
    </row>
    <row r="2352">
      <c r="A2352" s="2">
        <f>IFERROR(__xludf.DUMMYFUNCTION("""COMPUTED_VALUE"""),39987.645833333336)</f>
        <v>39987.64583</v>
      </c>
      <c r="B2352" s="1">
        <f>IFERROR(__xludf.DUMMYFUNCTION("""COMPUTED_VALUE"""),259.25)</f>
        <v>259.25</v>
      </c>
      <c r="C2352" s="1">
        <f>IFERROR(__xludf.DUMMYFUNCTION("""COMPUTED_VALUE"""),262.0)</f>
        <v>262</v>
      </c>
      <c r="D2352" s="1">
        <f>IFERROR(__xludf.DUMMYFUNCTION("""COMPUTED_VALUE"""),255.7)</f>
        <v>255.7</v>
      </c>
      <c r="E2352" s="1">
        <f>IFERROR(__xludf.DUMMYFUNCTION("""COMPUTED_VALUE"""),260.05)</f>
        <v>260.05</v>
      </c>
      <c r="F2352" s="1">
        <f>IFERROR(__xludf.DUMMYFUNCTION("""COMPUTED_VALUE"""),3885451.0)</f>
        <v>3885451</v>
      </c>
    </row>
    <row r="2353">
      <c r="A2353" s="2">
        <f>IFERROR(__xludf.DUMMYFUNCTION("""COMPUTED_VALUE"""),39988.645833333336)</f>
        <v>39988.64583</v>
      </c>
      <c r="B2353" s="1">
        <f>IFERROR(__xludf.DUMMYFUNCTION("""COMPUTED_VALUE"""),261.0)</f>
        <v>261</v>
      </c>
      <c r="C2353" s="1">
        <f>IFERROR(__xludf.DUMMYFUNCTION("""COMPUTED_VALUE"""),264.35)</f>
        <v>264.35</v>
      </c>
      <c r="D2353" s="1">
        <f>IFERROR(__xludf.DUMMYFUNCTION("""COMPUTED_VALUE"""),258.0)</f>
        <v>258</v>
      </c>
      <c r="E2353" s="1">
        <f>IFERROR(__xludf.DUMMYFUNCTION("""COMPUTED_VALUE"""),262.95)</f>
        <v>262.95</v>
      </c>
      <c r="F2353" s="1">
        <f>IFERROR(__xludf.DUMMYFUNCTION("""COMPUTED_VALUE"""),2005337.0)</f>
        <v>2005337</v>
      </c>
    </row>
    <row r="2354">
      <c r="A2354" s="2">
        <f>IFERROR(__xludf.DUMMYFUNCTION("""COMPUTED_VALUE"""),39989.645833333336)</f>
        <v>39989.64583</v>
      </c>
      <c r="B2354" s="1">
        <f>IFERROR(__xludf.DUMMYFUNCTION("""COMPUTED_VALUE"""),262.05)</f>
        <v>262.05</v>
      </c>
      <c r="C2354" s="1">
        <f>IFERROR(__xludf.DUMMYFUNCTION("""COMPUTED_VALUE"""),265.4)</f>
        <v>265.4</v>
      </c>
      <c r="D2354" s="1">
        <f>IFERROR(__xludf.DUMMYFUNCTION("""COMPUTED_VALUE"""),257.0)</f>
        <v>257</v>
      </c>
      <c r="E2354" s="1">
        <f>IFERROR(__xludf.DUMMYFUNCTION("""COMPUTED_VALUE"""),258.95)</f>
        <v>258.95</v>
      </c>
      <c r="F2354" s="1">
        <f>IFERROR(__xludf.DUMMYFUNCTION("""COMPUTED_VALUE"""),6800388.0)</f>
        <v>6800388</v>
      </c>
    </row>
    <row r="2355">
      <c r="A2355" s="2">
        <f>IFERROR(__xludf.DUMMYFUNCTION("""COMPUTED_VALUE"""),39990.645833333336)</f>
        <v>39990.64583</v>
      </c>
      <c r="B2355" s="1">
        <f>IFERROR(__xludf.DUMMYFUNCTION("""COMPUTED_VALUE"""),259.65)</f>
        <v>259.65</v>
      </c>
      <c r="C2355" s="1">
        <f>IFERROR(__xludf.DUMMYFUNCTION("""COMPUTED_VALUE"""),268.0)</f>
        <v>268</v>
      </c>
      <c r="D2355" s="1">
        <f>IFERROR(__xludf.DUMMYFUNCTION("""COMPUTED_VALUE"""),257.6)</f>
        <v>257.6</v>
      </c>
      <c r="E2355" s="1">
        <f>IFERROR(__xludf.DUMMYFUNCTION("""COMPUTED_VALUE"""),266.05)</f>
        <v>266.05</v>
      </c>
      <c r="F2355" s="1">
        <f>IFERROR(__xludf.DUMMYFUNCTION("""COMPUTED_VALUE"""),3310926.0)</f>
        <v>3310926</v>
      </c>
    </row>
    <row r="2356">
      <c r="A2356" s="2">
        <f>IFERROR(__xludf.DUMMYFUNCTION("""COMPUTED_VALUE"""),39993.645833333336)</f>
        <v>39993.64583</v>
      </c>
      <c r="B2356" s="1">
        <f>IFERROR(__xludf.DUMMYFUNCTION("""COMPUTED_VALUE"""),266.0)</f>
        <v>266</v>
      </c>
      <c r="C2356" s="1">
        <f>IFERROR(__xludf.DUMMYFUNCTION("""COMPUTED_VALUE"""),269.7)</f>
        <v>269.7</v>
      </c>
      <c r="D2356" s="1">
        <f>IFERROR(__xludf.DUMMYFUNCTION("""COMPUTED_VALUE"""),262.25)</f>
        <v>262.25</v>
      </c>
      <c r="E2356" s="1">
        <f>IFERROR(__xludf.DUMMYFUNCTION("""COMPUTED_VALUE"""),266.6)</f>
        <v>266.6</v>
      </c>
      <c r="F2356" s="1">
        <f>IFERROR(__xludf.DUMMYFUNCTION("""COMPUTED_VALUE"""),2878839.0)</f>
        <v>2878839</v>
      </c>
    </row>
    <row r="2357">
      <c r="A2357" s="2">
        <f>IFERROR(__xludf.DUMMYFUNCTION("""COMPUTED_VALUE"""),39994.645833333336)</f>
        <v>39994.64583</v>
      </c>
      <c r="B2357" s="1">
        <f>IFERROR(__xludf.DUMMYFUNCTION("""COMPUTED_VALUE"""),265.0)</f>
        <v>265</v>
      </c>
      <c r="C2357" s="1">
        <f>IFERROR(__xludf.DUMMYFUNCTION("""COMPUTED_VALUE"""),271.45)</f>
        <v>271.45</v>
      </c>
      <c r="D2357" s="1">
        <f>IFERROR(__xludf.DUMMYFUNCTION("""COMPUTED_VALUE"""),264.65)</f>
        <v>264.65</v>
      </c>
      <c r="E2357" s="1">
        <f>IFERROR(__xludf.DUMMYFUNCTION("""COMPUTED_VALUE"""),267.5)</f>
        <v>267.5</v>
      </c>
      <c r="F2357" s="1">
        <f>IFERROR(__xludf.DUMMYFUNCTION("""COMPUTED_VALUE"""),4224981.0)</f>
        <v>4224981</v>
      </c>
    </row>
    <row r="2358">
      <c r="A2358" s="2">
        <f>IFERROR(__xludf.DUMMYFUNCTION("""COMPUTED_VALUE"""),39995.645833333336)</f>
        <v>39995.64583</v>
      </c>
      <c r="B2358" s="1">
        <f>IFERROR(__xludf.DUMMYFUNCTION("""COMPUTED_VALUE"""),266.15)</f>
        <v>266.15</v>
      </c>
      <c r="C2358" s="1">
        <f>IFERROR(__xludf.DUMMYFUNCTION("""COMPUTED_VALUE"""),275.95)</f>
        <v>275.95</v>
      </c>
      <c r="D2358" s="1">
        <f>IFERROR(__xludf.DUMMYFUNCTION("""COMPUTED_VALUE"""),266.15)</f>
        <v>266.15</v>
      </c>
      <c r="E2358" s="1">
        <f>IFERROR(__xludf.DUMMYFUNCTION("""COMPUTED_VALUE"""),272.85)</f>
        <v>272.85</v>
      </c>
      <c r="F2358" s="1">
        <f>IFERROR(__xludf.DUMMYFUNCTION("""COMPUTED_VALUE"""),2619634.0)</f>
        <v>2619634</v>
      </c>
    </row>
    <row r="2359">
      <c r="A2359" s="2">
        <f>IFERROR(__xludf.DUMMYFUNCTION("""COMPUTED_VALUE"""),39996.645833333336)</f>
        <v>39996.64583</v>
      </c>
      <c r="B2359" s="1">
        <f>IFERROR(__xludf.DUMMYFUNCTION("""COMPUTED_VALUE"""),273.05)</f>
        <v>273.05</v>
      </c>
      <c r="C2359" s="1">
        <f>IFERROR(__xludf.DUMMYFUNCTION("""COMPUTED_VALUE"""),274.1)</f>
        <v>274.1</v>
      </c>
      <c r="D2359" s="1">
        <f>IFERROR(__xludf.DUMMYFUNCTION("""COMPUTED_VALUE"""),266.9)</f>
        <v>266.9</v>
      </c>
      <c r="E2359" s="1">
        <f>IFERROR(__xludf.DUMMYFUNCTION("""COMPUTED_VALUE"""),270.1)</f>
        <v>270.1</v>
      </c>
      <c r="F2359" s="1">
        <f>IFERROR(__xludf.DUMMYFUNCTION("""COMPUTED_VALUE"""),3758731.0)</f>
        <v>3758731</v>
      </c>
    </row>
    <row r="2360">
      <c r="A2360" s="2">
        <f>IFERROR(__xludf.DUMMYFUNCTION("""COMPUTED_VALUE"""),39997.645833333336)</f>
        <v>39997.64583</v>
      </c>
      <c r="B2360" s="1">
        <f>IFERROR(__xludf.DUMMYFUNCTION("""COMPUTED_VALUE"""),271.9)</f>
        <v>271.9</v>
      </c>
      <c r="C2360" s="1">
        <f>IFERROR(__xludf.DUMMYFUNCTION("""COMPUTED_VALUE"""),274.45)</f>
        <v>274.45</v>
      </c>
      <c r="D2360" s="1">
        <f>IFERROR(__xludf.DUMMYFUNCTION("""COMPUTED_VALUE"""),267.5)</f>
        <v>267.5</v>
      </c>
      <c r="E2360" s="1">
        <f>IFERROR(__xludf.DUMMYFUNCTION("""COMPUTED_VALUE"""),273.15)</f>
        <v>273.15</v>
      </c>
      <c r="F2360" s="1">
        <f>IFERROR(__xludf.DUMMYFUNCTION("""COMPUTED_VALUE"""),1558254.0)</f>
        <v>1558254</v>
      </c>
    </row>
    <row r="2361">
      <c r="A2361" s="2">
        <f>IFERROR(__xludf.DUMMYFUNCTION("""COMPUTED_VALUE"""),40000.645833333336)</f>
        <v>40000.64583</v>
      </c>
      <c r="B2361" s="1">
        <f>IFERROR(__xludf.DUMMYFUNCTION("""COMPUTED_VALUE"""),273.5)</f>
        <v>273.5</v>
      </c>
      <c r="C2361" s="1">
        <f>IFERROR(__xludf.DUMMYFUNCTION("""COMPUTED_VALUE"""),282.8)</f>
        <v>282.8</v>
      </c>
      <c r="D2361" s="1">
        <f>IFERROR(__xludf.DUMMYFUNCTION("""COMPUTED_VALUE"""),268.1)</f>
        <v>268.1</v>
      </c>
      <c r="E2361" s="1">
        <f>IFERROR(__xludf.DUMMYFUNCTION("""COMPUTED_VALUE"""),274.9)</f>
        <v>274.9</v>
      </c>
      <c r="F2361" s="1">
        <f>IFERROR(__xludf.DUMMYFUNCTION("""COMPUTED_VALUE"""),5256813.0)</f>
        <v>5256813</v>
      </c>
    </row>
    <row r="2362">
      <c r="A2362" s="2">
        <f>IFERROR(__xludf.DUMMYFUNCTION("""COMPUTED_VALUE"""),40001.645833333336)</f>
        <v>40001.64583</v>
      </c>
      <c r="B2362" s="1">
        <f>IFERROR(__xludf.DUMMYFUNCTION("""COMPUTED_VALUE"""),277.0)</f>
        <v>277</v>
      </c>
      <c r="C2362" s="1">
        <f>IFERROR(__xludf.DUMMYFUNCTION("""COMPUTED_VALUE"""),292.5)</f>
        <v>292.5</v>
      </c>
      <c r="D2362" s="1">
        <f>IFERROR(__xludf.DUMMYFUNCTION("""COMPUTED_VALUE"""),272.15)</f>
        <v>272.15</v>
      </c>
      <c r="E2362" s="1">
        <f>IFERROR(__xludf.DUMMYFUNCTION("""COMPUTED_VALUE"""),273.45)</f>
        <v>273.45</v>
      </c>
      <c r="F2362" s="1">
        <f>IFERROR(__xludf.DUMMYFUNCTION("""COMPUTED_VALUE"""),6110518.0)</f>
        <v>6110518</v>
      </c>
    </row>
    <row r="2363">
      <c r="A2363" s="2">
        <f>IFERROR(__xludf.DUMMYFUNCTION("""COMPUTED_VALUE"""),40002.645833333336)</f>
        <v>40002.64583</v>
      </c>
      <c r="B2363" s="1">
        <f>IFERROR(__xludf.DUMMYFUNCTION("""COMPUTED_VALUE"""),273.0)</f>
        <v>273</v>
      </c>
      <c r="C2363" s="1">
        <f>IFERROR(__xludf.DUMMYFUNCTION("""COMPUTED_VALUE"""),276.45)</f>
        <v>276.45</v>
      </c>
      <c r="D2363" s="1">
        <f>IFERROR(__xludf.DUMMYFUNCTION("""COMPUTED_VALUE"""),268.2)</f>
        <v>268.2</v>
      </c>
      <c r="E2363" s="1">
        <f>IFERROR(__xludf.DUMMYFUNCTION("""COMPUTED_VALUE"""),270.3)</f>
        <v>270.3</v>
      </c>
      <c r="F2363" s="1">
        <f>IFERROR(__xludf.DUMMYFUNCTION("""COMPUTED_VALUE"""),2902425.0)</f>
        <v>2902425</v>
      </c>
    </row>
    <row r="2364">
      <c r="A2364" s="2">
        <f>IFERROR(__xludf.DUMMYFUNCTION("""COMPUTED_VALUE"""),40003.645833333336)</f>
        <v>40003.64583</v>
      </c>
      <c r="B2364" s="1">
        <f>IFERROR(__xludf.DUMMYFUNCTION("""COMPUTED_VALUE"""),268.8)</f>
        <v>268.8</v>
      </c>
      <c r="C2364" s="1">
        <f>IFERROR(__xludf.DUMMYFUNCTION("""COMPUTED_VALUE"""),274.6)</f>
        <v>274.6</v>
      </c>
      <c r="D2364" s="1">
        <f>IFERROR(__xludf.DUMMYFUNCTION("""COMPUTED_VALUE"""),265.05)</f>
        <v>265.05</v>
      </c>
      <c r="E2364" s="1">
        <f>IFERROR(__xludf.DUMMYFUNCTION("""COMPUTED_VALUE"""),265.75)</f>
        <v>265.75</v>
      </c>
      <c r="F2364" s="1">
        <f>IFERROR(__xludf.DUMMYFUNCTION("""COMPUTED_VALUE"""),1763876.0)</f>
        <v>1763876</v>
      </c>
    </row>
    <row r="2365">
      <c r="A2365" s="2">
        <f>IFERROR(__xludf.DUMMYFUNCTION("""COMPUTED_VALUE"""),40004.645833333336)</f>
        <v>40004.64583</v>
      </c>
      <c r="B2365" s="1">
        <f>IFERROR(__xludf.DUMMYFUNCTION("""COMPUTED_VALUE"""),266.3)</f>
        <v>266.3</v>
      </c>
      <c r="C2365" s="1">
        <f>IFERROR(__xludf.DUMMYFUNCTION("""COMPUTED_VALUE"""),273.2)</f>
        <v>273.2</v>
      </c>
      <c r="D2365" s="1">
        <f>IFERROR(__xludf.DUMMYFUNCTION("""COMPUTED_VALUE"""),265.2)</f>
        <v>265.2</v>
      </c>
      <c r="E2365" s="1">
        <f>IFERROR(__xludf.DUMMYFUNCTION("""COMPUTED_VALUE"""),267.35)</f>
        <v>267.35</v>
      </c>
      <c r="F2365" s="1">
        <f>IFERROR(__xludf.DUMMYFUNCTION("""COMPUTED_VALUE"""),2939047.0)</f>
        <v>2939047</v>
      </c>
    </row>
    <row r="2366">
      <c r="A2366" s="2">
        <f>IFERROR(__xludf.DUMMYFUNCTION("""COMPUTED_VALUE"""),40007.645833333336)</f>
        <v>40007.64583</v>
      </c>
      <c r="B2366" s="1">
        <f>IFERROR(__xludf.DUMMYFUNCTION("""COMPUTED_VALUE"""),266.5)</f>
        <v>266.5</v>
      </c>
      <c r="C2366" s="1">
        <f>IFERROR(__xludf.DUMMYFUNCTION("""COMPUTED_VALUE"""),266.5)</f>
        <v>266.5</v>
      </c>
      <c r="D2366" s="1">
        <f>IFERROR(__xludf.DUMMYFUNCTION("""COMPUTED_VALUE"""),260.3)</f>
        <v>260.3</v>
      </c>
      <c r="E2366" s="1">
        <f>IFERROR(__xludf.DUMMYFUNCTION("""COMPUTED_VALUE"""),263.85)</f>
        <v>263.85</v>
      </c>
      <c r="F2366" s="1">
        <f>IFERROR(__xludf.DUMMYFUNCTION("""COMPUTED_VALUE"""),1540168.0)</f>
        <v>1540168</v>
      </c>
    </row>
    <row r="2367">
      <c r="A2367" s="2">
        <f>IFERROR(__xludf.DUMMYFUNCTION("""COMPUTED_VALUE"""),40008.645833333336)</f>
        <v>40008.64583</v>
      </c>
      <c r="B2367" s="1">
        <f>IFERROR(__xludf.DUMMYFUNCTION("""COMPUTED_VALUE"""),266.0)</f>
        <v>266</v>
      </c>
      <c r="C2367" s="1">
        <f>IFERROR(__xludf.DUMMYFUNCTION("""COMPUTED_VALUE"""),270.5)</f>
        <v>270.5</v>
      </c>
      <c r="D2367" s="1">
        <f>IFERROR(__xludf.DUMMYFUNCTION("""COMPUTED_VALUE"""),261.55)</f>
        <v>261.55</v>
      </c>
      <c r="E2367" s="1">
        <f>IFERROR(__xludf.DUMMYFUNCTION("""COMPUTED_VALUE"""),269.45)</f>
        <v>269.45</v>
      </c>
      <c r="F2367" s="1">
        <f>IFERROR(__xludf.DUMMYFUNCTION("""COMPUTED_VALUE"""),1580902.0)</f>
        <v>1580902</v>
      </c>
    </row>
    <row r="2368">
      <c r="A2368" s="2">
        <f>IFERROR(__xludf.DUMMYFUNCTION("""COMPUTED_VALUE"""),40009.645833333336)</f>
        <v>40009.64583</v>
      </c>
      <c r="B2368" s="1">
        <f>IFERROR(__xludf.DUMMYFUNCTION("""COMPUTED_VALUE"""),269.55)</f>
        <v>269.55</v>
      </c>
      <c r="C2368" s="1">
        <f>IFERROR(__xludf.DUMMYFUNCTION("""COMPUTED_VALUE"""),273.0)</f>
        <v>273</v>
      </c>
      <c r="D2368" s="1">
        <f>IFERROR(__xludf.DUMMYFUNCTION("""COMPUTED_VALUE"""),263.8)</f>
        <v>263.8</v>
      </c>
      <c r="E2368" s="1">
        <f>IFERROR(__xludf.DUMMYFUNCTION("""COMPUTED_VALUE"""),270.55)</f>
        <v>270.55</v>
      </c>
      <c r="F2368" s="1">
        <f>IFERROR(__xludf.DUMMYFUNCTION("""COMPUTED_VALUE"""),1974476.0)</f>
        <v>1974476</v>
      </c>
    </row>
    <row r="2369">
      <c r="A2369" s="2">
        <f>IFERROR(__xludf.DUMMYFUNCTION("""COMPUTED_VALUE"""),40010.645833333336)</f>
        <v>40010.64583</v>
      </c>
      <c r="B2369" s="1">
        <f>IFERROR(__xludf.DUMMYFUNCTION("""COMPUTED_VALUE"""),269.85)</f>
        <v>269.85</v>
      </c>
      <c r="C2369" s="1">
        <f>IFERROR(__xludf.DUMMYFUNCTION("""COMPUTED_VALUE"""),273.5)</f>
        <v>273.5</v>
      </c>
      <c r="D2369" s="1">
        <f>IFERROR(__xludf.DUMMYFUNCTION("""COMPUTED_VALUE"""),265.15)</f>
        <v>265.15</v>
      </c>
      <c r="E2369" s="1">
        <f>IFERROR(__xludf.DUMMYFUNCTION("""COMPUTED_VALUE"""),266.2)</f>
        <v>266.2</v>
      </c>
      <c r="F2369" s="1">
        <f>IFERROR(__xludf.DUMMYFUNCTION("""COMPUTED_VALUE"""),1723654.0)</f>
        <v>1723654</v>
      </c>
    </row>
    <row r="2370">
      <c r="A2370" s="2">
        <f>IFERROR(__xludf.DUMMYFUNCTION("""COMPUTED_VALUE"""),40011.645833333336)</f>
        <v>40011.64583</v>
      </c>
      <c r="B2370" s="1">
        <f>IFERROR(__xludf.DUMMYFUNCTION("""COMPUTED_VALUE"""),268.45)</f>
        <v>268.45</v>
      </c>
      <c r="C2370" s="1">
        <f>IFERROR(__xludf.DUMMYFUNCTION("""COMPUTED_VALUE"""),269.35)</f>
        <v>269.35</v>
      </c>
      <c r="D2370" s="1">
        <f>IFERROR(__xludf.DUMMYFUNCTION("""COMPUTED_VALUE"""),264.65)</f>
        <v>264.65</v>
      </c>
      <c r="E2370" s="1">
        <f>IFERROR(__xludf.DUMMYFUNCTION("""COMPUTED_VALUE"""),266.75)</f>
        <v>266.75</v>
      </c>
      <c r="F2370" s="1">
        <f>IFERROR(__xludf.DUMMYFUNCTION("""COMPUTED_VALUE"""),3497017.0)</f>
        <v>3497017</v>
      </c>
    </row>
    <row r="2371">
      <c r="A2371" s="2">
        <f>IFERROR(__xludf.DUMMYFUNCTION("""COMPUTED_VALUE"""),40014.645833333336)</f>
        <v>40014.64583</v>
      </c>
      <c r="B2371" s="1">
        <f>IFERROR(__xludf.DUMMYFUNCTION("""COMPUTED_VALUE"""),267.3)</f>
        <v>267.3</v>
      </c>
      <c r="C2371" s="1">
        <f>IFERROR(__xludf.DUMMYFUNCTION("""COMPUTED_VALUE"""),269.9)</f>
        <v>269.9</v>
      </c>
      <c r="D2371" s="1">
        <f>IFERROR(__xludf.DUMMYFUNCTION("""COMPUTED_VALUE"""),264.1)</f>
        <v>264.1</v>
      </c>
      <c r="E2371" s="1">
        <f>IFERROR(__xludf.DUMMYFUNCTION("""COMPUTED_VALUE"""),267.0)</f>
        <v>267</v>
      </c>
      <c r="F2371" s="1">
        <f>IFERROR(__xludf.DUMMYFUNCTION("""COMPUTED_VALUE"""),2716435.0)</f>
        <v>2716435</v>
      </c>
    </row>
    <row r="2372">
      <c r="A2372" s="2">
        <f>IFERROR(__xludf.DUMMYFUNCTION("""COMPUTED_VALUE"""),40015.645833333336)</f>
        <v>40015.64583</v>
      </c>
      <c r="B2372" s="1">
        <f>IFERROR(__xludf.DUMMYFUNCTION("""COMPUTED_VALUE"""),266.8)</f>
        <v>266.8</v>
      </c>
      <c r="C2372" s="1">
        <f>IFERROR(__xludf.DUMMYFUNCTION("""COMPUTED_VALUE"""),270.7)</f>
        <v>270.7</v>
      </c>
      <c r="D2372" s="1">
        <f>IFERROR(__xludf.DUMMYFUNCTION("""COMPUTED_VALUE"""),266.0)</f>
        <v>266</v>
      </c>
      <c r="E2372" s="1">
        <f>IFERROR(__xludf.DUMMYFUNCTION("""COMPUTED_VALUE"""),269.7)</f>
        <v>269.7</v>
      </c>
      <c r="F2372" s="1">
        <f>IFERROR(__xludf.DUMMYFUNCTION("""COMPUTED_VALUE"""),2222929.0)</f>
        <v>2222929</v>
      </c>
    </row>
    <row r="2373">
      <c r="A2373" s="2">
        <f>IFERROR(__xludf.DUMMYFUNCTION("""COMPUTED_VALUE"""),40016.645833333336)</f>
        <v>40016.64583</v>
      </c>
      <c r="B2373" s="1">
        <f>IFERROR(__xludf.DUMMYFUNCTION("""COMPUTED_VALUE"""),271.1)</f>
        <v>271.1</v>
      </c>
      <c r="C2373" s="1">
        <f>IFERROR(__xludf.DUMMYFUNCTION("""COMPUTED_VALUE"""),273.8)</f>
        <v>273.8</v>
      </c>
      <c r="D2373" s="1">
        <f>IFERROR(__xludf.DUMMYFUNCTION("""COMPUTED_VALUE"""),267.65)</f>
        <v>267.65</v>
      </c>
      <c r="E2373" s="1">
        <f>IFERROR(__xludf.DUMMYFUNCTION("""COMPUTED_VALUE"""),269.3)</f>
        <v>269.3</v>
      </c>
      <c r="F2373" s="1">
        <f>IFERROR(__xludf.DUMMYFUNCTION("""COMPUTED_VALUE"""),3009609.0)</f>
        <v>3009609</v>
      </c>
    </row>
    <row r="2374">
      <c r="A2374" s="2">
        <f>IFERROR(__xludf.DUMMYFUNCTION("""COMPUTED_VALUE"""),40017.645833333336)</f>
        <v>40017.64583</v>
      </c>
      <c r="B2374" s="1">
        <f>IFERROR(__xludf.DUMMYFUNCTION("""COMPUTED_VALUE"""),269.5)</f>
        <v>269.5</v>
      </c>
      <c r="C2374" s="1">
        <f>IFERROR(__xludf.DUMMYFUNCTION("""COMPUTED_VALUE"""),279.0)</f>
        <v>279</v>
      </c>
      <c r="D2374" s="1">
        <f>IFERROR(__xludf.DUMMYFUNCTION("""COMPUTED_VALUE"""),268.35)</f>
        <v>268.35</v>
      </c>
      <c r="E2374" s="1">
        <f>IFERROR(__xludf.DUMMYFUNCTION("""COMPUTED_VALUE"""),276.75)</f>
        <v>276.75</v>
      </c>
      <c r="F2374" s="1">
        <f>IFERROR(__xludf.DUMMYFUNCTION("""COMPUTED_VALUE"""),6467801.0)</f>
        <v>6467801</v>
      </c>
    </row>
    <row r="2375">
      <c r="A2375" s="2">
        <f>IFERROR(__xludf.DUMMYFUNCTION("""COMPUTED_VALUE"""),40018.645833333336)</f>
        <v>40018.64583</v>
      </c>
      <c r="B2375" s="1">
        <f>IFERROR(__xludf.DUMMYFUNCTION("""COMPUTED_VALUE"""),278.5)</f>
        <v>278.5</v>
      </c>
      <c r="C2375" s="1">
        <f>IFERROR(__xludf.DUMMYFUNCTION("""COMPUTED_VALUE"""),288.65)</f>
        <v>288.65</v>
      </c>
      <c r="D2375" s="1">
        <f>IFERROR(__xludf.DUMMYFUNCTION("""COMPUTED_VALUE"""),273.4)</f>
        <v>273.4</v>
      </c>
      <c r="E2375" s="1">
        <f>IFERROR(__xludf.DUMMYFUNCTION("""COMPUTED_VALUE"""),282.65)</f>
        <v>282.65</v>
      </c>
      <c r="F2375" s="1">
        <f>IFERROR(__xludf.DUMMYFUNCTION("""COMPUTED_VALUE"""),2590422.0)</f>
        <v>2590422</v>
      </c>
    </row>
    <row r="2376">
      <c r="A2376" s="2">
        <f>IFERROR(__xludf.DUMMYFUNCTION("""COMPUTED_VALUE"""),40021.645833333336)</f>
        <v>40021.64583</v>
      </c>
      <c r="B2376" s="1">
        <f>IFERROR(__xludf.DUMMYFUNCTION("""COMPUTED_VALUE"""),284.0)</f>
        <v>284</v>
      </c>
      <c r="C2376" s="1">
        <f>IFERROR(__xludf.DUMMYFUNCTION("""COMPUTED_VALUE"""),306.7)</f>
        <v>306.7</v>
      </c>
      <c r="D2376" s="1">
        <f>IFERROR(__xludf.DUMMYFUNCTION("""COMPUTED_VALUE"""),284.0)</f>
        <v>284</v>
      </c>
      <c r="E2376" s="1">
        <f>IFERROR(__xludf.DUMMYFUNCTION("""COMPUTED_VALUE"""),299.65)</f>
        <v>299.65</v>
      </c>
      <c r="F2376" s="1">
        <f>IFERROR(__xludf.DUMMYFUNCTION("""COMPUTED_VALUE"""),1.1347035E7)</f>
        <v>11347035</v>
      </c>
    </row>
    <row r="2377">
      <c r="A2377" s="2">
        <f>IFERROR(__xludf.DUMMYFUNCTION("""COMPUTED_VALUE"""),40022.645833333336)</f>
        <v>40022.64583</v>
      </c>
      <c r="B2377" s="1">
        <f>IFERROR(__xludf.DUMMYFUNCTION("""COMPUTED_VALUE"""),302.0)</f>
        <v>302</v>
      </c>
      <c r="C2377" s="1">
        <f>IFERROR(__xludf.DUMMYFUNCTION("""COMPUTED_VALUE"""),305.95)</f>
        <v>305.95</v>
      </c>
      <c r="D2377" s="1">
        <f>IFERROR(__xludf.DUMMYFUNCTION("""COMPUTED_VALUE"""),273.25)</f>
        <v>273.25</v>
      </c>
      <c r="E2377" s="1">
        <f>IFERROR(__xludf.DUMMYFUNCTION("""COMPUTED_VALUE"""),276.65)</f>
        <v>276.65</v>
      </c>
      <c r="F2377" s="1">
        <f>IFERROR(__xludf.DUMMYFUNCTION("""COMPUTED_VALUE"""),1.4579109E7)</f>
        <v>14579109</v>
      </c>
    </row>
    <row r="2378">
      <c r="A2378" s="2">
        <f>IFERROR(__xludf.DUMMYFUNCTION("""COMPUTED_VALUE"""),40023.645833333336)</f>
        <v>40023.64583</v>
      </c>
      <c r="B2378" s="1">
        <f>IFERROR(__xludf.DUMMYFUNCTION("""COMPUTED_VALUE"""),278.0)</f>
        <v>278</v>
      </c>
      <c r="C2378" s="1">
        <f>IFERROR(__xludf.DUMMYFUNCTION("""COMPUTED_VALUE"""),283.65)</f>
        <v>283.65</v>
      </c>
      <c r="D2378" s="1">
        <f>IFERROR(__xludf.DUMMYFUNCTION("""COMPUTED_VALUE"""),266.0)</f>
        <v>266</v>
      </c>
      <c r="E2378" s="1">
        <f>IFERROR(__xludf.DUMMYFUNCTION("""COMPUTED_VALUE"""),268.35)</f>
        <v>268.35</v>
      </c>
      <c r="F2378" s="1">
        <f>IFERROR(__xludf.DUMMYFUNCTION("""COMPUTED_VALUE"""),8478647.0)</f>
        <v>8478647</v>
      </c>
    </row>
    <row r="2379">
      <c r="A2379" s="2">
        <f>IFERROR(__xludf.DUMMYFUNCTION("""COMPUTED_VALUE"""),40024.645833333336)</f>
        <v>40024.64583</v>
      </c>
      <c r="B2379" s="1">
        <f>IFERROR(__xludf.DUMMYFUNCTION("""COMPUTED_VALUE"""),270.0)</f>
        <v>270</v>
      </c>
      <c r="C2379" s="1">
        <f>IFERROR(__xludf.DUMMYFUNCTION("""COMPUTED_VALUE"""),284.9)</f>
        <v>284.9</v>
      </c>
      <c r="D2379" s="1">
        <f>IFERROR(__xludf.DUMMYFUNCTION("""COMPUTED_VALUE"""),267.65)</f>
        <v>267.65</v>
      </c>
      <c r="E2379" s="1">
        <f>IFERROR(__xludf.DUMMYFUNCTION("""COMPUTED_VALUE"""),281.4)</f>
        <v>281.4</v>
      </c>
      <c r="F2379" s="1">
        <f>IFERROR(__xludf.DUMMYFUNCTION("""COMPUTED_VALUE"""),5850221.0)</f>
        <v>5850221</v>
      </c>
    </row>
    <row r="2380">
      <c r="A2380" s="2">
        <f>IFERROR(__xludf.DUMMYFUNCTION("""COMPUTED_VALUE"""),40025.645833333336)</f>
        <v>40025.64583</v>
      </c>
      <c r="B2380" s="1">
        <f>IFERROR(__xludf.DUMMYFUNCTION("""COMPUTED_VALUE"""),283.0)</f>
        <v>283</v>
      </c>
      <c r="C2380" s="1">
        <f>IFERROR(__xludf.DUMMYFUNCTION("""COMPUTED_VALUE"""),296.0)</f>
        <v>296</v>
      </c>
      <c r="D2380" s="1">
        <f>IFERROR(__xludf.DUMMYFUNCTION("""COMPUTED_VALUE"""),281.15)</f>
        <v>281.15</v>
      </c>
      <c r="E2380" s="1">
        <f>IFERROR(__xludf.DUMMYFUNCTION("""COMPUTED_VALUE"""),291.5)</f>
        <v>291.5</v>
      </c>
      <c r="F2380" s="1">
        <f>IFERROR(__xludf.DUMMYFUNCTION("""COMPUTED_VALUE"""),5347424.0)</f>
        <v>5347424</v>
      </c>
    </row>
    <row r="2381">
      <c r="A2381" s="2">
        <f>IFERROR(__xludf.DUMMYFUNCTION("""COMPUTED_VALUE"""),40028.645833333336)</f>
        <v>40028.64583</v>
      </c>
      <c r="B2381" s="1">
        <f>IFERROR(__xludf.DUMMYFUNCTION("""COMPUTED_VALUE"""),291.0)</f>
        <v>291</v>
      </c>
      <c r="C2381" s="1">
        <f>IFERROR(__xludf.DUMMYFUNCTION("""COMPUTED_VALUE"""),292.7)</f>
        <v>292.7</v>
      </c>
      <c r="D2381" s="1">
        <f>IFERROR(__xludf.DUMMYFUNCTION("""COMPUTED_VALUE"""),282.6)</f>
        <v>282.6</v>
      </c>
      <c r="E2381" s="1">
        <f>IFERROR(__xludf.DUMMYFUNCTION("""COMPUTED_VALUE"""),285.1)</f>
        <v>285.1</v>
      </c>
      <c r="F2381" s="1">
        <f>IFERROR(__xludf.DUMMYFUNCTION("""COMPUTED_VALUE"""),1528499.0)</f>
        <v>1528499</v>
      </c>
    </row>
    <row r="2382">
      <c r="A2382" s="2">
        <f>IFERROR(__xludf.DUMMYFUNCTION("""COMPUTED_VALUE"""),40029.645833333336)</f>
        <v>40029.64583</v>
      </c>
      <c r="B2382" s="1">
        <f>IFERROR(__xludf.DUMMYFUNCTION("""COMPUTED_VALUE"""),285.3)</f>
        <v>285.3</v>
      </c>
      <c r="C2382" s="1">
        <f>IFERROR(__xludf.DUMMYFUNCTION("""COMPUTED_VALUE"""),298.9)</f>
        <v>298.9</v>
      </c>
      <c r="D2382" s="1">
        <f>IFERROR(__xludf.DUMMYFUNCTION("""COMPUTED_VALUE"""),280.15)</f>
        <v>280.15</v>
      </c>
      <c r="E2382" s="1">
        <f>IFERROR(__xludf.DUMMYFUNCTION("""COMPUTED_VALUE"""),294.0)</f>
        <v>294</v>
      </c>
      <c r="F2382" s="1">
        <f>IFERROR(__xludf.DUMMYFUNCTION("""COMPUTED_VALUE"""),4742844.0)</f>
        <v>4742844</v>
      </c>
    </row>
    <row r="2383">
      <c r="A2383" s="2">
        <f>IFERROR(__xludf.DUMMYFUNCTION("""COMPUTED_VALUE"""),40030.645833333336)</f>
        <v>40030.64583</v>
      </c>
      <c r="B2383" s="1">
        <f>IFERROR(__xludf.DUMMYFUNCTION("""COMPUTED_VALUE"""),298.0)</f>
        <v>298</v>
      </c>
      <c r="C2383" s="1">
        <f>IFERROR(__xludf.DUMMYFUNCTION("""COMPUTED_VALUE"""),298.0)</f>
        <v>298</v>
      </c>
      <c r="D2383" s="1">
        <f>IFERROR(__xludf.DUMMYFUNCTION("""COMPUTED_VALUE"""),286.45)</f>
        <v>286.45</v>
      </c>
      <c r="E2383" s="1">
        <f>IFERROR(__xludf.DUMMYFUNCTION("""COMPUTED_VALUE"""),290.4)</f>
        <v>290.4</v>
      </c>
      <c r="F2383" s="1">
        <f>IFERROR(__xludf.DUMMYFUNCTION("""COMPUTED_VALUE"""),2634234.0)</f>
        <v>2634234</v>
      </c>
    </row>
    <row r="2384">
      <c r="A2384" s="2">
        <f>IFERROR(__xludf.DUMMYFUNCTION("""COMPUTED_VALUE"""),40031.645833333336)</f>
        <v>40031.64583</v>
      </c>
      <c r="B2384" s="1">
        <f>IFERROR(__xludf.DUMMYFUNCTION("""COMPUTED_VALUE"""),289.0)</f>
        <v>289</v>
      </c>
      <c r="C2384" s="1">
        <f>IFERROR(__xludf.DUMMYFUNCTION("""COMPUTED_VALUE"""),290.85)</f>
        <v>290.85</v>
      </c>
      <c r="D2384" s="1">
        <f>IFERROR(__xludf.DUMMYFUNCTION("""COMPUTED_VALUE"""),276.15)</f>
        <v>276.15</v>
      </c>
      <c r="E2384" s="1">
        <f>IFERROR(__xludf.DUMMYFUNCTION("""COMPUTED_VALUE"""),278.65)</f>
        <v>278.65</v>
      </c>
      <c r="F2384" s="1">
        <f>IFERROR(__xludf.DUMMYFUNCTION("""COMPUTED_VALUE"""),2319807.0)</f>
        <v>2319807</v>
      </c>
    </row>
    <row r="2385">
      <c r="A2385" s="2">
        <f>IFERROR(__xludf.DUMMYFUNCTION("""COMPUTED_VALUE"""),40032.645833333336)</f>
        <v>40032.64583</v>
      </c>
      <c r="B2385" s="1">
        <f>IFERROR(__xludf.DUMMYFUNCTION("""COMPUTED_VALUE"""),276.9)</f>
        <v>276.9</v>
      </c>
      <c r="C2385" s="1">
        <f>IFERROR(__xludf.DUMMYFUNCTION("""COMPUTED_VALUE"""),279.0)</f>
        <v>279</v>
      </c>
      <c r="D2385" s="1">
        <f>IFERROR(__xludf.DUMMYFUNCTION("""COMPUTED_VALUE"""),268.4)</f>
        <v>268.4</v>
      </c>
      <c r="E2385" s="1">
        <f>IFERROR(__xludf.DUMMYFUNCTION("""COMPUTED_VALUE"""),269.6)</f>
        <v>269.6</v>
      </c>
      <c r="F2385" s="1">
        <f>IFERROR(__xludf.DUMMYFUNCTION("""COMPUTED_VALUE"""),3817872.0)</f>
        <v>3817872</v>
      </c>
    </row>
    <row r="2386">
      <c r="A2386" s="2">
        <f>IFERROR(__xludf.DUMMYFUNCTION("""COMPUTED_VALUE"""),40035.645833333336)</f>
        <v>40035.64583</v>
      </c>
      <c r="B2386" s="1">
        <f>IFERROR(__xludf.DUMMYFUNCTION("""COMPUTED_VALUE"""),272.0)</f>
        <v>272</v>
      </c>
      <c r="C2386" s="1">
        <f>IFERROR(__xludf.DUMMYFUNCTION("""COMPUTED_VALUE"""),274.0)</f>
        <v>274</v>
      </c>
      <c r="D2386" s="1">
        <f>IFERROR(__xludf.DUMMYFUNCTION("""COMPUTED_VALUE"""),254.6)</f>
        <v>254.6</v>
      </c>
      <c r="E2386" s="1">
        <f>IFERROR(__xludf.DUMMYFUNCTION("""COMPUTED_VALUE"""),260.65)</f>
        <v>260.65</v>
      </c>
      <c r="F2386" s="1">
        <f>IFERROR(__xludf.DUMMYFUNCTION("""COMPUTED_VALUE"""),6221422.0)</f>
        <v>6221422</v>
      </c>
    </row>
    <row r="2387">
      <c r="A2387" s="2">
        <f>IFERROR(__xludf.DUMMYFUNCTION("""COMPUTED_VALUE"""),40036.645833333336)</f>
        <v>40036.64583</v>
      </c>
      <c r="B2387" s="1">
        <f>IFERROR(__xludf.DUMMYFUNCTION("""COMPUTED_VALUE"""),260.2)</f>
        <v>260.2</v>
      </c>
      <c r="C2387" s="1">
        <f>IFERROR(__xludf.DUMMYFUNCTION("""COMPUTED_VALUE"""),267.0)</f>
        <v>267</v>
      </c>
      <c r="D2387" s="1">
        <f>IFERROR(__xludf.DUMMYFUNCTION("""COMPUTED_VALUE"""),258.55)</f>
        <v>258.55</v>
      </c>
      <c r="E2387" s="1">
        <f>IFERROR(__xludf.DUMMYFUNCTION("""COMPUTED_VALUE"""),263.15)</f>
        <v>263.15</v>
      </c>
      <c r="F2387" s="1">
        <f>IFERROR(__xludf.DUMMYFUNCTION("""COMPUTED_VALUE"""),7151818.0)</f>
        <v>7151818</v>
      </c>
    </row>
    <row r="2388">
      <c r="A2388" s="2">
        <f>IFERROR(__xludf.DUMMYFUNCTION("""COMPUTED_VALUE"""),40037.645833333336)</f>
        <v>40037.64583</v>
      </c>
      <c r="B2388" s="1">
        <f>IFERROR(__xludf.DUMMYFUNCTION("""COMPUTED_VALUE"""),263.0)</f>
        <v>263</v>
      </c>
      <c r="C2388" s="1">
        <f>IFERROR(__xludf.DUMMYFUNCTION("""COMPUTED_VALUE"""),266.1)</f>
        <v>266.1</v>
      </c>
      <c r="D2388" s="1">
        <f>IFERROR(__xludf.DUMMYFUNCTION("""COMPUTED_VALUE"""),250.65)</f>
        <v>250.65</v>
      </c>
      <c r="E2388" s="1">
        <f>IFERROR(__xludf.DUMMYFUNCTION("""COMPUTED_VALUE"""),256.75)</f>
        <v>256.75</v>
      </c>
      <c r="F2388" s="1">
        <f>IFERROR(__xludf.DUMMYFUNCTION("""COMPUTED_VALUE"""),5658935.0)</f>
        <v>5658935</v>
      </c>
    </row>
    <row r="2389">
      <c r="A2389" s="2">
        <f>IFERROR(__xludf.DUMMYFUNCTION("""COMPUTED_VALUE"""),40038.645833333336)</f>
        <v>40038.64583</v>
      </c>
      <c r="B2389" s="1">
        <f>IFERROR(__xludf.DUMMYFUNCTION("""COMPUTED_VALUE"""),259.85)</f>
        <v>259.85</v>
      </c>
      <c r="C2389" s="1">
        <f>IFERROR(__xludf.DUMMYFUNCTION("""COMPUTED_VALUE"""),265.0)</f>
        <v>265</v>
      </c>
      <c r="D2389" s="1">
        <f>IFERROR(__xludf.DUMMYFUNCTION("""COMPUTED_VALUE"""),258.1)</f>
        <v>258.1</v>
      </c>
      <c r="E2389" s="1">
        <f>IFERROR(__xludf.DUMMYFUNCTION("""COMPUTED_VALUE"""),263.4)</f>
        <v>263.4</v>
      </c>
      <c r="F2389" s="1">
        <f>IFERROR(__xludf.DUMMYFUNCTION("""COMPUTED_VALUE"""),4594873.0)</f>
        <v>4594873</v>
      </c>
    </row>
    <row r="2390">
      <c r="A2390" s="2">
        <f>IFERROR(__xludf.DUMMYFUNCTION("""COMPUTED_VALUE"""),40039.645833333336)</f>
        <v>40039.64583</v>
      </c>
      <c r="B2390" s="1">
        <f>IFERROR(__xludf.DUMMYFUNCTION("""COMPUTED_VALUE"""),264.9)</f>
        <v>264.9</v>
      </c>
      <c r="C2390" s="1">
        <f>IFERROR(__xludf.DUMMYFUNCTION("""COMPUTED_VALUE"""),265.0)</f>
        <v>265</v>
      </c>
      <c r="D2390" s="1">
        <f>IFERROR(__xludf.DUMMYFUNCTION("""COMPUTED_VALUE"""),254.15)</f>
        <v>254.15</v>
      </c>
      <c r="E2390" s="1">
        <f>IFERROR(__xludf.DUMMYFUNCTION("""COMPUTED_VALUE"""),256.9)</f>
        <v>256.9</v>
      </c>
      <c r="F2390" s="1">
        <f>IFERROR(__xludf.DUMMYFUNCTION("""COMPUTED_VALUE"""),6193766.0)</f>
        <v>6193766</v>
      </c>
    </row>
    <row r="2391">
      <c r="A2391" s="2">
        <f>IFERROR(__xludf.DUMMYFUNCTION("""COMPUTED_VALUE"""),40042.645833333336)</f>
        <v>40042.64583</v>
      </c>
      <c r="B2391" s="1">
        <f>IFERROR(__xludf.DUMMYFUNCTION("""COMPUTED_VALUE"""),256.9)</f>
        <v>256.9</v>
      </c>
      <c r="C2391" s="1">
        <f>IFERROR(__xludf.DUMMYFUNCTION("""COMPUTED_VALUE"""),256.9)</f>
        <v>256.9</v>
      </c>
      <c r="D2391" s="1">
        <f>IFERROR(__xludf.DUMMYFUNCTION("""COMPUTED_VALUE"""),246.6)</f>
        <v>246.6</v>
      </c>
      <c r="E2391" s="1">
        <f>IFERROR(__xludf.DUMMYFUNCTION("""COMPUTED_VALUE"""),248.4)</f>
        <v>248.4</v>
      </c>
      <c r="F2391" s="1">
        <f>IFERROR(__xludf.DUMMYFUNCTION("""COMPUTED_VALUE"""),4322659.0)</f>
        <v>4322659</v>
      </c>
    </row>
    <row r="2392">
      <c r="A2392" s="2">
        <f>IFERROR(__xludf.DUMMYFUNCTION("""COMPUTED_VALUE"""),40043.645833333336)</f>
        <v>40043.64583</v>
      </c>
      <c r="B2392" s="1">
        <f>IFERROR(__xludf.DUMMYFUNCTION("""COMPUTED_VALUE"""),247.6)</f>
        <v>247.6</v>
      </c>
      <c r="C2392" s="1">
        <f>IFERROR(__xludf.DUMMYFUNCTION("""COMPUTED_VALUE"""),259.85)</f>
        <v>259.85</v>
      </c>
      <c r="D2392" s="1">
        <f>IFERROR(__xludf.DUMMYFUNCTION("""COMPUTED_VALUE"""),247.15)</f>
        <v>247.15</v>
      </c>
      <c r="E2392" s="1">
        <f>IFERROR(__xludf.DUMMYFUNCTION("""COMPUTED_VALUE"""),258.6)</f>
        <v>258.6</v>
      </c>
      <c r="F2392" s="1">
        <f>IFERROR(__xludf.DUMMYFUNCTION("""COMPUTED_VALUE"""),2626805.0)</f>
        <v>2626805</v>
      </c>
    </row>
    <row r="2393">
      <c r="A2393" s="2">
        <f>IFERROR(__xludf.DUMMYFUNCTION("""COMPUTED_VALUE"""),40044.645833333336)</f>
        <v>40044.64583</v>
      </c>
      <c r="B2393" s="1">
        <f>IFERROR(__xludf.DUMMYFUNCTION("""COMPUTED_VALUE"""),259.0)</f>
        <v>259</v>
      </c>
      <c r="C2393" s="1">
        <f>IFERROR(__xludf.DUMMYFUNCTION("""COMPUTED_VALUE"""),261.0)</f>
        <v>261</v>
      </c>
      <c r="D2393" s="1">
        <f>IFERROR(__xludf.DUMMYFUNCTION("""COMPUTED_VALUE"""),252.2)</f>
        <v>252.2</v>
      </c>
      <c r="E2393" s="1">
        <f>IFERROR(__xludf.DUMMYFUNCTION("""COMPUTED_VALUE"""),256.9)</f>
        <v>256.9</v>
      </c>
      <c r="F2393" s="1">
        <f>IFERROR(__xludf.DUMMYFUNCTION("""COMPUTED_VALUE"""),3407931.0)</f>
        <v>3407931</v>
      </c>
    </row>
    <row r="2394">
      <c r="A2394" s="2">
        <f>IFERROR(__xludf.DUMMYFUNCTION("""COMPUTED_VALUE"""),40045.645833333336)</f>
        <v>40045.64583</v>
      </c>
      <c r="B2394" s="1">
        <f>IFERROR(__xludf.DUMMYFUNCTION("""COMPUTED_VALUE"""),259.95)</f>
        <v>259.95</v>
      </c>
      <c r="C2394" s="1">
        <f>IFERROR(__xludf.DUMMYFUNCTION("""COMPUTED_VALUE"""),262.95)</f>
        <v>262.95</v>
      </c>
      <c r="D2394" s="1">
        <f>IFERROR(__xludf.DUMMYFUNCTION("""COMPUTED_VALUE"""),255.0)</f>
        <v>255</v>
      </c>
      <c r="E2394" s="1">
        <f>IFERROR(__xludf.DUMMYFUNCTION("""COMPUTED_VALUE"""),256.6)</f>
        <v>256.6</v>
      </c>
      <c r="F2394" s="1">
        <f>IFERROR(__xludf.DUMMYFUNCTION("""COMPUTED_VALUE"""),2060145.0)</f>
        <v>2060145</v>
      </c>
    </row>
    <row r="2395">
      <c r="A2395" s="2">
        <f>IFERROR(__xludf.DUMMYFUNCTION("""COMPUTED_VALUE"""),40046.645833333336)</f>
        <v>40046.64583</v>
      </c>
      <c r="B2395" s="1">
        <f>IFERROR(__xludf.DUMMYFUNCTION("""COMPUTED_VALUE"""),256.5)</f>
        <v>256.5</v>
      </c>
      <c r="C2395" s="1">
        <f>IFERROR(__xludf.DUMMYFUNCTION("""COMPUTED_VALUE"""),261.95)</f>
        <v>261.95</v>
      </c>
      <c r="D2395" s="1">
        <f>IFERROR(__xludf.DUMMYFUNCTION("""COMPUTED_VALUE"""),253.25)</f>
        <v>253.25</v>
      </c>
      <c r="E2395" s="1">
        <f>IFERROR(__xludf.DUMMYFUNCTION("""COMPUTED_VALUE"""),260.75)</f>
        <v>260.75</v>
      </c>
      <c r="F2395" s="1">
        <f>IFERROR(__xludf.DUMMYFUNCTION("""COMPUTED_VALUE"""),2187280.0)</f>
        <v>2187280</v>
      </c>
    </row>
    <row r="2396">
      <c r="A2396" s="2">
        <f>IFERROR(__xludf.DUMMYFUNCTION("""COMPUTED_VALUE"""),40049.645833333336)</f>
        <v>40049.64583</v>
      </c>
      <c r="B2396" s="1">
        <f>IFERROR(__xludf.DUMMYFUNCTION("""COMPUTED_VALUE"""),262.0)</f>
        <v>262</v>
      </c>
      <c r="C2396" s="1">
        <f>IFERROR(__xludf.DUMMYFUNCTION("""COMPUTED_VALUE"""),269.9)</f>
        <v>269.9</v>
      </c>
      <c r="D2396" s="1">
        <f>IFERROR(__xludf.DUMMYFUNCTION("""COMPUTED_VALUE"""),261.25)</f>
        <v>261.25</v>
      </c>
      <c r="E2396" s="1">
        <f>IFERROR(__xludf.DUMMYFUNCTION("""COMPUTED_VALUE"""),268.95)</f>
        <v>268.95</v>
      </c>
      <c r="F2396" s="1">
        <f>IFERROR(__xludf.DUMMYFUNCTION("""COMPUTED_VALUE"""),2477915.0)</f>
        <v>2477915</v>
      </c>
    </row>
    <row r="2397">
      <c r="A2397" s="2">
        <f>IFERROR(__xludf.DUMMYFUNCTION("""COMPUTED_VALUE"""),40050.645833333336)</f>
        <v>40050.64583</v>
      </c>
      <c r="B2397" s="1">
        <f>IFERROR(__xludf.DUMMYFUNCTION("""COMPUTED_VALUE"""),267.65)</f>
        <v>267.65</v>
      </c>
      <c r="C2397" s="1">
        <f>IFERROR(__xludf.DUMMYFUNCTION("""COMPUTED_VALUE"""),272.7)</f>
        <v>272.7</v>
      </c>
      <c r="D2397" s="1">
        <f>IFERROR(__xludf.DUMMYFUNCTION("""COMPUTED_VALUE"""),266.5)</f>
        <v>266.5</v>
      </c>
      <c r="E2397" s="1">
        <f>IFERROR(__xludf.DUMMYFUNCTION("""COMPUTED_VALUE"""),269.5)</f>
        <v>269.5</v>
      </c>
      <c r="F2397" s="1">
        <f>IFERROR(__xludf.DUMMYFUNCTION("""COMPUTED_VALUE"""),2085392.0)</f>
        <v>2085392</v>
      </c>
    </row>
    <row r="2398">
      <c r="A2398" s="2">
        <f>IFERROR(__xludf.DUMMYFUNCTION("""COMPUTED_VALUE"""),40051.645833333336)</f>
        <v>40051.64583</v>
      </c>
      <c r="B2398" s="1">
        <f>IFERROR(__xludf.DUMMYFUNCTION("""COMPUTED_VALUE"""),271.0)</f>
        <v>271</v>
      </c>
      <c r="C2398" s="1">
        <f>IFERROR(__xludf.DUMMYFUNCTION("""COMPUTED_VALUE"""),271.0)</f>
        <v>271</v>
      </c>
      <c r="D2398" s="1">
        <f>IFERROR(__xludf.DUMMYFUNCTION("""COMPUTED_VALUE"""),262.35)</f>
        <v>262.35</v>
      </c>
      <c r="E2398" s="1">
        <f>IFERROR(__xludf.DUMMYFUNCTION("""COMPUTED_VALUE"""),263.1)</f>
        <v>263.1</v>
      </c>
      <c r="F2398" s="1">
        <f>IFERROR(__xludf.DUMMYFUNCTION("""COMPUTED_VALUE"""),4000751.0)</f>
        <v>4000751</v>
      </c>
    </row>
    <row r="2399">
      <c r="A2399" s="2">
        <f>IFERROR(__xludf.DUMMYFUNCTION("""COMPUTED_VALUE"""),40052.645833333336)</f>
        <v>40052.64583</v>
      </c>
      <c r="B2399" s="1">
        <f>IFERROR(__xludf.DUMMYFUNCTION("""COMPUTED_VALUE"""),261.0)</f>
        <v>261</v>
      </c>
      <c r="C2399" s="1">
        <f>IFERROR(__xludf.DUMMYFUNCTION("""COMPUTED_VALUE"""),264.4)</f>
        <v>264.4</v>
      </c>
      <c r="D2399" s="1">
        <f>IFERROR(__xludf.DUMMYFUNCTION("""COMPUTED_VALUE"""),255.2)</f>
        <v>255.2</v>
      </c>
      <c r="E2399" s="1">
        <f>IFERROR(__xludf.DUMMYFUNCTION("""COMPUTED_VALUE"""),256.4)</f>
        <v>256.4</v>
      </c>
      <c r="F2399" s="1">
        <f>IFERROR(__xludf.DUMMYFUNCTION("""COMPUTED_VALUE"""),4622241.0)</f>
        <v>4622241</v>
      </c>
    </row>
    <row r="2400">
      <c r="A2400" s="2">
        <f>IFERROR(__xludf.DUMMYFUNCTION("""COMPUTED_VALUE"""),40053.645833333336)</f>
        <v>40053.64583</v>
      </c>
      <c r="B2400" s="1">
        <f>IFERROR(__xludf.DUMMYFUNCTION("""COMPUTED_VALUE"""),257.5)</f>
        <v>257.5</v>
      </c>
      <c r="C2400" s="1">
        <f>IFERROR(__xludf.DUMMYFUNCTION("""COMPUTED_VALUE"""),261.75)</f>
        <v>261.75</v>
      </c>
      <c r="D2400" s="1">
        <f>IFERROR(__xludf.DUMMYFUNCTION("""COMPUTED_VALUE"""),255.65)</f>
        <v>255.65</v>
      </c>
      <c r="E2400" s="1">
        <f>IFERROR(__xludf.DUMMYFUNCTION("""COMPUTED_VALUE"""),260.35)</f>
        <v>260.35</v>
      </c>
      <c r="F2400" s="1">
        <f>IFERROR(__xludf.DUMMYFUNCTION("""COMPUTED_VALUE"""),3963297.0)</f>
        <v>3963297</v>
      </c>
    </row>
    <row r="2401">
      <c r="A2401" s="2">
        <f>IFERROR(__xludf.DUMMYFUNCTION("""COMPUTED_VALUE"""),40056.645833333336)</f>
        <v>40056.64583</v>
      </c>
      <c r="B2401" s="1">
        <f>IFERROR(__xludf.DUMMYFUNCTION("""COMPUTED_VALUE"""),259.95)</f>
        <v>259.95</v>
      </c>
      <c r="C2401" s="1">
        <f>IFERROR(__xludf.DUMMYFUNCTION("""COMPUTED_VALUE"""),263.0)</f>
        <v>263</v>
      </c>
      <c r="D2401" s="1">
        <f>IFERROR(__xludf.DUMMYFUNCTION("""COMPUTED_VALUE"""),255.8)</f>
        <v>255.8</v>
      </c>
      <c r="E2401" s="1">
        <f>IFERROR(__xludf.DUMMYFUNCTION("""COMPUTED_VALUE"""),259.95)</f>
        <v>259.95</v>
      </c>
      <c r="F2401" s="1">
        <f>IFERROR(__xludf.DUMMYFUNCTION("""COMPUTED_VALUE"""),3519029.0)</f>
        <v>3519029</v>
      </c>
    </row>
    <row r="2402">
      <c r="A2402" s="2">
        <f>IFERROR(__xludf.DUMMYFUNCTION("""COMPUTED_VALUE"""),40057.645833333336)</f>
        <v>40057.64583</v>
      </c>
      <c r="B2402" s="1">
        <f>IFERROR(__xludf.DUMMYFUNCTION("""COMPUTED_VALUE"""),260.0)</f>
        <v>260</v>
      </c>
      <c r="C2402" s="1">
        <f>IFERROR(__xludf.DUMMYFUNCTION("""COMPUTED_VALUE"""),264.95)</f>
        <v>264.95</v>
      </c>
      <c r="D2402" s="1">
        <f>IFERROR(__xludf.DUMMYFUNCTION("""COMPUTED_VALUE"""),258.7)</f>
        <v>258.7</v>
      </c>
      <c r="E2402" s="1">
        <f>IFERROR(__xludf.DUMMYFUNCTION("""COMPUTED_VALUE"""),262.45)</f>
        <v>262.45</v>
      </c>
      <c r="F2402" s="1">
        <f>IFERROR(__xludf.DUMMYFUNCTION("""COMPUTED_VALUE"""),2749928.0)</f>
        <v>2749928</v>
      </c>
    </row>
    <row r="2403">
      <c r="A2403" s="2">
        <f>IFERROR(__xludf.DUMMYFUNCTION("""COMPUTED_VALUE"""),40058.645833333336)</f>
        <v>40058.64583</v>
      </c>
      <c r="B2403" s="1">
        <f>IFERROR(__xludf.DUMMYFUNCTION("""COMPUTED_VALUE"""),261.0)</f>
        <v>261</v>
      </c>
      <c r="C2403" s="1">
        <f>IFERROR(__xludf.DUMMYFUNCTION("""COMPUTED_VALUE"""),269.85)</f>
        <v>269.85</v>
      </c>
      <c r="D2403" s="1">
        <f>IFERROR(__xludf.DUMMYFUNCTION("""COMPUTED_VALUE"""),259.9)</f>
        <v>259.9</v>
      </c>
      <c r="E2403" s="1">
        <f>IFERROR(__xludf.DUMMYFUNCTION("""COMPUTED_VALUE"""),267.15)</f>
        <v>267.15</v>
      </c>
      <c r="F2403" s="1">
        <f>IFERROR(__xludf.DUMMYFUNCTION("""COMPUTED_VALUE"""),2345220.0)</f>
        <v>2345220</v>
      </c>
    </row>
    <row r="2404">
      <c r="A2404" s="2">
        <f>IFERROR(__xludf.DUMMYFUNCTION("""COMPUTED_VALUE"""),40059.645833333336)</f>
        <v>40059.64583</v>
      </c>
      <c r="B2404" s="1">
        <f>IFERROR(__xludf.DUMMYFUNCTION("""COMPUTED_VALUE"""),269.0)</f>
        <v>269</v>
      </c>
      <c r="C2404" s="1">
        <f>IFERROR(__xludf.DUMMYFUNCTION("""COMPUTED_VALUE"""),271.85)</f>
        <v>271.85</v>
      </c>
      <c r="D2404" s="1">
        <f>IFERROR(__xludf.DUMMYFUNCTION("""COMPUTED_VALUE"""),265.15)</f>
        <v>265.15</v>
      </c>
      <c r="E2404" s="1">
        <f>IFERROR(__xludf.DUMMYFUNCTION("""COMPUTED_VALUE"""),267.65)</f>
        <v>267.65</v>
      </c>
      <c r="F2404" s="1">
        <f>IFERROR(__xludf.DUMMYFUNCTION("""COMPUTED_VALUE"""),1951781.0)</f>
        <v>1951781</v>
      </c>
    </row>
    <row r="2405">
      <c r="A2405" s="2">
        <f>IFERROR(__xludf.DUMMYFUNCTION("""COMPUTED_VALUE"""),40060.645833333336)</f>
        <v>40060.64583</v>
      </c>
      <c r="B2405" s="1">
        <f>IFERROR(__xludf.DUMMYFUNCTION("""COMPUTED_VALUE"""),267.0)</f>
        <v>267</v>
      </c>
      <c r="C2405" s="1">
        <f>IFERROR(__xludf.DUMMYFUNCTION("""COMPUTED_VALUE"""),277.15)</f>
        <v>277.15</v>
      </c>
      <c r="D2405" s="1">
        <f>IFERROR(__xludf.DUMMYFUNCTION("""COMPUTED_VALUE"""),264.8)</f>
        <v>264.8</v>
      </c>
      <c r="E2405" s="1">
        <f>IFERROR(__xludf.DUMMYFUNCTION("""COMPUTED_VALUE"""),273.05)</f>
        <v>273.05</v>
      </c>
      <c r="F2405" s="1">
        <f>IFERROR(__xludf.DUMMYFUNCTION("""COMPUTED_VALUE"""),2634615.0)</f>
        <v>2634615</v>
      </c>
    </row>
    <row r="2406">
      <c r="A2406" s="2">
        <f>IFERROR(__xludf.DUMMYFUNCTION("""COMPUTED_VALUE"""),40063.645833333336)</f>
        <v>40063.64583</v>
      </c>
      <c r="B2406" s="1">
        <f>IFERROR(__xludf.DUMMYFUNCTION("""COMPUTED_VALUE"""),274.15)</f>
        <v>274.15</v>
      </c>
      <c r="C2406" s="1">
        <f>IFERROR(__xludf.DUMMYFUNCTION("""COMPUTED_VALUE"""),277.7)</f>
        <v>277.7</v>
      </c>
      <c r="D2406" s="1">
        <f>IFERROR(__xludf.DUMMYFUNCTION("""COMPUTED_VALUE"""),269.65)</f>
        <v>269.65</v>
      </c>
      <c r="E2406" s="1">
        <f>IFERROR(__xludf.DUMMYFUNCTION("""COMPUTED_VALUE"""),274.0)</f>
        <v>274</v>
      </c>
      <c r="F2406" s="1">
        <f>IFERROR(__xludf.DUMMYFUNCTION("""COMPUTED_VALUE"""),3119164.0)</f>
        <v>3119164</v>
      </c>
    </row>
    <row r="2407">
      <c r="A2407" s="2">
        <f>IFERROR(__xludf.DUMMYFUNCTION("""COMPUTED_VALUE"""),40064.645833333336)</f>
        <v>40064.64583</v>
      </c>
      <c r="B2407" s="1">
        <f>IFERROR(__xludf.DUMMYFUNCTION("""COMPUTED_VALUE"""),275.45)</f>
        <v>275.45</v>
      </c>
      <c r="C2407" s="1">
        <f>IFERROR(__xludf.DUMMYFUNCTION("""COMPUTED_VALUE"""),275.45)</f>
        <v>275.45</v>
      </c>
      <c r="D2407" s="1">
        <f>IFERROR(__xludf.DUMMYFUNCTION("""COMPUTED_VALUE"""),265.3)</f>
        <v>265.3</v>
      </c>
      <c r="E2407" s="1">
        <f>IFERROR(__xludf.DUMMYFUNCTION("""COMPUTED_VALUE"""),266.25)</f>
        <v>266.25</v>
      </c>
      <c r="F2407" s="1">
        <f>IFERROR(__xludf.DUMMYFUNCTION("""COMPUTED_VALUE"""),1924271.0)</f>
        <v>1924271</v>
      </c>
    </row>
    <row r="2408">
      <c r="A2408" s="2">
        <f>IFERROR(__xludf.DUMMYFUNCTION("""COMPUTED_VALUE"""),40065.645833333336)</f>
        <v>40065.64583</v>
      </c>
      <c r="B2408" s="1">
        <f>IFERROR(__xludf.DUMMYFUNCTION("""COMPUTED_VALUE"""),266.3)</f>
        <v>266.3</v>
      </c>
      <c r="C2408" s="1">
        <f>IFERROR(__xludf.DUMMYFUNCTION("""COMPUTED_VALUE"""),267.6)</f>
        <v>267.6</v>
      </c>
      <c r="D2408" s="1">
        <f>IFERROR(__xludf.DUMMYFUNCTION("""COMPUTED_VALUE"""),263.6)</f>
        <v>263.6</v>
      </c>
      <c r="E2408" s="1">
        <f>IFERROR(__xludf.DUMMYFUNCTION("""COMPUTED_VALUE"""),265.45)</f>
        <v>265.45</v>
      </c>
      <c r="F2408" s="1">
        <f>IFERROR(__xludf.DUMMYFUNCTION("""COMPUTED_VALUE"""),3479951.0)</f>
        <v>3479951</v>
      </c>
    </row>
    <row r="2409">
      <c r="A2409" s="2">
        <f>IFERROR(__xludf.DUMMYFUNCTION("""COMPUTED_VALUE"""),40066.645833333336)</f>
        <v>40066.64583</v>
      </c>
      <c r="B2409" s="1">
        <f>IFERROR(__xludf.DUMMYFUNCTION("""COMPUTED_VALUE"""),267.9)</f>
        <v>267.9</v>
      </c>
      <c r="C2409" s="1">
        <f>IFERROR(__xludf.DUMMYFUNCTION("""COMPUTED_VALUE"""),267.9)</f>
        <v>267.9</v>
      </c>
      <c r="D2409" s="1">
        <f>IFERROR(__xludf.DUMMYFUNCTION("""COMPUTED_VALUE"""),261.2)</f>
        <v>261.2</v>
      </c>
      <c r="E2409" s="1">
        <f>IFERROR(__xludf.DUMMYFUNCTION("""COMPUTED_VALUE"""),262.1)</f>
        <v>262.1</v>
      </c>
      <c r="F2409" s="1">
        <f>IFERROR(__xludf.DUMMYFUNCTION("""COMPUTED_VALUE"""),2613070.0)</f>
        <v>2613070</v>
      </c>
    </row>
    <row r="2410">
      <c r="A2410" s="2">
        <f>IFERROR(__xludf.DUMMYFUNCTION("""COMPUTED_VALUE"""),40067.645833333336)</f>
        <v>40067.64583</v>
      </c>
      <c r="B2410" s="1">
        <f>IFERROR(__xludf.DUMMYFUNCTION("""COMPUTED_VALUE"""),263.0)</f>
        <v>263</v>
      </c>
      <c r="C2410" s="1">
        <f>IFERROR(__xludf.DUMMYFUNCTION("""COMPUTED_VALUE"""),264.35)</f>
        <v>264.35</v>
      </c>
      <c r="D2410" s="1">
        <f>IFERROR(__xludf.DUMMYFUNCTION("""COMPUTED_VALUE"""),253.7)</f>
        <v>253.7</v>
      </c>
      <c r="E2410" s="1">
        <f>IFERROR(__xludf.DUMMYFUNCTION("""COMPUTED_VALUE"""),256.1)</f>
        <v>256.1</v>
      </c>
      <c r="F2410" s="1">
        <f>IFERROR(__xludf.DUMMYFUNCTION("""COMPUTED_VALUE"""),4918021.0)</f>
        <v>4918021</v>
      </c>
    </row>
    <row r="2411">
      <c r="A2411" s="2">
        <f>IFERROR(__xludf.DUMMYFUNCTION("""COMPUTED_VALUE"""),40070.645833333336)</f>
        <v>40070.64583</v>
      </c>
      <c r="B2411" s="1">
        <f>IFERROR(__xludf.DUMMYFUNCTION("""COMPUTED_VALUE"""),256.45)</f>
        <v>256.45</v>
      </c>
      <c r="C2411" s="1">
        <f>IFERROR(__xludf.DUMMYFUNCTION("""COMPUTED_VALUE"""),261.5)</f>
        <v>261.5</v>
      </c>
      <c r="D2411" s="1">
        <f>IFERROR(__xludf.DUMMYFUNCTION("""COMPUTED_VALUE"""),255.15)</f>
        <v>255.15</v>
      </c>
      <c r="E2411" s="1">
        <f>IFERROR(__xludf.DUMMYFUNCTION("""COMPUTED_VALUE"""),259.9)</f>
        <v>259.9</v>
      </c>
      <c r="F2411" s="1">
        <f>IFERROR(__xludf.DUMMYFUNCTION("""COMPUTED_VALUE"""),2691619.0)</f>
        <v>2691619</v>
      </c>
    </row>
    <row r="2412">
      <c r="A2412" s="2">
        <f>IFERROR(__xludf.DUMMYFUNCTION("""COMPUTED_VALUE"""),40071.645833333336)</f>
        <v>40071.64583</v>
      </c>
      <c r="B2412" s="1">
        <f>IFERROR(__xludf.DUMMYFUNCTION("""COMPUTED_VALUE"""),260.6)</f>
        <v>260.6</v>
      </c>
      <c r="C2412" s="1">
        <f>IFERROR(__xludf.DUMMYFUNCTION("""COMPUTED_VALUE"""),261.35)</f>
        <v>261.35</v>
      </c>
      <c r="D2412" s="1">
        <f>IFERROR(__xludf.DUMMYFUNCTION("""COMPUTED_VALUE"""),257.65)</f>
        <v>257.65</v>
      </c>
      <c r="E2412" s="1">
        <f>IFERROR(__xludf.DUMMYFUNCTION("""COMPUTED_VALUE"""),259.6)</f>
        <v>259.6</v>
      </c>
      <c r="F2412" s="1">
        <f>IFERROR(__xludf.DUMMYFUNCTION("""COMPUTED_VALUE"""),1667758.0)</f>
        <v>1667758</v>
      </c>
    </row>
    <row r="2413">
      <c r="A2413" s="2">
        <f>IFERROR(__xludf.DUMMYFUNCTION("""COMPUTED_VALUE"""),40072.645833333336)</f>
        <v>40072.64583</v>
      </c>
      <c r="B2413" s="1">
        <f>IFERROR(__xludf.DUMMYFUNCTION("""COMPUTED_VALUE"""),261.0)</f>
        <v>261</v>
      </c>
      <c r="C2413" s="1">
        <f>IFERROR(__xludf.DUMMYFUNCTION("""COMPUTED_VALUE"""),263.4)</f>
        <v>263.4</v>
      </c>
      <c r="D2413" s="1">
        <f>IFERROR(__xludf.DUMMYFUNCTION("""COMPUTED_VALUE"""),256.0)</f>
        <v>256</v>
      </c>
      <c r="E2413" s="1">
        <f>IFERROR(__xludf.DUMMYFUNCTION("""COMPUTED_VALUE"""),257.0)</f>
        <v>257</v>
      </c>
      <c r="F2413" s="1">
        <f>IFERROR(__xludf.DUMMYFUNCTION("""COMPUTED_VALUE"""),2503092.0)</f>
        <v>2503092</v>
      </c>
    </row>
    <row r="2414">
      <c r="A2414" s="2">
        <f>IFERROR(__xludf.DUMMYFUNCTION("""COMPUTED_VALUE"""),40073.645833333336)</f>
        <v>40073.64583</v>
      </c>
      <c r="B2414" s="1">
        <f>IFERROR(__xludf.DUMMYFUNCTION("""COMPUTED_VALUE"""),259.0)</f>
        <v>259</v>
      </c>
      <c r="C2414" s="1">
        <f>IFERROR(__xludf.DUMMYFUNCTION("""COMPUTED_VALUE"""),262.4)</f>
        <v>262.4</v>
      </c>
      <c r="D2414" s="1">
        <f>IFERROR(__xludf.DUMMYFUNCTION("""COMPUTED_VALUE"""),258.1)</f>
        <v>258.1</v>
      </c>
      <c r="E2414" s="1">
        <f>IFERROR(__xludf.DUMMYFUNCTION("""COMPUTED_VALUE"""),261.2)</f>
        <v>261.2</v>
      </c>
      <c r="F2414" s="1">
        <f>IFERROR(__xludf.DUMMYFUNCTION("""COMPUTED_VALUE"""),2673886.0)</f>
        <v>2673886</v>
      </c>
    </row>
    <row r="2415">
      <c r="A2415" s="2">
        <f>IFERROR(__xludf.DUMMYFUNCTION("""COMPUTED_VALUE"""),40074.645833333336)</f>
        <v>40074.64583</v>
      </c>
      <c r="B2415" s="1">
        <f>IFERROR(__xludf.DUMMYFUNCTION("""COMPUTED_VALUE"""),261.5)</f>
        <v>261.5</v>
      </c>
      <c r="C2415" s="1">
        <f>IFERROR(__xludf.DUMMYFUNCTION("""COMPUTED_VALUE"""),263.7)</f>
        <v>263.7</v>
      </c>
      <c r="D2415" s="1">
        <f>IFERROR(__xludf.DUMMYFUNCTION("""COMPUTED_VALUE"""),260.25)</f>
        <v>260.25</v>
      </c>
      <c r="E2415" s="1">
        <f>IFERROR(__xludf.DUMMYFUNCTION("""COMPUTED_VALUE"""),261.65)</f>
        <v>261.65</v>
      </c>
      <c r="F2415" s="1">
        <f>IFERROR(__xludf.DUMMYFUNCTION("""COMPUTED_VALUE"""),2571370.0)</f>
        <v>2571370</v>
      </c>
    </row>
    <row r="2416">
      <c r="A2416" s="2">
        <f>IFERROR(__xludf.DUMMYFUNCTION("""COMPUTED_VALUE"""),40078.645833333336)</f>
        <v>40078.64583</v>
      </c>
      <c r="B2416" s="1">
        <f>IFERROR(__xludf.DUMMYFUNCTION("""COMPUTED_VALUE"""),264.3)</f>
        <v>264.3</v>
      </c>
      <c r="C2416" s="1">
        <f>IFERROR(__xludf.DUMMYFUNCTION("""COMPUTED_VALUE"""),266.35)</f>
        <v>266.35</v>
      </c>
      <c r="D2416" s="1">
        <f>IFERROR(__xludf.DUMMYFUNCTION("""COMPUTED_VALUE"""),259.3)</f>
        <v>259.3</v>
      </c>
      <c r="E2416" s="1">
        <f>IFERROR(__xludf.DUMMYFUNCTION("""COMPUTED_VALUE"""),264.65)</f>
        <v>264.65</v>
      </c>
      <c r="F2416" s="1">
        <f>IFERROR(__xludf.DUMMYFUNCTION("""COMPUTED_VALUE"""),3900410.0)</f>
        <v>3900410</v>
      </c>
    </row>
    <row r="2417">
      <c r="A2417" s="2">
        <f>IFERROR(__xludf.DUMMYFUNCTION("""COMPUTED_VALUE"""),40079.645833333336)</f>
        <v>40079.64583</v>
      </c>
      <c r="B2417" s="1">
        <f>IFERROR(__xludf.DUMMYFUNCTION("""COMPUTED_VALUE"""),264.65)</f>
        <v>264.65</v>
      </c>
      <c r="C2417" s="1">
        <f>IFERROR(__xludf.DUMMYFUNCTION("""COMPUTED_VALUE"""),265.65)</f>
        <v>265.65</v>
      </c>
      <c r="D2417" s="1">
        <f>IFERROR(__xludf.DUMMYFUNCTION("""COMPUTED_VALUE"""),256.35)</f>
        <v>256.35</v>
      </c>
      <c r="E2417" s="1">
        <f>IFERROR(__xludf.DUMMYFUNCTION("""COMPUTED_VALUE"""),258.45)</f>
        <v>258.45</v>
      </c>
      <c r="F2417" s="1">
        <f>IFERROR(__xludf.DUMMYFUNCTION("""COMPUTED_VALUE"""),3346598.0)</f>
        <v>3346598</v>
      </c>
    </row>
    <row r="2418">
      <c r="A2418" s="2">
        <f>IFERROR(__xludf.DUMMYFUNCTION("""COMPUTED_VALUE"""),40080.645833333336)</f>
        <v>40080.64583</v>
      </c>
      <c r="B2418" s="1">
        <f>IFERROR(__xludf.DUMMYFUNCTION("""COMPUTED_VALUE"""),258.0)</f>
        <v>258</v>
      </c>
      <c r="C2418" s="1">
        <f>IFERROR(__xludf.DUMMYFUNCTION("""COMPUTED_VALUE"""),262.85)</f>
        <v>262.85</v>
      </c>
      <c r="D2418" s="1">
        <f>IFERROR(__xludf.DUMMYFUNCTION("""COMPUTED_VALUE"""),255.4)</f>
        <v>255.4</v>
      </c>
      <c r="E2418" s="1">
        <f>IFERROR(__xludf.DUMMYFUNCTION("""COMPUTED_VALUE"""),259.95)</f>
        <v>259.95</v>
      </c>
      <c r="F2418" s="1">
        <f>IFERROR(__xludf.DUMMYFUNCTION("""COMPUTED_VALUE"""),1.1622897E7)</f>
        <v>11622897</v>
      </c>
    </row>
    <row r="2419">
      <c r="A2419" s="2">
        <f>IFERROR(__xludf.DUMMYFUNCTION("""COMPUTED_VALUE"""),40081.645833333336)</f>
        <v>40081.64583</v>
      </c>
      <c r="B2419" s="1">
        <f>IFERROR(__xludf.DUMMYFUNCTION("""COMPUTED_VALUE"""),259.5)</f>
        <v>259.5</v>
      </c>
      <c r="C2419" s="1">
        <f>IFERROR(__xludf.DUMMYFUNCTION("""COMPUTED_VALUE"""),261.9)</f>
        <v>261.9</v>
      </c>
      <c r="D2419" s="1">
        <f>IFERROR(__xludf.DUMMYFUNCTION("""COMPUTED_VALUE"""),257.5)</f>
        <v>257.5</v>
      </c>
      <c r="E2419" s="1">
        <f>IFERROR(__xludf.DUMMYFUNCTION("""COMPUTED_VALUE"""),259.5)</f>
        <v>259.5</v>
      </c>
      <c r="F2419" s="1">
        <f>IFERROR(__xludf.DUMMYFUNCTION("""COMPUTED_VALUE"""),3707514.0)</f>
        <v>3707514</v>
      </c>
    </row>
    <row r="2420">
      <c r="A2420" s="2">
        <f>IFERROR(__xludf.DUMMYFUNCTION("""COMPUTED_VALUE"""),40085.645833333336)</f>
        <v>40085.64583</v>
      </c>
      <c r="B2420" s="1">
        <f>IFERROR(__xludf.DUMMYFUNCTION("""COMPUTED_VALUE"""),256.2)</f>
        <v>256.2</v>
      </c>
      <c r="C2420" s="1">
        <f>IFERROR(__xludf.DUMMYFUNCTION("""COMPUTED_VALUE"""),265.7)</f>
        <v>265.7</v>
      </c>
      <c r="D2420" s="1">
        <f>IFERROR(__xludf.DUMMYFUNCTION("""COMPUTED_VALUE"""),256.2)</f>
        <v>256.2</v>
      </c>
      <c r="E2420" s="1">
        <f>IFERROR(__xludf.DUMMYFUNCTION("""COMPUTED_VALUE"""),263.25)</f>
        <v>263.25</v>
      </c>
      <c r="F2420" s="1">
        <f>IFERROR(__xludf.DUMMYFUNCTION("""COMPUTED_VALUE"""),6203639.0)</f>
        <v>6203639</v>
      </c>
    </row>
    <row r="2421">
      <c r="A2421" s="2">
        <f>IFERROR(__xludf.DUMMYFUNCTION("""COMPUTED_VALUE"""),40086.645833333336)</f>
        <v>40086.64583</v>
      </c>
      <c r="B2421" s="1">
        <f>IFERROR(__xludf.DUMMYFUNCTION("""COMPUTED_VALUE"""),265.0)</f>
        <v>265</v>
      </c>
      <c r="C2421" s="1">
        <f>IFERROR(__xludf.DUMMYFUNCTION("""COMPUTED_VALUE"""),266.0)</f>
        <v>266</v>
      </c>
      <c r="D2421" s="1">
        <f>IFERROR(__xludf.DUMMYFUNCTION("""COMPUTED_VALUE"""),261.0)</f>
        <v>261</v>
      </c>
      <c r="E2421" s="1">
        <f>IFERROR(__xludf.DUMMYFUNCTION("""COMPUTED_VALUE"""),262.6)</f>
        <v>262.6</v>
      </c>
      <c r="F2421" s="1">
        <f>IFERROR(__xludf.DUMMYFUNCTION("""COMPUTED_VALUE"""),4379270.0)</f>
        <v>4379270</v>
      </c>
    </row>
    <row r="2422">
      <c r="A2422" s="2">
        <f>IFERROR(__xludf.DUMMYFUNCTION("""COMPUTED_VALUE"""),40087.645833333336)</f>
        <v>40087.64583</v>
      </c>
      <c r="B2422" s="1">
        <f>IFERROR(__xludf.DUMMYFUNCTION("""COMPUTED_VALUE"""),262.0)</f>
        <v>262</v>
      </c>
      <c r="C2422" s="1">
        <f>IFERROR(__xludf.DUMMYFUNCTION("""COMPUTED_VALUE"""),266.75)</f>
        <v>266.75</v>
      </c>
      <c r="D2422" s="1">
        <f>IFERROR(__xludf.DUMMYFUNCTION("""COMPUTED_VALUE"""),260.35)</f>
        <v>260.35</v>
      </c>
      <c r="E2422" s="1">
        <f>IFERROR(__xludf.DUMMYFUNCTION("""COMPUTED_VALUE"""),265.4)</f>
        <v>265.4</v>
      </c>
      <c r="F2422" s="1">
        <f>IFERROR(__xludf.DUMMYFUNCTION("""COMPUTED_VALUE"""),2696842.0)</f>
        <v>2696842</v>
      </c>
    </row>
    <row r="2423">
      <c r="A2423" s="2">
        <f>IFERROR(__xludf.DUMMYFUNCTION("""COMPUTED_VALUE"""),40091.645833333336)</f>
        <v>40091.64583</v>
      </c>
      <c r="B2423" s="1">
        <f>IFERROR(__xludf.DUMMYFUNCTION("""COMPUTED_VALUE"""),264.95)</f>
        <v>264.95</v>
      </c>
      <c r="C2423" s="1">
        <f>IFERROR(__xludf.DUMMYFUNCTION("""COMPUTED_VALUE"""),269.0)</f>
        <v>269</v>
      </c>
      <c r="D2423" s="1">
        <f>IFERROR(__xludf.DUMMYFUNCTION("""COMPUTED_VALUE"""),262.65)</f>
        <v>262.65</v>
      </c>
      <c r="E2423" s="1">
        <f>IFERROR(__xludf.DUMMYFUNCTION("""COMPUTED_VALUE"""),267.05)</f>
        <v>267.05</v>
      </c>
      <c r="F2423" s="1">
        <f>IFERROR(__xludf.DUMMYFUNCTION("""COMPUTED_VALUE"""),2943124.0)</f>
        <v>2943124</v>
      </c>
    </row>
    <row r="2424">
      <c r="A2424" s="2">
        <f>IFERROR(__xludf.DUMMYFUNCTION("""COMPUTED_VALUE"""),40092.645833333336)</f>
        <v>40092.64583</v>
      </c>
      <c r="B2424" s="1">
        <f>IFERROR(__xludf.DUMMYFUNCTION("""COMPUTED_VALUE"""),268.0)</f>
        <v>268</v>
      </c>
      <c r="C2424" s="1">
        <f>IFERROR(__xludf.DUMMYFUNCTION("""COMPUTED_VALUE"""),285.0)</f>
        <v>285</v>
      </c>
      <c r="D2424" s="1">
        <f>IFERROR(__xludf.DUMMYFUNCTION("""COMPUTED_VALUE"""),267.0)</f>
        <v>267</v>
      </c>
      <c r="E2424" s="1">
        <f>IFERROR(__xludf.DUMMYFUNCTION("""COMPUTED_VALUE"""),281.75)</f>
        <v>281.75</v>
      </c>
      <c r="F2424" s="1">
        <f>IFERROR(__xludf.DUMMYFUNCTION("""COMPUTED_VALUE"""),6197793.0)</f>
        <v>6197793</v>
      </c>
    </row>
    <row r="2425">
      <c r="A2425" s="2">
        <f>IFERROR(__xludf.DUMMYFUNCTION("""COMPUTED_VALUE"""),40093.645833333336)</f>
        <v>40093.64583</v>
      </c>
      <c r="B2425" s="1">
        <f>IFERROR(__xludf.DUMMYFUNCTION("""COMPUTED_VALUE"""),280.0)</f>
        <v>280</v>
      </c>
      <c r="C2425" s="1">
        <f>IFERROR(__xludf.DUMMYFUNCTION("""COMPUTED_VALUE"""),284.0)</f>
        <v>284</v>
      </c>
      <c r="D2425" s="1">
        <f>IFERROR(__xludf.DUMMYFUNCTION("""COMPUTED_VALUE"""),275.35)</f>
        <v>275.35</v>
      </c>
      <c r="E2425" s="1">
        <f>IFERROR(__xludf.DUMMYFUNCTION("""COMPUTED_VALUE"""),280.2)</f>
        <v>280.2</v>
      </c>
      <c r="F2425" s="1">
        <f>IFERROR(__xludf.DUMMYFUNCTION("""COMPUTED_VALUE"""),2269323.0)</f>
        <v>2269323</v>
      </c>
    </row>
    <row r="2426">
      <c r="A2426" s="2">
        <f>IFERROR(__xludf.DUMMYFUNCTION("""COMPUTED_VALUE"""),40094.645833333336)</f>
        <v>40094.64583</v>
      </c>
      <c r="B2426" s="1">
        <f>IFERROR(__xludf.DUMMYFUNCTION("""COMPUTED_VALUE"""),280.2)</f>
        <v>280.2</v>
      </c>
      <c r="C2426" s="1">
        <f>IFERROR(__xludf.DUMMYFUNCTION("""COMPUTED_VALUE"""),292.0)</f>
        <v>292</v>
      </c>
      <c r="D2426" s="1">
        <f>IFERROR(__xludf.DUMMYFUNCTION("""COMPUTED_VALUE"""),280.2)</f>
        <v>280.2</v>
      </c>
      <c r="E2426" s="1">
        <f>IFERROR(__xludf.DUMMYFUNCTION("""COMPUTED_VALUE"""),287.45)</f>
        <v>287.45</v>
      </c>
      <c r="F2426" s="1">
        <f>IFERROR(__xludf.DUMMYFUNCTION("""COMPUTED_VALUE"""),3769954.0)</f>
        <v>3769954</v>
      </c>
    </row>
    <row r="2427">
      <c r="A2427" s="2">
        <f>IFERROR(__xludf.DUMMYFUNCTION("""COMPUTED_VALUE"""),40095.645833333336)</f>
        <v>40095.64583</v>
      </c>
      <c r="B2427" s="1">
        <f>IFERROR(__xludf.DUMMYFUNCTION("""COMPUTED_VALUE"""),285.0)</f>
        <v>285</v>
      </c>
      <c r="C2427" s="1">
        <f>IFERROR(__xludf.DUMMYFUNCTION("""COMPUTED_VALUE"""),289.5)</f>
        <v>289.5</v>
      </c>
      <c r="D2427" s="1">
        <f>IFERROR(__xludf.DUMMYFUNCTION("""COMPUTED_VALUE"""),283.8)</f>
        <v>283.8</v>
      </c>
      <c r="E2427" s="1">
        <f>IFERROR(__xludf.DUMMYFUNCTION("""COMPUTED_VALUE"""),286.9)</f>
        <v>286.9</v>
      </c>
      <c r="F2427" s="1">
        <f>IFERROR(__xludf.DUMMYFUNCTION("""COMPUTED_VALUE"""),2215360.0)</f>
        <v>2215360</v>
      </c>
    </row>
    <row r="2428">
      <c r="A2428" s="2">
        <f>IFERROR(__xludf.DUMMYFUNCTION("""COMPUTED_VALUE"""),40098.645833333336)</f>
        <v>40098.64583</v>
      </c>
      <c r="B2428" s="1">
        <f>IFERROR(__xludf.DUMMYFUNCTION("""COMPUTED_VALUE"""),285.0)</f>
        <v>285</v>
      </c>
      <c r="C2428" s="1">
        <f>IFERROR(__xludf.DUMMYFUNCTION("""COMPUTED_VALUE"""),292.0)</f>
        <v>292</v>
      </c>
      <c r="D2428" s="1">
        <f>IFERROR(__xludf.DUMMYFUNCTION("""COMPUTED_VALUE"""),282.25)</f>
        <v>282.25</v>
      </c>
      <c r="E2428" s="1">
        <f>IFERROR(__xludf.DUMMYFUNCTION("""COMPUTED_VALUE"""),290.6)</f>
        <v>290.6</v>
      </c>
      <c r="F2428" s="1">
        <f>IFERROR(__xludf.DUMMYFUNCTION("""COMPUTED_VALUE"""),1775264.0)</f>
        <v>1775264</v>
      </c>
    </row>
    <row r="2429">
      <c r="A2429" s="2">
        <f>IFERROR(__xludf.DUMMYFUNCTION("""COMPUTED_VALUE"""),40100.645833333336)</f>
        <v>40100.64583</v>
      </c>
      <c r="B2429" s="1">
        <f>IFERROR(__xludf.DUMMYFUNCTION("""COMPUTED_VALUE"""),291.0)</f>
        <v>291</v>
      </c>
      <c r="C2429" s="1">
        <f>IFERROR(__xludf.DUMMYFUNCTION("""COMPUTED_VALUE"""),295.8)</f>
        <v>295.8</v>
      </c>
      <c r="D2429" s="1">
        <f>IFERROR(__xludf.DUMMYFUNCTION("""COMPUTED_VALUE"""),291.0)</f>
        <v>291</v>
      </c>
      <c r="E2429" s="1">
        <f>IFERROR(__xludf.DUMMYFUNCTION("""COMPUTED_VALUE"""),293.85)</f>
        <v>293.85</v>
      </c>
      <c r="F2429" s="1">
        <f>IFERROR(__xludf.DUMMYFUNCTION("""COMPUTED_VALUE"""),1714606.0)</f>
        <v>1714606</v>
      </c>
    </row>
    <row r="2430">
      <c r="A2430" s="2">
        <f>IFERROR(__xludf.DUMMYFUNCTION("""COMPUTED_VALUE"""),40101.645833333336)</f>
        <v>40101.64583</v>
      </c>
      <c r="B2430" s="1">
        <f>IFERROR(__xludf.DUMMYFUNCTION("""COMPUTED_VALUE"""),295.9)</f>
        <v>295.9</v>
      </c>
      <c r="C2430" s="1">
        <f>IFERROR(__xludf.DUMMYFUNCTION("""COMPUTED_VALUE"""),295.9)</f>
        <v>295.9</v>
      </c>
      <c r="D2430" s="1">
        <f>IFERROR(__xludf.DUMMYFUNCTION("""COMPUTED_VALUE"""),285.8)</f>
        <v>285.8</v>
      </c>
      <c r="E2430" s="1">
        <f>IFERROR(__xludf.DUMMYFUNCTION("""COMPUTED_VALUE"""),289.2)</f>
        <v>289.2</v>
      </c>
      <c r="F2430" s="1">
        <f>IFERROR(__xludf.DUMMYFUNCTION("""COMPUTED_VALUE"""),1095270.0)</f>
        <v>1095270</v>
      </c>
    </row>
    <row r="2431">
      <c r="A2431" s="2">
        <f>IFERROR(__xludf.DUMMYFUNCTION("""COMPUTED_VALUE"""),40102.645833333336)</f>
        <v>40102.64583</v>
      </c>
      <c r="B2431" s="1">
        <f>IFERROR(__xludf.DUMMYFUNCTION("""COMPUTED_VALUE"""),289.25)</f>
        <v>289.25</v>
      </c>
      <c r="C2431" s="1">
        <f>IFERROR(__xludf.DUMMYFUNCTION("""COMPUTED_VALUE"""),291.2)</f>
        <v>291.2</v>
      </c>
      <c r="D2431" s="1">
        <f>IFERROR(__xludf.DUMMYFUNCTION("""COMPUTED_VALUE"""),284.3)</f>
        <v>284.3</v>
      </c>
      <c r="E2431" s="1">
        <f>IFERROR(__xludf.DUMMYFUNCTION("""COMPUTED_VALUE"""),286.55)</f>
        <v>286.55</v>
      </c>
      <c r="F2431" s="1">
        <f>IFERROR(__xludf.DUMMYFUNCTION("""COMPUTED_VALUE"""),811712.0)</f>
        <v>811712</v>
      </c>
    </row>
    <row r="2432">
      <c r="A2432" s="2">
        <f>IFERROR(__xludf.DUMMYFUNCTION("""COMPUTED_VALUE"""),40106.645833333336)</f>
        <v>40106.64583</v>
      </c>
      <c r="B2432" s="1">
        <f>IFERROR(__xludf.DUMMYFUNCTION("""COMPUTED_VALUE"""),286.3)</f>
        <v>286.3</v>
      </c>
      <c r="C2432" s="1">
        <f>IFERROR(__xludf.DUMMYFUNCTION("""COMPUTED_VALUE"""),292.1)</f>
        <v>292.1</v>
      </c>
      <c r="D2432" s="1">
        <f>IFERROR(__xludf.DUMMYFUNCTION("""COMPUTED_VALUE"""),278.9)</f>
        <v>278.9</v>
      </c>
      <c r="E2432" s="1">
        <f>IFERROR(__xludf.DUMMYFUNCTION("""COMPUTED_VALUE"""),280.25)</f>
        <v>280.25</v>
      </c>
      <c r="F2432" s="1">
        <f>IFERROR(__xludf.DUMMYFUNCTION("""COMPUTED_VALUE"""),3292107.0)</f>
        <v>3292107</v>
      </c>
    </row>
    <row r="2433">
      <c r="A2433" s="2">
        <f>IFERROR(__xludf.DUMMYFUNCTION("""COMPUTED_VALUE"""),40107.645833333336)</f>
        <v>40107.64583</v>
      </c>
      <c r="B2433" s="1">
        <f>IFERROR(__xludf.DUMMYFUNCTION("""COMPUTED_VALUE"""),282.0)</f>
        <v>282</v>
      </c>
      <c r="C2433" s="1">
        <f>IFERROR(__xludf.DUMMYFUNCTION("""COMPUTED_VALUE"""),282.0)</f>
        <v>282</v>
      </c>
      <c r="D2433" s="1">
        <f>IFERROR(__xludf.DUMMYFUNCTION("""COMPUTED_VALUE"""),272.65)</f>
        <v>272.65</v>
      </c>
      <c r="E2433" s="1">
        <f>IFERROR(__xludf.DUMMYFUNCTION("""COMPUTED_VALUE"""),273.65)</f>
        <v>273.65</v>
      </c>
      <c r="F2433" s="1">
        <f>IFERROR(__xludf.DUMMYFUNCTION("""COMPUTED_VALUE"""),1263718.0)</f>
        <v>1263718</v>
      </c>
    </row>
    <row r="2434">
      <c r="A2434" s="2">
        <f>IFERROR(__xludf.DUMMYFUNCTION("""COMPUTED_VALUE"""),40108.645833333336)</f>
        <v>40108.64583</v>
      </c>
      <c r="B2434" s="1">
        <f>IFERROR(__xludf.DUMMYFUNCTION("""COMPUTED_VALUE"""),272.0)</f>
        <v>272</v>
      </c>
      <c r="C2434" s="1">
        <f>IFERROR(__xludf.DUMMYFUNCTION("""COMPUTED_VALUE"""),280.0)</f>
        <v>280</v>
      </c>
      <c r="D2434" s="1">
        <f>IFERROR(__xludf.DUMMYFUNCTION("""COMPUTED_VALUE"""),270.0)</f>
        <v>270</v>
      </c>
      <c r="E2434" s="1">
        <f>IFERROR(__xludf.DUMMYFUNCTION("""COMPUTED_VALUE"""),278.3)</f>
        <v>278.3</v>
      </c>
      <c r="F2434" s="1">
        <f>IFERROR(__xludf.DUMMYFUNCTION("""COMPUTED_VALUE"""),1364468.0)</f>
        <v>1364468</v>
      </c>
    </row>
    <row r="2435">
      <c r="A2435" s="2">
        <f>IFERROR(__xludf.DUMMYFUNCTION("""COMPUTED_VALUE"""),40109.645833333336)</f>
        <v>40109.64583</v>
      </c>
      <c r="B2435" s="1">
        <f>IFERROR(__xludf.DUMMYFUNCTION("""COMPUTED_VALUE"""),282.25)</f>
        <v>282.25</v>
      </c>
      <c r="C2435" s="1">
        <f>IFERROR(__xludf.DUMMYFUNCTION("""COMPUTED_VALUE"""),283.85)</f>
        <v>283.85</v>
      </c>
      <c r="D2435" s="1">
        <f>IFERROR(__xludf.DUMMYFUNCTION("""COMPUTED_VALUE"""),279.55)</f>
        <v>279.55</v>
      </c>
      <c r="E2435" s="1">
        <f>IFERROR(__xludf.DUMMYFUNCTION("""COMPUTED_VALUE"""),280.65)</f>
        <v>280.65</v>
      </c>
      <c r="F2435" s="1">
        <f>IFERROR(__xludf.DUMMYFUNCTION("""COMPUTED_VALUE"""),2298182.0)</f>
        <v>2298182</v>
      </c>
    </row>
    <row r="2436">
      <c r="A2436" s="2">
        <f>IFERROR(__xludf.DUMMYFUNCTION("""COMPUTED_VALUE"""),40112.645833333336)</f>
        <v>40112.64583</v>
      </c>
      <c r="B2436" s="1">
        <f>IFERROR(__xludf.DUMMYFUNCTION("""COMPUTED_VALUE"""),282.0)</f>
        <v>282</v>
      </c>
      <c r="C2436" s="1">
        <f>IFERROR(__xludf.DUMMYFUNCTION("""COMPUTED_VALUE"""),283.5)</f>
        <v>283.5</v>
      </c>
      <c r="D2436" s="1">
        <f>IFERROR(__xludf.DUMMYFUNCTION("""COMPUTED_VALUE"""),276.5)</f>
        <v>276.5</v>
      </c>
      <c r="E2436" s="1">
        <f>IFERROR(__xludf.DUMMYFUNCTION("""COMPUTED_VALUE"""),277.85)</f>
        <v>277.85</v>
      </c>
      <c r="F2436" s="1">
        <f>IFERROR(__xludf.DUMMYFUNCTION("""COMPUTED_VALUE"""),1616035.0)</f>
        <v>1616035</v>
      </c>
    </row>
    <row r="2437">
      <c r="A2437" s="2">
        <f>IFERROR(__xludf.DUMMYFUNCTION("""COMPUTED_VALUE"""),40113.645833333336)</f>
        <v>40113.64583</v>
      </c>
      <c r="B2437" s="1">
        <f>IFERROR(__xludf.DUMMYFUNCTION("""COMPUTED_VALUE"""),276.5)</f>
        <v>276.5</v>
      </c>
      <c r="C2437" s="1">
        <f>IFERROR(__xludf.DUMMYFUNCTION("""COMPUTED_VALUE"""),283.2)</f>
        <v>283.2</v>
      </c>
      <c r="D2437" s="1">
        <f>IFERROR(__xludf.DUMMYFUNCTION("""COMPUTED_VALUE"""),274.3)</f>
        <v>274.3</v>
      </c>
      <c r="E2437" s="1">
        <f>IFERROR(__xludf.DUMMYFUNCTION("""COMPUTED_VALUE"""),280.4)</f>
        <v>280.4</v>
      </c>
      <c r="F2437" s="1">
        <f>IFERROR(__xludf.DUMMYFUNCTION("""COMPUTED_VALUE"""),3581524.0)</f>
        <v>3581524</v>
      </c>
    </row>
    <row r="2438">
      <c r="A2438" s="2">
        <f>IFERROR(__xludf.DUMMYFUNCTION("""COMPUTED_VALUE"""),40114.645833333336)</f>
        <v>40114.64583</v>
      </c>
      <c r="B2438" s="1">
        <f>IFERROR(__xludf.DUMMYFUNCTION("""COMPUTED_VALUE"""),281.0)</f>
        <v>281</v>
      </c>
      <c r="C2438" s="1">
        <f>IFERROR(__xludf.DUMMYFUNCTION("""COMPUTED_VALUE"""),283.0)</f>
        <v>283</v>
      </c>
      <c r="D2438" s="1">
        <f>IFERROR(__xludf.DUMMYFUNCTION("""COMPUTED_VALUE"""),277.2)</f>
        <v>277.2</v>
      </c>
      <c r="E2438" s="1">
        <f>IFERROR(__xludf.DUMMYFUNCTION("""COMPUTED_VALUE"""),279.8)</f>
        <v>279.8</v>
      </c>
      <c r="F2438" s="1">
        <f>IFERROR(__xludf.DUMMYFUNCTION("""COMPUTED_VALUE"""),1950506.0)</f>
        <v>1950506</v>
      </c>
    </row>
    <row r="2439">
      <c r="A2439" s="2">
        <f>IFERROR(__xludf.DUMMYFUNCTION("""COMPUTED_VALUE"""),40115.645833333336)</f>
        <v>40115.64583</v>
      </c>
      <c r="B2439" s="1">
        <f>IFERROR(__xludf.DUMMYFUNCTION("""COMPUTED_VALUE"""),277.6)</f>
        <v>277.6</v>
      </c>
      <c r="C2439" s="1">
        <f>IFERROR(__xludf.DUMMYFUNCTION("""COMPUTED_VALUE"""),285.5)</f>
        <v>285.5</v>
      </c>
      <c r="D2439" s="1">
        <f>IFERROR(__xludf.DUMMYFUNCTION("""COMPUTED_VALUE"""),277.35)</f>
        <v>277.35</v>
      </c>
      <c r="E2439" s="1">
        <f>IFERROR(__xludf.DUMMYFUNCTION("""COMPUTED_VALUE"""),283.1)</f>
        <v>283.1</v>
      </c>
      <c r="F2439" s="1">
        <f>IFERROR(__xludf.DUMMYFUNCTION("""COMPUTED_VALUE"""),3969670.0)</f>
        <v>3969670</v>
      </c>
    </row>
    <row r="2440">
      <c r="A2440" s="2">
        <f>IFERROR(__xludf.DUMMYFUNCTION("""COMPUTED_VALUE"""),40116.645833333336)</f>
        <v>40116.64583</v>
      </c>
      <c r="B2440" s="1">
        <f>IFERROR(__xludf.DUMMYFUNCTION("""COMPUTED_VALUE"""),285.05)</f>
        <v>285.05</v>
      </c>
      <c r="C2440" s="1">
        <f>IFERROR(__xludf.DUMMYFUNCTION("""COMPUTED_VALUE"""),287.65)</f>
        <v>287.65</v>
      </c>
      <c r="D2440" s="1">
        <f>IFERROR(__xludf.DUMMYFUNCTION("""COMPUTED_VALUE"""),279.15)</f>
        <v>279.15</v>
      </c>
      <c r="E2440" s="1">
        <f>IFERROR(__xludf.DUMMYFUNCTION("""COMPUTED_VALUE"""),283.5)</f>
        <v>283.5</v>
      </c>
      <c r="F2440" s="1">
        <f>IFERROR(__xludf.DUMMYFUNCTION("""COMPUTED_VALUE"""),2476579.0)</f>
        <v>2476579</v>
      </c>
    </row>
    <row r="2441">
      <c r="A2441" s="2">
        <f>IFERROR(__xludf.DUMMYFUNCTION("""COMPUTED_VALUE"""),40120.645833333336)</f>
        <v>40120.64583</v>
      </c>
      <c r="B2441" s="1">
        <f>IFERROR(__xludf.DUMMYFUNCTION("""COMPUTED_VALUE"""),279.0)</f>
        <v>279</v>
      </c>
      <c r="C2441" s="1">
        <f>IFERROR(__xludf.DUMMYFUNCTION("""COMPUTED_VALUE"""),281.7)</f>
        <v>281.7</v>
      </c>
      <c r="D2441" s="1">
        <f>IFERROR(__xludf.DUMMYFUNCTION("""COMPUTED_VALUE"""),268.55)</f>
        <v>268.55</v>
      </c>
      <c r="E2441" s="1">
        <f>IFERROR(__xludf.DUMMYFUNCTION("""COMPUTED_VALUE"""),273.1)</f>
        <v>273.1</v>
      </c>
      <c r="F2441" s="1">
        <f>IFERROR(__xludf.DUMMYFUNCTION("""COMPUTED_VALUE"""),4102423.0)</f>
        <v>4102423</v>
      </c>
    </row>
    <row r="2442">
      <c r="A2442" s="2">
        <f>IFERROR(__xludf.DUMMYFUNCTION("""COMPUTED_VALUE"""),40121.645833333336)</f>
        <v>40121.64583</v>
      </c>
      <c r="B2442" s="1">
        <f>IFERROR(__xludf.DUMMYFUNCTION("""COMPUTED_VALUE"""),273.85)</f>
        <v>273.85</v>
      </c>
      <c r="C2442" s="1">
        <f>IFERROR(__xludf.DUMMYFUNCTION("""COMPUTED_VALUE"""),279.5)</f>
        <v>279.5</v>
      </c>
      <c r="D2442" s="1">
        <f>IFERROR(__xludf.DUMMYFUNCTION("""COMPUTED_VALUE"""),268.55)</f>
        <v>268.55</v>
      </c>
      <c r="E2442" s="1">
        <f>IFERROR(__xludf.DUMMYFUNCTION("""COMPUTED_VALUE"""),277.95)</f>
        <v>277.95</v>
      </c>
      <c r="F2442" s="1">
        <f>IFERROR(__xludf.DUMMYFUNCTION("""COMPUTED_VALUE"""),3077273.0)</f>
        <v>3077273</v>
      </c>
    </row>
    <row r="2443">
      <c r="A2443" s="2">
        <f>IFERROR(__xludf.DUMMYFUNCTION("""COMPUTED_VALUE"""),40122.645833333336)</f>
        <v>40122.64583</v>
      </c>
      <c r="B2443" s="1">
        <f>IFERROR(__xludf.DUMMYFUNCTION("""COMPUTED_VALUE"""),275.6)</f>
        <v>275.6</v>
      </c>
      <c r="C2443" s="1">
        <f>IFERROR(__xludf.DUMMYFUNCTION("""COMPUTED_VALUE"""),280.35)</f>
        <v>280.35</v>
      </c>
      <c r="D2443" s="1">
        <f>IFERROR(__xludf.DUMMYFUNCTION("""COMPUTED_VALUE"""),270.05)</f>
        <v>270.05</v>
      </c>
      <c r="E2443" s="1">
        <f>IFERROR(__xludf.DUMMYFUNCTION("""COMPUTED_VALUE"""),279.7)</f>
        <v>279.7</v>
      </c>
      <c r="F2443" s="1">
        <f>IFERROR(__xludf.DUMMYFUNCTION("""COMPUTED_VALUE"""),1847655.0)</f>
        <v>1847655</v>
      </c>
    </row>
    <row r="2444">
      <c r="A2444" s="2">
        <f>IFERROR(__xludf.DUMMYFUNCTION("""COMPUTED_VALUE"""),40123.645833333336)</f>
        <v>40123.64583</v>
      </c>
      <c r="B2444" s="1">
        <f>IFERROR(__xludf.DUMMYFUNCTION("""COMPUTED_VALUE"""),279.95)</f>
        <v>279.95</v>
      </c>
      <c r="C2444" s="1">
        <f>IFERROR(__xludf.DUMMYFUNCTION("""COMPUTED_VALUE"""),279.95)</f>
        <v>279.95</v>
      </c>
      <c r="D2444" s="1">
        <f>IFERROR(__xludf.DUMMYFUNCTION("""COMPUTED_VALUE"""),271.6)</f>
        <v>271.6</v>
      </c>
      <c r="E2444" s="1">
        <f>IFERROR(__xludf.DUMMYFUNCTION("""COMPUTED_VALUE"""),272.6)</f>
        <v>272.6</v>
      </c>
      <c r="F2444" s="1">
        <f>IFERROR(__xludf.DUMMYFUNCTION("""COMPUTED_VALUE"""),1374480.0)</f>
        <v>1374480</v>
      </c>
    </row>
    <row r="2445">
      <c r="A2445" s="2">
        <f>IFERROR(__xludf.DUMMYFUNCTION("""COMPUTED_VALUE"""),40126.645833333336)</f>
        <v>40126.64583</v>
      </c>
      <c r="B2445" s="1">
        <f>IFERROR(__xludf.DUMMYFUNCTION("""COMPUTED_VALUE"""),273.25)</f>
        <v>273.25</v>
      </c>
      <c r="C2445" s="1">
        <f>IFERROR(__xludf.DUMMYFUNCTION("""COMPUTED_VALUE"""),274.5)</f>
        <v>274.5</v>
      </c>
      <c r="D2445" s="1">
        <f>IFERROR(__xludf.DUMMYFUNCTION("""COMPUTED_VALUE"""),268.55)</f>
        <v>268.55</v>
      </c>
      <c r="E2445" s="1">
        <f>IFERROR(__xludf.DUMMYFUNCTION("""COMPUTED_VALUE"""),271.4)</f>
        <v>271.4</v>
      </c>
      <c r="F2445" s="1">
        <f>IFERROR(__xludf.DUMMYFUNCTION("""COMPUTED_VALUE"""),3278866.0)</f>
        <v>3278866</v>
      </c>
    </row>
    <row r="2446">
      <c r="A2446" s="2">
        <f>IFERROR(__xludf.DUMMYFUNCTION("""COMPUTED_VALUE"""),40127.645833333336)</f>
        <v>40127.64583</v>
      </c>
      <c r="B2446" s="1">
        <f>IFERROR(__xludf.DUMMYFUNCTION("""COMPUTED_VALUE"""),272.2)</f>
        <v>272.2</v>
      </c>
      <c r="C2446" s="1">
        <f>IFERROR(__xludf.DUMMYFUNCTION("""COMPUTED_VALUE"""),275.0)</f>
        <v>275</v>
      </c>
      <c r="D2446" s="1">
        <f>IFERROR(__xludf.DUMMYFUNCTION("""COMPUTED_VALUE"""),262.5)</f>
        <v>262.5</v>
      </c>
      <c r="E2446" s="1">
        <f>IFERROR(__xludf.DUMMYFUNCTION("""COMPUTED_VALUE"""),263.85)</f>
        <v>263.85</v>
      </c>
      <c r="F2446" s="1">
        <f>IFERROR(__xludf.DUMMYFUNCTION("""COMPUTED_VALUE"""),3566472.0)</f>
        <v>3566472</v>
      </c>
    </row>
    <row r="2447">
      <c r="A2447" s="2">
        <f>IFERROR(__xludf.DUMMYFUNCTION("""COMPUTED_VALUE"""),40128.645833333336)</f>
        <v>40128.64583</v>
      </c>
      <c r="B2447" s="1">
        <f>IFERROR(__xludf.DUMMYFUNCTION("""COMPUTED_VALUE"""),266.9)</f>
        <v>266.9</v>
      </c>
      <c r="C2447" s="1">
        <f>IFERROR(__xludf.DUMMYFUNCTION("""COMPUTED_VALUE"""),268.0)</f>
        <v>268</v>
      </c>
      <c r="D2447" s="1">
        <f>IFERROR(__xludf.DUMMYFUNCTION("""COMPUTED_VALUE"""),263.8)</f>
        <v>263.8</v>
      </c>
      <c r="E2447" s="1">
        <f>IFERROR(__xludf.DUMMYFUNCTION("""COMPUTED_VALUE"""),265.75)</f>
        <v>265.75</v>
      </c>
      <c r="F2447" s="1">
        <f>IFERROR(__xludf.DUMMYFUNCTION("""COMPUTED_VALUE"""),3476292.0)</f>
        <v>3476292</v>
      </c>
    </row>
    <row r="2448">
      <c r="A2448" s="2">
        <f>IFERROR(__xludf.DUMMYFUNCTION("""COMPUTED_VALUE"""),40129.645833333336)</f>
        <v>40129.64583</v>
      </c>
      <c r="B2448" s="1">
        <f>IFERROR(__xludf.DUMMYFUNCTION("""COMPUTED_VALUE"""),267.1)</f>
        <v>267.1</v>
      </c>
      <c r="C2448" s="1">
        <f>IFERROR(__xludf.DUMMYFUNCTION("""COMPUTED_VALUE"""),268.9)</f>
        <v>268.9</v>
      </c>
      <c r="D2448" s="1">
        <f>IFERROR(__xludf.DUMMYFUNCTION("""COMPUTED_VALUE"""),262.8)</f>
        <v>262.8</v>
      </c>
      <c r="E2448" s="1">
        <f>IFERROR(__xludf.DUMMYFUNCTION("""COMPUTED_VALUE"""),264.4)</f>
        <v>264.4</v>
      </c>
      <c r="F2448" s="1">
        <f>IFERROR(__xludf.DUMMYFUNCTION("""COMPUTED_VALUE"""),2344698.0)</f>
        <v>2344698</v>
      </c>
    </row>
    <row r="2449">
      <c r="A2449" s="2">
        <f>IFERROR(__xludf.DUMMYFUNCTION("""COMPUTED_VALUE"""),40130.645833333336)</f>
        <v>40130.64583</v>
      </c>
      <c r="B2449" s="1">
        <f>IFERROR(__xludf.DUMMYFUNCTION("""COMPUTED_VALUE"""),265.0)</f>
        <v>265</v>
      </c>
      <c r="C2449" s="1">
        <f>IFERROR(__xludf.DUMMYFUNCTION("""COMPUTED_VALUE"""),270.75)</f>
        <v>270.75</v>
      </c>
      <c r="D2449" s="1">
        <f>IFERROR(__xludf.DUMMYFUNCTION("""COMPUTED_VALUE"""),265.0)</f>
        <v>265</v>
      </c>
      <c r="E2449" s="1">
        <f>IFERROR(__xludf.DUMMYFUNCTION("""COMPUTED_VALUE"""),269.8)</f>
        <v>269.8</v>
      </c>
      <c r="F2449" s="1">
        <f>IFERROR(__xludf.DUMMYFUNCTION("""COMPUTED_VALUE"""),2203590.0)</f>
        <v>2203590</v>
      </c>
    </row>
    <row r="2450">
      <c r="A2450" s="2">
        <f>IFERROR(__xludf.DUMMYFUNCTION("""COMPUTED_VALUE"""),40133.645833333336)</f>
        <v>40133.64583</v>
      </c>
      <c r="B2450" s="1">
        <f>IFERROR(__xludf.DUMMYFUNCTION("""COMPUTED_VALUE"""),271.45)</f>
        <v>271.45</v>
      </c>
      <c r="C2450" s="1">
        <f>IFERROR(__xludf.DUMMYFUNCTION("""COMPUTED_VALUE"""),275.8)</f>
        <v>275.8</v>
      </c>
      <c r="D2450" s="1">
        <f>IFERROR(__xludf.DUMMYFUNCTION("""COMPUTED_VALUE"""),270.0)</f>
        <v>270</v>
      </c>
      <c r="E2450" s="1">
        <f>IFERROR(__xludf.DUMMYFUNCTION("""COMPUTED_VALUE"""),274.3)</f>
        <v>274.3</v>
      </c>
      <c r="F2450" s="1">
        <f>IFERROR(__xludf.DUMMYFUNCTION("""COMPUTED_VALUE"""),2641973.0)</f>
        <v>2641973</v>
      </c>
    </row>
    <row r="2451">
      <c r="A2451" s="2">
        <f>IFERROR(__xludf.DUMMYFUNCTION("""COMPUTED_VALUE"""),40134.645833333336)</f>
        <v>40134.64583</v>
      </c>
      <c r="B2451" s="1">
        <f>IFERROR(__xludf.DUMMYFUNCTION("""COMPUTED_VALUE"""),274.6)</f>
        <v>274.6</v>
      </c>
      <c r="C2451" s="1">
        <f>IFERROR(__xludf.DUMMYFUNCTION("""COMPUTED_VALUE"""),277.9)</f>
        <v>277.9</v>
      </c>
      <c r="D2451" s="1">
        <f>IFERROR(__xludf.DUMMYFUNCTION("""COMPUTED_VALUE"""),272.35)</f>
        <v>272.35</v>
      </c>
      <c r="E2451" s="1">
        <f>IFERROR(__xludf.DUMMYFUNCTION("""COMPUTED_VALUE"""),276.6)</f>
        <v>276.6</v>
      </c>
      <c r="F2451" s="1">
        <f>IFERROR(__xludf.DUMMYFUNCTION("""COMPUTED_VALUE"""),1651400.0)</f>
        <v>1651400</v>
      </c>
    </row>
    <row r="2452">
      <c r="A2452" s="2">
        <f>IFERROR(__xludf.DUMMYFUNCTION("""COMPUTED_VALUE"""),40135.645833333336)</f>
        <v>40135.64583</v>
      </c>
      <c r="B2452" s="1">
        <f>IFERROR(__xludf.DUMMYFUNCTION("""COMPUTED_VALUE"""),277.0)</f>
        <v>277</v>
      </c>
      <c r="C2452" s="1">
        <f>IFERROR(__xludf.DUMMYFUNCTION("""COMPUTED_VALUE"""),278.0)</f>
        <v>278</v>
      </c>
      <c r="D2452" s="1">
        <f>IFERROR(__xludf.DUMMYFUNCTION("""COMPUTED_VALUE"""),274.45)</f>
        <v>274.45</v>
      </c>
      <c r="E2452" s="1">
        <f>IFERROR(__xludf.DUMMYFUNCTION("""COMPUTED_VALUE"""),276.75)</f>
        <v>276.75</v>
      </c>
      <c r="F2452" s="1">
        <f>IFERROR(__xludf.DUMMYFUNCTION("""COMPUTED_VALUE"""),1597721.0)</f>
        <v>1597721</v>
      </c>
    </row>
    <row r="2453">
      <c r="A2453" s="2">
        <f>IFERROR(__xludf.DUMMYFUNCTION("""COMPUTED_VALUE"""),40136.645833333336)</f>
        <v>40136.64583</v>
      </c>
      <c r="B2453" s="1">
        <f>IFERROR(__xludf.DUMMYFUNCTION("""COMPUTED_VALUE"""),275.5)</f>
        <v>275.5</v>
      </c>
      <c r="C2453" s="1">
        <f>IFERROR(__xludf.DUMMYFUNCTION("""COMPUTED_VALUE"""),278.0)</f>
        <v>278</v>
      </c>
      <c r="D2453" s="1">
        <f>IFERROR(__xludf.DUMMYFUNCTION("""COMPUTED_VALUE"""),272.6)</f>
        <v>272.6</v>
      </c>
      <c r="E2453" s="1">
        <f>IFERROR(__xludf.DUMMYFUNCTION("""COMPUTED_VALUE"""),275.5)</f>
        <v>275.5</v>
      </c>
      <c r="F2453" s="1">
        <f>IFERROR(__xludf.DUMMYFUNCTION("""COMPUTED_VALUE"""),770124.0)</f>
        <v>770124</v>
      </c>
    </row>
    <row r="2454">
      <c r="A2454" s="2">
        <f>IFERROR(__xludf.DUMMYFUNCTION("""COMPUTED_VALUE"""),40137.645833333336)</f>
        <v>40137.64583</v>
      </c>
      <c r="B2454" s="1">
        <f>IFERROR(__xludf.DUMMYFUNCTION("""COMPUTED_VALUE"""),276.5)</f>
        <v>276.5</v>
      </c>
      <c r="C2454" s="1">
        <f>IFERROR(__xludf.DUMMYFUNCTION("""COMPUTED_VALUE"""),280.5)</f>
        <v>280.5</v>
      </c>
      <c r="D2454" s="1">
        <f>IFERROR(__xludf.DUMMYFUNCTION("""COMPUTED_VALUE"""),275.0)</f>
        <v>275</v>
      </c>
      <c r="E2454" s="1">
        <f>IFERROR(__xludf.DUMMYFUNCTION("""COMPUTED_VALUE"""),276.6)</f>
        <v>276.6</v>
      </c>
      <c r="F2454" s="1">
        <f>IFERROR(__xludf.DUMMYFUNCTION("""COMPUTED_VALUE"""),1201108.0)</f>
        <v>1201108</v>
      </c>
    </row>
    <row r="2455">
      <c r="A2455" s="2">
        <f>IFERROR(__xludf.DUMMYFUNCTION("""COMPUTED_VALUE"""),40140.645833333336)</f>
        <v>40140.64583</v>
      </c>
      <c r="B2455" s="1">
        <f>IFERROR(__xludf.DUMMYFUNCTION("""COMPUTED_VALUE"""),278.65)</f>
        <v>278.65</v>
      </c>
      <c r="C2455" s="1">
        <f>IFERROR(__xludf.DUMMYFUNCTION("""COMPUTED_VALUE"""),281.95)</f>
        <v>281.95</v>
      </c>
      <c r="D2455" s="1">
        <f>IFERROR(__xludf.DUMMYFUNCTION("""COMPUTED_VALUE"""),275.9)</f>
        <v>275.9</v>
      </c>
      <c r="E2455" s="1">
        <f>IFERROR(__xludf.DUMMYFUNCTION("""COMPUTED_VALUE"""),280.85)</f>
        <v>280.85</v>
      </c>
      <c r="F2455" s="1">
        <f>IFERROR(__xludf.DUMMYFUNCTION("""COMPUTED_VALUE"""),1359984.0)</f>
        <v>1359984</v>
      </c>
    </row>
    <row r="2456">
      <c r="A2456" s="2">
        <f>IFERROR(__xludf.DUMMYFUNCTION("""COMPUTED_VALUE"""),40141.645833333336)</f>
        <v>40141.64583</v>
      </c>
      <c r="B2456" s="1">
        <f>IFERROR(__xludf.DUMMYFUNCTION("""COMPUTED_VALUE"""),280.85)</f>
        <v>280.85</v>
      </c>
      <c r="C2456" s="1">
        <f>IFERROR(__xludf.DUMMYFUNCTION("""COMPUTED_VALUE"""),282.75)</f>
        <v>282.75</v>
      </c>
      <c r="D2456" s="1">
        <f>IFERROR(__xludf.DUMMYFUNCTION("""COMPUTED_VALUE"""),278.4)</f>
        <v>278.4</v>
      </c>
      <c r="E2456" s="1">
        <f>IFERROR(__xludf.DUMMYFUNCTION("""COMPUTED_VALUE"""),279.9)</f>
        <v>279.9</v>
      </c>
      <c r="F2456" s="1">
        <f>IFERROR(__xludf.DUMMYFUNCTION("""COMPUTED_VALUE"""),1242996.0)</f>
        <v>1242996</v>
      </c>
    </row>
    <row r="2457">
      <c r="A2457" s="2">
        <f>IFERROR(__xludf.DUMMYFUNCTION("""COMPUTED_VALUE"""),40142.645833333336)</f>
        <v>40142.64583</v>
      </c>
      <c r="B2457" s="1">
        <f>IFERROR(__xludf.DUMMYFUNCTION("""COMPUTED_VALUE"""),278.0)</f>
        <v>278</v>
      </c>
      <c r="C2457" s="1">
        <f>IFERROR(__xludf.DUMMYFUNCTION("""COMPUTED_VALUE"""),285.55)</f>
        <v>285.55</v>
      </c>
      <c r="D2457" s="1">
        <f>IFERROR(__xludf.DUMMYFUNCTION("""COMPUTED_VALUE"""),278.0)</f>
        <v>278</v>
      </c>
      <c r="E2457" s="1">
        <f>IFERROR(__xludf.DUMMYFUNCTION("""COMPUTED_VALUE"""),284.25)</f>
        <v>284.25</v>
      </c>
      <c r="F2457" s="1">
        <f>IFERROR(__xludf.DUMMYFUNCTION("""COMPUTED_VALUE"""),2294467.0)</f>
        <v>2294467</v>
      </c>
    </row>
    <row r="2458">
      <c r="A2458" s="2">
        <f>IFERROR(__xludf.DUMMYFUNCTION("""COMPUTED_VALUE"""),40143.645833333336)</f>
        <v>40143.64583</v>
      </c>
      <c r="B2458" s="1">
        <f>IFERROR(__xludf.DUMMYFUNCTION("""COMPUTED_VALUE"""),284.5)</f>
        <v>284.5</v>
      </c>
      <c r="C2458" s="1">
        <f>IFERROR(__xludf.DUMMYFUNCTION("""COMPUTED_VALUE"""),288.85)</f>
        <v>288.85</v>
      </c>
      <c r="D2458" s="1">
        <f>IFERROR(__xludf.DUMMYFUNCTION("""COMPUTED_VALUE"""),283.05)</f>
        <v>283.05</v>
      </c>
      <c r="E2458" s="1">
        <f>IFERROR(__xludf.DUMMYFUNCTION("""COMPUTED_VALUE"""),286.7)</f>
        <v>286.7</v>
      </c>
      <c r="F2458" s="1">
        <f>IFERROR(__xludf.DUMMYFUNCTION("""COMPUTED_VALUE"""),4044547.0)</f>
        <v>4044547</v>
      </c>
    </row>
    <row r="2459">
      <c r="A2459" s="2">
        <f>IFERROR(__xludf.DUMMYFUNCTION("""COMPUTED_VALUE"""),40144.645833333336)</f>
        <v>40144.64583</v>
      </c>
      <c r="B2459" s="1">
        <f>IFERROR(__xludf.DUMMYFUNCTION("""COMPUTED_VALUE"""),282.35)</f>
        <v>282.35</v>
      </c>
      <c r="C2459" s="1">
        <f>IFERROR(__xludf.DUMMYFUNCTION("""COMPUTED_VALUE"""),289.8)</f>
        <v>289.8</v>
      </c>
      <c r="D2459" s="1">
        <f>IFERROR(__xludf.DUMMYFUNCTION("""COMPUTED_VALUE"""),279.0)</f>
        <v>279</v>
      </c>
      <c r="E2459" s="1">
        <f>IFERROR(__xludf.DUMMYFUNCTION("""COMPUTED_VALUE"""),284.3)</f>
        <v>284.3</v>
      </c>
      <c r="F2459" s="1">
        <f>IFERROR(__xludf.DUMMYFUNCTION("""COMPUTED_VALUE"""),1785500.0)</f>
        <v>1785500</v>
      </c>
    </row>
    <row r="2460">
      <c r="A2460" s="2">
        <f>IFERROR(__xludf.DUMMYFUNCTION("""COMPUTED_VALUE"""),40147.645833333336)</f>
        <v>40147.64583</v>
      </c>
      <c r="B2460" s="1">
        <f>IFERROR(__xludf.DUMMYFUNCTION("""COMPUTED_VALUE"""),286.0)</f>
        <v>286</v>
      </c>
      <c r="C2460" s="1">
        <f>IFERROR(__xludf.DUMMYFUNCTION("""COMPUTED_VALUE"""),286.4)</f>
        <v>286.4</v>
      </c>
      <c r="D2460" s="1">
        <f>IFERROR(__xludf.DUMMYFUNCTION("""COMPUTED_VALUE"""),282.5)</f>
        <v>282.5</v>
      </c>
      <c r="E2460" s="1">
        <f>IFERROR(__xludf.DUMMYFUNCTION("""COMPUTED_VALUE"""),285.2)</f>
        <v>285.2</v>
      </c>
      <c r="F2460" s="1">
        <f>IFERROR(__xludf.DUMMYFUNCTION("""COMPUTED_VALUE"""),1335604.0)</f>
        <v>1335604</v>
      </c>
    </row>
    <row r="2461">
      <c r="A2461" s="2">
        <f>IFERROR(__xludf.DUMMYFUNCTION("""COMPUTED_VALUE"""),40148.645833333336)</f>
        <v>40148.64583</v>
      </c>
      <c r="B2461" s="1">
        <f>IFERROR(__xludf.DUMMYFUNCTION("""COMPUTED_VALUE"""),286.0)</f>
        <v>286</v>
      </c>
      <c r="C2461" s="1">
        <f>IFERROR(__xludf.DUMMYFUNCTION("""COMPUTED_VALUE"""),286.5)</f>
        <v>286.5</v>
      </c>
      <c r="D2461" s="1">
        <f>IFERROR(__xludf.DUMMYFUNCTION("""COMPUTED_VALUE"""),277.7)</f>
        <v>277.7</v>
      </c>
      <c r="E2461" s="1">
        <f>IFERROR(__xludf.DUMMYFUNCTION("""COMPUTED_VALUE"""),278.65)</f>
        <v>278.65</v>
      </c>
      <c r="F2461" s="1">
        <f>IFERROR(__xludf.DUMMYFUNCTION("""COMPUTED_VALUE"""),4084853.0)</f>
        <v>4084853</v>
      </c>
    </row>
    <row r="2462">
      <c r="A2462" s="2">
        <f>IFERROR(__xludf.DUMMYFUNCTION("""COMPUTED_VALUE"""),40149.645833333336)</f>
        <v>40149.64583</v>
      </c>
      <c r="B2462" s="1">
        <f>IFERROR(__xludf.DUMMYFUNCTION("""COMPUTED_VALUE"""),280.0)</f>
        <v>280</v>
      </c>
      <c r="C2462" s="1">
        <f>IFERROR(__xludf.DUMMYFUNCTION("""COMPUTED_VALUE"""),280.0)</f>
        <v>280</v>
      </c>
      <c r="D2462" s="1">
        <f>IFERROR(__xludf.DUMMYFUNCTION("""COMPUTED_VALUE"""),274.0)</f>
        <v>274</v>
      </c>
      <c r="E2462" s="1">
        <f>IFERROR(__xludf.DUMMYFUNCTION("""COMPUTED_VALUE"""),274.8)</f>
        <v>274.8</v>
      </c>
      <c r="F2462" s="1">
        <f>IFERROR(__xludf.DUMMYFUNCTION("""COMPUTED_VALUE"""),2713850.0)</f>
        <v>2713850</v>
      </c>
    </row>
    <row r="2463">
      <c r="A2463" s="2">
        <f>IFERROR(__xludf.DUMMYFUNCTION("""COMPUTED_VALUE"""),40150.645833333336)</f>
        <v>40150.64583</v>
      </c>
      <c r="B2463" s="1">
        <f>IFERROR(__xludf.DUMMYFUNCTION("""COMPUTED_VALUE"""),275.0)</f>
        <v>275</v>
      </c>
      <c r="C2463" s="1">
        <f>IFERROR(__xludf.DUMMYFUNCTION("""COMPUTED_VALUE"""),278.0)</f>
        <v>278</v>
      </c>
      <c r="D2463" s="1">
        <f>IFERROR(__xludf.DUMMYFUNCTION("""COMPUTED_VALUE"""),270.15)</f>
        <v>270.15</v>
      </c>
      <c r="E2463" s="1">
        <f>IFERROR(__xludf.DUMMYFUNCTION("""COMPUTED_VALUE"""),270.65)</f>
        <v>270.65</v>
      </c>
      <c r="F2463" s="1">
        <f>IFERROR(__xludf.DUMMYFUNCTION("""COMPUTED_VALUE"""),2233330.0)</f>
        <v>2233330</v>
      </c>
    </row>
    <row r="2464">
      <c r="A2464" s="2">
        <f>IFERROR(__xludf.DUMMYFUNCTION("""COMPUTED_VALUE"""),40151.645833333336)</f>
        <v>40151.64583</v>
      </c>
      <c r="B2464" s="1">
        <f>IFERROR(__xludf.DUMMYFUNCTION("""COMPUTED_VALUE"""),270.8)</f>
        <v>270.8</v>
      </c>
      <c r="C2464" s="1">
        <f>IFERROR(__xludf.DUMMYFUNCTION("""COMPUTED_VALUE"""),275.2)</f>
        <v>275.2</v>
      </c>
      <c r="D2464" s="1">
        <f>IFERROR(__xludf.DUMMYFUNCTION("""COMPUTED_VALUE"""),268.75)</f>
        <v>268.75</v>
      </c>
      <c r="E2464" s="1">
        <f>IFERROR(__xludf.DUMMYFUNCTION("""COMPUTED_VALUE"""),271.95)</f>
        <v>271.95</v>
      </c>
      <c r="F2464" s="1">
        <f>IFERROR(__xludf.DUMMYFUNCTION("""COMPUTED_VALUE"""),1373426.0)</f>
        <v>1373426</v>
      </c>
    </row>
    <row r="2465">
      <c r="A2465" s="2">
        <f>IFERROR(__xludf.DUMMYFUNCTION("""COMPUTED_VALUE"""),40154.645833333336)</f>
        <v>40154.64583</v>
      </c>
      <c r="B2465" s="1">
        <f>IFERROR(__xludf.DUMMYFUNCTION("""COMPUTED_VALUE"""),273.3)</f>
        <v>273.3</v>
      </c>
      <c r="C2465" s="1">
        <f>IFERROR(__xludf.DUMMYFUNCTION("""COMPUTED_VALUE"""),273.85)</f>
        <v>273.85</v>
      </c>
      <c r="D2465" s="1">
        <f>IFERROR(__xludf.DUMMYFUNCTION("""COMPUTED_VALUE"""),270.15)</f>
        <v>270.15</v>
      </c>
      <c r="E2465" s="1">
        <f>IFERROR(__xludf.DUMMYFUNCTION("""COMPUTED_VALUE"""),271.75)</f>
        <v>271.75</v>
      </c>
      <c r="F2465" s="1">
        <f>IFERROR(__xludf.DUMMYFUNCTION("""COMPUTED_VALUE"""),1009339.0)</f>
        <v>1009339</v>
      </c>
    </row>
    <row r="2466">
      <c r="A2466" s="2">
        <f>IFERROR(__xludf.DUMMYFUNCTION("""COMPUTED_VALUE"""),40155.645833333336)</f>
        <v>40155.64583</v>
      </c>
      <c r="B2466" s="1">
        <f>IFERROR(__xludf.DUMMYFUNCTION("""COMPUTED_VALUE"""),271.0)</f>
        <v>271</v>
      </c>
      <c r="C2466" s="1">
        <f>IFERROR(__xludf.DUMMYFUNCTION("""COMPUTED_VALUE"""),277.45)</f>
        <v>277.45</v>
      </c>
      <c r="D2466" s="1">
        <f>IFERROR(__xludf.DUMMYFUNCTION("""COMPUTED_VALUE"""),270.05)</f>
        <v>270.05</v>
      </c>
      <c r="E2466" s="1">
        <f>IFERROR(__xludf.DUMMYFUNCTION("""COMPUTED_VALUE"""),277.0)</f>
        <v>277</v>
      </c>
      <c r="F2466" s="1">
        <f>IFERROR(__xludf.DUMMYFUNCTION("""COMPUTED_VALUE"""),1140805.0)</f>
        <v>1140805</v>
      </c>
    </row>
    <row r="2467">
      <c r="A2467" s="2">
        <f>IFERROR(__xludf.DUMMYFUNCTION("""COMPUTED_VALUE"""),40156.645833333336)</f>
        <v>40156.64583</v>
      </c>
      <c r="B2467" s="1">
        <f>IFERROR(__xludf.DUMMYFUNCTION("""COMPUTED_VALUE"""),276.5)</f>
        <v>276.5</v>
      </c>
      <c r="C2467" s="1">
        <f>IFERROR(__xludf.DUMMYFUNCTION("""COMPUTED_VALUE"""),277.95)</f>
        <v>277.95</v>
      </c>
      <c r="D2467" s="1">
        <f>IFERROR(__xludf.DUMMYFUNCTION("""COMPUTED_VALUE"""),274.1)</f>
        <v>274.1</v>
      </c>
      <c r="E2467" s="1">
        <f>IFERROR(__xludf.DUMMYFUNCTION("""COMPUTED_VALUE"""),276.7)</f>
        <v>276.7</v>
      </c>
      <c r="F2467" s="1">
        <f>IFERROR(__xludf.DUMMYFUNCTION("""COMPUTED_VALUE"""),1229066.0)</f>
        <v>1229066</v>
      </c>
    </row>
    <row r="2468">
      <c r="A2468" s="2">
        <f>IFERROR(__xludf.DUMMYFUNCTION("""COMPUTED_VALUE"""),40157.645833333336)</f>
        <v>40157.64583</v>
      </c>
      <c r="B2468" s="1">
        <f>IFERROR(__xludf.DUMMYFUNCTION("""COMPUTED_VALUE"""),277.0)</f>
        <v>277</v>
      </c>
      <c r="C2468" s="1">
        <f>IFERROR(__xludf.DUMMYFUNCTION("""COMPUTED_VALUE"""),277.0)</f>
        <v>277</v>
      </c>
      <c r="D2468" s="1">
        <f>IFERROR(__xludf.DUMMYFUNCTION("""COMPUTED_VALUE"""),272.45)</f>
        <v>272.45</v>
      </c>
      <c r="E2468" s="1">
        <f>IFERROR(__xludf.DUMMYFUNCTION("""COMPUTED_VALUE"""),273.05)</f>
        <v>273.05</v>
      </c>
      <c r="F2468" s="1">
        <f>IFERROR(__xludf.DUMMYFUNCTION("""COMPUTED_VALUE"""),1935702.0)</f>
        <v>1935702</v>
      </c>
    </row>
    <row r="2469">
      <c r="A2469" s="2">
        <f>IFERROR(__xludf.DUMMYFUNCTION("""COMPUTED_VALUE"""),40158.645833333336)</f>
        <v>40158.64583</v>
      </c>
      <c r="B2469" s="1">
        <f>IFERROR(__xludf.DUMMYFUNCTION("""COMPUTED_VALUE"""),274.75)</f>
        <v>274.75</v>
      </c>
      <c r="C2469" s="1">
        <f>IFERROR(__xludf.DUMMYFUNCTION("""COMPUTED_VALUE"""),274.75)</f>
        <v>274.75</v>
      </c>
      <c r="D2469" s="1">
        <f>IFERROR(__xludf.DUMMYFUNCTION("""COMPUTED_VALUE"""),271.2)</f>
        <v>271.2</v>
      </c>
      <c r="E2469" s="1">
        <f>IFERROR(__xludf.DUMMYFUNCTION("""COMPUTED_VALUE"""),272.95)</f>
        <v>272.95</v>
      </c>
      <c r="F2469" s="1">
        <f>IFERROR(__xludf.DUMMYFUNCTION("""COMPUTED_VALUE"""),2436101.0)</f>
        <v>2436101</v>
      </c>
    </row>
    <row r="2470">
      <c r="A2470" s="2">
        <f>IFERROR(__xludf.DUMMYFUNCTION("""COMPUTED_VALUE"""),40161.645833333336)</f>
        <v>40161.64583</v>
      </c>
      <c r="B2470" s="1">
        <f>IFERROR(__xludf.DUMMYFUNCTION("""COMPUTED_VALUE"""),273.9)</f>
        <v>273.9</v>
      </c>
      <c r="C2470" s="1">
        <f>IFERROR(__xludf.DUMMYFUNCTION("""COMPUTED_VALUE"""),274.0)</f>
        <v>274</v>
      </c>
      <c r="D2470" s="1">
        <f>IFERROR(__xludf.DUMMYFUNCTION("""COMPUTED_VALUE"""),266.3)</f>
        <v>266.3</v>
      </c>
      <c r="E2470" s="1">
        <f>IFERROR(__xludf.DUMMYFUNCTION("""COMPUTED_VALUE"""),267.55)</f>
        <v>267.55</v>
      </c>
      <c r="F2470" s="1">
        <f>IFERROR(__xludf.DUMMYFUNCTION("""COMPUTED_VALUE"""),2033309.0)</f>
        <v>2033309</v>
      </c>
    </row>
    <row r="2471">
      <c r="A2471" s="2">
        <f>IFERROR(__xludf.DUMMYFUNCTION("""COMPUTED_VALUE"""),40162.645833333336)</f>
        <v>40162.64583</v>
      </c>
      <c r="B2471" s="1">
        <f>IFERROR(__xludf.DUMMYFUNCTION("""COMPUTED_VALUE"""),268.75)</f>
        <v>268.75</v>
      </c>
      <c r="C2471" s="1">
        <f>IFERROR(__xludf.DUMMYFUNCTION("""COMPUTED_VALUE"""),270.9)</f>
        <v>270.9</v>
      </c>
      <c r="D2471" s="1">
        <f>IFERROR(__xludf.DUMMYFUNCTION("""COMPUTED_VALUE"""),263.35)</f>
        <v>263.35</v>
      </c>
      <c r="E2471" s="1">
        <f>IFERROR(__xludf.DUMMYFUNCTION("""COMPUTED_VALUE"""),266.35)</f>
        <v>266.35</v>
      </c>
      <c r="F2471" s="1">
        <f>IFERROR(__xludf.DUMMYFUNCTION("""COMPUTED_VALUE"""),3283267.0)</f>
        <v>3283267</v>
      </c>
    </row>
    <row r="2472">
      <c r="A2472" s="2">
        <f>IFERROR(__xludf.DUMMYFUNCTION("""COMPUTED_VALUE"""),40163.645833333336)</f>
        <v>40163.64583</v>
      </c>
      <c r="B2472" s="1">
        <f>IFERROR(__xludf.DUMMYFUNCTION("""COMPUTED_VALUE"""),267.1)</f>
        <v>267.1</v>
      </c>
      <c r="C2472" s="1">
        <f>IFERROR(__xludf.DUMMYFUNCTION("""COMPUTED_VALUE"""),267.8)</f>
        <v>267.8</v>
      </c>
      <c r="D2472" s="1">
        <f>IFERROR(__xludf.DUMMYFUNCTION("""COMPUTED_VALUE"""),262.0)</f>
        <v>262</v>
      </c>
      <c r="E2472" s="1">
        <f>IFERROR(__xludf.DUMMYFUNCTION("""COMPUTED_VALUE"""),263.8)</f>
        <v>263.8</v>
      </c>
      <c r="F2472" s="1">
        <f>IFERROR(__xludf.DUMMYFUNCTION("""COMPUTED_VALUE"""),4742165.0)</f>
        <v>4742165</v>
      </c>
    </row>
    <row r="2473">
      <c r="A2473" s="2">
        <f>IFERROR(__xludf.DUMMYFUNCTION("""COMPUTED_VALUE"""),40164.645833333336)</f>
        <v>40164.64583</v>
      </c>
      <c r="B2473" s="1">
        <f>IFERROR(__xludf.DUMMYFUNCTION("""COMPUTED_VALUE"""),263.5)</f>
        <v>263.5</v>
      </c>
      <c r="C2473" s="1">
        <f>IFERROR(__xludf.DUMMYFUNCTION("""COMPUTED_VALUE"""),269.75)</f>
        <v>269.75</v>
      </c>
      <c r="D2473" s="1">
        <f>IFERROR(__xludf.DUMMYFUNCTION("""COMPUTED_VALUE"""),263.1)</f>
        <v>263.1</v>
      </c>
      <c r="E2473" s="1">
        <f>IFERROR(__xludf.DUMMYFUNCTION("""COMPUTED_VALUE"""),268.8)</f>
        <v>268.8</v>
      </c>
      <c r="F2473" s="1">
        <f>IFERROR(__xludf.DUMMYFUNCTION("""COMPUTED_VALUE"""),1724512.0)</f>
        <v>1724512</v>
      </c>
    </row>
    <row r="2474">
      <c r="A2474" s="2">
        <f>IFERROR(__xludf.DUMMYFUNCTION("""COMPUTED_VALUE"""),40165.645833333336)</f>
        <v>40165.64583</v>
      </c>
      <c r="B2474" s="1">
        <f>IFERROR(__xludf.DUMMYFUNCTION("""COMPUTED_VALUE"""),268.0)</f>
        <v>268</v>
      </c>
      <c r="C2474" s="1">
        <f>IFERROR(__xludf.DUMMYFUNCTION("""COMPUTED_VALUE"""),269.0)</f>
        <v>269</v>
      </c>
      <c r="D2474" s="1">
        <f>IFERROR(__xludf.DUMMYFUNCTION("""COMPUTED_VALUE"""),262.65)</f>
        <v>262.65</v>
      </c>
      <c r="E2474" s="1">
        <f>IFERROR(__xludf.DUMMYFUNCTION("""COMPUTED_VALUE"""),263.35)</f>
        <v>263.35</v>
      </c>
      <c r="F2474" s="1">
        <f>IFERROR(__xludf.DUMMYFUNCTION("""COMPUTED_VALUE"""),1331848.0)</f>
        <v>1331848</v>
      </c>
    </row>
    <row r="2475">
      <c r="A2475" s="2">
        <f>IFERROR(__xludf.DUMMYFUNCTION("""COMPUTED_VALUE"""),40168.645833333336)</f>
        <v>40168.64583</v>
      </c>
      <c r="B2475" s="1">
        <f>IFERROR(__xludf.DUMMYFUNCTION("""COMPUTED_VALUE"""),263.1)</f>
        <v>263.1</v>
      </c>
      <c r="C2475" s="1">
        <f>IFERROR(__xludf.DUMMYFUNCTION("""COMPUTED_VALUE"""),264.75)</f>
        <v>264.75</v>
      </c>
      <c r="D2475" s="1">
        <f>IFERROR(__xludf.DUMMYFUNCTION("""COMPUTED_VALUE"""),261.25)</f>
        <v>261.25</v>
      </c>
      <c r="E2475" s="1">
        <f>IFERROR(__xludf.DUMMYFUNCTION("""COMPUTED_VALUE"""),262.1)</f>
        <v>262.1</v>
      </c>
      <c r="F2475" s="1">
        <f>IFERROR(__xludf.DUMMYFUNCTION("""COMPUTED_VALUE"""),2421681.0)</f>
        <v>2421681</v>
      </c>
    </row>
    <row r="2476">
      <c r="A2476" s="2">
        <f>IFERROR(__xludf.DUMMYFUNCTION("""COMPUTED_VALUE"""),40169.645833333336)</f>
        <v>40169.64583</v>
      </c>
      <c r="B2476" s="1">
        <f>IFERROR(__xludf.DUMMYFUNCTION("""COMPUTED_VALUE"""),263.75)</f>
        <v>263.75</v>
      </c>
      <c r="C2476" s="1">
        <f>IFERROR(__xludf.DUMMYFUNCTION("""COMPUTED_VALUE"""),263.75)</f>
        <v>263.75</v>
      </c>
      <c r="D2476" s="1">
        <f>IFERROR(__xludf.DUMMYFUNCTION("""COMPUTED_VALUE"""),260.65)</f>
        <v>260.65</v>
      </c>
      <c r="E2476" s="1">
        <f>IFERROR(__xludf.DUMMYFUNCTION("""COMPUTED_VALUE"""),261.3)</f>
        <v>261.3</v>
      </c>
      <c r="F2476" s="1">
        <f>IFERROR(__xludf.DUMMYFUNCTION("""COMPUTED_VALUE"""),3167505.0)</f>
        <v>3167505</v>
      </c>
    </row>
    <row r="2477">
      <c r="A2477" s="2">
        <f>IFERROR(__xludf.DUMMYFUNCTION("""COMPUTED_VALUE"""),40170.645833333336)</f>
        <v>40170.64583</v>
      </c>
      <c r="B2477" s="1">
        <f>IFERROR(__xludf.DUMMYFUNCTION("""COMPUTED_VALUE"""),261.85)</f>
        <v>261.85</v>
      </c>
      <c r="C2477" s="1">
        <f>IFERROR(__xludf.DUMMYFUNCTION("""COMPUTED_VALUE"""),265.5)</f>
        <v>265.5</v>
      </c>
      <c r="D2477" s="1">
        <f>IFERROR(__xludf.DUMMYFUNCTION("""COMPUTED_VALUE"""),259.65)</f>
        <v>259.65</v>
      </c>
      <c r="E2477" s="1">
        <f>IFERROR(__xludf.DUMMYFUNCTION("""COMPUTED_VALUE"""),264.3)</f>
        <v>264.3</v>
      </c>
      <c r="F2477" s="1">
        <f>IFERROR(__xludf.DUMMYFUNCTION("""COMPUTED_VALUE"""),3414514.0)</f>
        <v>3414514</v>
      </c>
    </row>
    <row r="2478">
      <c r="A2478" s="2">
        <f>IFERROR(__xludf.DUMMYFUNCTION("""COMPUTED_VALUE"""),40171.645833333336)</f>
        <v>40171.64583</v>
      </c>
      <c r="B2478" s="1">
        <f>IFERROR(__xludf.DUMMYFUNCTION("""COMPUTED_VALUE"""),269.8)</f>
        <v>269.8</v>
      </c>
      <c r="C2478" s="1">
        <f>IFERROR(__xludf.DUMMYFUNCTION("""COMPUTED_VALUE"""),269.8)</f>
        <v>269.8</v>
      </c>
      <c r="D2478" s="1">
        <f>IFERROR(__xludf.DUMMYFUNCTION("""COMPUTED_VALUE"""),263.0)</f>
        <v>263</v>
      </c>
      <c r="E2478" s="1">
        <f>IFERROR(__xludf.DUMMYFUNCTION("""COMPUTED_VALUE"""),265.65)</f>
        <v>265.65</v>
      </c>
      <c r="F2478" s="1">
        <f>IFERROR(__xludf.DUMMYFUNCTION("""COMPUTED_VALUE"""),1532929.0)</f>
        <v>1532929</v>
      </c>
    </row>
    <row r="2479">
      <c r="A2479" s="2">
        <f>IFERROR(__xludf.DUMMYFUNCTION("""COMPUTED_VALUE"""),40176.645833333336)</f>
        <v>40176.64583</v>
      </c>
      <c r="B2479" s="1">
        <f>IFERROR(__xludf.DUMMYFUNCTION("""COMPUTED_VALUE"""),269.75)</f>
        <v>269.75</v>
      </c>
      <c r="C2479" s="1">
        <f>IFERROR(__xludf.DUMMYFUNCTION("""COMPUTED_VALUE"""),269.75)</f>
        <v>269.75</v>
      </c>
      <c r="D2479" s="1">
        <f>IFERROR(__xludf.DUMMYFUNCTION("""COMPUTED_VALUE"""),264.0)</f>
        <v>264</v>
      </c>
      <c r="E2479" s="1">
        <f>IFERROR(__xludf.DUMMYFUNCTION("""COMPUTED_VALUE"""),265.0)</f>
        <v>265</v>
      </c>
      <c r="F2479" s="1">
        <f>IFERROR(__xludf.DUMMYFUNCTION("""COMPUTED_VALUE"""),1908639.0)</f>
        <v>1908639</v>
      </c>
    </row>
    <row r="2480">
      <c r="A2480" s="2">
        <f>IFERROR(__xludf.DUMMYFUNCTION("""COMPUTED_VALUE"""),40177.645833333336)</f>
        <v>40177.64583</v>
      </c>
      <c r="B2480" s="1">
        <f>IFERROR(__xludf.DUMMYFUNCTION("""COMPUTED_VALUE"""),266.95)</f>
        <v>266.95</v>
      </c>
      <c r="C2480" s="1">
        <f>IFERROR(__xludf.DUMMYFUNCTION("""COMPUTED_VALUE"""),267.9)</f>
        <v>267.9</v>
      </c>
      <c r="D2480" s="1">
        <f>IFERROR(__xludf.DUMMYFUNCTION("""COMPUTED_VALUE"""),263.6)</f>
        <v>263.6</v>
      </c>
      <c r="E2480" s="1">
        <f>IFERROR(__xludf.DUMMYFUNCTION("""COMPUTED_VALUE"""),266.1)</f>
        <v>266.1</v>
      </c>
      <c r="F2480" s="1">
        <f>IFERROR(__xludf.DUMMYFUNCTION("""COMPUTED_VALUE"""),966871.0)</f>
        <v>966871</v>
      </c>
    </row>
    <row r="2481">
      <c r="A2481" s="2">
        <f>IFERROR(__xludf.DUMMYFUNCTION("""COMPUTED_VALUE"""),40178.645833333336)</f>
        <v>40178.64583</v>
      </c>
      <c r="B2481" s="1">
        <f>IFERROR(__xludf.DUMMYFUNCTION("""COMPUTED_VALUE"""),267.5)</f>
        <v>267.5</v>
      </c>
      <c r="C2481" s="1">
        <f>IFERROR(__xludf.DUMMYFUNCTION("""COMPUTED_VALUE"""),269.0)</f>
        <v>269</v>
      </c>
      <c r="D2481" s="1">
        <f>IFERROR(__xludf.DUMMYFUNCTION("""COMPUTED_VALUE"""),264.15)</f>
        <v>264.15</v>
      </c>
      <c r="E2481" s="1">
        <f>IFERROR(__xludf.DUMMYFUNCTION("""COMPUTED_VALUE"""),264.8)</f>
        <v>264.8</v>
      </c>
      <c r="F2481" s="1">
        <f>IFERROR(__xludf.DUMMYFUNCTION("""COMPUTED_VALUE"""),1580864.0)</f>
        <v>1580864</v>
      </c>
    </row>
    <row r="2482">
      <c r="A2482" s="2">
        <f>IFERROR(__xludf.DUMMYFUNCTION("""COMPUTED_VALUE"""),40182.645833333336)</f>
        <v>40182.64583</v>
      </c>
      <c r="B2482" s="1">
        <f>IFERROR(__xludf.DUMMYFUNCTION("""COMPUTED_VALUE"""),264.8)</f>
        <v>264.8</v>
      </c>
      <c r="C2482" s="1">
        <f>IFERROR(__xludf.DUMMYFUNCTION("""COMPUTED_VALUE"""),266.2)</f>
        <v>266.2</v>
      </c>
      <c r="D2482" s="1">
        <f>IFERROR(__xludf.DUMMYFUNCTION("""COMPUTED_VALUE"""),264.1)</f>
        <v>264.1</v>
      </c>
      <c r="E2482" s="1">
        <f>IFERROR(__xludf.DUMMYFUNCTION("""COMPUTED_VALUE"""),264.7)</f>
        <v>264.7</v>
      </c>
      <c r="F2482" s="1">
        <f>IFERROR(__xludf.DUMMYFUNCTION("""COMPUTED_VALUE"""),668858.0)</f>
        <v>668858</v>
      </c>
    </row>
    <row r="2483">
      <c r="A2483" s="2">
        <f>IFERROR(__xludf.DUMMYFUNCTION("""COMPUTED_VALUE"""),40183.645833333336)</f>
        <v>40183.64583</v>
      </c>
      <c r="B2483" s="1">
        <f>IFERROR(__xludf.DUMMYFUNCTION("""COMPUTED_VALUE"""),265.75)</f>
        <v>265.75</v>
      </c>
      <c r="C2483" s="1">
        <f>IFERROR(__xludf.DUMMYFUNCTION("""COMPUTED_VALUE"""),266.4)</f>
        <v>266.4</v>
      </c>
      <c r="D2483" s="1">
        <f>IFERROR(__xludf.DUMMYFUNCTION("""COMPUTED_VALUE"""),262.5)</f>
        <v>262.5</v>
      </c>
      <c r="E2483" s="1">
        <f>IFERROR(__xludf.DUMMYFUNCTION("""COMPUTED_VALUE"""),263.85)</f>
        <v>263.85</v>
      </c>
      <c r="F2483" s="1">
        <f>IFERROR(__xludf.DUMMYFUNCTION("""COMPUTED_VALUE"""),1392726.0)</f>
        <v>1392726</v>
      </c>
    </row>
    <row r="2484">
      <c r="A2484" s="2">
        <f>IFERROR(__xludf.DUMMYFUNCTION("""COMPUTED_VALUE"""),40184.645833333336)</f>
        <v>40184.64583</v>
      </c>
      <c r="B2484" s="1">
        <f>IFERROR(__xludf.DUMMYFUNCTION("""COMPUTED_VALUE"""),264.75)</f>
        <v>264.75</v>
      </c>
      <c r="C2484" s="1">
        <f>IFERROR(__xludf.DUMMYFUNCTION("""COMPUTED_VALUE"""),266.0)</f>
        <v>266</v>
      </c>
      <c r="D2484" s="1">
        <f>IFERROR(__xludf.DUMMYFUNCTION("""COMPUTED_VALUE"""),262.6)</f>
        <v>262.6</v>
      </c>
      <c r="E2484" s="1">
        <f>IFERROR(__xludf.DUMMYFUNCTION("""COMPUTED_VALUE"""),265.35)</f>
        <v>265.35</v>
      </c>
      <c r="F2484" s="1">
        <f>IFERROR(__xludf.DUMMYFUNCTION("""COMPUTED_VALUE"""),1682107.0)</f>
        <v>1682107</v>
      </c>
    </row>
    <row r="2485">
      <c r="A2485" s="2">
        <f>IFERROR(__xludf.DUMMYFUNCTION("""COMPUTED_VALUE"""),40185.645833333336)</f>
        <v>40185.64583</v>
      </c>
      <c r="B2485" s="1">
        <f>IFERROR(__xludf.DUMMYFUNCTION("""COMPUTED_VALUE"""),265.1)</f>
        <v>265.1</v>
      </c>
      <c r="C2485" s="1">
        <f>IFERROR(__xludf.DUMMYFUNCTION("""COMPUTED_VALUE"""),267.25)</f>
        <v>267.25</v>
      </c>
      <c r="D2485" s="1">
        <f>IFERROR(__xludf.DUMMYFUNCTION("""COMPUTED_VALUE"""),264.15)</f>
        <v>264.15</v>
      </c>
      <c r="E2485" s="1">
        <f>IFERROR(__xludf.DUMMYFUNCTION("""COMPUTED_VALUE"""),264.8)</f>
        <v>264.8</v>
      </c>
      <c r="F2485" s="1">
        <f>IFERROR(__xludf.DUMMYFUNCTION("""COMPUTED_VALUE"""),2723548.0)</f>
        <v>2723548</v>
      </c>
    </row>
    <row r="2486">
      <c r="A2486" s="2">
        <f>IFERROR(__xludf.DUMMYFUNCTION("""COMPUTED_VALUE"""),40186.645833333336)</f>
        <v>40186.64583</v>
      </c>
      <c r="B2486" s="1">
        <f>IFERROR(__xludf.DUMMYFUNCTION("""COMPUTED_VALUE"""),265.1)</f>
        <v>265.1</v>
      </c>
      <c r="C2486" s="1">
        <f>IFERROR(__xludf.DUMMYFUNCTION("""COMPUTED_VALUE"""),267.0)</f>
        <v>267</v>
      </c>
      <c r="D2486" s="1">
        <f>IFERROR(__xludf.DUMMYFUNCTION("""COMPUTED_VALUE"""),264.15)</f>
        <v>264.15</v>
      </c>
      <c r="E2486" s="1">
        <f>IFERROR(__xludf.DUMMYFUNCTION("""COMPUTED_VALUE"""),265.95)</f>
        <v>265.95</v>
      </c>
      <c r="F2486" s="1">
        <f>IFERROR(__xludf.DUMMYFUNCTION("""COMPUTED_VALUE"""),4000986.0)</f>
        <v>4000986</v>
      </c>
    </row>
    <row r="2487">
      <c r="A2487" s="2">
        <f>IFERROR(__xludf.DUMMYFUNCTION("""COMPUTED_VALUE"""),40189.645833333336)</f>
        <v>40189.64583</v>
      </c>
      <c r="B2487" s="1">
        <f>IFERROR(__xludf.DUMMYFUNCTION("""COMPUTED_VALUE"""),266.6)</f>
        <v>266.6</v>
      </c>
      <c r="C2487" s="1">
        <f>IFERROR(__xludf.DUMMYFUNCTION("""COMPUTED_VALUE"""),268.35)</f>
        <v>268.35</v>
      </c>
      <c r="D2487" s="1">
        <f>IFERROR(__xludf.DUMMYFUNCTION("""COMPUTED_VALUE"""),265.6)</f>
        <v>265.6</v>
      </c>
      <c r="E2487" s="1">
        <f>IFERROR(__xludf.DUMMYFUNCTION("""COMPUTED_VALUE"""),266.1)</f>
        <v>266.1</v>
      </c>
      <c r="F2487" s="1">
        <f>IFERROR(__xludf.DUMMYFUNCTION("""COMPUTED_VALUE"""),2251471.0)</f>
        <v>2251471</v>
      </c>
    </row>
    <row r="2488">
      <c r="A2488" s="2">
        <f>IFERROR(__xludf.DUMMYFUNCTION("""COMPUTED_VALUE"""),40190.645833333336)</f>
        <v>40190.64583</v>
      </c>
      <c r="B2488" s="1">
        <f>IFERROR(__xludf.DUMMYFUNCTION("""COMPUTED_VALUE"""),266.0)</f>
        <v>266</v>
      </c>
      <c r="C2488" s="1">
        <f>IFERROR(__xludf.DUMMYFUNCTION("""COMPUTED_VALUE"""),266.75)</f>
        <v>266.75</v>
      </c>
      <c r="D2488" s="1">
        <f>IFERROR(__xludf.DUMMYFUNCTION("""COMPUTED_VALUE"""),260.55)</f>
        <v>260.55</v>
      </c>
      <c r="E2488" s="1">
        <f>IFERROR(__xludf.DUMMYFUNCTION("""COMPUTED_VALUE"""),262.15)</f>
        <v>262.15</v>
      </c>
      <c r="F2488" s="1">
        <f>IFERROR(__xludf.DUMMYFUNCTION("""COMPUTED_VALUE"""),3826930.0)</f>
        <v>3826930</v>
      </c>
    </row>
    <row r="2489">
      <c r="A2489" s="2">
        <f>IFERROR(__xludf.DUMMYFUNCTION("""COMPUTED_VALUE"""),40191.645833333336)</f>
        <v>40191.64583</v>
      </c>
      <c r="B2489" s="1">
        <f>IFERROR(__xludf.DUMMYFUNCTION("""COMPUTED_VALUE"""),262.0)</f>
        <v>262</v>
      </c>
      <c r="C2489" s="1">
        <f>IFERROR(__xludf.DUMMYFUNCTION("""COMPUTED_VALUE"""),263.75)</f>
        <v>263.75</v>
      </c>
      <c r="D2489" s="1">
        <f>IFERROR(__xludf.DUMMYFUNCTION("""COMPUTED_VALUE"""),260.75)</f>
        <v>260.75</v>
      </c>
      <c r="E2489" s="1">
        <f>IFERROR(__xludf.DUMMYFUNCTION("""COMPUTED_VALUE"""),262.5)</f>
        <v>262.5</v>
      </c>
      <c r="F2489" s="1">
        <f>IFERROR(__xludf.DUMMYFUNCTION("""COMPUTED_VALUE"""),1917571.0)</f>
        <v>1917571</v>
      </c>
    </row>
    <row r="2490">
      <c r="A2490" s="2">
        <f>IFERROR(__xludf.DUMMYFUNCTION("""COMPUTED_VALUE"""),40192.645833333336)</f>
        <v>40192.64583</v>
      </c>
      <c r="B2490" s="1">
        <f>IFERROR(__xludf.DUMMYFUNCTION("""COMPUTED_VALUE"""),262.6)</f>
        <v>262.6</v>
      </c>
      <c r="C2490" s="1">
        <f>IFERROR(__xludf.DUMMYFUNCTION("""COMPUTED_VALUE"""),263.6)</f>
        <v>263.6</v>
      </c>
      <c r="D2490" s="1">
        <f>IFERROR(__xludf.DUMMYFUNCTION("""COMPUTED_VALUE"""),255.3)</f>
        <v>255.3</v>
      </c>
      <c r="E2490" s="1">
        <f>IFERROR(__xludf.DUMMYFUNCTION("""COMPUTED_VALUE"""),256.05)</f>
        <v>256.05</v>
      </c>
      <c r="F2490" s="1">
        <f>IFERROR(__xludf.DUMMYFUNCTION("""COMPUTED_VALUE"""),3583983.0)</f>
        <v>3583983</v>
      </c>
    </row>
    <row r="2491">
      <c r="A2491" s="2">
        <f>IFERROR(__xludf.DUMMYFUNCTION("""COMPUTED_VALUE"""),40193.645833333336)</f>
        <v>40193.64583</v>
      </c>
      <c r="B2491" s="1">
        <f>IFERROR(__xludf.DUMMYFUNCTION("""COMPUTED_VALUE"""),257.75)</f>
        <v>257.75</v>
      </c>
      <c r="C2491" s="1">
        <f>IFERROR(__xludf.DUMMYFUNCTION("""COMPUTED_VALUE"""),258.75)</f>
        <v>258.75</v>
      </c>
      <c r="D2491" s="1">
        <f>IFERROR(__xludf.DUMMYFUNCTION("""COMPUTED_VALUE"""),255.9)</f>
        <v>255.9</v>
      </c>
      <c r="E2491" s="1">
        <f>IFERROR(__xludf.DUMMYFUNCTION("""COMPUTED_VALUE"""),256.4)</f>
        <v>256.4</v>
      </c>
      <c r="F2491" s="1">
        <f>IFERROR(__xludf.DUMMYFUNCTION("""COMPUTED_VALUE"""),4361271.0)</f>
        <v>4361271</v>
      </c>
    </row>
    <row r="2492">
      <c r="A2492" s="2">
        <f>IFERROR(__xludf.DUMMYFUNCTION("""COMPUTED_VALUE"""),40196.645833333336)</f>
        <v>40196.64583</v>
      </c>
      <c r="B2492" s="1">
        <f>IFERROR(__xludf.DUMMYFUNCTION("""COMPUTED_VALUE"""),256.5)</f>
        <v>256.5</v>
      </c>
      <c r="C2492" s="1">
        <f>IFERROR(__xludf.DUMMYFUNCTION("""COMPUTED_VALUE"""),258.35)</f>
        <v>258.35</v>
      </c>
      <c r="D2492" s="1">
        <f>IFERROR(__xludf.DUMMYFUNCTION("""COMPUTED_VALUE"""),254.55)</f>
        <v>254.55</v>
      </c>
      <c r="E2492" s="1">
        <f>IFERROR(__xludf.DUMMYFUNCTION("""COMPUTED_VALUE"""),257.3)</f>
        <v>257.3</v>
      </c>
      <c r="F2492" s="1">
        <f>IFERROR(__xludf.DUMMYFUNCTION("""COMPUTED_VALUE"""),1088348.0)</f>
        <v>1088348</v>
      </c>
    </row>
    <row r="2493">
      <c r="A2493" s="2">
        <f>IFERROR(__xludf.DUMMYFUNCTION("""COMPUTED_VALUE"""),40197.645833333336)</f>
        <v>40197.64583</v>
      </c>
      <c r="B2493" s="1">
        <f>IFERROR(__xludf.DUMMYFUNCTION("""COMPUTED_VALUE"""),257.75)</f>
        <v>257.75</v>
      </c>
      <c r="C2493" s="1">
        <f>IFERROR(__xludf.DUMMYFUNCTION("""COMPUTED_VALUE"""),257.75)</f>
        <v>257.75</v>
      </c>
      <c r="D2493" s="1">
        <f>IFERROR(__xludf.DUMMYFUNCTION("""COMPUTED_VALUE"""),254.6)</f>
        <v>254.6</v>
      </c>
      <c r="E2493" s="1">
        <f>IFERROR(__xludf.DUMMYFUNCTION("""COMPUTED_VALUE"""),255.45)</f>
        <v>255.45</v>
      </c>
      <c r="F2493" s="1">
        <f>IFERROR(__xludf.DUMMYFUNCTION("""COMPUTED_VALUE"""),1122943.0)</f>
        <v>1122943</v>
      </c>
    </row>
    <row r="2494">
      <c r="A2494" s="2">
        <f>IFERROR(__xludf.DUMMYFUNCTION("""COMPUTED_VALUE"""),40198.645833333336)</f>
        <v>40198.64583</v>
      </c>
      <c r="B2494" s="1">
        <f>IFERROR(__xludf.DUMMYFUNCTION("""COMPUTED_VALUE"""),256.0)</f>
        <v>256</v>
      </c>
      <c r="C2494" s="1">
        <f>IFERROR(__xludf.DUMMYFUNCTION("""COMPUTED_VALUE"""),258.6)</f>
        <v>258.6</v>
      </c>
      <c r="D2494" s="1">
        <f>IFERROR(__xludf.DUMMYFUNCTION("""COMPUTED_VALUE"""),253.5)</f>
        <v>253.5</v>
      </c>
      <c r="E2494" s="1">
        <f>IFERROR(__xludf.DUMMYFUNCTION("""COMPUTED_VALUE"""),257.8)</f>
        <v>257.8</v>
      </c>
      <c r="F2494" s="1">
        <f>IFERROR(__xludf.DUMMYFUNCTION("""COMPUTED_VALUE"""),2198874.0)</f>
        <v>2198874</v>
      </c>
    </row>
    <row r="2495">
      <c r="A2495" s="2">
        <f>IFERROR(__xludf.DUMMYFUNCTION("""COMPUTED_VALUE"""),40199.645833333336)</f>
        <v>40199.64583</v>
      </c>
      <c r="B2495" s="1">
        <f>IFERROR(__xludf.DUMMYFUNCTION("""COMPUTED_VALUE"""),258.0)</f>
        <v>258</v>
      </c>
      <c r="C2495" s="1">
        <f>IFERROR(__xludf.DUMMYFUNCTION("""COMPUTED_VALUE"""),261.1)</f>
        <v>261.1</v>
      </c>
      <c r="D2495" s="1">
        <f>IFERROR(__xludf.DUMMYFUNCTION("""COMPUTED_VALUE"""),255.65)</f>
        <v>255.65</v>
      </c>
      <c r="E2495" s="1">
        <f>IFERROR(__xludf.DUMMYFUNCTION("""COMPUTED_VALUE"""),256.75)</f>
        <v>256.75</v>
      </c>
      <c r="F2495" s="1">
        <f>IFERROR(__xludf.DUMMYFUNCTION("""COMPUTED_VALUE"""),3093875.0)</f>
        <v>3093875</v>
      </c>
    </row>
    <row r="2496">
      <c r="A2496" s="2">
        <f>IFERROR(__xludf.DUMMYFUNCTION("""COMPUTED_VALUE"""),40200.645833333336)</f>
        <v>40200.64583</v>
      </c>
      <c r="B2496" s="1">
        <f>IFERROR(__xludf.DUMMYFUNCTION("""COMPUTED_VALUE"""),253.0)</f>
        <v>253</v>
      </c>
      <c r="C2496" s="1">
        <f>IFERROR(__xludf.DUMMYFUNCTION("""COMPUTED_VALUE"""),259.15)</f>
        <v>259.15</v>
      </c>
      <c r="D2496" s="1">
        <f>IFERROR(__xludf.DUMMYFUNCTION("""COMPUTED_VALUE"""),251.95)</f>
        <v>251.95</v>
      </c>
      <c r="E2496" s="1">
        <f>IFERROR(__xludf.DUMMYFUNCTION("""COMPUTED_VALUE"""),257.95)</f>
        <v>257.95</v>
      </c>
      <c r="F2496" s="1">
        <f>IFERROR(__xludf.DUMMYFUNCTION("""COMPUTED_VALUE"""),5117085.0)</f>
        <v>5117085</v>
      </c>
    </row>
    <row r="2497">
      <c r="A2497" s="2">
        <f>IFERROR(__xludf.DUMMYFUNCTION("""COMPUTED_VALUE"""),40203.645833333336)</f>
        <v>40203.64583</v>
      </c>
      <c r="B2497" s="1">
        <f>IFERROR(__xludf.DUMMYFUNCTION("""COMPUTED_VALUE"""),258.7)</f>
        <v>258.7</v>
      </c>
      <c r="C2497" s="1">
        <f>IFERROR(__xludf.DUMMYFUNCTION("""COMPUTED_VALUE"""),264.55)</f>
        <v>264.55</v>
      </c>
      <c r="D2497" s="1">
        <f>IFERROR(__xludf.DUMMYFUNCTION("""COMPUTED_VALUE"""),255.5)</f>
        <v>255.5</v>
      </c>
      <c r="E2497" s="1">
        <f>IFERROR(__xludf.DUMMYFUNCTION("""COMPUTED_VALUE"""),263.95)</f>
        <v>263.95</v>
      </c>
      <c r="F2497" s="1">
        <f>IFERROR(__xludf.DUMMYFUNCTION("""COMPUTED_VALUE"""),4355123.0)</f>
        <v>4355123</v>
      </c>
    </row>
    <row r="2498">
      <c r="A2498" s="2">
        <f>IFERROR(__xludf.DUMMYFUNCTION("""COMPUTED_VALUE"""),40205.645833333336)</f>
        <v>40205.64583</v>
      </c>
      <c r="B2498" s="1">
        <f>IFERROR(__xludf.DUMMYFUNCTION("""COMPUTED_VALUE"""),263.0)</f>
        <v>263</v>
      </c>
      <c r="C2498" s="1">
        <f>IFERROR(__xludf.DUMMYFUNCTION("""COMPUTED_VALUE"""),263.0)</f>
        <v>263</v>
      </c>
      <c r="D2498" s="1">
        <f>IFERROR(__xludf.DUMMYFUNCTION("""COMPUTED_VALUE"""),254.7)</f>
        <v>254.7</v>
      </c>
      <c r="E2498" s="1">
        <f>IFERROR(__xludf.DUMMYFUNCTION("""COMPUTED_VALUE"""),259.35)</f>
        <v>259.35</v>
      </c>
      <c r="F2498" s="1">
        <f>IFERROR(__xludf.DUMMYFUNCTION("""COMPUTED_VALUE"""),9203979.0)</f>
        <v>9203979</v>
      </c>
    </row>
    <row r="2499">
      <c r="A2499" s="2">
        <f>IFERROR(__xludf.DUMMYFUNCTION("""COMPUTED_VALUE"""),40206.645833333336)</f>
        <v>40206.64583</v>
      </c>
      <c r="B2499" s="1">
        <f>IFERROR(__xludf.DUMMYFUNCTION("""COMPUTED_VALUE"""),258.2)</f>
        <v>258.2</v>
      </c>
      <c r="C2499" s="1">
        <f>IFERROR(__xludf.DUMMYFUNCTION("""COMPUTED_VALUE"""),261.75)</f>
        <v>261.75</v>
      </c>
      <c r="D2499" s="1">
        <f>IFERROR(__xludf.DUMMYFUNCTION("""COMPUTED_VALUE"""),253.35)</f>
        <v>253.35</v>
      </c>
      <c r="E2499" s="1">
        <f>IFERROR(__xludf.DUMMYFUNCTION("""COMPUTED_VALUE"""),255.3)</f>
        <v>255.3</v>
      </c>
      <c r="F2499" s="1">
        <f>IFERROR(__xludf.DUMMYFUNCTION("""COMPUTED_VALUE"""),5049389.0)</f>
        <v>5049389</v>
      </c>
    </row>
    <row r="2500">
      <c r="A2500" s="2">
        <f>IFERROR(__xludf.DUMMYFUNCTION("""COMPUTED_VALUE"""),40207.645833333336)</f>
        <v>40207.64583</v>
      </c>
      <c r="B2500" s="1">
        <f>IFERROR(__xludf.DUMMYFUNCTION("""COMPUTED_VALUE"""),251.55)</f>
        <v>251.55</v>
      </c>
      <c r="C2500" s="1">
        <f>IFERROR(__xludf.DUMMYFUNCTION("""COMPUTED_VALUE"""),252.2)</f>
        <v>252.2</v>
      </c>
      <c r="D2500" s="1">
        <f>IFERROR(__xludf.DUMMYFUNCTION("""COMPUTED_VALUE"""),241.05)</f>
        <v>241.05</v>
      </c>
      <c r="E2500" s="1">
        <f>IFERROR(__xludf.DUMMYFUNCTION("""COMPUTED_VALUE"""),242.3)</f>
        <v>242.3</v>
      </c>
      <c r="F2500" s="1">
        <f>IFERROR(__xludf.DUMMYFUNCTION("""COMPUTED_VALUE"""),6496604.0)</f>
        <v>6496604</v>
      </c>
    </row>
    <row r="2501">
      <c r="A2501" s="2">
        <f>IFERROR(__xludf.DUMMYFUNCTION("""COMPUTED_VALUE"""),40210.645833333336)</f>
        <v>40210.64583</v>
      </c>
      <c r="B2501" s="1">
        <f>IFERROR(__xludf.DUMMYFUNCTION("""COMPUTED_VALUE"""),243.8)</f>
        <v>243.8</v>
      </c>
      <c r="C2501" s="1">
        <f>IFERROR(__xludf.DUMMYFUNCTION("""COMPUTED_VALUE"""),243.8)</f>
        <v>243.8</v>
      </c>
      <c r="D2501" s="1">
        <f>IFERROR(__xludf.DUMMYFUNCTION("""COMPUTED_VALUE"""),234.75)</f>
        <v>234.75</v>
      </c>
      <c r="E2501" s="1">
        <f>IFERROR(__xludf.DUMMYFUNCTION("""COMPUTED_VALUE"""),237.25)</f>
        <v>237.25</v>
      </c>
      <c r="F2501" s="1">
        <f>IFERROR(__xludf.DUMMYFUNCTION("""COMPUTED_VALUE"""),4987343.0)</f>
        <v>4987343</v>
      </c>
    </row>
    <row r="2502">
      <c r="A2502" s="2">
        <f>IFERROR(__xludf.DUMMYFUNCTION("""COMPUTED_VALUE"""),40211.645833333336)</f>
        <v>40211.64583</v>
      </c>
      <c r="B2502" s="1">
        <f>IFERROR(__xludf.DUMMYFUNCTION("""COMPUTED_VALUE"""),238.5)</f>
        <v>238.5</v>
      </c>
      <c r="C2502" s="1">
        <f>IFERROR(__xludf.DUMMYFUNCTION("""COMPUTED_VALUE"""),240.0)</f>
        <v>240</v>
      </c>
      <c r="D2502" s="1">
        <f>IFERROR(__xludf.DUMMYFUNCTION("""COMPUTED_VALUE"""),235.0)</f>
        <v>235</v>
      </c>
      <c r="E2502" s="1">
        <f>IFERROR(__xludf.DUMMYFUNCTION("""COMPUTED_VALUE"""),236.5)</f>
        <v>236.5</v>
      </c>
      <c r="F2502" s="1">
        <f>IFERROR(__xludf.DUMMYFUNCTION("""COMPUTED_VALUE"""),6004275.0)</f>
        <v>6004275</v>
      </c>
    </row>
    <row r="2503">
      <c r="A2503" s="2">
        <f>IFERROR(__xludf.DUMMYFUNCTION("""COMPUTED_VALUE"""),40212.645833333336)</f>
        <v>40212.64583</v>
      </c>
      <c r="B2503" s="1">
        <f>IFERROR(__xludf.DUMMYFUNCTION("""COMPUTED_VALUE"""),237.75)</f>
        <v>237.75</v>
      </c>
      <c r="C2503" s="1">
        <f>IFERROR(__xludf.DUMMYFUNCTION("""COMPUTED_VALUE"""),238.5)</f>
        <v>238.5</v>
      </c>
      <c r="D2503" s="1">
        <f>IFERROR(__xludf.DUMMYFUNCTION("""COMPUTED_VALUE"""),235.3)</f>
        <v>235.3</v>
      </c>
      <c r="E2503" s="1">
        <f>IFERROR(__xludf.DUMMYFUNCTION("""COMPUTED_VALUE"""),236.45)</f>
        <v>236.45</v>
      </c>
      <c r="F2503" s="1">
        <f>IFERROR(__xludf.DUMMYFUNCTION("""COMPUTED_VALUE"""),1595241.0)</f>
        <v>1595241</v>
      </c>
    </row>
    <row r="2504">
      <c r="A2504" s="2">
        <f>IFERROR(__xludf.DUMMYFUNCTION("""COMPUTED_VALUE"""),40213.645833333336)</f>
        <v>40213.64583</v>
      </c>
      <c r="B2504" s="1">
        <f>IFERROR(__xludf.DUMMYFUNCTION("""COMPUTED_VALUE"""),237.1)</f>
        <v>237.1</v>
      </c>
      <c r="C2504" s="1">
        <f>IFERROR(__xludf.DUMMYFUNCTION("""COMPUTED_VALUE"""),239.35)</f>
        <v>239.35</v>
      </c>
      <c r="D2504" s="1">
        <f>IFERROR(__xludf.DUMMYFUNCTION("""COMPUTED_VALUE"""),230.5)</f>
        <v>230.5</v>
      </c>
      <c r="E2504" s="1">
        <f>IFERROR(__xludf.DUMMYFUNCTION("""COMPUTED_VALUE"""),231.05)</f>
        <v>231.05</v>
      </c>
      <c r="F2504" s="1">
        <f>IFERROR(__xludf.DUMMYFUNCTION("""COMPUTED_VALUE"""),3017883.0)</f>
        <v>3017883</v>
      </c>
    </row>
    <row r="2505">
      <c r="A2505" s="2">
        <f>IFERROR(__xludf.DUMMYFUNCTION("""COMPUTED_VALUE"""),40214.645833333336)</f>
        <v>40214.64583</v>
      </c>
      <c r="B2505" s="1">
        <f>IFERROR(__xludf.DUMMYFUNCTION("""COMPUTED_VALUE"""),229.5)</f>
        <v>229.5</v>
      </c>
      <c r="C2505" s="1">
        <f>IFERROR(__xludf.DUMMYFUNCTION("""COMPUTED_VALUE"""),234.4)</f>
        <v>234.4</v>
      </c>
      <c r="D2505" s="1">
        <f>IFERROR(__xludf.DUMMYFUNCTION("""COMPUTED_VALUE"""),227.0)</f>
        <v>227</v>
      </c>
      <c r="E2505" s="1">
        <f>IFERROR(__xludf.DUMMYFUNCTION("""COMPUTED_VALUE"""),229.05)</f>
        <v>229.05</v>
      </c>
      <c r="F2505" s="1">
        <f>IFERROR(__xludf.DUMMYFUNCTION("""COMPUTED_VALUE"""),4345866.0)</f>
        <v>4345866</v>
      </c>
    </row>
    <row r="2506">
      <c r="A2506" s="2">
        <f>IFERROR(__xludf.DUMMYFUNCTION("""COMPUTED_VALUE"""),40217.645833333336)</f>
        <v>40217.64583</v>
      </c>
      <c r="B2506" s="1">
        <f>IFERROR(__xludf.DUMMYFUNCTION("""COMPUTED_VALUE"""),231.0)</f>
        <v>231</v>
      </c>
      <c r="C2506" s="1">
        <f>IFERROR(__xludf.DUMMYFUNCTION("""COMPUTED_VALUE"""),238.2)</f>
        <v>238.2</v>
      </c>
      <c r="D2506" s="1">
        <f>IFERROR(__xludf.DUMMYFUNCTION("""COMPUTED_VALUE"""),229.75)</f>
        <v>229.75</v>
      </c>
      <c r="E2506" s="1">
        <f>IFERROR(__xludf.DUMMYFUNCTION("""COMPUTED_VALUE"""),236.5)</f>
        <v>236.5</v>
      </c>
      <c r="F2506" s="1">
        <f>IFERROR(__xludf.DUMMYFUNCTION("""COMPUTED_VALUE"""),3139856.0)</f>
        <v>3139856</v>
      </c>
    </row>
    <row r="2507">
      <c r="A2507" s="2">
        <f>IFERROR(__xludf.DUMMYFUNCTION("""COMPUTED_VALUE"""),40218.645833333336)</f>
        <v>40218.64583</v>
      </c>
      <c r="B2507" s="1">
        <f>IFERROR(__xludf.DUMMYFUNCTION("""COMPUTED_VALUE"""),238.0)</f>
        <v>238</v>
      </c>
      <c r="C2507" s="1">
        <f>IFERROR(__xludf.DUMMYFUNCTION("""COMPUTED_VALUE"""),238.0)</f>
        <v>238</v>
      </c>
      <c r="D2507" s="1">
        <f>IFERROR(__xludf.DUMMYFUNCTION("""COMPUTED_VALUE"""),232.3)</f>
        <v>232.3</v>
      </c>
      <c r="E2507" s="1">
        <f>IFERROR(__xludf.DUMMYFUNCTION("""COMPUTED_VALUE"""),232.6)</f>
        <v>232.6</v>
      </c>
      <c r="F2507" s="1">
        <f>IFERROR(__xludf.DUMMYFUNCTION("""COMPUTED_VALUE"""),2435031.0)</f>
        <v>2435031</v>
      </c>
    </row>
    <row r="2508">
      <c r="A2508" s="2">
        <f>IFERROR(__xludf.DUMMYFUNCTION("""COMPUTED_VALUE"""),40219.645833333336)</f>
        <v>40219.64583</v>
      </c>
      <c r="B2508" s="1">
        <f>IFERROR(__xludf.DUMMYFUNCTION("""COMPUTED_VALUE"""),233.5)</f>
        <v>233.5</v>
      </c>
      <c r="C2508" s="1">
        <f>IFERROR(__xludf.DUMMYFUNCTION("""COMPUTED_VALUE"""),233.95)</f>
        <v>233.95</v>
      </c>
      <c r="D2508" s="1">
        <f>IFERROR(__xludf.DUMMYFUNCTION("""COMPUTED_VALUE"""),229.15)</f>
        <v>229.15</v>
      </c>
      <c r="E2508" s="1">
        <f>IFERROR(__xludf.DUMMYFUNCTION("""COMPUTED_VALUE"""),230.1)</f>
        <v>230.1</v>
      </c>
      <c r="F2508" s="1">
        <f>IFERROR(__xludf.DUMMYFUNCTION("""COMPUTED_VALUE"""),2864300.0)</f>
        <v>2864300</v>
      </c>
    </row>
    <row r="2509">
      <c r="A2509" s="2">
        <f>IFERROR(__xludf.DUMMYFUNCTION("""COMPUTED_VALUE"""),40220.645833333336)</f>
        <v>40220.64583</v>
      </c>
      <c r="B2509" s="1">
        <f>IFERROR(__xludf.DUMMYFUNCTION("""COMPUTED_VALUE"""),230.5)</f>
        <v>230.5</v>
      </c>
      <c r="C2509" s="1">
        <f>IFERROR(__xludf.DUMMYFUNCTION("""COMPUTED_VALUE"""),234.45)</f>
        <v>234.45</v>
      </c>
      <c r="D2509" s="1">
        <f>IFERROR(__xludf.DUMMYFUNCTION("""COMPUTED_VALUE"""),230.5)</f>
        <v>230.5</v>
      </c>
      <c r="E2509" s="1">
        <f>IFERROR(__xludf.DUMMYFUNCTION("""COMPUTED_VALUE"""),233.4)</f>
        <v>233.4</v>
      </c>
      <c r="F2509" s="1">
        <f>IFERROR(__xludf.DUMMYFUNCTION("""COMPUTED_VALUE"""),2299826.0)</f>
        <v>2299826</v>
      </c>
    </row>
    <row r="2510">
      <c r="A2510" s="2">
        <f>IFERROR(__xludf.DUMMYFUNCTION("""COMPUTED_VALUE"""),40224.645833333336)</f>
        <v>40224.64583</v>
      </c>
      <c r="B2510" s="1">
        <f>IFERROR(__xludf.DUMMYFUNCTION("""COMPUTED_VALUE"""),233.4)</f>
        <v>233.4</v>
      </c>
      <c r="C2510" s="1">
        <f>IFERROR(__xludf.DUMMYFUNCTION("""COMPUTED_VALUE"""),234.85)</f>
        <v>234.85</v>
      </c>
      <c r="D2510" s="1">
        <f>IFERROR(__xludf.DUMMYFUNCTION("""COMPUTED_VALUE"""),229.0)</f>
        <v>229</v>
      </c>
      <c r="E2510" s="1">
        <f>IFERROR(__xludf.DUMMYFUNCTION("""COMPUTED_VALUE"""),229.75)</f>
        <v>229.75</v>
      </c>
      <c r="F2510" s="1">
        <f>IFERROR(__xludf.DUMMYFUNCTION("""COMPUTED_VALUE"""),1594781.0)</f>
        <v>1594781</v>
      </c>
    </row>
    <row r="2511">
      <c r="A2511" s="2">
        <f>IFERROR(__xludf.DUMMYFUNCTION("""COMPUTED_VALUE"""),40225.645833333336)</f>
        <v>40225.64583</v>
      </c>
      <c r="B2511" s="1">
        <f>IFERROR(__xludf.DUMMYFUNCTION("""COMPUTED_VALUE"""),230.0)</f>
        <v>230</v>
      </c>
      <c r="C2511" s="1">
        <f>IFERROR(__xludf.DUMMYFUNCTION("""COMPUTED_VALUE"""),238.55)</f>
        <v>238.55</v>
      </c>
      <c r="D2511" s="1">
        <f>IFERROR(__xludf.DUMMYFUNCTION("""COMPUTED_VALUE"""),229.3)</f>
        <v>229.3</v>
      </c>
      <c r="E2511" s="1">
        <f>IFERROR(__xludf.DUMMYFUNCTION("""COMPUTED_VALUE"""),237.15)</f>
        <v>237.15</v>
      </c>
      <c r="F2511" s="1">
        <f>IFERROR(__xludf.DUMMYFUNCTION("""COMPUTED_VALUE"""),2253497.0)</f>
        <v>2253497</v>
      </c>
    </row>
    <row r="2512">
      <c r="A2512" s="2">
        <f>IFERROR(__xludf.DUMMYFUNCTION("""COMPUTED_VALUE"""),40226.645833333336)</f>
        <v>40226.64583</v>
      </c>
      <c r="B2512" s="1">
        <f>IFERROR(__xludf.DUMMYFUNCTION("""COMPUTED_VALUE"""),238.5)</f>
        <v>238.5</v>
      </c>
      <c r="C2512" s="1">
        <f>IFERROR(__xludf.DUMMYFUNCTION("""COMPUTED_VALUE"""),244.65)</f>
        <v>244.65</v>
      </c>
      <c r="D2512" s="1">
        <f>IFERROR(__xludf.DUMMYFUNCTION("""COMPUTED_VALUE"""),238.5)</f>
        <v>238.5</v>
      </c>
      <c r="E2512" s="1">
        <f>IFERROR(__xludf.DUMMYFUNCTION("""COMPUTED_VALUE"""),240.55)</f>
        <v>240.55</v>
      </c>
      <c r="F2512" s="1">
        <f>IFERROR(__xludf.DUMMYFUNCTION("""COMPUTED_VALUE"""),3428957.0)</f>
        <v>3428957</v>
      </c>
    </row>
    <row r="2513">
      <c r="A2513" s="2">
        <f>IFERROR(__xludf.DUMMYFUNCTION("""COMPUTED_VALUE"""),40227.645833333336)</f>
        <v>40227.64583</v>
      </c>
      <c r="B2513" s="1">
        <f>IFERROR(__xludf.DUMMYFUNCTION("""COMPUTED_VALUE"""),240.6)</f>
        <v>240.6</v>
      </c>
      <c r="C2513" s="1">
        <f>IFERROR(__xludf.DUMMYFUNCTION("""COMPUTED_VALUE"""),243.9)</f>
        <v>243.9</v>
      </c>
      <c r="D2513" s="1">
        <f>IFERROR(__xludf.DUMMYFUNCTION("""COMPUTED_VALUE"""),238.3)</f>
        <v>238.3</v>
      </c>
      <c r="E2513" s="1">
        <f>IFERROR(__xludf.DUMMYFUNCTION("""COMPUTED_VALUE"""),242.5)</f>
        <v>242.5</v>
      </c>
      <c r="F2513" s="1">
        <f>IFERROR(__xludf.DUMMYFUNCTION("""COMPUTED_VALUE"""),955635.0)</f>
        <v>955635</v>
      </c>
    </row>
    <row r="2514">
      <c r="A2514" s="2">
        <f>IFERROR(__xludf.DUMMYFUNCTION("""COMPUTED_VALUE"""),40228.645833333336)</f>
        <v>40228.64583</v>
      </c>
      <c r="B2514" s="1">
        <f>IFERROR(__xludf.DUMMYFUNCTION("""COMPUTED_VALUE"""),242.0)</f>
        <v>242</v>
      </c>
      <c r="C2514" s="1">
        <f>IFERROR(__xludf.DUMMYFUNCTION("""COMPUTED_VALUE"""),245.45)</f>
        <v>245.45</v>
      </c>
      <c r="D2514" s="1">
        <f>IFERROR(__xludf.DUMMYFUNCTION("""COMPUTED_VALUE"""),237.15)</f>
        <v>237.15</v>
      </c>
      <c r="E2514" s="1">
        <f>IFERROR(__xludf.DUMMYFUNCTION("""COMPUTED_VALUE"""),241.0)</f>
        <v>241</v>
      </c>
      <c r="F2514" s="1">
        <f>IFERROR(__xludf.DUMMYFUNCTION("""COMPUTED_VALUE"""),4582596.0)</f>
        <v>4582596</v>
      </c>
    </row>
    <row r="2515">
      <c r="A2515" s="2">
        <f>IFERROR(__xludf.DUMMYFUNCTION("""COMPUTED_VALUE"""),40231.645833333336)</f>
        <v>40231.64583</v>
      </c>
      <c r="B2515" s="1">
        <f>IFERROR(__xludf.DUMMYFUNCTION("""COMPUTED_VALUE"""),244.0)</f>
        <v>244</v>
      </c>
      <c r="C2515" s="1">
        <f>IFERROR(__xludf.DUMMYFUNCTION("""COMPUTED_VALUE"""),247.35)</f>
        <v>247.35</v>
      </c>
      <c r="D2515" s="1">
        <f>IFERROR(__xludf.DUMMYFUNCTION("""COMPUTED_VALUE"""),242.0)</f>
        <v>242</v>
      </c>
      <c r="E2515" s="1">
        <f>IFERROR(__xludf.DUMMYFUNCTION("""COMPUTED_VALUE"""),246.15)</f>
        <v>246.15</v>
      </c>
      <c r="F2515" s="1">
        <f>IFERROR(__xludf.DUMMYFUNCTION("""COMPUTED_VALUE"""),2280787.0)</f>
        <v>2280787</v>
      </c>
    </row>
    <row r="2516">
      <c r="A2516" s="2">
        <f>IFERROR(__xludf.DUMMYFUNCTION("""COMPUTED_VALUE"""),40232.645833333336)</f>
        <v>40232.64583</v>
      </c>
      <c r="B2516" s="1">
        <f>IFERROR(__xludf.DUMMYFUNCTION("""COMPUTED_VALUE"""),244.0)</f>
        <v>244</v>
      </c>
      <c r="C2516" s="1">
        <f>IFERROR(__xludf.DUMMYFUNCTION("""COMPUTED_VALUE"""),245.9)</f>
        <v>245.9</v>
      </c>
      <c r="D2516" s="1">
        <f>IFERROR(__xludf.DUMMYFUNCTION("""COMPUTED_VALUE"""),242.75)</f>
        <v>242.75</v>
      </c>
      <c r="E2516" s="1">
        <f>IFERROR(__xludf.DUMMYFUNCTION("""COMPUTED_VALUE"""),244.9)</f>
        <v>244.9</v>
      </c>
      <c r="F2516" s="1">
        <f>IFERROR(__xludf.DUMMYFUNCTION("""COMPUTED_VALUE"""),908983.0)</f>
        <v>908983</v>
      </c>
    </row>
    <row r="2517">
      <c r="A2517" s="2">
        <f>IFERROR(__xludf.DUMMYFUNCTION("""COMPUTED_VALUE"""),40233.645833333336)</f>
        <v>40233.64583</v>
      </c>
      <c r="B2517" s="1">
        <f>IFERROR(__xludf.DUMMYFUNCTION("""COMPUTED_VALUE"""),244.0)</f>
        <v>244</v>
      </c>
      <c r="C2517" s="1">
        <f>IFERROR(__xludf.DUMMYFUNCTION("""COMPUTED_VALUE"""),245.2)</f>
        <v>245.2</v>
      </c>
      <c r="D2517" s="1">
        <f>IFERROR(__xludf.DUMMYFUNCTION("""COMPUTED_VALUE"""),241.0)</f>
        <v>241</v>
      </c>
      <c r="E2517" s="1">
        <f>IFERROR(__xludf.DUMMYFUNCTION("""COMPUTED_VALUE"""),242.15)</f>
        <v>242.15</v>
      </c>
      <c r="F2517" s="1">
        <f>IFERROR(__xludf.DUMMYFUNCTION("""COMPUTED_VALUE"""),1102320.0)</f>
        <v>1102320</v>
      </c>
    </row>
    <row r="2518">
      <c r="A2518" s="2">
        <f>IFERROR(__xludf.DUMMYFUNCTION("""COMPUTED_VALUE"""),40234.645833333336)</f>
        <v>40234.64583</v>
      </c>
      <c r="B2518" s="1">
        <f>IFERROR(__xludf.DUMMYFUNCTION("""COMPUTED_VALUE"""),241.15)</f>
        <v>241.15</v>
      </c>
      <c r="C2518" s="1">
        <f>IFERROR(__xludf.DUMMYFUNCTION("""COMPUTED_VALUE"""),242.95)</f>
        <v>242.95</v>
      </c>
      <c r="D2518" s="1">
        <f>IFERROR(__xludf.DUMMYFUNCTION("""COMPUTED_VALUE"""),232.65)</f>
        <v>232.65</v>
      </c>
      <c r="E2518" s="1">
        <f>IFERROR(__xludf.DUMMYFUNCTION("""COMPUTED_VALUE"""),235.2)</f>
        <v>235.2</v>
      </c>
      <c r="F2518" s="1">
        <f>IFERROR(__xludf.DUMMYFUNCTION("""COMPUTED_VALUE"""),2791186.0)</f>
        <v>2791186</v>
      </c>
    </row>
    <row r="2519">
      <c r="A2519" s="2">
        <f>IFERROR(__xludf.DUMMYFUNCTION("""COMPUTED_VALUE"""),40235.645833333336)</f>
        <v>40235.64583</v>
      </c>
      <c r="B2519" s="1">
        <f>IFERROR(__xludf.DUMMYFUNCTION("""COMPUTED_VALUE"""),239.85)</f>
        <v>239.85</v>
      </c>
      <c r="C2519" s="1">
        <f>IFERROR(__xludf.DUMMYFUNCTION("""COMPUTED_VALUE"""),241.45)</f>
        <v>241.45</v>
      </c>
      <c r="D2519" s="1">
        <f>IFERROR(__xludf.DUMMYFUNCTION("""COMPUTED_VALUE"""),235.0)</f>
        <v>235</v>
      </c>
      <c r="E2519" s="1">
        <f>IFERROR(__xludf.DUMMYFUNCTION("""COMPUTED_VALUE"""),236.2)</f>
        <v>236.2</v>
      </c>
      <c r="F2519" s="1">
        <f>IFERROR(__xludf.DUMMYFUNCTION("""COMPUTED_VALUE"""),1519988.0)</f>
        <v>1519988</v>
      </c>
    </row>
    <row r="2520">
      <c r="A2520" s="2">
        <f>IFERROR(__xludf.DUMMYFUNCTION("""COMPUTED_VALUE"""),40239.645833333336)</f>
        <v>40239.64583</v>
      </c>
      <c r="B2520" s="1">
        <f>IFERROR(__xludf.DUMMYFUNCTION("""COMPUTED_VALUE"""),234.0)</f>
        <v>234</v>
      </c>
      <c r="C2520" s="1">
        <f>IFERROR(__xludf.DUMMYFUNCTION("""COMPUTED_VALUE"""),238.0)</f>
        <v>238</v>
      </c>
      <c r="D2520" s="1">
        <f>IFERROR(__xludf.DUMMYFUNCTION("""COMPUTED_VALUE"""),232.9)</f>
        <v>232.9</v>
      </c>
      <c r="E2520" s="1">
        <f>IFERROR(__xludf.DUMMYFUNCTION("""COMPUTED_VALUE"""),234.45)</f>
        <v>234.45</v>
      </c>
      <c r="F2520" s="1">
        <f>IFERROR(__xludf.DUMMYFUNCTION("""COMPUTED_VALUE"""),1784738.0)</f>
        <v>1784738</v>
      </c>
    </row>
    <row r="2521">
      <c r="A2521" s="2">
        <f>IFERROR(__xludf.DUMMYFUNCTION("""COMPUTED_VALUE"""),40240.645833333336)</f>
        <v>40240.64583</v>
      </c>
      <c r="B2521" s="1">
        <f>IFERROR(__xludf.DUMMYFUNCTION("""COMPUTED_VALUE"""),235.0)</f>
        <v>235</v>
      </c>
      <c r="C2521" s="1">
        <f>IFERROR(__xludf.DUMMYFUNCTION("""COMPUTED_VALUE"""),240.0)</f>
        <v>240</v>
      </c>
      <c r="D2521" s="1">
        <f>IFERROR(__xludf.DUMMYFUNCTION("""COMPUTED_VALUE"""),235.0)</f>
        <v>235</v>
      </c>
      <c r="E2521" s="1">
        <f>IFERROR(__xludf.DUMMYFUNCTION("""COMPUTED_VALUE"""),239.1)</f>
        <v>239.1</v>
      </c>
      <c r="F2521" s="1">
        <f>IFERROR(__xludf.DUMMYFUNCTION("""COMPUTED_VALUE"""),2569749.0)</f>
        <v>2569749</v>
      </c>
    </row>
    <row r="2522">
      <c r="A2522" s="2">
        <f>IFERROR(__xludf.DUMMYFUNCTION("""COMPUTED_VALUE"""),40241.645833333336)</f>
        <v>40241.64583</v>
      </c>
      <c r="B2522" s="1">
        <f>IFERROR(__xludf.DUMMYFUNCTION("""COMPUTED_VALUE"""),239.1)</f>
        <v>239.1</v>
      </c>
      <c r="C2522" s="1">
        <f>IFERROR(__xludf.DUMMYFUNCTION("""COMPUTED_VALUE"""),244.35)</f>
        <v>244.35</v>
      </c>
      <c r="D2522" s="1">
        <f>IFERROR(__xludf.DUMMYFUNCTION("""COMPUTED_VALUE"""),235.8)</f>
        <v>235.8</v>
      </c>
      <c r="E2522" s="1">
        <f>IFERROR(__xludf.DUMMYFUNCTION("""COMPUTED_VALUE"""),243.45)</f>
        <v>243.45</v>
      </c>
      <c r="F2522" s="1">
        <f>IFERROR(__xludf.DUMMYFUNCTION("""COMPUTED_VALUE"""),2585303.0)</f>
        <v>2585303</v>
      </c>
    </row>
    <row r="2523">
      <c r="A2523" s="2">
        <f>IFERROR(__xludf.DUMMYFUNCTION("""COMPUTED_VALUE"""),40242.645833333336)</f>
        <v>40242.64583</v>
      </c>
      <c r="B2523" s="1">
        <f>IFERROR(__xludf.DUMMYFUNCTION("""COMPUTED_VALUE"""),242.1)</f>
        <v>242.1</v>
      </c>
      <c r="C2523" s="1">
        <f>IFERROR(__xludf.DUMMYFUNCTION("""COMPUTED_VALUE"""),244.4)</f>
        <v>244.4</v>
      </c>
      <c r="D2523" s="1">
        <f>IFERROR(__xludf.DUMMYFUNCTION("""COMPUTED_VALUE"""),241.15)</f>
        <v>241.15</v>
      </c>
      <c r="E2523" s="1">
        <f>IFERROR(__xludf.DUMMYFUNCTION("""COMPUTED_VALUE"""),243.0)</f>
        <v>243</v>
      </c>
      <c r="F2523" s="1">
        <f>IFERROR(__xludf.DUMMYFUNCTION("""COMPUTED_VALUE"""),588200.0)</f>
        <v>588200</v>
      </c>
    </row>
    <row r="2524">
      <c r="A2524" s="2">
        <f>IFERROR(__xludf.DUMMYFUNCTION("""COMPUTED_VALUE"""),40245.645833333336)</f>
        <v>40245.64583</v>
      </c>
      <c r="B2524" s="1">
        <f>IFERROR(__xludf.DUMMYFUNCTION("""COMPUTED_VALUE"""),243.0)</f>
        <v>243</v>
      </c>
      <c r="C2524" s="1">
        <f>IFERROR(__xludf.DUMMYFUNCTION("""COMPUTED_VALUE"""),244.7)</f>
        <v>244.7</v>
      </c>
      <c r="D2524" s="1">
        <f>IFERROR(__xludf.DUMMYFUNCTION("""COMPUTED_VALUE"""),237.55)</f>
        <v>237.55</v>
      </c>
      <c r="E2524" s="1">
        <f>IFERROR(__xludf.DUMMYFUNCTION("""COMPUTED_VALUE"""),238.75)</f>
        <v>238.75</v>
      </c>
      <c r="F2524" s="1">
        <f>IFERROR(__xludf.DUMMYFUNCTION("""COMPUTED_VALUE"""),2970886.0)</f>
        <v>2970886</v>
      </c>
    </row>
    <row r="2525">
      <c r="A2525" s="2">
        <f>IFERROR(__xludf.DUMMYFUNCTION("""COMPUTED_VALUE"""),40246.645833333336)</f>
        <v>40246.64583</v>
      </c>
      <c r="B2525" s="1">
        <f>IFERROR(__xludf.DUMMYFUNCTION("""COMPUTED_VALUE"""),238.0)</f>
        <v>238</v>
      </c>
      <c r="C2525" s="1">
        <f>IFERROR(__xludf.DUMMYFUNCTION("""COMPUTED_VALUE"""),239.95)</f>
        <v>239.95</v>
      </c>
      <c r="D2525" s="1">
        <f>IFERROR(__xludf.DUMMYFUNCTION("""COMPUTED_VALUE"""),235.0)</f>
        <v>235</v>
      </c>
      <c r="E2525" s="1">
        <f>IFERROR(__xludf.DUMMYFUNCTION("""COMPUTED_VALUE"""),236.05)</f>
        <v>236.05</v>
      </c>
      <c r="F2525" s="1">
        <f>IFERROR(__xludf.DUMMYFUNCTION("""COMPUTED_VALUE"""),1719797.0)</f>
        <v>1719797</v>
      </c>
    </row>
    <row r="2526">
      <c r="A2526" s="2">
        <f>IFERROR(__xludf.DUMMYFUNCTION("""COMPUTED_VALUE"""),40247.645833333336)</f>
        <v>40247.64583</v>
      </c>
      <c r="B2526" s="1">
        <f>IFERROR(__xludf.DUMMYFUNCTION("""COMPUTED_VALUE"""),235.4)</f>
        <v>235.4</v>
      </c>
      <c r="C2526" s="1">
        <f>IFERROR(__xludf.DUMMYFUNCTION("""COMPUTED_VALUE"""),240.0)</f>
        <v>240</v>
      </c>
      <c r="D2526" s="1">
        <f>IFERROR(__xludf.DUMMYFUNCTION("""COMPUTED_VALUE"""),235.4)</f>
        <v>235.4</v>
      </c>
      <c r="E2526" s="1">
        <f>IFERROR(__xludf.DUMMYFUNCTION("""COMPUTED_VALUE"""),239.75)</f>
        <v>239.75</v>
      </c>
      <c r="F2526" s="1">
        <f>IFERROR(__xludf.DUMMYFUNCTION("""COMPUTED_VALUE"""),1600336.0)</f>
        <v>1600336</v>
      </c>
    </row>
    <row r="2527">
      <c r="A2527" s="2">
        <f>IFERROR(__xludf.DUMMYFUNCTION("""COMPUTED_VALUE"""),40248.645833333336)</f>
        <v>40248.64583</v>
      </c>
      <c r="B2527" s="1">
        <f>IFERROR(__xludf.DUMMYFUNCTION("""COMPUTED_VALUE"""),236.35)</f>
        <v>236.35</v>
      </c>
      <c r="C2527" s="1">
        <f>IFERROR(__xludf.DUMMYFUNCTION("""COMPUTED_VALUE"""),239.45)</f>
        <v>239.45</v>
      </c>
      <c r="D2527" s="1">
        <f>IFERROR(__xludf.DUMMYFUNCTION("""COMPUTED_VALUE"""),228.15)</f>
        <v>228.15</v>
      </c>
      <c r="E2527" s="1">
        <f>IFERROR(__xludf.DUMMYFUNCTION("""COMPUTED_VALUE"""),228.8)</f>
        <v>228.8</v>
      </c>
      <c r="F2527" s="1">
        <f>IFERROR(__xludf.DUMMYFUNCTION("""COMPUTED_VALUE"""),5414907.0)</f>
        <v>5414907</v>
      </c>
    </row>
    <row r="2528">
      <c r="A2528" s="2">
        <f>IFERROR(__xludf.DUMMYFUNCTION("""COMPUTED_VALUE"""),40249.645833333336)</f>
        <v>40249.64583</v>
      </c>
      <c r="B2528" s="1">
        <f>IFERROR(__xludf.DUMMYFUNCTION("""COMPUTED_VALUE"""),228.8)</f>
        <v>228.8</v>
      </c>
      <c r="C2528" s="1">
        <f>IFERROR(__xludf.DUMMYFUNCTION("""COMPUTED_VALUE"""),228.8)</f>
        <v>228.8</v>
      </c>
      <c r="D2528" s="1">
        <f>IFERROR(__xludf.DUMMYFUNCTION("""COMPUTED_VALUE"""),218.4)</f>
        <v>218.4</v>
      </c>
      <c r="E2528" s="1">
        <f>IFERROR(__xludf.DUMMYFUNCTION("""COMPUTED_VALUE"""),219.4)</f>
        <v>219.4</v>
      </c>
      <c r="F2528" s="1">
        <f>IFERROR(__xludf.DUMMYFUNCTION("""COMPUTED_VALUE"""),1.012566E7)</f>
        <v>10125660</v>
      </c>
    </row>
    <row r="2529">
      <c r="A2529" s="2">
        <f>IFERROR(__xludf.DUMMYFUNCTION("""COMPUTED_VALUE"""),40252.645833333336)</f>
        <v>40252.64583</v>
      </c>
      <c r="B2529" s="1">
        <f>IFERROR(__xludf.DUMMYFUNCTION("""COMPUTED_VALUE"""),221.4)</f>
        <v>221.4</v>
      </c>
      <c r="C2529" s="1">
        <f>IFERROR(__xludf.DUMMYFUNCTION("""COMPUTED_VALUE"""),227.0)</f>
        <v>227</v>
      </c>
      <c r="D2529" s="1">
        <f>IFERROR(__xludf.DUMMYFUNCTION("""COMPUTED_VALUE"""),218.0)</f>
        <v>218</v>
      </c>
      <c r="E2529" s="1">
        <f>IFERROR(__xludf.DUMMYFUNCTION("""COMPUTED_VALUE"""),225.55)</f>
        <v>225.55</v>
      </c>
      <c r="F2529" s="1">
        <f>IFERROR(__xludf.DUMMYFUNCTION("""COMPUTED_VALUE"""),6329071.0)</f>
        <v>6329071</v>
      </c>
    </row>
    <row r="2530">
      <c r="A2530" s="2">
        <f>IFERROR(__xludf.DUMMYFUNCTION("""COMPUTED_VALUE"""),40253.645833333336)</f>
        <v>40253.64583</v>
      </c>
      <c r="B2530" s="1">
        <f>IFERROR(__xludf.DUMMYFUNCTION("""COMPUTED_VALUE"""),226.15)</f>
        <v>226.15</v>
      </c>
      <c r="C2530" s="1">
        <f>IFERROR(__xludf.DUMMYFUNCTION("""COMPUTED_VALUE"""),227.7)</f>
        <v>227.7</v>
      </c>
      <c r="D2530" s="1">
        <f>IFERROR(__xludf.DUMMYFUNCTION("""COMPUTED_VALUE"""),225.05)</f>
        <v>225.05</v>
      </c>
      <c r="E2530" s="1">
        <f>IFERROR(__xludf.DUMMYFUNCTION("""COMPUTED_VALUE"""),226.7)</f>
        <v>226.7</v>
      </c>
      <c r="F2530" s="1">
        <f>IFERROR(__xludf.DUMMYFUNCTION("""COMPUTED_VALUE"""),1801538.0)</f>
        <v>1801538</v>
      </c>
    </row>
    <row r="2531">
      <c r="A2531" s="2">
        <f>IFERROR(__xludf.DUMMYFUNCTION("""COMPUTED_VALUE"""),40254.645833333336)</f>
        <v>40254.64583</v>
      </c>
      <c r="B2531" s="1">
        <f>IFERROR(__xludf.DUMMYFUNCTION("""COMPUTED_VALUE"""),227.5)</f>
        <v>227.5</v>
      </c>
      <c r="C2531" s="1">
        <f>IFERROR(__xludf.DUMMYFUNCTION("""COMPUTED_VALUE"""),228.75)</f>
        <v>228.75</v>
      </c>
      <c r="D2531" s="1">
        <f>IFERROR(__xludf.DUMMYFUNCTION("""COMPUTED_VALUE"""),222.8)</f>
        <v>222.8</v>
      </c>
      <c r="E2531" s="1">
        <f>IFERROR(__xludf.DUMMYFUNCTION("""COMPUTED_VALUE"""),223.9)</f>
        <v>223.9</v>
      </c>
      <c r="F2531" s="1">
        <f>IFERROR(__xludf.DUMMYFUNCTION("""COMPUTED_VALUE"""),5445508.0)</f>
        <v>5445508</v>
      </c>
    </row>
    <row r="2532">
      <c r="A2532" s="2">
        <f>IFERROR(__xludf.DUMMYFUNCTION("""COMPUTED_VALUE"""),40255.645833333336)</f>
        <v>40255.64583</v>
      </c>
      <c r="B2532" s="1">
        <f>IFERROR(__xludf.DUMMYFUNCTION("""COMPUTED_VALUE"""),224.0)</f>
        <v>224</v>
      </c>
      <c r="C2532" s="1">
        <f>IFERROR(__xludf.DUMMYFUNCTION("""COMPUTED_VALUE"""),226.95)</f>
        <v>226.95</v>
      </c>
      <c r="D2532" s="1">
        <f>IFERROR(__xludf.DUMMYFUNCTION("""COMPUTED_VALUE"""),223.6)</f>
        <v>223.6</v>
      </c>
      <c r="E2532" s="1">
        <f>IFERROR(__xludf.DUMMYFUNCTION("""COMPUTED_VALUE"""),224.85)</f>
        <v>224.85</v>
      </c>
      <c r="F2532" s="1">
        <f>IFERROR(__xludf.DUMMYFUNCTION("""COMPUTED_VALUE"""),2260551.0)</f>
        <v>2260551</v>
      </c>
    </row>
    <row r="2533">
      <c r="A2533" s="2">
        <f>IFERROR(__xludf.DUMMYFUNCTION("""COMPUTED_VALUE"""),40256.645833333336)</f>
        <v>40256.64583</v>
      </c>
      <c r="B2533" s="1">
        <f>IFERROR(__xludf.DUMMYFUNCTION("""COMPUTED_VALUE"""),224.85)</f>
        <v>224.85</v>
      </c>
      <c r="C2533" s="1">
        <f>IFERROR(__xludf.DUMMYFUNCTION("""COMPUTED_VALUE"""),229.9)</f>
        <v>229.9</v>
      </c>
      <c r="D2533" s="1">
        <f>IFERROR(__xludf.DUMMYFUNCTION("""COMPUTED_VALUE"""),224.5)</f>
        <v>224.5</v>
      </c>
      <c r="E2533" s="1">
        <f>IFERROR(__xludf.DUMMYFUNCTION("""COMPUTED_VALUE"""),228.95)</f>
        <v>228.95</v>
      </c>
      <c r="F2533" s="1">
        <f>IFERROR(__xludf.DUMMYFUNCTION("""COMPUTED_VALUE"""),2391153.0)</f>
        <v>2391153</v>
      </c>
    </row>
    <row r="2534">
      <c r="A2534" s="2">
        <f>IFERROR(__xludf.DUMMYFUNCTION("""COMPUTED_VALUE"""),40259.645833333336)</f>
        <v>40259.64583</v>
      </c>
      <c r="B2534" s="1">
        <f>IFERROR(__xludf.DUMMYFUNCTION("""COMPUTED_VALUE"""),228.0)</f>
        <v>228</v>
      </c>
      <c r="C2534" s="1">
        <f>IFERROR(__xludf.DUMMYFUNCTION("""COMPUTED_VALUE"""),229.5)</f>
        <v>229.5</v>
      </c>
      <c r="D2534" s="1">
        <f>IFERROR(__xludf.DUMMYFUNCTION("""COMPUTED_VALUE"""),226.0)</f>
        <v>226</v>
      </c>
      <c r="E2534" s="1">
        <f>IFERROR(__xludf.DUMMYFUNCTION("""COMPUTED_VALUE"""),228.25)</f>
        <v>228.25</v>
      </c>
      <c r="F2534" s="1">
        <f>IFERROR(__xludf.DUMMYFUNCTION("""COMPUTED_VALUE"""),1821015.0)</f>
        <v>1821015</v>
      </c>
    </row>
    <row r="2535">
      <c r="A2535" s="2">
        <f>IFERROR(__xludf.DUMMYFUNCTION("""COMPUTED_VALUE"""),40260.645833333336)</f>
        <v>40260.64583</v>
      </c>
      <c r="B2535" s="1">
        <f>IFERROR(__xludf.DUMMYFUNCTION("""COMPUTED_VALUE"""),228.75)</f>
        <v>228.75</v>
      </c>
      <c r="C2535" s="1">
        <f>IFERROR(__xludf.DUMMYFUNCTION("""COMPUTED_VALUE"""),230.3)</f>
        <v>230.3</v>
      </c>
      <c r="D2535" s="1">
        <f>IFERROR(__xludf.DUMMYFUNCTION("""COMPUTED_VALUE"""),227.6)</f>
        <v>227.6</v>
      </c>
      <c r="E2535" s="1">
        <f>IFERROR(__xludf.DUMMYFUNCTION("""COMPUTED_VALUE"""),228.5)</f>
        <v>228.5</v>
      </c>
      <c r="F2535" s="1">
        <f>IFERROR(__xludf.DUMMYFUNCTION("""COMPUTED_VALUE"""),2591544.0)</f>
        <v>2591544</v>
      </c>
    </row>
    <row r="2536">
      <c r="A2536" s="2">
        <f>IFERROR(__xludf.DUMMYFUNCTION("""COMPUTED_VALUE"""),40262.645833333336)</f>
        <v>40262.64583</v>
      </c>
      <c r="B2536" s="1">
        <f>IFERROR(__xludf.DUMMYFUNCTION("""COMPUTED_VALUE"""),226.0)</f>
        <v>226</v>
      </c>
      <c r="C2536" s="1">
        <f>IFERROR(__xludf.DUMMYFUNCTION("""COMPUTED_VALUE"""),234.0)</f>
        <v>234</v>
      </c>
      <c r="D2536" s="1">
        <f>IFERROR(__xludf.DUMMYFUNCTION("""COMPUTED_VALUE"""),226.0)</f>
        <v>226</v>
      </c>
      <c r="E2536" s="1">
        <f>IFERROR(__xludf.DUMMYFUNCTION("""COMPUTED_VALUE"""),232.0)</f>
        <v>232</v>
      </c>
      <c r="F2536" s="1">
        <f>IFERROR(__xludf.DUMMYFUNCTION("""COMPUTED_VALUE"""),5722411.0)</f>
        <v>5722411</v>
      </c>
    </row>
    <row r="2537">
      <c r="A2537" s="2">
        <f>IFERROR(__xludf.DUMMYFUNCTION("""COMPUTED_VALUE"""),40263.645833333336)</f>
        <v>40263.64583</v>
      </c>
      <c r="B2537" s="1">
        <f>IFERROR(__xludf.DUMMYFUNCTION("""COMPUTED_VALUE"""),233.8)</f>
        <v>233.8</v>
      </c>
      <c r="C2537" s="1">
        <f>IFERROR(__xludf.DUMMYFUNCTION("""COMPUTED_VALUE"""),239.4)</f>
        <v>239.4</v>
      </c>
      <c r="D2537" s="1">
        <f>IFERROR(__xludf.DUMMYFUNCTION("""COMPUTED_VALUE"""),232.1)</f>
        <v>232.1</v>
      </c>
      <c r="E2537" s="1">
        <f>IFERROR(__xludf.DUMMYFUNCTION("""COMPUTED_VALUE"""),238.5)</f>
        <v>238.5</v>
      </c>
      <c r="F2537" s="1">
        <f>IFERROR(__xludf.DUMMYFUNCTION("""COMPUTED_VALUE"""),5921814.0)</f>
        <v>5921814</v>
      </c>
    </row>
    <row r="2538">
      <c r="A2538" s="2">
        <f>IFERROR(__xludf.DUMMYFUNCTION("""COMPUTED_VALUE"""),40266.645833333336)</f>
        <v>40266.64583</v>
      </c>
      <c r="B2538" s="1">
        <f>IFERROR(__xludf.DUMMYFUNCTION("""COMPUTED_VALUE"""),238.8)</f>
        <v>238.8</v>
      </c>
      <c r="C2538" s="1">
        <f>IFERROR(__xludf.DUMMYFUNCTION("""COMPUTED_VALUE"""),240.4)</f>
        <v>240.4</v>
      </c>
      <c r="D2538" s="1">
        <f>IFERROR(__xludf.DUMMYFUNCTION("""COMPUTED_VALUE"""),238.0)</f>
        <v>238</v>
      </c>
      <c r="E2538" s="1">
        <f>IFERROR(__xludf.DUMMYFUNCTION("""COMPUTED_VALUE"""),239.7)</f>
        <v>239.7</v>
      </c>
      <c r="F2538" s="1">
        <f>IFERROR(__xludf.DUMMYFUNCTION("""COMPUTED_VALUE"""),2712461.0)</f>
        <v>2712461</v>
      </c>
    </row>
    <row r="2539">
      <c r="A2539" s="2">
        <f>IFERROR(__xludf.DUMMYFUNCTION("""COMPUTED_VALUE"""),40267.645833333336)</f>
        <v>40267.64583</v>
      </c>
      <c r="B2539" s="1">
        <f>IFERROR(__xludf.DUMMYFUNCTION("""COMPUTED_VALUE"""),240.0)</f>
        <v>240</v>
      </c>
      <c r="C2539" s="1">
        <f>IFERROR(__xludf.DUMMYFUNCTION("""COMPUTED_VALUE"""),242.3)</f>
        <v>242.3</v>
      </c>
      <c r="D2539" s="1">
        <f>IFERROR(__xludf.DUMMYFUNCTION("""COMPUTED_VALUE"""),239.15)</f>
        <v>239.15</v>
      </c>
      <c r="E2539" s="1">
        <f>IFERROR(__xludf.DUMMYFUNCTION("""COMPUTED_VALUE"""),241.85)</f>
        <v>241.85</v>
      </c>
      <c r="F2539" s="1">
        <f>IFERROR(__xludf.DUMMYFUNCTION("""COMPUTED_VALUE"""),3422200.0)</f>
        <v>3422200</v>
      </c>
    </row>
    <row r="2540">
      <c r="A2540" s="2">
        <f>IFERROR(__xludf.DUMMYFUNCTION("""COMPUTED_VALUE"""),40268.645833333336)</f>
        <v>40268.64583</v>
      </c>
      <c r="B2540" s="1">
        <f>IFERROR(__xludf.DUMMYFUNCTION("""COMPUTED_VALUE"""),241.1)</f>
        <v>241.1</v>
      </c>
      <c r="C2540" s="1">
        <f>IFERROR(__xludf.DUMMYFUNCTION("""COMPUTED_VALUE"""),242.0)</f>
        <v>242</v>
      </c>
      <c r="D2540" s="1">
        <f>IFERROR(__xludf.DUMMYFUNCTION("""COMPUTED_VALUE"""),238.05)</f>
        <v>238.05</v>
      </c>
      <c r="E2540" s="1">
        <f>IFERROR(__xludf.DUMMYFUNCTION("""COMPUTED_VALUE"""),239.55)</f>
        <v>239.55</v>
      </c>
      <c r="F2540" s="1">
        <f>IFERROR(__xludf.DUMMYFUNCTION("""COMPUTED_VALUE"""),2407315.0)</f>
        <v>2407315</v>
      </c>
    </row>
    <row r="2541">
      <c r="A2541" s="2">
        <f>IFERROR(__xludf.DUMMYFUNCTION("""COMPUTED_VALUE"""),40269.645833333336)</f>
        <v>40269.64583</v>
      </c>
      <c r="B2541" s="1">
        <f>IFERROR(__xludf.DUMMYFUNCTION("""COMPUTED_VALUE"""),240.4)</f>
        <v>240.4</v>
      </c>
      <c r="C2541" s="1">
        <f>IFERROR(__xludf.DUMMYFUNCTION("""COMPUTED_VALUE"""),240.45)</f>
        <v>240.45</v>
      </c>
      <c r="D2541" s="1">
        <f>IFERROR(__xludf.DUMMYFUNCTION("""COMPUTED_VALUE"""),230.0)</f>
        <v>230</v>
      </c>
      <c r="E2541" s="1">
        <f>IFERROR(__xludf.DUMMYFUNCTION("""COMPUTED_VALUE"""),230.4)</f>
        <v>230.4</v>
      </c>
      <c r="F2541" s="1">
        <f>IFERROR(__xludf.DUMMYFUNCTION("""COMPUTED_VALUE"""),3320590.0)</f>
        <v>3320590</v>
      </c>
    </row>
    <row r="2542">
      <c r="A2542" s="2">
        <f>IFERROR(__xludf.DUMMYFUNCTION("""COMPUTED_VALUE"""),40273.645833333336)</f>
        <v>40273.64583</v>
      </c>
      <c r="B2542" s="1">
        <f>IFERROR(__xludf.DUMMYFUNCTION("""COMPUTED_VALUE"""),231.1)</f>
        <v>231.1</v>
      </c>
      <c r="C2542" s="1">
        <f>IFERROR(__xludf.DUMMYFUNCTION("""COMPUTED_VALUE"""),232.35)</f>
        <v>232.35</v>
      </c>
      <c r="D2542" s="1">
        <f>IFERROR(__xludf.DUMMYFUNCTION("""COMPUTED_VALUE"""),226.65)</f>
        <v>226.65</v>
      </c>
      <c r="E2542" s="1">
        <f>IFERROR(__xludf.DUMMYFUNCTION("""COMPUTED_VALUE"""),229.1)</f>
        <v>229.1</v>
      </c>
      <c r="F2542" s="1">
        <f>IFERROR(__xludf.DUMMYFUNCTION("""COMPUTED_VALUE"""),3860534.0)</f>
        <v>3860534</v>
      </c>
    </row>
    <row r="2543">
      <c r="A2543" s="2">
        <f>IFERROR(__xludf.DUMMYFUNCTION("""COMPUTED_VALUE"""),40274.645833333336)</f>
        <v>40274.64583</v>
      </c>
      <c r="B2543" s="1">
        <f>IFERROR(__xludf.DUMMYFUNCTION("""COMPUTED_VALUE"""),229.7)</f>
        <v>229.7</v>
      </c>
      <c r="C2543" s="1">
        <f>IFERROR(__xludf.DUMMYFUNCTION("""COMPUTED_VALUE"""),231.65)</f>
        <v>231.65</v>
      </c>
      <c r="D2543" s="1">
        <f>IFERROR(__xludf.DUMMYFUNCTION("""COMPUTED_VALUE"""),228.7)</f>
        <v>228.7</v>
      </c>
      <c r="E2543" s="1">
        <f>IFERROR(__xludf.DUMMYFUNCTION("""COMPUTED_VALUE"""),229.9)</f>
        <v>229.9</v>
      </c>
      <c r="F2543" s="1">
        <f>IFERROR(__xludf.DUMMYFUNCTION("""COMPUTED_VALUE"""),2068525.0)</f>
        <v>2068525</v>
      </c>
    </row>
    <row r="2544">
      <c r="A2544" s="2">
        <f>IFERROR(__xludf.DUMMYFUNCTION("""COMPUTED_VALUE"""),40275.645833333336)</f>
        <v>40275.64583</v>
      </c>
      <c r="B2544" s="1">
        <f>IFERROR(__xludf.DUMMYFUNCTION("""COMPUTED_VALUE"""),230.0)</f>
        <v>230</v>
      </c>
      <c r="C2544" s="1">
        <f>IFERROR(__xludf.DUMMYFUNCTION("""COMPUTED_VALUE"""),231.45)</f>
        <v>231.45</v>
      </c>
      <c r="D2544" s="1">
        <f>IFERROR(__xludf.DUMMYFUNCTION("""COMPUTED_VALUE"""),224.5)</f>
        <v>224.5</v>
      </c>
      <c r="E2544" s="1">
        <f>IFERROR(__xludf.DUMMYFUNCTION("""COMPUTED_VALUE"""),225.0)</f>
        <v>225</v>
      </c>
      <c r="F2544" s="1">
        <f>IFERROR(__xludf.DUMMYFUNCTION("""COMPUTED_VALUE"""),3120048.0)</f>
        <v>3120048</v>
      </c>
    </row>
    <row r="2545">
      <c r="A2545" s="2">
        <f>IFERROR(__xludf.DUMMYFUNCTION("""COMPUTED_VALUE"""),40276.645833333336)</f>
        <v>40276.64583</v>
      </c>
      <c r="B2545" s="1">
        <f>IFERROR(__xludf.DUMMYFUNCTION("""COMPUTED_VALUE"""),224.35)</f>
        <v>224.35</v>
      </c>
      <c r="C2545" s="1">
        <f>IFERROR(__xludf.DUMMYFUNCTION("""COMPUTED_VALUE"""),226.85)</f>
        <v>226.85</v>
      </c>
      <c r="D2545" s="1">
        <f>IFERROR(__xludf.DUMMYFUNCTION("""COMPUTED_VALUE"""),222.0)</f>
        <v>222</v>
      </c>
      <c r="E2545" s="1">
        <f>IFERROR(__xludf.DUMMYFUNCTION("""COMPUTED_VALUE"""),222.7)</f>
        <v>222.7</v>
      </c>
      <c r="F2545" s="1">
        <f>IFERROR(__xludf.DUMMYFUNCTION("""COMPUTED_VALUE"""),2270759.0)</f>
        <v>2270759</v>
      </c>
    </row>
    <row r="2546">
      <c r="A2546" s="2">
        <f>IFERROR(__xludf.DUMMYFUNCTION("""COMPUTED_VALUE"""),40277.645833333336)</f>
        <v>40277.64583</v>
      </c>
      <c r="B2546" s="1">
        <f>IFERROR(__xludf.DUMMYFUNCTION("""COMPUTED_VALUE"""),222.75)</f>
        <v>222.75</v>
      </c>
      <c r="C2546" s="1">
        <f>IFERROR(__xludf.DUMMYFUNCTION("""COMPUTED_VALUE"""),224.8)</f>
        <v>224.8</v>
      </c>
      <c r="D2546" s="1">
        <f>IFERROR(__xludf.DUMMYFUNCTION("""COMPUTED_VALUE"""),220.7)</f>
        <v>220.7</v>
      </c>
      <c r="E2546" s="1">
        <f>IFERROR(__xludf.DUMMYFUNCTION("""COMPUTED_VALUE"""),221.35)</f>
        <v>221.35</v>
      </c>
      <c r="F2546" s="1">
        <f>IFERROR(__xludf.DUMMYFUNCTION("""COMPUTED_VALUE"""),2420707.0)</f>
        <v>2420707</v>
      </c>
    </row>
    <row r="2547">
      <c r="A2547" s="2">
        <f>IFERROR(__xludf.DUMMYFUNCTION("""COMPUTED_VALUE"""),40280.645833333336)</f>
        <v>40280.64583</v>
      </c>
      <c r="B2547" s="1">
        <f>IFERROR(__xludf.DUMMYFUNCTION("""COMPUTED_VALUE"""),221.5)</f>
        <v>221.5</v>
      </c>
      <c r="C2547" s="1">
        <f>IFERROR(__xludf.DUMMYFUNCTION("""COMPUTED_VALUE"""),225.45)</f>
        <v>225.45</v>
      </c>
      <c r="D2547" s="1">
        <f>IFERROR(__xludf.DUMMYFUNCTION("""COMPUTED_VALUE"""),221.5)</f>
        <v>221.5</v>
      </c>
      <c r="E2547" s="1">
        <f>IFERROR(__xludf.DUMMYFUNCTION("""COMPUTED_VALUE"""),224.5)</f>
        <v>224.5</v>
      </c>
      <c r="F2547" s="1">
        <f>IFERROR(__xludf.DUMMYFUNCTION("""COMPUTED_VALUE"""),3422928.0)</f>
        <v>3422928</v>
      </c>
    </row>
    <row r="2548">
      <c r="A2548" s="2">
        <f>IFERROR(__xludf.DUMMYFUNCTION("""COMPUTED_VALUE"""),40281.645833333336)</f>
        <v>40281.64583</v>
      </c>
      <c r="B2548" s="1">
        <f>IFERROR(__xludf.DUMMYFUNCTION("""COMPUTED_VALUE"""),225.0)</f>
        <v>225</v>
      </c>
      <c r="C2548" s="1">
        <f>IFERROR(__xludf.DUMMYFUNCTION("""COMPUTED_VALUE"""),225.1)</f>
        <v>225.1</v>
      </c>
      <c r="D2548" s="1">
        <f>IFERROR(__xludf.DUMMYFUNCTION("""COMPUTED_VALUE"""),222.75)</f>
        <v>222.75</v>
      </c>
      <c r="E2548" s="1">
        <f>IFERROR(__xludf.DUMMYFUNCTION("""COMPUTED_VALUE"""),223.55)</f>
        <v>223.55</v>
      </c>
      <c r="F2548" s="1">
        <f>IFERROR(__xludf.DUMMYFUNCTION("""COMPUTED_VALUE"""),1993094.0)</f>
        <v>1993094</v>
      </c>
    </row>
    <row r="2549">
      <c r="A2549" s="2">
        <f>IFERROR(__xludf.DUMMYFUNCTION("""COMPUTED_VALUE"""),40283.645833333336)</f>
        <v>40283.64583</v>
      </c>
      <c r="B2549" s="1">
        <f>IFERROR(__xludf.DUMMYFUNCTION("""COMPUTED_VALUE"""),224.7)</f>
        <v>224.7</v>
      </c>
      <c r="C2549" s="1">
        <f>IFERROR(__xludf.DUMMYFUNCTION("""COMPUTED_VALUE"""),227.65)</f>
        <v>227.65</v>
      </c>
      <c r="D2549" s="1">
        <f>IFERROR(__xludf.DUMMYFUNCTION("""COMPUTED_VALUE"""),223.7)</f>
        <v>223.7</v>
      </c>
      <c r="E2549" s="1">
        <f>IFERROR(__xludf.DUMMYFUNCTION("""COMPUTED_VALUE"""),225.45)</f>
        <v>225.45</v>
      </c>
      <c r="F2549" s="1">
        <f>IFERROR(__xludf.DUMMYFUNCTION("""COMPUTED_VALUE"""),4342086.0)</f>
        <v>4342086</v>
      </c>
    </row>
    <row r="2550">
      <c r="A2550" s="2">
        <f>IFERROR(__xludf.DUMMYFUNCTION("""COMPUTED_VALUE"""),40284.645833333336)</f>
        <v>40284.64583</v>
      </c>
      <c r="B2550" s="1">
        <f>IFERROR(__xludf.DUMMYFUNCTION("""COMPUTED_VALUE"""),225.45)</f>
        <v>225.45</v>
      </c>
      <c r="C2550" s="1">
        <f>IFERROR(__xludf.DUMMYFUNCTION("""COMPUTED_VALUE"""),227.7)</f>
        <v>227.7</v>
      </c>
      <c r="D2550" s="1">
        <f>IFERROR(__xludf.DUMMYFUNCTION("""COMPUTED_VALUE"""),223.35)</f>
        <v>223.35</v>
      </c>
      <c r="E2550" s="1">
        <f>IFERROR(__xludf.DUMMYFUNCTION("""COMPUTED_VALUE"""),227.0)</f>
        <v>227</v>
      </c>
      <c r="F2550" s="1">
        <f>IFERROR(__xludf.DUMMYFUNCTION("""COMPUTED_VALUE"""),3524900.0)</f>
        <v>3524900</v>
      </c>
    </row>
    <row r="2551">
      <c r="A2551" s="2">
        <f>IFERROR(__xludf.DUMMYFUNCTION("""COMPUTED_VALUE"""),40287.645833333336)</f>
        <v>40287.64583</v>
      </c>
      <c r="B2551" s="1">
        <f>IFERROR(__xludf.DUMMYFUNCTION("""COMPUTED_VALUE"""),226.0)</f>
        <v>226</v>
      </c>
      <c r="C2551" s="1">
        <f>IFERROR(__xludf.DUMMYFUNCTION("""COMPUTED_VALUE"""),226.5)</f>
        <v>226.5</v>
      </c>
      <c r="D2551" s="1">
        <f>IFERROR(__xludf.DUMMYFUNCTION("""COMPUTED_VALUE"""),223.8)</f>
        <v>223.8</v>
      </c>
      <c r="E2551" s="1">
        <f>IFERROR(__xludf.DUMMYFUNCTION("""COMPUTED_VALUE"""),224.75)</f>
        <v>224.75</v>
      </c>
      <c r="F2551" s="1">
        <f>IFERROR(__xludf.DUMMYFUNCTION("""COMPUTED_VALUE"""),1595067.0)</f>
        <v>1595067</v>
      </c>
    </row>
    <row r="2552">
      <c r="A2552" s="2">
        <f>IFERROR(__xludf.DUMMYFUNCTION("""COMPUTED_VALUE"""),40288.645833333336)</f>
        <v>40288.64583</v>
      </c>
      <c r="B2552" s="1">
        <f>IFERROR(__xludf.DUMMYFUNCTION("""COMPUTED_VALUE"""),226.5)</f>
        <v>226.5</v>
      </c>
      <c r="C2552" s="1">
        <f>IFERROR(__xludf.DUMMYFUNCTION("""COMPUTED_VALUE"""),228.6)</f>
        <v>228.6</v>
      </c>
      <c r="D2552" s="1">
        <f>IFERROR(__xludf.DUMMYFUNCTION("""COMPUTED_VALUE"""),224.0)</f>
        <v>224</v>
      </c>
      <c r="E2552" s="1">
        <f>IFERROR(__xludf.DUMMYFUNCTION("""COMPUTED_VALUE"""),227.8)</f>
        <v>227.8</v>
      </c>
      <c r="F2552" s="1">
        <f>IFERROR(__xludf.DUMMYFUNCTION("""COMPUTED_VALUE"""),2193926.0)</f>
        <v>2193926</v>
      </c>
    </row>
    <row r="2553">
      <c r="A2553" s="2">
        <f>IFERROR(__xludf.DUMMYFUNCTION("""COMPUTED_VALUE"""),40289.645833333336)</f>
        <v>40289.64583</v>
      </c>
      <c r="B2553" s="1">
        <f>IFERROR(__xludf.DUMMYFUNCTION("""COMPUTED_VALUE"""),228.2)</f>
        <v>228.2</v>
      </c>
      <c r="C2553" s="1">
        <f>IFERROR(__xludf.DUMMYFUNCTION("""COMPUTED_VALUE"""),234.75)</f>
        <v>234.75</v>
      </c>
      <c r="D2553" s="1">
        <f>IFERROR(__xludf.DUMMYFUNCTION("""COMPUTED_VALUE"""),228.2)</f>
        <v>228.2</v>
      </c>
      <c r="E2553" s="1">
        <f>IFERROR(__xludf.DUMMYFUNCTION("""COMPUTED_VALUE"""),232.85)</f>
        <v>232.85</v>
      </c>
      <c r="F2553" s="1">
        <f>IFERROR(__xludf.DUMMYFUNCTION("""COMPUTED_VALUE"""),4182139.0)</f>
        <v>4182139</v>
      </c>
    </row>
    <row r="2554">
      <c r="A2554" s="2">
        <f>IFERROR(__xludf.DUMMYFUNCTION("""COMPUTED_VALUE"""),40290.645833333336)</f>
        <v>40290.64583</v>
      </c>
      <c r="B2554" s="1">
        <f>IFERROR(__xludf.DUMMYFUNCTION("""COMPUTED_VALUE"""),231.9)</f>
        <v>231.9</v>
      </c>
      <c r="C2554" s="1">
        <f>IFERROR(__xludf.DUMMYFUNCTION("""COMPUTED_VALUE"""),239.95)</f>
        <v>239.95</v>
      </c>
      <c r="D2554" s="1">
        <f>IFERROR(__xludf.DUMMYFUNCTION("""COMPUTED_VALUE"""),231.55)</f>
        <v>231.55</v>
      </c>
      <c r="E2554" s="1">
        <f>IFERROR(__xludf.DUMMYFUNCTION("""COMPUTED_VALUE"""),237.35)</f>
        <v>237.35</v>
      </c>
      <c r="F2554" s="1">
        <f>IFERROR(__xludf.DUMMYFUNCTION("""COMPUTED_VALUE"""),6037737.0)</f>
        <v>6037737</v>
      </c>
    </row>
    <row r="2555">
      <c r="A2555" s="2">
        <f>IFERROR(__xludf.DUMMYFUNCTION("""COMPUTED_VALUE"""),40291.645833333336)</f>
        <v>40291.64583</v>
      </c>
      <c r="B2555" s="1">
        <f>IFERROR(__xludf.DUMMYFUNCTION("""COMPUTED_VALUE"""),236.9)</f>
        <v>236.9</v>
      </c>
      <c r="C2555" s="1">
        <f>IFERROR(__xludf.DUMMYFUNCTION("""COMPUTED_VALUE"""),241.2)</f>
        <v>241.2</v>
      </c>
      <c r="D2555" s="1">
        <f>IFERROR(__xludf.DUMMYFUNCTION("""COMPUTED_VALUE"""),235.05)</f>
        <v>235.05</v>
      </c>
      <c r="E2555" s="1">
        <f>IFERROR(__xludf.DUMMYFUNCTION("""COMPUTED_VALUE"""),239.1)</f>
        <v>239.1</v>
      </c>
      <c r="F2555" s="1">
        <f>IFERROR(__xludf.DUMMYFUNCTION("""COMPUTED_VALUE"""),1959845.0)</f>
        <v>1959845</v>
      </c>
    </row>
    <row r="2556">
      <c r="A2556" s="2">
        <f>IFERROR(__xludf.DUMMYFUNCTION("""COMPUTED_VALUE"""),40294.645833333336)</f>
        <v>40294.64583</v>
      </c>
      <c r="B2556" s="1">
        <f>IFERROR(__xludf.DUMMYFUNCTION("""COMPUTED_VALUE"""),239.5)</f>
        <v>239.5</v>
      </c>
      <c r="C2556" s="1">
        <f>IFERROR(__xludf.DUMMYFUNCTION("""COMPUTED_VALUE"""),242.0)</f>
        <v>242</v>
      </c>
      <c r="D2556" s="1">
        <f>IFERROR(__xludf.DUMMYFUNCTION("""COMPUTED_VALUE"""),239.0)</f>
        <v>239</v>
      </c>
      <c r="E2556" s="1">
        <f>IFERROR(__xludf.DUMMYFUNCTION("""COMPUTED_VALUE"""),241.5)</f>
        <v>241.5</v>
      </c>
      <c r="F2556" s="1">
        <f>IFERROR(__xludf.DUMMYFUNCTION("""COMPUTED_VALUE"""),1822070.0)</f>
        <v>1822070</v>
      </c>
    </row>
    <row r="2557">
      <c r="A2557" s="2">
        <f>IFERROR(__xludf.DUMMYFUNCTION("""COMPUTED_VALUE"""),40295.645833333336)</f>
        <v>40295.64583</v>
      </c>
      <c r="B2557" s="1">
        <f>IFERROR(__xludf.DUMMYFUNCTION("""COMPUTED_VALUE"""),242.6)</f>
        <v>242.6</v>
      </c>
      <c r="C2557" s="1">
        <f>IFERROR(__xludf.DUMMYFUNCTION("""COMPUTED_VALUE"""),243.9)</f>
        <v>243.9</v>
      </c>
      <c r="D2557" s="1">
        <f>IFERROR(__xludf.DUMMYFUNCTION("""COMPUTED_VALUE"""),239.5)</f>
        <v>239.5</v>
      </c>
      <c r="E2557" s="1">
        <f>IFERROR(__xludf.DUMMYFUNCTION("""COMPUTED_VALUE"""),242.65)</f>
        <v>242.65</v>
      </c>
      <c r="F2557" s="1">
        <f>IFERROR(__xludf.DUMMYFUNCTION("""COMPUTED_VALUE"""),2814625.0)</f>
        <v>2814625</v>
      </c>
    </row>
    <row r="2558">
      <c r="A2558" s="2">
        <f>IFERROR(__xludf.DUMMYFUNCTION("""COMPUTED_VALUE"""),40296.645833333336)</f>
        <v>40296.64583</v>
      </c>
      <c r="B2558" s="1">
        <f>IFERROR(__xludf.DUMMYFUNCTION("""COMPUTED_VALUE"""),240.85)</f>
        <v>240.85</v>
      </c>
      <c r="C2558" s="1">
        <f>IFERROR(__xludf.DUMMYFUNCTION("""COMPUTED_VALUE"""),244.0)</f>
        <v>244</v>
      </c>
      <c r="D2558" s="1">
        <f>IFERROR(__xludf.DUMMYFUNCTION("""COMPUTED_VALUE"""),239.0)</f>
        <v>239</v>
      </c>
      <c r="E2558" s="1">
        <f>IFERROR(__xludf.DUMMYFUNCTION("""COMPUTED_VALUE"""),241.95)</f>
        <v>241.95</v>
      </c>
      <c r="F2558" s="1">
        <f>IFERROR(__xludf.DUMMYFUNCTION("""COMPUTED_VALUE"""),2948610.0)</f>
        <v>2948610</v>
      </c>
    </row>
    <row r="2559">
      <c r="A2559" s="2">
        <f>IFERROR(__xludf.DUMMYFUNCTION("""COMPUTED_VALUE"""),40297.645833333336)</f>
        <v>40297.64583</v>
      </c>
      <c r="B2559" s="1">
        <f>IFERROR(__xludf.DUMMYFUNCTION("""COMPUTED_VALUE"""),242.2)</f>
        <v>242.2</v>
      </c>
      <c r="C2559" s="1">
        <f>IFERROR(__xludf.DUMMYFUNCTION("""COMPUTED_VALUE"""),243.05)</f>
        <v>243.05</v>
      </c>
      <c r="D2559" s="1">
        <f>IFERROR(__xludf.DUMMYFUNCTION("""COMPUTED_VALUE"""),231.35)</f>
        <v>231.35</v>
      </c>
      <c r="E2559" s="1">
        <f>IFERROR(__xludf.DUMMYFUNCTION("""COMPUTED_VALUE"""),235.6)</f>
        <v>235.6</v>
      </c>
      <c r="F2559" s="1">
        <f>IFERROR(__xludf.DUMMYFUNCTION("""COMPUTED_VALUE"""),6704079.0)</f>
        <v>6704079</v>
      </c>
    </row>
    <row r="2560">
      <c r="A2560" s="2">
        <f>IFERROR(__xludf.DUMMYFUNCTION("""COMPUTED_VALUE"""),40298.645833333336)</f>
        <v>40298.64583</v>
      </c>
      <c r="B2560" s="1">
        <f>IFERROR(__xludf.DUMMYFUNCTION("""COMPUTED_VALUE"""),240.85)</f>
        <v>240.85</v>
      </c>
      <c r="C2560" s="1">
        <f>IFERROR(__xludf.DUMMYFUNCTION("""COMPUTED_VALUE"""),241.0)</f>
        <v>241</v>
      </c>
      <c r="D2560" s="1">
        <f>IFERROR(__xludf.DUMMYFUNCTION("""COMPUTED_VALUE"""),236.0)</f>
        <v>236</v>
      </c>
      <c r="E2560" s="1">
        <f>IFERROR(__xludf.DUMMYFUNCTION("""COMPUTED_VALUE"""),239.8)</f>
        <v>239.8</v>
      </c>
      <c r="F2560" s="1">
        <f>IFERROR(__xludf.DUMMYFUNCTION("""COMPUTED_VALUE"""),1941014.0)</f>
        <v>1941014</v>
      </c>
    </row>
    <row r="2561">
      <c r="A2561" s="2">
        <f>IFERROR(__xludf.DUMMYFUNCTION("""COMPUTED_VALUE"""),40301.645833333336)</f>
        <v>40301.64583</v>
      </c>
      <c r="B2561" s="1">
        <f>IFERROR(__xludf.DUMMYFUNCTION("""COMPUTED_VALUE"""),240.9)</f>
        <v>240.9</v>
      </c>
      <c r="C2561" s="1">
        <f>IFERROR(__xludf.DUMMYFUNCTION("""COMPUTED_VALUE"""),240.9)</f>
        <v>240.9</v>
      </c>
      <c r="D2561" s="1">
        <f>IFERROR(__xludf.DUMMYFUNCTION("""COMPUTED_VALUE"""),232.8)</f>
        <v>232.8</v>
      </c>
      <c r="E2561" s="1">
        <f>IFERROR(__xludf.DUMMYFUNCTION("""COMPUTED_VALUE"""),233.75)</f>
        <v>233.75</v>
      </c>
      <c r="F2561" s="1">
        <f>IFERROR(__xludf.DUMMYFUNCTION("""COMPUTED_VALUE"""),1013619.0)</f>
        <v>1013619</v>
      </c>
    </row>
    <row r="2562">
      <c r="A2562" s="2">
        <f>IFERROR(__xludf.DUMMYFUNCTION("""COMPUTED_VALUE"""),40302.645833333336)</f>
        <v>40302.64583</v>
      </c>
      <c r="B2562" s="1">
        <f>IFERROR(__xludf.DUMMYFUNCTION("""COMPUTED_VALUE"""),236.8)</f>
        <v>236.8</v>
      </c>
      <c r="C2562" s="1">
        <f>IFERROR(__xludf.DUMMYFUNCTION("""COMPUTED_VALUE"""),236.8)</f>
        <v>236.8</v>
      </c>
      <c r="D2562" s="1">
        <f>IFERROR(__xludf.DUMMYFUNCTION("""COMPUTED_VALUE"""),231.0)</f>
        <v>231</v>
      </c>
      <c r="E2562" s="1">
        <f>IFERROR(__xludf.DUMMYFUNCTION("""COMPUTED_VALUE"""),232.35)</f>
        <v>232.35</v>
      </c>
      <c r="F2562" s="1">
        <f>IFERROR(__xludf.DUMMYFUNCTION("""COMPUTED_VALUE"""),1444286.0)</f>
        <v>1444286</v>
      </c>
    </row>
    <row r="2563">
      <c r="A2563" s="2">
        <f>IFERROR(__xludf.DUMMYFUNCTION("""COMPUTED_VALUE"""),40303.645833333336)</f>
        <v>40303.64583</v>
      </c>
      <c r="B2563" s="1">
        <f>IFERROR(__xludf.DUMMYFUNCTION("""COMPUTED_VALUE"""),242.0)</f>
        <v>242</v>
      </c>
      <c r="C2563" s="1">
        <f>IFERROR(__xludf.DUMMYFUNCTION("""COMPUTED_VALUE"""),242.0)</f>
        <v>242</v>
      </c>
      <c r="D2563" s="1">
        <f>IFERROR(__xludf.DUMMYFUNCTION("""COMPUTED_VALUE"""),227.6)</f>
        <v>227.6</v>
      </c>
      <c r="E2563" s="1">
        <f>IFERROR(__xludf.DUMMYFUNCTION("""COMPUTED_VALUE"""),228.75)</f>
        <v>228.75</v>
      </c>
      <c r="F2563" s="1">
        <f>IFERROR(__xludf.DUMMYFUNCTION("""COMPUTED_VALUE"""),1614615.0)</f>
        <v>1614615</v>
      </c>
    </row>
    <row r="2564">
      <c r="A2564" s="2">
        <f>IFERROR(__xludf.DUMMYFUNCTION("""COMPUTED_VALUE"""),40304.645833333336)</f>
        <v>40304.64583</v>
      </c>
      <c r="B2564" s="1">
        <f>IFERROR(__xludf.DUMMYFUNCTION("""COMPUTED_VALUE"""),227.0)</f>
        <v>227</v>
      </c>
      <c r="C2564" s="1">
        <f>IFERROR(__xludf.DUMMYFUNCTION("""COMPUTED_VALUE"""),235.5)</f>
        <v>235.5</v>
      </c>
      <c r="D2564" s="1">
        <f>IFERROR(__xludf.DUMMYFUNCTION("""COMPUTED_VALUE"""),227.0)</f>
        <v>227</v>
      </c>
      <c r="E2564" s="1">
        <f>IFERROR(__xludf.DUMMYFUNCTION("""COMPUTED_VALUE"""),232.15)</f>
        <v>232.15</v>
      </c>
      <c r="F2564" s="1">
        <f>IFERROR(__xludf.DUMMYFUNCTION("""COMPUTED_VALUE"""),2426265.0)</f>
        <v>2426265</v>
      </c>
    </row>
    <row r="2565">
      <c r="A2565" s="2">
        <f>IFERROR(__xludf.DUMMYFUNCTION("""COMPUTED_VALUE"""),40305.645833333336)</f>
        <v>40305.64583</v>
      </c>
      <c r="B2565" s="1">
        <f>IFERROR(__xludf.DUMMYFUNCTION("""COMPUTED_VALUE"""),236.7)</f>
        <v>236.7</v>
      </c>
      <c r="C2565" s="1">
        <f>IFERROR(__xludf.DUMMYFUNCTION("""COMPUTED_VALUE"""),238.0)</f>
        <v>238</v>
      </c>
      <c r="D2565" s="1">
        <f>IFERROR(__xludf.DUMMYFUNCTION("""COMPUTED_VALUE"""),230.0)</f>
        <v>230</v>
      </c>
      <c r="E2565" s="1">
        <f>IFERROR(__xludf.DUMMYFUNCTION("""COMPUTED_VALUE"""),234.6)</f>
        <v>234.6</v>
      </c>
      <c r="F2565" s="1">
        <f>IFERROR(__xludf.DUMMYFUNCTION("""COMPUTED_VALUE"""),2899346.0)</f>
        <v>2899346</v>
      </c>
    </row>
    <row r="2566">
      <c r="A2566" s="2">
        <f>IFERROR(__xludf.DUMMYFUNCTION("""COMPUTED_VALUE"""),40308.645833333336)</f>
        <v>40308.64583</v>
      </c>
      <c r="B2566" s="1">
        <f>IFERROR(__xludf.DUMMYFUNCTION("""COMPUTED_VALUE"""),257.0)</f>
        <v>257</v>
      </c>
      <c r="C2566" s="1">
        <f>IFERROR(__xludf.DUMMYFUNCTION("""COMPUTED_VALUE"""),257.0)</f>
        <v>257</v>
      </c>
      <c r="D2566" s="1">
        <f>IFERROR(__xludf.DUMMYFUNCTION("""COMPUTED_VALUE"""),234.0)</f>
        <v>234</v>
      </c>
      <c r="E2566" s="1">
        <f>IFERROR(__xludf.DUMMYFUNCTION("""COMPUTED_VALUE"""),236.95)</f>
        <v>236.95</v>
      </c>
      <c r="F2566" s="1">
        <f>IFERROR(__xludf.DUMMYFUNCTION("""COMPUTED_VALUE"""),1103808.0)</f>
        <v>1103808</v>
      </c>
    </row>
    <row r="2567">
      <c r="A2567" s="2">
        <f>IFERROR(__xludf.DUMMYFUNCTION("""COMPUTED_VALUE"""),40309.645833333336)</f>
        <v>40309.64583</v>
      </c>
      <c r="B2567" s="1">
        <f>IFERROR(__xludf.DUMMYFUNCTION("""COMPUTED_VALUE"""),237.35)</f>
        <v>237.35</v>
      </c>
      <c r="C2567" s="1">
        <f>IFERROR(__xludf.DUMMYFUNCTION("""COMPUTED_VALUE"""),237.35)</f>
        <v>237.35</v>
      </c>
      <c r="D2567" s="1">
        <f>IFERROR(__xludf.DUMMYFUNCTION("""COMPUTED_VALUE"""),233.35)</f>
        <v>233.35</v>
      </c>
      <c r="E2567" s="1">
        <f>IFERROR(__xludf.DUMMYFUNCTION("""COMPUTED_VALUE"""),236.85)</f>
        <v>236.85</v>
      </c>
      <c r="F2567" s="1">
        <f>IFERROR(__xludf.DUMMYFUNCTION("""COMPUTED_VALUE"""),940517.0)</f>
        <v>940517</v>
      </c>
    </row>
    <row r="2568">
      <c r="A2568" s="2">
        <f>IFERROR(__xludf.DUMMYFUNCTION("""COMPUTED_VALUE"""),40310.645833333336)</f>
        <v>40310.64583</v>
      </c>
      <c r="B2568" s="1">
        <f>IFERROR(__xludf.DUMMYFUNCTION("""COMPUTED_VALUE"""),239.0)</f>
        <v>239</v>
      </c>
      <c r="C2568" s="1">
        <f>IFERROR(__xludf.DUMMYFUNCTION("""COMPUTED_VALUE"""),239.5)</f>
        <v>239.5</v>
      </c>
      <c r="D2568" s="1">
        <f>IFERROR(__xludf.DUMMYFUNCTION("""COMPUTED_VALUE"""),236.1)</f>
        <v>236.1</v>
      </c>
      <c r="E2568" s="1">
        <f>IFERROR(__xludf.DUMMYFUNCTION("""COMPUTED_VALUE"""),238.5)</f>
        <v>238.5</v>
      </c>
      <c r="F2568" s="1">
        <f>IFERROR(__xludf.DUMMYFUNCTION("""COMPUTED_VALUE"""),1439799.0)</f>
        <v>1439799</v>
      </c>
    </row>
    <row r="2569">
      <c r="A2569" s="2">
        <f>IFERROR(__xludf.DUMMYFUNCTION("""COMPUTED_VALUE"""),40311.645833333336)</f>
        <v>40311.64583</v>
      </c>
      <c r="B2569" s="1">
        <f>IFERROR(__xludf.DUMMYFUNCTION("""COMPUTED_VALUE"""),243.35)</f>
        <v>243.35</v>
      </c>
      <c r="C2569" s="1">
        <f>IFERROR(__xludf.DUMMYFUNCTION("""COMPUTED_VALUE"""),243.35)</f>
        <v>243.35</v>
      </c>
      <c r="D2569" s="1">
        <f>IFERROR(__xludf.DUMMYFUNCTION("""COMPUTED_VALUE"""),237.5)</f>
        <v>237.5</v>
      </c>
      <c r="E2569" s="1">
        <f>IFERROR(__xludf.DUMMYFUNCTION("""COMPUTED_VALUE"""),238.2)</f>
        <v>238.2</v>
      </c>
      <c r="F2569" s="1">
        <f>IFERROR(__xludf.DUMMYFUNCTION("""COMPUTED_VALUE"""),3055333.0)</f>
        <v>3055333</v>
      </c>
    </row>
    <row r="2570">
      <c r="A2570" s="2">
        <f>IFERROR(__xludf.DUMMYFUNCTION("""COMPUTED_VALUE"""),40312.645833333336)</f>
        <v>40312.64583</v>
      </c>
      <c r="B2570" s="1">
        <f>IFERROR(__xludf.DUMMYFUNCTION("""COMPUTED_VALUE"""),242.75)</f>
        <v>242.75</v>
      </c>
      <c r="C2570" s="1">
        <f>IFERROR(__xludf.DUMMYFUNCTION("""COMPUTED_VALUE"""),242.75)</f>
        <v>242.75</v>
      </c>
      <c r="D2570" s="1">
        <f>IFERROR(__xludf.DUMMYFUNCTION("""COMPUTED_VALUE"""),233.35)</f>
        <v>233.35</v>
      </c>
      <c r="E2570" s="1">
        <f>IFERROR(__xludf.DUMMYFUNCTION("""COMPUTED_VALUE"""),233.9)</f>
        <v>233.9</v>
      </c>
      <c r="F2570" s="1">
        <f>IFERROR(__xludf.DUMMYFUNCTION("""COMPUTED_VALUE"""),1605986.0)</f>
        <v>1605986</v>
      </c>
    </row>
    <row r="2571">
      <c r="A2571" s="2">
        <f>IFERROR(__xludf.DUMMYFUNCTION("""COMPUTED_VALUE"""),40315.645833333336)</f>
        <v>40315.64583</v>
      </c>
      <c r="B2571" s="1">
        <f>IFERROR(__xludf.DUMMYFUNCTION("""COMPUTED_VALUE"""),237.1)</f>
        <v>237.1</v>
      </c>
      <c r="C2571" s="1">
        <f>IFERROR(__xludf.DUMMYFUNCTION("""COMPUTED_VALUE"""),241.35)</f>
        <v>241.35</v>
      </c>
      <c r="D2571" s="1">
        <f>IFERROR(__xludf.DUMMYFUNCTION("""COMPUTED_VALUE"""),230.8)</f>
        <v>230.8</v>
      </c>
      <c r="E2571" s="1">
        <f>IFERROR(__xludf.DUMMYFUNCTION("""COMPUTED_VALUE"""),240.05)</f>
        <v>240.05</v>
      </c>
      <c r="F2571" s="1">
        <f>IFERROR(__xludf.DUMMYFUNCTION("""COMPUTED_VALUE"""),1367158.0)</f>
        <v>1367158</v>
      </c>
    </row>
    <row r="2572">
      <c r="A2572" s="2">
        <f>IFERROR(__xludf.DUMMYFUNCTION("""COMPUTED_VALUE"""),40316.645833333336)</f>
        <v>40316.64583</v>
      </c>
      <c r="B2572" s="1">
        <f>IFERROR(__xludf.DUMMYFUNCTION("""COMPUTED_VALUE"""),239.25)</f>
        <v>239.25</v>
      </c>
      <c r="C2572" s="1">
        <f>IFERROR(__xludf.DUMMYFUNCTION("""COMPUTED_VALUE"""),243.2)</f>
        <v>243.2</v>
      </c>
      <c r="D2572" s="1">
        <f>IFERROR(__xludf.DUMMYFUNCTION("""COMPUTED_VALUE"""),236.9)</f>
        <v>236.9</v>
      </c>
      <c r="E2572" s="1">
        <f>IFERROR(__xludf.DUMMYFUNCTION("""COMPUTED_VALUE"""),240.05)</f>
        <v>240.05</v>
      </c>
      <c r="F2572" s="1">
        <f>IFERROR(__xludf.DUMMYFUNCTION("""COMPUTED_VALUE"""),1430937.0)</f>
        <v>1430937</v>
      </c>
    </row>
    <row r="2573">
      <c r="A2573" s="2">
        <f>IFERROR(__xludf.DUMMYFUNCTION("""COMPUTED_VALUE"""),40317.645833333336)</f>
        <v>40317.64583</v>
      </c>
      <c r="B2573" s="1">
        <f>IFERROR(__xludf.DUMMYFUNCTION("""COMPUTED_VALUE"""),246.0)</f>
        <v>246</v>
      </c>
      <c r="C2573" s="1">
        <f>IFERROR(__xludf.DUMMYFUNCTION("""COMPUTED_VALUE"""),246.0)</f>
        <v>246</v>
      </c>
      <c r="D2573" s="1">
        <f>IFERROR(__xludf.DUMMYFUNCTION("""COMPUTED_VALUE"""),232.2)</f>
        <v>232.2</v>
      </c>
      <c r="E2573" s="1">
        <f>IFERROR(__xludf.DUMMYFUNCTION("""COMPUTED_VALUE"""),233.35)</f>
        <v>233.35</v>
      </c>
      <c r="F2573" s="1">
        <f>IFERROR(__xludf.DUMMYFUNCTION("""COMPUTED_VALUE"""),1398580.0)</f>
        <v>1398580</v>
      </c>
    </row>
    <row r="2574">
      <c r="A2574" s="2">
        <f>IFERROR(__xludf.DUMMYFUNCTION("""COMPUTED_VALUE"""),40318.645833333336)</f>
        <v>40318.64583</v>
      </c>
      <c r="B2574" s="1">
        <f>IFERROR(__xludf.DUMMYFUNCTION("""COMPUTED_VALUE"""),233.5)</f>
        <v>233.5</v>
      </c>
      <c r="C2574" s="1">
        <f>IFERROR(__xludf.DUMMYFUNCTION("""COMPUTED_VALUE"""),238.2)</f>
        <v>238.2</v>
      </c>
      <c r="D2574" s="1">
        <f>IFERROR(__xludf.DUMMYFUNCTION("""COMPUTED_VALUE"""),232.5)</f>
        <v>232.5</v>
      </c>
      <c r="E2574" s="1">
        <f>IFERROR(__xludf.DUMMYFUNCTION("""COMPUTED_VALUE"""),236.95)</f>
        <v>236.95</v>
      </c>
      <c r="F2574" s="1">
        <f>IFERROR(__xludf.DUMMYFUNCTION("""COMPUTED_VALUE"""),1826430.0)</f>
        <v>1826430</v>
      </c>
    </row>
    <row r="2575">
      <c r="A2575" s="2">
        <f>IFERROR(__xludf.DUMMYFUNCTION("""COMPUTED_VALUE"""),40319.645833333336)</f>
        <v>40319.64583</v>
      </c>
      <c r="B2575" s="1">
        <f>IFERROR(__xludf.DUMMYFUNCTION("""COMPUTED_VALUE"""),238.1)</f>
        <v>238.1</v>
      </c>
      <c r="C2575" s="1">
        <f>IFERROR(__xludf.DUMMYFUNCTION("""COMPUTED_VALUE"""),238.1)</f>
        <v>238.1</v>
      </c>
      <c r="D2575" s="1">
        <f>IFERROR(__xludf.DUMMYFUNCTION("""COMPUTED_VALUE"""),229.15)</f>
        <v>229.15</v>
      </c>
      <c r="E2575" s="1">
        <f>IFERROR(__xludf.DUMMYFUNCTION("""COMPUTED_VALUE"""),230.7)</f>
        <v>230.7</v>
      </c>
      <c r="F2575" s="1">
        <f>IFERROR(__xludf.DUMMYFUNCTION("""COMPUTED_VALUE"""),2123795.0)</f>
        <v>2123795</v>
      </c>
    </row>
    <row r="2576">
      <c r="A2576" s="2">
        <f>IFERROR(__xludf.DUMMYFUNCTION("""COMPUTED_VALUE"""),40322.645833333336)</f>
        <v>40322.64583</v>
      </c>
      <c r="B2576" s="1">
        <f>IFERROR(__xludf.DUMMYFUNCTION("""COMPUTED_VALUE"""),236.9)</f>
        <v>236.9</v>
      </c>
      <c r="C2576" s="1">
        <f>IFERROR(__xludf.DUMMYFUNCTION("""COMPUTED_VALUE"""),236.9)</f>
        <v>236.9</v>
      </c>
      <c r="D2576" s="1">
        <f>IFERROR(__xludf.DUMMYFUNCTION("""COMPUTED_VALUE"""),228.75)</f>
        <v>228.75</v>
      </c>
      <c r="E2576" s="1">
        <f>IFERROR(__xludf.DUMMYFUNCTION("""COMPUTED_VALUE"""),231.7)</f>
        <v>231.7</v>
      </c>
      <c r="F2576" s="1">
        <f>IFERROR(__xludf.DUMMYFUNCTION("""COMPUTED_VALUE"""),1414202.0)</f>
        <v>1414202</v>
      </c>
    </row>
    <row r="2577">
      <c r="A2577" s="2">
        <f>IFERROR(__xludf.DUMMYFUNCTION("""COMPUTED_VALUE"""),40323.645833333336)</f>
        <v>40323.64583</v>
      </c>
      <c r="B2577" s="1">
        <f>IFERROR(__xludf.DUMMYFUNCTION("""COMPUTED_VALUE"""),230.9)</f>
        <v>230.9</v>
      </c>
      <c r="C2577" s="1">
        <f>IFERROR(__xludf.DUMMYFUNCTION("""COMPUTED_VALUE"""),231.6)</f>
        <v>231.6</v>
      </c>
      <c r="D2577" s="1">
        <f>IFERROR(__xludf.DUMMYFUNCTION("""COMPUTED_VALUE"""),226.25)</f>
        <v>226.25</v>
      </c>
      <c r="E2577" s="1">
        <f>IFERROR(__xludf.DUMMYFUNCTION("""COMPUTED_VALUE"""),230.55)</f>
        <v>230.55</v>
      </c>
      <c r="F2577" s="1">
        <f>IFERROR(__xludf.DUMMYFUNCTION("""COMPUTED_VALUE"""),1202978.0)</f>
        <v>1202978</v>
      </c>
    </row>
    <row r="2578">
      <c r="A2578" s="2">
        <f>IFERROR(__xludf.DUMMYFUNCTION("""COMPUTED_VALUE"""),40324.645833333336)</f>
        <v>40324.64583</v>
      </c>
      <c r="B2578" s="1">
        <f>IFERROR(__xludf.DUMMYFUNCTION("""COMPUTED_VALUE"""),232.0)</f>
        <v>232</v>
      </c>
      <c r="C2578" s="1">
        <f>IFERROR(__xludf.DUMMYFUNCTION("""COMPUTED_VALUE"""),232.6)</f>
        <v>232.6</v>
      </c>
      <c r="D2578" s="1">
        <f>IFERROR(__xludf.DUMMYFUNCTION("""COMPUTED_VALUE"""),227.9)</f>
        <v>227.9</v>
      </c>
      <c r="E2578" s="1">
        <f>IFERROR(__xludf.DUMMYFUNCTION("""COMPUTED_VALUE"""),231.55)</f>
        <v>231.55</v>
      </c>
      <c r="F2578" s="1">
        <f>IFERROR(__xludf.DUMMYFUNCTION("""COMPUTED_VALUE"""),2730655.0)</f>
        <v>2730655</v>
      </c>
    </row>
    <row r="2579">
      <c r="A2579" s="2">
        <f>IFERROR(__xludf.DUMMYFUNCTION("""COMPUTED_VALUE"""),40325.645833333336)</f>
        <v>40325.64583</v>
      </c>
      <c r="B2579" s="1">
        <f>IFERROR(__xludf.DUMMYFUNCTION("""COMPUTED_VALUE"""),232.0)</f>
        <v>232</v>
      </c>
      <c r="C2579" s="1">
        <f>IFERROR(__xludf.DUMMYFUNCTION("""COMPUTED_VALUE"""),234.85)</f>
        <v>234.85</v>
      </c>
      <c r="D2579" s="1">
        <f>IFERROR(__xludf.DUMMYFUNCTION("""COMPUTED_VALUE"""),230.5)</f>
        <v>230.5</v>
      </c>
      <c r="E2579" s="1">
        <f>IFERROR(__xludf.DUMMYFUNCTION("""COMPUTED_VALUE"""),233.0)</f>
        <v>233</v>
      </c>
      <c r="F2579" s="1">
        <f>IFERROR(__xludf.DUMMYFUNCTION("""COMPUTED_VALUE"""),1709736.0)</f>
        <v>1709736</v>
      </c>
    </row>
    <row r="2580">
      <c r="A2580" s="2">
        <f>IFERROR(__xludf.DUMMYFUNCTION("""COMPUTED_VALUE"""),40326.645833333336)</f>
        <v>40326.64583</v>
      </c>
      <c r="B2580" s="1">
        <f>IFERROR(__xludf.DUMMYFUNCTION("""COMPUTED_VALUE"""),239.8)</f>
        <v>239.8</v>
      </c>
      <c r="C2580" s="1">
        <f>IFERROR(__xludf.DUMMYFUNCTION("""COMPUTED_VALUE"""),239.8)</f>
        <v>239.8</v>
      </c>
      <c r="D2580" s="1">
        <f>IFERROR(__xludf.DUMMYFUNCTION("""COMPUTED_VALUE"""),232.35)</f>
        <v>232.35</v>
      </c>
      <c r="E2580" s="1">
        <f>IFERROR(__xludf.DUMMYFUNCTION("""COMPUTED_VALUE"""),236.35)</f>
        <v>236.35</v>
      </c>
      <c r="F2580" s="1">
        <f>IFERROR(__xludf.DUMMYFUNCTION("""COMPUTED_VALUE"""),888460.0)</f>
        <v>888460</v>
      </c>
    </row>
    <row r="2581">
      <c r="A2581" s="2">
        <f>IFERROR(__xludf.DUMMYFUNCTION("""COMPUTED_VALUE"""),40329.645833333336)</f>
        <v>40329.64583</v>
      </c>
      <c r="B2581" s="1">
        <f>IFERROR(__xludf.DUMMYFUNCTION("""COMPUTED_VALUE"""),237.0)</f>
        <v>237</v>
      </c>
      <c r="C2581" s="1">
        <f>IFERROR(__xludf.DUMMYFUNCTION("""COMPUTED_VALUE"""),239.7)</f>
        <v>239.7</v>
      </c>
      <c r="D2581" s="1">
        <f>IFERROR(__xludf.DUMMYFUNCTION("""COMPUTED_VALUE"""),235.25)</f>
        <v>235.25</v>
      </c>
      <c r="E2581" s="1">
        <f>IFERROR(__xludf.DUMMYFUNCTION("""COMPUTED_VALUE"""),237.2)</f>
        <v>237.2</v>
      </c>
      <c r="F2581" s="1">
        <f>IFERROR(__xludf.DUMMYFUNCTION("""COMPUTED_VALUE"""),1813271.0)</f>
        <v>1813271</v>
      </c>
    </row>
    <row r="2582">
      <c r="A2582" s="2">
        <f>IFERROR(__xludf.DUMMYFUNCTION("""COMPUTED_VALUE"""),40330.645833333336)</f>
        <v>40330.64583</v>
      </c>
      <c r="B2582" s="1">
        <f>IFERROR(__xludf.DUMMYFUNCTION("""COMPUTED_VALUE"""),237.95)</f>
        <v>237.95</v>
      </c>
      <c r="C2582" s="1">
        <f>IFERROR(__xludf.DUMMYFUNCTION("""COMPUTED_VALUE"""),238.2)</f>
        <v>238.2</v>
      </c>
      <c r="D2582" s="1">
        <f>IFERROR(__xludf.DUMMYFUNCTION("""COMPUTED_VALUE"""),232.35)</f>
        <v>232.35</v>
      </c>
      <c r="E2582" s="1">
        <f>IFERROR(__xludf.DUMMYFUNCTION("""COMPUTED_VALUE"""),233.8)</f>
        <v>233.8</v>
      </c>
      <c r="F2582" s="1">
        <f>IFERROR(__xludf.DUMMYFUNCTION("""COMPUTED_VALUE"""),1042836.0)</f>
        <v>1042836</v>
      </c>
    </row>
    <row r="2583">
      <c r="A2583" s="2">
        <f>IFERROR(__xludf.DUMMYFUNCTION("""COMPUTED_VALUE"""),40331.645833333336)</f>
        <v>40331.64583</v>
      </c>
      <c r="B2583" s="1">
        <f>IFERROR(__xludf.DUMMYFUNCTION("""COMPUTED_VALUE"""),233.9)</f>
        <v>233.9</v>
      </c>
      <c r="C2583" s="1">
        <f>IFERROR(__xludf.DUMMYFUNCTION("""COMPUTED_VALUE"""),239.0)</f>
        <v>239</v>
      </c>
      <c r="D2583" s="1">
        <f>IFERROR(__xludf.DUMMYFUNCTION("""COMPUTED_VALUE"""),232.4)</f>
        <v>232.4</v>
      </c>
      <c r="E2583" s="1">
        <f>IFERROR(__xludf.DUMMYFUNCTION("""COMPUTED_VALUE"""),237.75)</f>
        <v>237.75</v>
      </c>
      <c r="F2583" s="1">
        <f>IFERROR(__xludf.DUMMYFUNCTION("""COMPUTED_VALUE"""),758161.0)</f>
        <v>758161</v>
      </c>
    </row>
    <row r="2584">
      <c r="A2584" s="2">
        <f>IFERROR(__xludf.DUMMYFUNCTION("""COMPUTED_VALUE"""),40332.645833333336)</f>
        <v>40332.64583</v>
      </c>
      <c r="B2584" s="1">
        <f>IFERROR(__xludf.DUMMYFUNCTION("""COMPUTED_VALUE"""),238.1)</f>
        <v>238.1</v>
      </c>
      <c r="C2584" s="1">
        <f>IFERROR(__xludf.DUMMYFUNCTION("""COMPUTED_VALUE"""),250.5)</f>
        <v>250.5</v>
      </c>
      <c r="D2584" s="1">
        <f>IFERROR(__xludf.DUMMYFUNCTION("""COMPUTED_VALUE"""),238.1)</f>
        <v>238.1</v>
      </c>
      <c r="E2584" s="1">
        <f>IFERROR(__xludf.DUMMYFUNCTION("""COMPUTED_VALUE"""),247.05)</f>
        <v>247.05</v>
      </c>
      <c r="F2584" s="1">
        <f>IFERROR(__xludf.DUMMYFUNCTION("""COMPUTED_VALUE"""),2712932.0)</f>
        <v>2712932</v>
      </c>
    </row>
    <row r="2585">
      <c r="A2585" s="2">
        <f>IFERROR(__xludf.DUMMYFUNCTION("""COMPUTED_VALUE"""),40333.645833333336)</f>
        <v>40333.64583</v>
      </c>
      <c r="B2585" s="1">
        <f>IFERROR(__xludf.DUMMYFUNCTION("""COMPUTED_VALUE"""),252.75)</f>
        <v>252.75</v>
      </c>
      <c r="C2585" s="1">
        <f>IFERROR(__xludf.DUMMYFUNCTION("""COMPUTED_VALUE"""),257.2)</f>
        <v>257.2</v>
      </c>
      <c r="D2585" s="1">
        <f>IFERROR(__xludf.DUMMYFUNCTION("""COMPUTED_VALUE"""),249.1)</f>
        <v>249.1</v>
      </c>
      <c r="E2585" s="1">
        <f>IFERROR(__xludf.DUMMYFUNCTION("""COMPUTED_VALUE"""),251.7)</f>
        <v>251.7</v>
      </c>
      <c r="F2585" s="1">
        <f>IFERROR(__xludf.DUMMYFUNCTION("""COMPUTED_VALUE"""),5072279.0)</f>
        <v>5072279</v>
      </c>
    </row>
    <row r="2586">
      <c r="A2586" s="2">
        <f>IFERROR(__xludf.DUMMYFUNCTION("""COMPUTED_VALUE"""),40336.645833333336)</f>
        <v>40336.64583</v>
      </c>
      <c r="B2586" s="1">
        <f>IFERROR(__xludf.DUMMYFUNCTION("""COMPUTED_VALUE"""),234.0)</f>
        <v>234</v>
      </c>
      <c r="C2586" s="1">
        <f>IFERROR(__xludf.DUMMYFUNCTION("""COMPUTED_VALUE"""),253.4)</f>
        <v>253.4</v>
      </c>
      <c r="D2586" s="1">
        <f>IFERROR(__xludf.DUMMYFUNCTION("""COMPUTED_VALUE"""),234.0)</f>
        <v>234</v>
      </c>
      <c r="E2586" s="1">
        <f>IFERROR(__xludf.DUMMYFUNCTION("""COMPUTED_VALUE"""),251.05)</f>
        <v>251.05</v>
      </c>
      <c r="F2586" s="1">
        <f>IFERROR(__xludf.DUMMYFUNCTION("""COMPUTED_VALUE"""),1864062.0)</f>
        <v>1864062</v>
      </c>
    </row>
    <row r="2587">
      <c r="A2587" s="2">
        <f>IFERROR(__xludf.DUMMYFUNCTION("""COMPUTED_VALUE"""),40337.645833333336)</f>
        <v>40337.64583</v>
      </c>
      <c r="B2587" s="1">
        <f>IFERROR(__xludf.DUMMYFUNCTION("""COMPUTED_VALUE"""),245.0)</f>
        <v>245</v>
      </c>
      <c r="C2587" s="1">
        <f>IFERROR(__xludf.DUMMYFUNCTION("""COMPUTED_VALUE"""),256.55)</f>
        <v>256.55</v>
      </c>
      <c r="D2587" s="1">
        <f>IFERROR(__xludf.DUMMYFUNCTION("""COMPUTED_VALUE"""),245.0)</f>
        <v>245</v>
      </c>
      <c r="E2587" s="1">
        <f>IFERROR(__xludf.DUMMYFUNCTION("""COMPUTED_VALUE"""),251.4)</f>
        <v>251.4</v>
      </c>
      <c r="F2587" s="1">
        <f>IFERROR(__xludf.DUMMYFUNCTION("""COMPUTED_VALUE"""),2482809.0)</f>
        <v>2482809</v>
      </c>
    </row>
    <row r="2588">
      <c r="A2588" s="2">
        <f>IFERROR(__xludf.DUMMYFUNCTION("""COMPUTED_VALUE"""),40338.645833333336)</f>
        <v>40338.64583</v>
      </c>
      <c r="B2588" s="1">
        <f>IFERROR(__xludf.DUMMYFUNCTION("""COMPUTED_VALUE"""),245.0)</f>
        <v>245</v>
      </c>
      <c r="C2588" s="1">
        <f>IFERROR(__xludf.DUMMYFUNCTION("""COMPUTED_VALUE"""),253.0)</f>
        <v>253</v>
      </c>
      <c r="D2588" s="1">
        <f>IFERROR(__xludf.DUMMYFUNCTION("""COMPUTED_VALUE"""),245.0)</f>
        <v>245</v>
      </c>
      <c r="E2588" s="1">
        <f>IFERROR(__xludf.DUMMYFUNCTION("""COMPUTED_VALUE"""),249.55)</f>
        <v>249.55</v>
      </c>
      <c r="F2588" s="1">
        <f>IFERROR(__xludf.DUMMYFUNCTION("""COMPUTED_VALUE"""),1604824.0)</f>
        <v>1604824</v>
      </c>
    </row>
    <row r="2589">
      <c r="A2589" s="2">
        <f>IFERROR(__xludf.DUMMYFUNCTION("""COMPUTED_VALUE"""),40339.645833333336)</f>
        <v>40339.64583</v>
      </c>
      <c r="B2589" s="1">
        <f>IFERROR(__xludf.DUMMYFUNCTION("""COMPUTED_VALUE"""),247.0)</f>
        <v>247</v>
      </c>
      <c r="C2589" s="1">
        <f>IFERROR(__xludf.DUMMYFUNCTION("""COMPUTED_VALUE"""),252.5)</f>
        <v>252.5</v>
      </c>
      <c r="D2589" s="1">
        <f>IFERROR(__xludf.DUMMYFUNCTION("""COMPUTED_VALUE"""),247.0)</f>
        <v>247</v>
      </c>
      <c r="E2589" s="1">
        <f>IFERROR(__xludf.DUMMYFUNCTION("""COMPUTED_VALUE"""),252.0)</f>
        <v>252</v>
      </c>
      <c r="F2589" s="1">
        <f>IFERROR(__xludf.DUMMYFUNCTION("""COMPUTED_VALUE"""),1728521.0)</f>
        <v>1728521</v>
      </c>
    </row>
    <row r="2590">
      <c r="A2590" s="2">
        <f>IFERROR(__xludf.DUMMYFUNCTION("""COMPUTED_VALUE"""),40340.645833333336)</f>
        <v>40340.64583</v>
      </c>
      <c r="B2590" s="1">
        <f>IFERROR(__xludf.DUMMYFUNCTION("""COMPUTED_VALUE"""),255.0)</f>
        <v>255</v>
      </c>
      <c r="C2590" s="1">
        <f>IFERROR(__xludf.DUMMYFUNCTION("""COMPUTED_VALUE"""),255.0)</f>
        <v>255</v>
      </c>
      <c r="D2590" s="1">
        <f>IFERROR(__xludf.DUMMYFUNCTION("""COMPUTED_VALUE"""),252.1)</f>
        <v>252.1</v>
      </c>
      <c r="E2590" s="1">
        <f>IFERROR(__xludf.DUMMYFUNCTION("""COMPUTED_VALUE"""),252.75)</f>
        <v>252.75</v>
      </c>
      <c r="F2590" s="1">
        <f>IFERROR(__xludf.DUMMYFUNCTION("""COMPUTED_VALUE"""),1635866.0)</f>
        <v>1635866</v>
      </c>
    </row>
    <row r="2591">
      <c r="A2591" s="2">
        <f>IFERROR(__xludf.DUMMYFUNCTION("""COMPUTED_VALUE"""),40343.645833333336)</f>
        <v>40343.64583</v>
      </c>
      <c r="B2591" s="1">
        <f>IFERROR(__xludf.DUMMYFUNCTION("""COMPUTED_VALUE"""),255.0)</f>
        <v>255</v>
      </c>
      <c r="C2591" s="1">
        <f>IFERROR(__xludf.DUMMYFUNCTION("""COMPUTED_VALUE"""),259.4)</f>
        <v>259.4</v>
      </c>
      <c r="D2591" s="1">
        <f>IFERROR(__xludf.DUMMYFUNCTION("""COMPUTED_VALUE"""),251.6)</f>
        <v>251.6</v>
      </c>
      <c r="E2591" s="1">
        <f>IFERROR(__xludf.DUMMYFUNCTION("""COMPUTED_VALUE"""),255.45)</f>
        <v>255.45</v>
      </c>
      <c r="F2591" s="1">
        <f>IFERROR(__xludf.DUMMYFUNCTION("""COMPUTED_VALUE"""),1971808.0)</f>
        <v>1971808</v>
      </c>
    </row>
    <row r="2592">
      <c r="A2592" s="2">
        <f>IFERROR(__xludf.DUMMYFUNCTION("""COMPUTED_VALUE"""),40344.645833333336)</f>
        <v>40344.64583</v>
      </c>
      <c r="B2592" s="1">
        <f>IFERROR(__xludf.DUMMYFUNCTION("""COMPUTED_VALUE"""),256.4)</f>
        <v>256.4</v>
      </c>
      <c r="C2592" s="1">
        <f>IFERROR(__xludf.DUMMYFUNCTION("""COMPUTED_VALUE"""),261.3)</f>
        <v>261.3</v>
      </c>
      <c r="D2592" s="1">
        <f>IFERROR(__xludf.DUMMYFUNCTION("""COMPUTED_VALUE"""),254.45)</f>
        <v>254.45</v>
      </c>
      <c r="E2592" s="1">
        <f>IFERROR(__xludf.DUMMYFUNCTION("""COMPUTED_VALUE"""),260.15)</f>
        <v>260.15</v>
      </c>
      <c r="F2592" s="1">
        <f>IFERROR(__xludf.DUMMYFUNCTION("""COMPUTED_VALUE"""),2864416.0)</f>
        <v>2864416</v>
      </c>
    </row>
    <row r="2593">
      <c r="A2593" s="2">
        <f>IFERROR(__xludf.DUMMYFUNCTION("""COMPUTED_VALUE"""),40345.645833333336)</f>
        <v>40345.64583</v>
      </c>
      <c r="B2593" s="1">
        <f>IFERROR(__xludf.DUMMYFUNCTION("""COMPUTED_VALUE"""),260.0)</f>
        <v>260</v>
      </c>
      <c r="C2593" s="1">
        <f>IFERROR(__xludf.DUMMYFUNCTION("""COMPUTED_VALUE"""),261.0)</f>
        <v>261</v>
      </c>
      <c r="D2593" s="1">
        <f>IFERROR(__xludf.DUMMYFUNCTION("""COMPUTED_VALUE"""),255.3)</f>
        <v>255.3</v>
      </c>
      <c r="E2593" s="1">
        <f>IFERROR(__xludf.DUMMYFUNCTION("""COMPUTED_VALUE"""),255.9)</f>
        <v>255.9</v>
      </c>
      <c r="F2593" s="1">
        <f>IFERROR(__xludf.DUMMYFUNCTION("""COMPUTED_VALUE"""),1387595.0)</f>
        <v>1387595</v>
      </c>
    </row>
    <row r="2594">
      <c r="A2594" s="2">
        <f>IFERROR(__xludf.DUMMYFUNCTION("""COMPUTED_VALUE"""),40346.645833333336)</f>
        <v>40346.64583</v>
      </c>
      <c r="B2594" s="1">
        <f>IFERROR(__xludf.DUMMYFUNCTION("""COMPUTED_VALUE"""),255.0)</f>
        <v>255</v>
      </c>
      <c r="C2594" s="1">
        <f>IFERROR(__xludf.DUMMYFUNCTION("""COMPUTED_VALUE"""),256.7)</f>
        <v>256.7</v>
      </c>
      <c r="D2594" s="1">
        <f>IFERROR(__xludf.DUMMYFUNCTION("""COMPUTED_VALUE"""),248.55)</f>
        <v>248.55</v>
      </c>
      <c r="E2594" s="1">
        <f>IFERROR(__xludf.DUMMYFUNCTION("""COMPUTED_VALUE"""),253.0)</f>
        <v>253</v>
      </c>
      <c r="F2594" s="1">
        <f>IFERROR(__xludf.DUMMYFUNCTION("""COMPUTED_VALUE"""),2499448.0)</f>
        <v>2499448</v>
      </c>
    </row>
    <row r="2595">
      <c r="A2595" s="2">
        <f>IFERROR(__xludf.DUMMYFUNCTION("""COMPUTED_VALUE"""),40347.645833333336)</f>
        <v>40347.64583</v>
      </c>
      <c r="B2595" s="1">
        <f>IFERROR(__xludf.DUMMYFUNCTION("""COMPUTED_VALUE"""),255.0)</f>
        <v>255</v>
      </c>
      <c r="C2595" s="1">
        <f>IFERROR(__xludf.DUMMYFUNCTION("""COMPUTED_VALUE"""),258.65)</f>
        <v>258.65</v>
      </c>
      <c r="D2595" s="1">
        <f>IFERROR(__xludf.DUMMYFUNCTION("""COMPUTED_VALUE"""),250.3)</f>
        <v>250.3</v>
      </c>
      <c r="E2595" s="1">
        <f>IFERROR(__xludf.DUMMYFUNCTION("""COMPUTED_VALUE"""),257.75)</f>
        <v>257.75</v>
      </c>
      <c r="F2595" s="1">
        <f>IFERROR(__xludf.DUMMYFUNCTION("""COMPUTED_VALUE"""),2233551.0)</f>
        <v>2233551</v>
      </c>
    </row>
    <row r="2596">
      <c r="A2596" s="2">
        <f>IFERROR(__xludf.DUMMYFUNCTION("""COMPUTED_VALUE"""),40350.645833333336)</f>
        <v>40350.64583</v>
      </c>
      <c r="B2596" s="1">
        <f>IFERROR(__xludf.DUMMYFUNCTION("""COMPUTED_VALUE"""),259.85)</f>
        <v>259.85</v>
      </c>
      <c r="C2596" s="1">
        <f>IFERROR(__xludf.DUMMYFUNCTION("""COMPUTED_VALUE"""),260.0)</f>
        <v>260</v>
      </c>
      <c r="D2596" s="1">
        <f>IFERROR(__xludf.DUMMYFUNCTION("""COMPUTED_VALUE"""),256.1)</f>
        <v>256.1</v>
      </c>
      <c r="E2596" s="1">
        <f>IFERROR(__xludf.DUMMYFUNCTION("""COMPUTED_VALUE"""),258.75)</f>
        <v>258.75</v>
      </c>
      <c r="F2596" s="1">
        <f>IFERROR(__xludf.DUMMYFUNCTION("""COMPUTED_VALUE"""),2056026.0)</f>
        <v>2056026</v>
      </c>
    </row>
    <row r="2597">
      <c r="A2597" s="2">
        <f>IFERROR(__xludf.DUMMYFUNCTION("""COMPUTED_VALUE"""),40351.645833333336)</f>
        <v>40351.64583</v>
      </c>
      <c r="B2597" s="1">
        <f>IFERROR(__xludf.DUMMYFUNCTION("""COMPUTED_VALUE"""),258.15)</f>
        <v>258.15</v>
      </c>
      <c r="C2597" s="1">
        <f>IFERROR(__xludf.DUMMYFUNCTION("""COMPUTED_VALUE"""),265.45)</f>
        <v>265.45</v>
      </c>
      <c r="D2597" s="1">
        <f>IFERROR(__xludf.DUMMYFUNCTION("""COMPUTED_VALUE"""),258.15)</f>
        <v>258.15</v>
      </c>
      <c r="E2597" s="1">
        <f>IFERROR(__xludf.DUMMYFUNCTION("""COMPUTED_VALUE"""),261.75)</f>
        <v>261.75</v>
      </c>
      <c r="F2597" s="1">
        <f>IFERROR(__xludf.DUMMYFUNCTION("""COMPUTED_VALUE"""),4306917.0)</f>
        <v>4306917</v>
      </c>
    </row>
    <row r="2598">
      <c r="A2598" s="2">
        <f>IFERROR(__xludf.DUMMYFUNCTION("""COMPUTED_VALUE"""),40352.645833333336)</f>
        <v>40352.64583</v>
      </c>
      <c r="B2598" s="1">
        <f>IFERROR(__xludf.DUMMYFUNCTION("""COMPUTED_VALUE"""),260.0)</f>
        <v>260</v>
      </c>
      <c r="C2598" s="1">
        <f>IFERROR(__xludf.DUMMYFUNCTION("""COMPUTED_VALUE"""),269.2)</f>
        <v>269.2</v>
      </c>
      <c r="D2598" s="1">
        <f>IFERROR(__xludf.DUMMYFUNCTION("""COMPUTED_VALUE"""),260.0)</f>
        <v>260</v>
      </c>
      <c r="E2598" s="1">
        <f>IFERROR(__xludf.DUMMYFUNCTION("""COMPUTED_VALUE"""),266.2)</f>
        <v>266.2</v>
      </c>
      <c r="F2598" s="1">
        <f>IFERROR(__xludf.DUMMYFUNCTION("""COMPUTED_VALUE"""),3854534.0)</f>
        <v>3854534</v>
      </c>
    </row>
    <row r="2599">
      <c r="A2599" s="2">
        <f>IFERROR(__xludf.DUMMYFUNCTION("""COMPUTED_VALUE"""),40353.645833333336)</f>
        <v>40353.64583</v>
      </c>
      <c r="B2599" s="1">
        <f>IFERROR(__xludf.DUMMYFUNCTION("""COMPUTED_VALUE"""),266.6)</f>
        <v>266.6</v>
      </c>
      <c r="C2599" s="1">
        <f>IFERROR(__xludf.DUMMYFUNCTION("""COMPUTED_VALUE"""),274.35)</f>
        <v>274.35</v>
      </c>
      <c r="D2599" s="1">
        <f>IFERROR(__xludf.DUMMYFUNCTION("""COMPUTED_VALUE"""),266.1)</f>
        <v>266.1</v>
      </c>
      <c r="E2599" s="1">
        <f>IFERROR(__xludf.DUMMYFUNCTION("""COMPUTED_VALUE"""),270.9)</f>
        <v>270.9</v>
      </c>
      <c r="F2599" s="1">
        <f>IFERROR(__xludf.DUMMYFUNCTION("""COMPUTED_VALUE"""),5356066.0)</f>
        <v>5356066</v>
      </c>
    </row>
    <row r="2600">
      <c r="A2600" s="2">
        <f>IFERROR(__xludf.DUMMYFUNCTION("""COMPUTED_VALUE"""),40354.645833333336)</f>
        <v>40354.64583</v>
      </c>
      <c r="B2600" s="1">
        <f>IFERROR(__xludf.DUMMYFUNCTION("""COMPUTED_VALUE"""),267.2)</f>
        <v>267.2</v>
      </c>
      <c r="C2600" s="1">
        <f>IFERROR(__xludf.DUMMYFUNCTION("""COMPUTED_VALUE"""),270.55)</f>
        <v>270.55</v>
      </c>
      <c r="D2600" s="1">
        <f>IFERROR(__xludf.DUMMYFUNCTION("""COMPUTED_VALUE"""),264.25)</f>
        <v>264.25</v>
      </c>
      <c r="E2600" s="1">
        <f>IFERROR(__xludf.DUMMYFUNCTION("""COMPUTED_VALUE"""),266.25)</f>
        <v>266.25</v>
      </c>
      <c r="F2600" s="1">
        <f>IFERROR(__xludf.DUMMYFUNCTION("""COMPUTED_VALUE"""),920634.0)</f>
        <v>920634</v>
      </c>
    </row>
    <row r="2601">
      <c r="A2601" s="2">
        <f>IFERROR(__xludf.DUMMYFUNCTION("""COMPUTED_VALUE"""),40357.645833333336)</f>
        <v>40357.64583</v>
      </c>
      <c r="B2601" s="1">
        <f>IFERROR(__xludf.DUMMYFUNCTION("""COMPUTED_VALUE"""),266.25)</f>
        <v>266.25</v>
      </c>
      <c r="C2601" s="1">
        <f>IFERROR(__xludf.DUMMYFUNCTION("""COMPUTED_VALUE"""),269.7)</f>
        <v>269.7</v>
      </c>
      <c r="D2601" s="1">
        <f>IFERROR(__xludf.DUMMYFUNCTION("""COMPUTED_VALUE"""),265.35)</f>
        <v>265.35</v>
      </c>
      <c r="E2601" s="1">
        <f>IFERROR(__xludf.DUMMYFUNCTION("""COMPUTED_VALUE"""),266.75)</f>
        <v>266.75</v>
      </c>
      <c r="F2601" s="1">
        <f>IFERROR(__xludf.DUMMYFUNCTION("""COMPUTED_VALUE"""),1198030.0)</f>
        <v>1198030</v>
      </c>
    </row>
    <row r="2602">
      <c r="A2602" s="2">
        <f>IFERROR(__xludf.DUMMYFUNCTION("""COMPUTED_VALUE"""),40358.645833333336)</f>
        <v>40358.64583</v>
      </c>
      <c r="B2602" s="1">
        <f>IFERROR(__xludf.DUMMYFUNCTION("""COMPUTED_VALUE"""),266.75)</f>
        <v>266.75</v>
      </c>
      <c r="C2602" s="1">
        <f>IFERROR(__xludf.DUMMYFUNCTION("""COMPUTED_VALUE"""),269.7)</f>
        <v>269.7</v>
      </c>
      <c r="D2602" s="1">
        <f>IFERROR(__xludf.DUMMYFUNCTION("""COMPUTED_VALUE"""),261.1)</f>
        <v>261.1</v>
      </c>
      <c r="E2602" s="1">
        <f>IFERROR(__xludf.DUMMYFUNCTION("""COMPUTED_VALUE"""),262.65)</f>
        <v>262.65</v>
      </c>
      <c r="F2602" s="1">
        <f>IFERROR(__xludf.DUMMYFUNCTION("""COMPUTED_VALUE"""),1065270.0)</f>
        <v>1065270</v>
      </c>
    </row>
    <row r="2603">
      <c r="A2603" s="2">
        <f>IFERROR(__xludf.DUMMYFUNCTION("""COMPUTED_VALUE"""),40359.645833333336)</f>
        <v>40359.64583</v>
      </c>
      <c r="B2603" s="1">
        <f>IFERROR(__xludf.DUMMYFUNCTION("""COMPUTED_VALUE"""),263.75)</f>
        <v>263.75</v>
      </c>
      <c r="C2603" s="1">
        <f>IFERROR(__xludf.DUMMYFUNCTION("""COMPUTED_VALUE"""),269.0)</f>
        <v>269</v>
      </c>
      <c r="D2603" s="1">
        <f>IFERROR(__xludf.DUMMYFUNCTION("""COMPUTED_VALUE"""),261.3)</f>
        <v>261.3</v>
      </c>
      <c r="E2603" s="1">
        <f>IFERROR(__xludf.DUMMYFUNCTION("""COMPUTED_VALUE"""),267.55)</f>
        <v>267.55</v>
      </c>
      <c r="F2603" s="1">
        <f>IFERROR(__xludf.DUMMYFUNCTION("""COMPUTED_VALUE"""),1434286.0)</f>
        <v>1434286</v>
      </c>
    </row>
    <row r="2604">
      <c r="A2604" s="2">
        <f>IFERROR(__xludf.DUMMYFUNCTION("""COMPUTED_VALUE"""),40360.645833333336)</f>
        <v>40360.64583</v>
      </c>
      <c r="B2604" s="1">
        <f>IFERROR(__xludf.DUMMYFUNCTION("""COMPUTED_VALUE"""),267.0)</f>
        <v>267</v>
      </c>
      <c r="C2604" s="1">
        <f>IFERROR(__xludf.DUMMYFUNCTION("""COMPUTED_VALUE"""),273.15)</f>
        <v>273.15</v>
      </c>
      <c r="D2604" s="1">
        <f>IFERROR(__xludf.DUMMYFUNCTION("""COMPUTED_VALUE"""),264.35)</f>
        <v>264.35</v>
      </c>
      <c r="E2604" s="1">
        <f>IFERROR(__xludf.DUMMYFUNCTION("""COMPUTED_VALUE"""),272.5)</f>
        <v>272.5</v>
      </c>
      <c r="F2604" s="1">
        <f>IFERROR(__xludf.DUMMYFUNCTION("""COMPUTED_VALUE"""),2551949.0)</f>
        <v>2551949</v>
      </c>
    </row>
    <row r="2605">
      <c r="A2605" s="2">
        <f>IFERROR(__xludf.DUMMYFUNCTION("""COMPUTED_VALUE"""),40361.645833333336)</f>
        <v>40361.64583</v>
      </c>
      <c r="B2605" s="1">
        <f>IFERROR(__xludf.DUMMYFUNCTION("""COMPUTED_VALUE"""),272.5)</f>
        <v>272.5</v>
      </c>
      <c r="C2605" s="1">
        <f>IFERROR(__xludf.DUMMYFUNCTION("""COMPUTED_VALUE"""),273.5)</f>
        <v>273.5</v>
      </c>
      <c r="D2605" s="1">
        <f>IFERROR(__xludf.DUMMYFUNCTION("""COMPUTED_VALUE"""),267.2)</f>
        <v>267.2</v>
      </c>
      <c r="E2605" s="1">
        <f>IFERROR(__xludf.DUMMYFUNCTION("""COMPUTED_VALUE"""),268.4)</f>
        <v>268.4</v>
      </c>
      <c r="F2605" s="1">
        <f>IFERROR(__xludf.DUMMYFUNCTION("""COMPUTED_VALUE"""),1734300.0)</f>
        <v>1734300</v>
      </c>
    </row>
    <row r="2606">
      <c r="A2606" s="2">
        <f>IFERROR(__xludf.DUMMYFUNCTION("""COMPUTED_VALUE"""),40364.645833333336)</f>
        <v>40364.64583</v>
      </c>
      <c r="B2606" s="1">
        <f>IFERROR(__xludf.DUMMYFUNCTION("""COMPUTED_VALUE"""),269.2)</f>
        <v>269.2</v>
      </c>
      <c r="C2606" s="1">
        <f>IFERROR(__xludf.DUMMYFUNCTION("""COMPUTED_VALUE"""),269.35)</f>
        <v>269.35</v>
      </c>
      <c r="D2606" s="1">
        <f>IFERROR(__xludf.DUMMYFUNCTION("""COMPUTED_VALUE"""),265.35)</f>
        <v>265.35</v>
      </c>
      <c r="E2606" s="1">
        <f>IFERROR(__xludf.DUMMYFUNCTION("""COMPUTED_VALUE"""),266.15)</f>
        <v>266.15</v>
      </c>
      <c r="F2606" s="1">
        <f>IFERROR(__xludf.DUMMYFUNCTION("""COMPUTED_VALUE"""),844054.0)</f>
        <v>844054</v>
      </c>
    </row>
    <row r="2607">
      <c r="A2607" s="2">
        <f>IFERROR(__xludf.DUMMYFUNCTION("""COMPUTED_VALUE"""),40365.645833333336)</f>
        <v>40365.64583</v>
      </c>
      <c r="B2607" s="1">
        <f>IFERROR(__xludf.DUMMYFUNCTION("""COMPUTED_VALUE"""),267.7)</f>
        <v>267.7</v>
      </c>
      <c r="C2607" s="1">
        <f>IFERROR(__xludf.DUMMYFUNCTION("""COMPUTED_VALUE"""),268.25)</f>
        <v>268.25</v>
      </c>
      <c r="D2607" s="1">
        <f>IFERROR(__xludf.DUMMYFUNCTION("""COMPUTED_VALUE"""),265.5)</f>
        <v>265.5</v>
      </c>
      <c r="E2607" s="1">
        <f>IFERROR(__xludf.DUMMYFUNCTION("""COMPUTED_VALUE"""),267.35)</f>
        <v>267.35</v>
      </c>
      <c r="F2607" s="1">
        <f>IFERROR(__xludf.DUMMYFUNCTION("""COMPUTED_VALUE"""),1054052.0)</f>
        <v>1054052</v>
      </c>
    </row>
    <row r="2608">
      <c r="A2608" s="2">
        <f>IFERROR(__xludf.DUMMYFUNCTION("""COMPUTED_VALUE"""),40366.645833333336)</f>
        <v>40366.64583</v>
      </c>
      <c r="B2608" s="1">
        <f>IFERROR(__xludf.DUMMYFUNCTION("""COMPUTED_VALUE"""),268.8)</f>
        <v>268.8</v>
      </c>
      <c r="C2608" s="1">
        <f>IFERROR(__xludf.DUMMYFUNCTION("""COMPUTED_VALUE"""),268.8)</f>
        <v>268.8</v>
      </c>
      <c r="D2608" s="1">
        <f>IFERROR(__xludf.DUMMYFUNCTION("""COMPUTED_VALUE"""),264.65)</f>
        <v>264.65</v>
      </c>
      <c r="E2608" s="1">
        <f>IFERROR(__xludf.DUMMYFUNCTION("""COMPUTED_VALUE"""),267.6)</f>
        <v>267.6</v>
      </c>
      <c r="F2608" s="1">
        <f>IFERROR(__xludf.DUMMYFUNCTION("""COMPUTED_VALUE"""),1001367.0)</f>
        <v>1001367</v>
      </c>
    </row>
    <row r="2609">
      <c r="A2609" s="2">
        <f>IFERROR(__xludf.DUMMYFUNCTION("""COMPUTED_VALUE"""),40367.645833333336)</f>
        <v>40367.64583</v>
      </c>
      <c r="B2609" s="1">
        <f>IFERROR(__xludf.DUMMYFUNCTION("""COMPUTED_VALUE"""),266.6)</f>
        <v>266.6</v>
      </c>
      <c r="C2609" s="1">
        <f>IFERROR(__xludf.DUMMYFUNCTION("""COMPUTED_VALUE"""),268.55)</f>
        <v>268.55</v>
      </c>
      <c r="D2609" s="1">
        <f>IFERROR(__xludf.DUMMYFUNCTION("""COMPUTED_VALUE"""),264.1)</f>
        <v>264.1</v>
      </c>
      <c r="E2609" s="1">
        <f>IFERROR(__xludf.DUMMYFUNCTION("""COMPUTED_VALUE"""),266.45)</f>
        <v>266.45</v>
      </c>
      <c r="F2609" s="1">
        <f>IFERROR(__xludf.DUMMYFUNCTION("""COMPUTED_VALUE"""),1340864.0)</f>
        <v>1340864</v>
      </c>
    </row>
    <row r="2610">
      <c r="A2610" s="2">
        <f>IFERROR(__xludf.DUMMYFUNCTION("""COMPUTED_VALUE"""),40368.645833333336)</f>
        <v>40368.64583</v>
      </c>
      <c r="B2610" s="1">
        <f>IFERROR(__xludf.DUMMYFUNCTION("""COMPUTED_VALUE"""),267.0)</f>
        <v>267</v>
      </c>
      <c r="C2610" s="1">
        <f>IFERROR(__xludf.DUMMYFUNCTION("""COMPUTED_VALUE"""),267.85)</f>
        <v>267.85</v>
      </c>
      <c r="D2610" s="1">
        <f>IFERROR(__xludf.DUMMYFUNCTION("""COMPUTED_VALUE"""),261.2)</f>
        <v>261.2</v>
      </c>
      <c r="E2610" s="1">
        <f>IFERROR(__xludf.DUMMYFUNCTION("""COMPUTED_VALUE"""),262.4)</f>
        <v>262.4</v>
      </c>
      <c r="F2610" s="1">
        <f>IFERROR(__xludf.DUMMYFUNCTION("""COMPUTED_VALUE"""),1159054.0)</f>
        <v>1159054</v>
      </c>
    </row>
    <row r="2611">
      <c r="A2611" s="2">
        <f>IFERROR(__xludf.DUMMYFUNCTION("""COMPUTED_VALUE"""),40371.645833333336)</f>
        <v>40371.64583</v>
      </c>
      <c r="B2611" s="1">
        <f>IFERROR(__xludf.DUMMYFUNCTION("""COMPUTED_VALUE"""),264.75)</f>
        <v>264.75</v>
      </c>
      <c r="C2611" s="1">
        <f>IFERROR(__xludf.DUMMYFUNCTION("""COMPUTED_VALUE"""),265.2)</f>
        <v>265.2</v>
      </c>
      <c r="D2611" s="1">
        <f>IFERROR(__xludf.DUMMYFUNCTION("""COMPUTED_VALUE"""),261.15)</f>
        <v>261.15</v>
      </c>
      <c r="E2611" s="1">
        <f>IFERROR(__xludf.DUMMYFUNCTION("""COMPUTED_VALUE"""),262.15)</f>
        <v>262.15</v>
      </c>
      <c r="F2611" s="1">
        <f>IFERROR(__xludf.DUMMYFUNCTION("""COMPUTED_VALUE"""),1133170.0)</f>
        <v>1133170</v>
      </c>
    </row>
    <row r="2612">
      <c r="A2612" s="2">
        <f>IFERROR(__xludf.DUMMYFUNCTION("""COMPUTED_VALUE"""),40372.645833333336)</f>
        <v>40372.64583</v>
      </c>
      <c r="B2612" s="1">
        <f>IFERROR(__xludf.DUMMYFUNCTION("""COMPUTED_VALUE"""),262.15)</f>
        <v>262.15</v>
      </c>
      <c r="C2612" s="1">
        <f>IFERROR(__xludf.DUMMYFUNCTION("""COMPUTED_VALUE"""),262.5)</f>
        <v>262.5</v>
      </c>
      <c r="D2612" s="1">
        <f>IFERROR(__xludf.DUMMYFUNCTION("""COMPUTED_VALUE"""),258.35)</f>
        <v>258.35</v>
      </c>
      <c r="E2612" s="1">
        <f>IFERROR(__xludf.DUMMYFUNCTION("""COMPUTED_VALUE"""),259.8)</f>
        <v>259.8</v>
      </c>
      <c r="F2612" s="1">
        <f>IFERROR(__xludf.DUMMYFUNCTION("""COMPUTED_VALUE"""),1313668.0)</f>
        <v>1313668</v>
      </c>
    </row>
    <row r="2613">
      <c r="A2613" s="2">
        <f>IFERROR(__xludf.DUMMYFUNCTION("""COMPUTED_VALUE"""),40373.645833333336)</f>
        <v>40373.64583</v>
      </c>
      <c r="B2613" s="1">
        <f>IFERROR(__xludf.DUMMYFUNCTION("""COMPUTED_VALUE"""),260.0)</f>
        <v>260</v>
      </c>
      <c r="C2613" s="1">
        <f>IFERROR(__xludf.DUMMYFUNCTION("""COMPUTED_VALUE"""),261.4)</f>
        <v>261.4</v>
      </c>
      <c r="D2613" s="1">
        <f>IFERROR(__xludf.DUMMYFUNCTION("""COMPUTED_VALUE"""),255.5)</f>
        <v>255.5</v>
      </c>
      <c r="E2613" s="1">
        <f>IFERROR(__xludf.DUMMYFUNCTION("""COMPUTED_VALUE"""),257.6)</f>
        <v>257.6</v>
      </c>
      <c r="F2613" s="1">
        <f>IFERROR(__xludf.DUMMYFUNCTION("""COMPUTED_VALUE"""),1281275.0)</f>
        <v>1281275</v>
      </c>
    </row>
    <row r="2614">
      <c r="A2614" s="2">
        <f>IFERROR(__xludf.DUMMYFUNCTION("""COMPUTED_VALUE"""),40374.645833333336)</f>
        <v>40374.64583</v>
      </c>
      <c r="B2614" s="1">
        <f>IFERROR(__xludf.DUMMYFUNCTION("""COMPUTED_VALUE"""),258.75)</f>
        <v>258.75</v>
      </c>
      <c r="C2614" s="1">
        <f>IFERROR(__xludf.DUMMYFUNCTION("""COMPUTED_VALUE"""),264.0)</f>
        <v>264</v>
      </c>
      <c r="D2614" s="1">
        <f>IFERROR(__xludf.DUMMYFUNCTION("""COMPUTED_VALUE"""),257.6)</f>
        <v>257.6</v>
      </c>
      <c r="E2614" s="1">
        <f>IFERROR(__xludf.DUMMYFUNCTION("""COMPUTED_VALUE"""),263.35)</f>
        <v>263.35</v>
      </c>
      <c r="F2614" s="1">
        <f>IFERROR(__xludf.DUMMYFUNCTION("""COMPUTED_VALUE"""),1134558.0)</f>
        <v>1134558</v>
      </c>
    </row>
    <row r="2615">
      <c r="A2615" s="2">
        <f>IFERROR(__xludf.DUMMYFUNCTION("""COMPUTED_VALUE"""),40375.645833333336)</f>
        <v>40375.64583</v>
      </c>
      <c r="B2615" s="1">
        <f>IFERROR(__xludf.DUMMYFUNCTION("""COMPUTED_VALUE"""),263.1)</f>
        <v>263.1</v>
      </c>
      <c r="C2615" s="1">
        <f>IFERROR(__xludf.DUMMYFUNCTION("""COMPUTED_VALUE"""),266.9)</f>
        <v>266.9</v>
      </c>
      <c r="D2615" s="1">
        <f>IFERROR(__xludf.DUMMYFUNCTION("""COMPUTED_VALUE"""),261.8)</f>
        <v>261.8</v>
      </c>
      <c r="E2615" s="1">
        <f>IFERROR(__xludf.DUMMYFUNCTION("""COMPUTED_VALUE"""),266.15)</f>
        <v>266.15</v>
      </c>
      <c r="F2615" s="1">
        <f>IFERROR(__xludf.DUMMYFUNCTION("""COMPUTED_VALUE"""),2734672.0)</f>
        <v>2734672</v>
      </c>
    </row>
    <row r="2616">
      <c r="A2616" s="2">
        <f>IFERROR(__xludf.DUMMYFUNCTION("""COMPUTED_VALUE"""),40378.645833333336)</f>
        <v>40378.64583</v>
      </c>
      <c r="B2616" s="1">
        <f>IFERROR(__xludf.DUMMYFUNCTION("""COMPUTED_VALUE"""),265.2)</f>
        <v>265.2</v>
      </c>
      <c r="C2616" s="1">
        <f>IFERROR(__xludf.DUMMYFUNCTION("""COMPUTED_VALUE"""),269.1)</f>
        <v>269.1</v>
      </c>
      <c r="D2616" s="1">
        <f>IFERROR(__xludf.DUMMYFUNCTION("""COMPUTED_VALUE"""),263.7)</f>
        <v>263.7</v>
      </c>
      <c r="E2616" s="1">
        <f>IFERROR(__xludf.DUMMYFUNCTION("""COMPUTED_VALUE"""),264.6)</f>
        <v>264.6</v>
      </c>
      <c r="F2616" s="1">
        <f>IFERROR(__xludf.DUMMYFUNCTION("""COMPUTED_VALUE"""),1103384.0)</f>
        <v>1103384</v>
      </c>
    </row>
    <row r="2617">
      <c r="A2617" s="2">
        <f>IFERROR(__xludf.DUMMYFUNCTION("""COMPUTED_VALUE"""),40379.645833333336)</f>
        <v>40379.64583</v>
      </c>
      <c r="B2617" s="1">
        <f>IFERROR(__xludf.DUMMYFUNCTION("""COMPUTED_VALUE"""),264.6)</f>
        <v>264.6</v>
      </c>
      <c r="C2617" s="1">
        <f>IFERROR(__xludf.DUMMYFUNCTION("""COMPUTED_VALUE"""),265.0)</f>
        <v>265</v>
      </c>
      <c r="D2617" s="1">
        <f>IFERROR(__xludf.DUMMYFUNCTION("""COMPUTED_VALUE"""),261.0)</f>
        <v>261</v>
      </c>
      <c r="E2617" s="1">
        <f>IFERROR(__xludf.DUMMYFUNCTION("""COMPUTED_VALUE"""),262.65)</f>
        <v>262.65</v>
      </c>
      <c r="F2617" s="1">
        <f>IFERROR(__xludf.DUMMYFUNCTION("""COMPUTED_VALUE"""),731859.0)</f>
        <v>731859</v>
      </c>
    </row>
    <row r="2618">
      <c r="A2618" s="2">
        <f>IFERROR(__xludf.DUMMYFUNCTION("""COMPUTED_VALUE"""),40380.645833333336)</f>
        <v>40380.64583</v>
      </c>
      <c r="B2618" s="1">
        <f>IFERROR(__xludf.DUMMYFUNCTION("""COMPUTED_VALUE"""),262.65)</f>
        <v>262.65</v>
      </c>
      <c r="C2618" s="1">
        <f>IFERROR(__xludf.DUMMYFUNCTION("""COMPUTED_VALUE"""),267.0)</f>
        <v>267</v>
      </c>
      <c r="D2618" s="1">
        <f>IFERROR(__xludf.DUMMYFUNCTION("""COMPUTED_VALUE"""),260.9)</f>
        <v>260.9</v>
      </c>
      <c r="E2618" s="1">
        <f>IFERROR(__xludf.DUMMYFUNCTION("""COMPUTED_VALUE"""),261.75)</f>
        <v>261.75</v>
      </c>
      <c r="F2618" s="1">
        <f>IFERROR(__xludf.DUMMYFUNCTION("""COMPUTED_VALUE"""),1312784.0)</f>
        <v>1312784</v>
      </c>
    </row>
    <row r="2619">
      <c r="A2619" s="2">
        <f>IFERROR(__xludf.DUMMYFUNCTION("""COMPUTED_VALUE"""),40381.645833333336)</f>
        <v>40381.64583</v>
      </c>
      <c r="B2619" s="1">
        <f>IFERROR(__xludf.DUMMYFUNCTION("""COMPUTED_VALUE"""),261.9)</f>
        <v>261.9</v>
      </c>
      <c r="C2619" s="1">
        <f>IFERROR(__xludf.DUMMYFUNCTION("""COMPUTED_VALUE"""),263.45)</f>
        <v>263.45</v>
      </c>
      <c r="D2619" s="1">
        <f>IFERROR(__xludf.DUMMYFUNCTION("""COMPUTED_VALUE"""),259.55)</f>
        <v>259.55</v>
      </c>
      <c r="E2619" s="1">
        <f>IFERROR(__xludf.DUMMYFUNCTION("""COMPUTED_VALUE"""),262.3)</f>
        <v>262.3</v>
      </c>
      <c r="F2619" s="1">
        <f>IFERROR(__xludf.DUMMYFUNCTION("""COMPUTED_VALUE"""),1046091.0)</f>
        <v>1046091</v>
      </c>
    </row>
    <row r="2620">
      <c r="A2620" s="2">
        <f>IFERROR(__xludf.DUMMYFUNCTION("""COMPUTED_VALUE"""),40382.645833333336)</f>
        <v>40382.64583</v>
      </c>
      <c r="B2620" s="1">
        <f>IFERROR(__xludf.DUMMYFUNCTION("""COMPUTED_VALUE"""),262.4)</f>
        <v>262.4</v>
      </c>
      <c r="C2620" s="1">
        <f>IFERROR(__xludf.DUMMYFUNCTION("""COMPUTED_VALUE"""),264.15)</f>
        <v>264.15</v>
      </c>
      <c r="D2620" s="1">
        <f>IFERROR(__xludf.DUMMYFUNCTION("""COMPUTED_VALUE"""),260.3)</f>
        <v>260.3</v>
      </c>
      <c r="E2620" s="1">
        <f>IFERROR(__xludf.DUMMYFUNCTION("""COMPUTED_VALUE"""),261.95)</f>
        <v>261.95</v>
      </c>
      <c r="F2620" s="1">
        <f>IFERROR(__xludf.DUMMYFUNCTION("""COMPUTED_VALUE"""),1082091.0)</f>
        <v>1082091</v>
      </c>
    </row>
    <row r="2621">
      <c r="A2621" s="2">
        <f>IFERROR(__xludf.DUMMYFUNCTION("""COMPUTED_VALUE"""),40385.645833333336)</f>
        <v>40385.64583</v>
      </c>
      <c r="B2621" s="1">
        <f>IFERROR(__xludf.DUMMYFUNCTION("""COMPUTED_VALUE"""),262.95)</f>
        <v>262.95</v>
      </c>
      <c r="C2621" s="1">
        <f>IFERROR(__xludf.DUMMYFUNCTION("""COMPUTED_VALUE"""),263.9)</f>
        <v>263.9</v>
      </c>
      <c r="D2621" s="1">
        <f>IFERROR(__xludf.DUMMYFUNCTION("""COMPUTED_VALUE"""),260.6)</f>
        <v>260.6</v>
      </c>
      <c r="E2621" s="1">
        <f>IFERROR(__xludf.DUMMYFUNCTION("""COMPUTED_VALUE"""),261.95)</f>
        <v>261.95</v>
      </c>
      <c r="F2621" s="1">
        <f>IFERROR(__xludf.DUMMYFUNCTION("""COMPUTED_VALUE"""),1255536.0)</f>
        <v>1255536</v>
      </c>
    </row>
    <row r="2622">
      <c r="A2622" s="2">
        <f>IFERROR(__xludf.DUMMYFUNCTION("""COMPUTED_VALUE"""),40386.645833333336)</f>
        <v>40386.64583</v>
      </c>
      <c r="B2622" s="1">
        <f>IFERROR(__xludf.DUMMYFUNCTION("""COMPUTED_VALUE"""),263.2)</f>
        <v>263.2</v>
      </c>
      <c r="C2622" s="1">
        <f>IFERROR(__xludf.DUMMYFUNCTION("""COMPUTED_VALUE"""),266.0)</f>
        <v>266</v>
      </c>
      <c r="D2622" s="1">
        <f>IFERROR(__xludf.DUMMYFUNCTION("""COMPUTED_VALUE"""),259.4)</f>
        <v>259.4</v>
      </c>
      <c r="E2622" s="1">
        <f>IFERROR(__xludf.DUMMYFUNCTION("""COMPUTED_VALUE"""),260.4)</f>
        <v>260.4</v>
      </c>
      <c r="F2622" s="1">
        <f>IFERROR(__xludf.DUMMYFUNCTION("""COMPUTED_VALUE"""),1910751.0)</f>
        <v>1910751</v>
      </c>
    </row>
    <row r="2623">
      <c r="A2623" s="2">
        <f>IFERROR(__xludf.DUMMYFUNCTION("""COMPUTED_VALUE"""),40387.645833333336)</f>
        <v>40387.64583</v>
      </c>
      <c r="B2623" s="1">
        <f>IFERROR(__xludf.DUMMYFUNCTION("""COMPUTED_VALUE"""),260.75)</f>
        <v>260.75</v>
      </c>
      <c r="C2623" s="1">
        <f>IFERROR(__xludf.DUMMYFUNCTION("""COMPUTED_VALUE"""),262.0)</f>
        <v>262</v>
      </c>
      <c r="D2623" s="1">
        <f>IFERROR(__xludf.DUMMYFUNCTION("""COMPUTED_VALUE"""),251.1)</f>
        <v>251.1</v>
      </c>
      <c r="E2623" s="1">
        <f>IFERROR(__xludf.DUMMYFUNCTION("""COMPUTED_VALUE"""),252.35)</f>
        <v>252.35</v>
      </c>
      <c r="F2623" s="1">
        <f>IFERROR(__xludf.DUMMYFUNCTION("""COMPUTED_VALUE"""),1542725.0)</f>
        <v>1542725</v>
      </c>
    </row>
    <row r="2624">
      <c r="A2624" s="2">
        <f>IFERROR(__xludf.DUMMYFUNCTION("""COMPUTED_VALUE"""),40388.645833333336)</f>
        <v>40388.64583</v>
      </c>
      <c r="B2624" s="1">
        <f>IFERROR(__xludf.DUMMYFUNCTION("""COMPUTED_VALUE"""),253.2)</f>
        <v>253.2</v>
      </c>
      <c r="C2624" s="1">
        <f>IFERROR(__xludf.DUMMYFUNCTION("""COMPUTED_VALUE"""),259.8)</f>
        <v>259.8</v>
      </c>
      <c r="D2624" s="1">
        <f>IFERROR(__xludf.DUMMYFUNCTION("""COMPUTED_VALUE"""),250.0)</f>
        <v>250</v>
      </c>
      <c r="E2624" s="1">
        <f>IFERROR(__xludf.DUMMYFUNCTION("""COMPUTED_VALUE"""),256.5)</f>
        <v>256.5</v>
      </c>
      <c r="F2624" s="1">
        <f>IFERROR(__xludf.DUMMYFUNCTION("""COMPUTED_VALUE"""),3682710.0)</f>
        <v>3682710</v>
      </c>
    </row>
    <row r="2625">
      <c r="A2625" s="2">
        <f>IFERROR(__xludf.DUMMYFUNCTION("""COMPUTED_VALUE"""),40389.645833333336)</f>
        <v>40389.64583</v>
      </c>
      <c r="B2625" s="1">
        <f>IFERROR(__xludf.DUMMYFUNCTION("""COMPUTED_VALUE"""),257.0)</f>
        <v>257</v>
      </c>
      <c r="C2625" s="1">
        <f>IFERROR(__xludf.DUMMYFUNCTION("""COMPUTED_VALUE"""),258.25)</f>
        <v>258.25</v>
      </c>
      <c r="D2625" s="1">
        <f>IFERROR(__xludf.DUMMYFUNCTION("""COMPUTED_VALUE"""),249.6)</f>
        <v>249.6</v>
      </c>
      <c r="E2625" s="1">
        <f>IFERROR(__xludf.DUMMYFUNCTION("""COMPUTED_VALUE"""),251.45)</f>
        <v>251.45</v>
      </c>
      <c r="F2625" s="1">
        <f>IFERROR(__xludf.DUMMYFUNCTION("""COMPUTED_VALUE"""),1941787.0)</f>
        <v>1941787</v>
      </c>
    </row>
    <row r="2626">
      <c r="A2626" s="2">
        <f>IFERROR(__xludf.DUMMYFUNCTION("""COMPUTED_VALUE"""),40392.645833333336)</f>
        <v>40392.64583</v>
      </c>
      <c r="B2626" s="1">
        <f>IFERROR(__xludf.DUMMYFUNCTION("""COMPUTED_VALUE"""),250.0)</f>
        <v>250</v>
      </c>
      <c r="C2626" s="1">
        <f>IFERROR(__xludf.DUMMYFUNCTION("""COMPUTED_VALUE"""),254.9)</f>
        <v>254.9</v>
      </c>
      <c r="D2626" s="1">
        <f>IFERROR(__xludf.DUMMYFUNCTION("""COMPUTED_VALUE"""),250.0)</f>
        <v>250</v>
      </c>
      <c r="E2626" s="1">
        <f>IFERROR(__xludf.DUMMYFUNCTION("""COMPUTED_VALUE"""),253.45)</f>
        <v>253.45</v>
      </c>
      <c r="F2626" s="1">
        <f>IFERROR(__xludf.DUMMYFUNCTION("""COMPUTED_VALUE"""),1131419.0)</f>
        <v>1131419</v>
      </c>
    </row>
    <row r="2627">
      <c r="A2627" s="2">
        <f>IFERROR(__xludf.DUMMYFUNCTION("""COMPUTED_VALUE"""),40393.645833333336)</f>
        <v>40393.64583</v>
      </c>
      <c r="B2627" s="1">
        <f>IFERROR(__xludf.DUMMYFUNCTION("""COMPUTED_VALUE"""),253.45)</f>
        <v>253.45</v>
      </c>
      <c r="C2627" s="1">
        <f>IFERROR(__xludf.DUMMYFUNCTION("""COMPUTED_VALUE"""),255.4)</f>
        <v>255.4</v>
      </c>
      <c r="D2627" s="1">
        <f>IFERROR(__xludf.DUMMYFUNCTION("""COMPUTED_VALUE"""),252.55)</f>
        <v>252.55</v>
      </c>
      <c r="E2627" s="1">
        <f>IFERROR(__xludf.DUMMYFUNCTION("""COMPUTED_VALUE"""),253.35)</f>
        <v>253.35</v>
      </c>
      <c r="F2627" s="1">
        <f>IFERROR(__xludf.DUMMYFUNCTION("""COMPUTED_VALUE"""),911243.0)</f>
        <v>911243</v>
      </c>
    </row>
    <row r="2628">
      <c r="A2628" s="2">
        <f>IFERROR(__xludf.DUMMYFUNCTION("""COMPUTED_VALUE"""),40394.645833333336)</f>
        <v>40394.64583</v>
      </c>
      <c r="B2628" s="1">
        <f>IFERROR(__xludf.DUMMYFUNCTION("""COMPUTED_VALUE"""),253.35)</f>
        <v>253.35</v>
      </c>
      <c r="C2628" s="1">
        <f>IFERROR(__xludf.DUMMYFUNCTION("""COMPUTED_VALUE"""),258.5)</f>
        <v>258.5</v>
      </c>
      <c r="D2628" s="1">
        <f>IFERROR(__xludf.DUMMYFUNCTION("""COMPUTED_VALUE"""),251.2)</f>
        <v>251.2</v>
      </c>
      <c r="E2628" s="1">
        <f>IFERROR(__xludf.DUMMYFUNCTION("""COMPUTED_VALUE"""),256.65)</f>
        <v>256.65</v>
      </c>
      <c r="F2628" s="1">
        <f>IFERROR(__xludf.DUMMYFUNCTION("""COMPUTED_VALUE"""),1957529.0)</f>
        <v>1957529</v>
      </c>
    </row>
    <row r="2629">
      <c r="A2629" s="2">
        <f>IFERROR(__xludf.DUMMYFUNCTION("""COMPUTED_VALUE"""),40395.645833333336)</f>
        <v>40395.64583</v>
      </c>
      <c r="B2629" s="1">
        <f>IFERROR(__xludf.DUMMYFUNCTION("""COMPUTED_VALUE"""),256.65)</f>
        <v>256.65</v>
      </c>
      <c r="C2629" s="1">
        <f>IFERROR(__xludf.DUMMYFUNCTION("""COMPUTED_VALUE"""),259.4)</f>
        <v>259.4</v>
      </c>
      <c r="D2629" s="1">
        <f>IFERROR(__xludf.DUMMYFUNCTION("""COMPUTED_VALUE"""),254.4)</f>
        <v>254.4</v>
      </c>
      <c r="E2629" s="1">
        <f>IFERROR(__xludf.DUMMYFUNCTION("""COMPUTED_VALUE"""),255.3)</f>
        <v>255.3</v>
      </c>
      <c r="F2629" s="1">
        <f>IFERROR(__xludf.DUMMYFUNCTION("""COMPUTED_VALUE"""),995609.0)</f>
        <v>995609</v>
      </c>
    </row>
    <row r="2630">
      <c r="A2630" s="2">
        <f>IFERROR(__xludf.DUMMYFUNCTION("""COMPUTED_VALUE"""),40396.645833333336)</f>
        <v>40396.64583</v>
      </c>
      <c r="B2630" s="1">
        <f>IFERROR(__xludf.DUMMYFUNCTION("""COMPUTED_VALUE"""),257.0)</f>
        <v>257</v>
      </c>
      <c r="C2630" s="1">
        <f>IFERROR(__xludf.DUMMYFUNCTION("""COMPUTED_VALUE"""),257.0)</f>
        <v>257</v>
      </c>
      <c r="D2630" s="1">
        <f>IFERROR(__xludf.DUMMYFUNCTION("""COMPUTED_VALUE"""),254.7)</f>
        <v>254.7</v>
      </c>
      <c r="E2630" s="1">
        <f>IFERROR(__xludf.DUMMYFUNCTION("""COMPUTED_VALUE"""),255.05)</f>
        <v>255.05</v>
      </c>
      <c r="F2630" s="1">
        <f>IFERROR(__xludf.DUMMYFUNCTION("""COMPUTED_VALUE"""),693299.0)</f>
        <v>693299</v>
      </c>
    </row>
    <row r="2631">
      <c r="A2631" s="2">
        <f>IFERROR(__xludf.DUMMYFUNCTION("""COMPUTED_VALUE"""),40399.645833333336)</f>
        <v>40399.64583</v>
      </c>
      <c r="B2631" s="1">
        <f>IFERROR(__xludf.DUMMYFUNCTION("""COMPUTED_VALUE"""),255.4)</f>
        <v>255.4</v>
      </c>
      <c r="C2631" s="1">
        <f>IFERROR(__xludf.DUMMYFUNCTION("""COMPUTED_VALUE"""),257.9)</f>
        <v>257.9</v>
      </c>
      <c r="D2631" s="1">
        <f>IFERROR(__xludf.DUMMYFUNCTION("""COMPUTED_VALUE"""),254.15)</f>
        <v>254.15</v>
      </c>
      <c r="E2631" s="1">
        <f>IFERROR(__xludf.DUMMYFUNCTION("""COMPUTED_VALUE"""),256.05)</f>
        <v>256.05</v>
      </c>
      <c r="F2631" s="1">
        <f>IFERROR(__xludf.DUMMYFUNCTION("""COMPUTED_VALUE"""),578268.0)</f>
        <v>578268</v>
      </c>
    </row>
    <row r="2632">
      <c r="A2632" s="2">
        <f>IFERROR(__xludf.DUMMYFUNCTION("""COMPUTED_VALUE"""),40400.645833333336)</f>
        <v>40400.64583</v>
      </c>
      <c r="B2632" s="1">
        <f>IFERROR(__xludf.DUMMYFUNCTION("""COMPUTED_VALUE"""),256.5)</f>
        <v>256.5</v>
      </c>
      <c r="C2632" s="1">
        <f>IFERROR(__xludf.DUMMYFUNCTION("""COMPUTED_VALUE"""),261.0)</f>
        <v>261</v>
      </c>
      <c r="D2632" s="1">
        <f>IFERROR(__xludf.DUMMYFUNCTION("""COMPUTED_VALUE"""),254.15)</f>
        <v>254.15</v>
      </c>
      <c r="E2632" s="1">
        <f>IFERROR(__xludf.DUMMYFUNCTION("""COMPUTED_VALUE"""),260.2)</f>
        <v>260.2</v>
      </c>
      <c r="F2632" s="1">
        <f>IFERROR(__xludf.DUMMYFUNCTION("""COMPUTED_VALUE"""),1342358.0)</f>
        <v>1342358</v>
      </c>
    </row>
    <row r="2633">
      <c r="A2633" s="2">
        <f>IFERROR(__xludf.DUMMYFUNCTION("""COMPUTED_VALUE"""),40401.645833333336)</f>
        <v>40401.64583</v>
      </c>
      <c r="B2633" s="1">
        <f>IFERROR(__xludf.DUMMYFUNCTION("""COMPUTED_VALUE"""),260.2)</f>
        <v>260.2</v>
      </c>
      <c r="C2633" s="1">
        <f>IFERROR(__xludf.DUMMYFUNCTION("""COMPUTED_VALUE"""),265.2)</f>
        <v>265.2</v>
      </c>
      <c r="D2633" s="1">
        <f>IFERROR(__xludf.DUMMYFUNCTION("""COMPUTED_VALUE"""),260.2)</f>
        <v>260.2</v>
      </c>
      <c r="E2633" s="1">
        <f>IFERROR(__xludf.DUMMYFUNCTION("""COMPUTED_VALUE"""),261.25)</f>
        <v>261.25</v>
      </c>
      <c r="F2633" s="1">
        <f>IFERROR(__xludf.DUMMYFUNCTION("""COMPUTED_VALUE"""),1939262.0)</f>
        <v>1939262</v>
      </c>
    </row>
    <row r="2634">
      <c r="A2634" s="2">
        <f>IFERROR(__xludf.DUMMYFUNCTION("""COMPUTED_VALUE"""),40402.645833333336)</f>
        <v>40402.64583</v>
      </c>
      <c r="B2634" s="1">
        <f>IFERROR(__xludf.DUMMYFUNCTION("""COMPUTED_VALUE"""),261.5)</f>
        <v>261.5</v>
      </c>
      <c r="C2634" s="1">
        <f>IFERROR(__xludf.DUMMYFUNCTION("""COMPUTED_VALUE"""),267.4)</f>
        <v>267.4</v>
      </c>
      <c r="D2634" s="1">
        <f>IFERROR(__xludf.DUMMYFUNCTION("""COMPUTED_VALUE"""),259.0)</f>
        <v>259</v>
      </c>
      <c r="E2634" s="1">
        <f>IFERROR(__xludf.DUMMYFUNCTION("""COMPUTED_VALUE"""),266.0)</f>
        <v>266</v>
      </c>
      <c r="F2634" s="1">
        <f>IFERROR(__xludf.DUMMYFUNCTION("""COMPUTED_VALUE"""),2907430.0)</f>
        <v>2907430</v>
      </c>
    </row>
    <row r="2635">
      <c r="A2635" s="2">
        <f>IFERROR(__xludf.DUMMYFUNCTION("""COMPUTED_VALUE"""),40403.645833333336)</f>
        <v>40403.64583</v>
      </c>
      <c r="B2635" s="1">
        <f>IFERROR(__xludf.DUMMYFUNCTION("""COMPUTED_VALUE"""),266.0)</f>
        <v>266</v>
      </c>
      <c r="C2635" s="1">
        <f>IFERROR(__xludf.DUMMYFUNCTION("""COMPUTED_VALUE"""),267.8)</f>
        <v>267.8</v>
      </c>
      <c r="D2635" s="1">
        <f>IFERROR(__xludf.DUMMYFUNCTION("""COMPUTED_VALUE"""),265.1)</f>
        <v>265.1</v>
      </c>
      <c r="E2635" s="1">
        <f>IFERROR(__xludf.DUMMYFUNCTION("""COMPUTED_VALUE"""),265.8)</f>
        <v>265.8</v>
      </c>
      <c r="F2635" s="1">
        <f>IFERROR(__xludf.DUMMYFUNCTION("""COMPUTED_VALUE"""),1392182.0)</f>
        <v>1392182</v>
      </c>
    </row>
    <row r="2636">
      <c r="A2636" s="2">
        <f>IFERROR(__xludf.DUMMYFUNCTION("""COMPUTED_VALUE"""),40406.645833333336)</f>
        <v>40406.64583</v>
      </c>
      <c r="B2636" s="1">
        <f>IFERROR(__xludf.DUMMYFUNCTION("""COMPUTED_VALUE"""),266.9)</f>
        <v>266.9</v>
      </c>
      <c r="C2636" s="1">
        <f>IFERROR(__xludf.DUMMYFUNCTION("""COMPUTED_VALUE"""),271.95)</f>
        <v>271.95</v>
      </c>
      <c r="D2636" s="1">
        <f>IFERROR(__xludf.DUMMYFUNCTION("""COMPUTED_VALUE"""),266.35)</f>
        <v>266.35</v>
      </c>
      <c r="E2636" s="1">
        <f>IFERROR(__xludf.DUMMYFUNCTION("""COMPUTED_VALUE"""),269.9)</f>
        <v>269.9</v>
      </c>
      <c r="F2636" s="1">
        <f>IFERROR(__xludf.DUMMYFUNCTION("""COMPUTED_VALUE"""),1816654.0)</f>
        <v>1816654</v>
      </c>
    </row>
    <row r="2637">
      <c r="A2637" s="2">
        <f>IFERROR(__xludf.DUMMYFUNCTION("""COMPUTED_VALUE"""),40407.645833333336)</f>
        <v>40407.64583</v>
      </c>
      <c r="B2637" s="1">
        <f>IFERROR(__xludf.DUMMYFUNCTION("""COMPUTED_VALUE"""),270.0)</f>
        <v>270</v>
      </c>
      <c r="C2637" s="1">
        <f>IFERROR(__xludf.DUMMYFUNCTION("""COMPUTED_VALUE"""),271.0)</f>
        <v>271</v>
      </c>
      <c r="D2637" s="1">
        <f>IFERROR(__xludf.DUMMYFUNCTION("""COMPUTED_VALUE"""),264.35)</f>
        <v>264.35</v>
      </c>
      <c r="E2637" s="1">
        <f>IFERROR(__xludf.DUMMYFUNCTION("""COMPUTED_VALUE"""),265.65)</f>
        <v>265.65</v>
      </c>
      <c r="F2637" s="1">
        <f>IFERROR(__xludf.DUMMYFUNCTION("""COMPUTED_VALUE"""),1059553.0)</f>
        <v>1059553</v>
      </c>
    </row>
    <row r="2638">
      <c r="A2638" s="2">
        <f>IFERROR(__xludf.DUMMYFUNCTION("""COMPUTED_VALUE"""),40408.645833333336)</f>
        <v>40408.64583</v>
      </c>
      <c r="B2638" s="1">
        <f>IFERROR(__xludf.DUMMYFUNCTION("""COMPUTED_VALUE"""),265.65)</f>
        <v>265.65</v>
      </c>
      <c r="C2638" s="1">
        <f>IFERROR(__xludf.DUMMYFUNCTION("""COMPUTED_VALUE"""),270.4)</f>
        <v>270.4</v>
      </c>
      <c r="D2638" s="1">
        <f>IFERROR(__xludf.DUMMYFUNCTION("""COMPUTED_VALUE"""),263.35)</f>
        <v>263.35</v>
      </c>
      <c r="E2638" s="1">
        <f>IFERROR(__xludf.DUMMYFUNCTION("""COMPUTED_VALUE"""),269.25)</f>
        <v>269.25</v>
      </c>
      <c r="F2638" s="1">
        <f>IFERROR(__xludf.DUMMYFUNCTION("""COMPUTED_VALUE"""),1543787.0)</f>
        <v>1543787</v>
      </c>
    </row>
    <row r="2639">
      <c r="A2639" s="2">
        <f>IFERROR(__xludf.DUMMYFUNCTION("""COMPUTED_VALUE"""),40409.645833333336)</f>
        <v>40409.64583</v>
      </c>
      <c r="B2639" s="1">
        <f>IFERROR(__xludf.DUMMYFUNCTION("""COMPUTED_VALUE"""),270.85)</f>
        <v>270.85</v>
      </c>
      <c r="C2639" s="1">
        <f>IFERROR(__xludf.DUMMYFUNCTION("""COMPUTED_VALUE"""),274.45)</f>
        <v>274.45</v>
      </c>
      <c r="D2639" s="1">
        <f>IFERROR(__xludf.DUMMYFUNCTION("""COMPUTED_VALUE"""),269.1)</f>
        <v>269.1</v>
      </c>
      <c r="E2639" s="1">
        <f>IFERROR(__xludf.DUMMYFUNCTION("""COMPUTED_VALUE"""),274.05)</f>
        <v>274.05</v>
      </c>
      <c r="F2639" s="1">
        <f>IFERROR(__xludf.DUMMYFUNCTION("""COMPUTED_VALUE"""),1525384.0)</f>
        <v>1525384</v>
      </c>
    </row>
    <row r="2640">
      <c r="A2640" s="2">
        <f>IFERROR(__xludf.DUMMYFUNCTION("""COMPUTED_VALUE"""),40410.645833333336)</f>
        <v>40410.64583</v>
      </c>
      <c r="B2640" s="1">
        <f>IFERROR(__xludf.DUMMYFUNCTION("""COMPUTED_VALUE"""),275.0)</f>
        <v>275</v>
      </c>
      <c r="C2640" s="1">
        <f>IFERROR(__xludf.DUMMYFUNCTION("""COMPUTED_VALUE"""),275.0)</f>
        <v>275</v>
      </c>
      <c r="D2640" s="1">
        <f>IFERROR(__xludf.DUMMYFUNCTION("""COMPUTED_VALUE"""),268.05)</f>
        <v>268.05</v>
      </c>
      <c r="E2640" s="1">
        <f>IFERROR(__xludf.DUMMYFUNCTION("""COMPUTED_VALUE"""),268.9)</f>
        <v>268.9</v>
      </c>
      <c r="F2640" s="1">
        <f>IFERROR(__xludf.DUMMYFUNCTION("""COMPUTED_VALUE"""),974087.0)</f>
        <v>974087</v>
      </c>
    </row>
    <row r="2641">
      <c r="A2641" s="2">
        <f>IFERROR(__xludf.DUMMYFUNCTION("""COMPUTED_VALUE"""),40413.645833333336)</f>
        <v>40413.64583</v>
      </c>
      <c r="B2641" s="1">
        <f>IFERROR(__xludf.DUMMYFUNCTION("""COMPUTED_VALUE"""),268.0)</f>
        <v>268</v>
      </c>
      <c r="C2641" s="1">
        <f>IFERROR(__xludf.DUMMYFUNCTION("""COMPUTED_VALUE"""),270.85)</f>
        <v>270.85</v>
      </c>
      <c r="D2641" s="1">
        <f>IFERROR(__xludf.DUMMYFUNCTION("""COMPUTED_VALUE"""),266.8)</f>
        <v>266.8</v>
      </c>
      <c r="E2641" s="1">
        <f>IFERROR(__xludf.DUMMYFUNCTION("""COMPUTED_VALUE"""),268.85)</f>
        <v>268.85</v>
      </c>
      <c r="F2641" s="1">
        <f>IFERROR(__xludf.DUMMYFUNCTION("""COMPUTED_VALUE"""),956531.0)</f>
        <v>956531</v>
      </c>
    </row>
    <row r="2642">
      <c r="A2642" s="2">
        <f>IFERROR(__xludf.DUMMYFUNCTION("""COMPUTED_VALUE"""),40414.645833333336)</f>
        <v>40414.64583</v>
      </c>
      <c r="B2642" s="1">
        <f>IFERROR(__xludf.DUMMYFUNCTION("""COMPUTED_VALUE"""),267.25)</f>
        <v>267.25</v>
      </c>
      <c r="C2642" s="1">
        <f>IFERROR(__xludf.DUMMYFUNCTION("""COMPUTED_VALUE"""),271.95)</f>
        <v>271.95</v>
      </c>
      <c r="D2642" s="1">
        <f>IFERROR(__xludf.DUMMYFUNCTION("""COMPUTED_VALUE"""),267.1)</f>
        <v>267.1</v>
      </c>
      <c r="E2642" s="1">
        <f>IFERROR(__xludf.DUMMYFUNCTION("""COMPUTED_VALUE"""),269.65)</f>
        <v>269.65</v>
      </c>
      <c r="F2642" s="1">
        <f>IFERROR(__xludf.DUMMYFUNCTION("""COMPUTED_VALUE"""),1378329.0)</f>
        <v>1378329</v>
      </c>
    </row>
    <row r="2643">
      <c r="A2643" s="2">
        <f>IFERROR(__xludf.DUMMYFUNCTION("""COMPUTED_VALUE"""),40415.645833333336)</f>
        <v>40415.64583</v>
      </c>
      <c r="B2643" s="1">
        <f>IFERROR(__xludf.DUMMYFUNCTION("""COMPUTED_VALUE"""),270.0)</f>
        <v>270</v>
      </c>
      <c r="C2643" s="1">
        <f>IFERROR(__xludf.DUMMYFUNCTION("""COMPUTED_VALUE"""),272.5)</f>
        <v>272.5</v>
      </c>
      <c r="D2643" s="1">
        <f>IFERROR(__xludf.DUMMYFUNCTION("""COMPUTED_VALUE"""),267.1)</f>
        <v>267.1</v>
      </c>
      <c r="E2643" s="1">
        <f>IFERROR(__xludf.DUMMYFUNCTION("""COMPUTED_VALUE"""),268.0)</f>
        <v>268</v>
      </c>
      <c r="F2643" s="1">
        <f>IFERROR(__xludf.DUMMYFUNCTION("""COMPUTED_VALUE"""),1593133.0)</f>
        <v>1593133</v>
      </c>
    </row>
    <row r="2644">
      <c r="A2644" s="2">
        <f>IFERROR(__xludf.DUMMYFUNCTION("""COMPUTED_VALUE"""),40416.645833333336)</f>
        <v>40416.64583</v>
      </c>
      <c r="B2644" s="1">
        <f>IFERROR(__xludf.DUMMYFUNCTION("""COMPUTED_VALUE"""),268.15)</f>
        <v>268.15</v>
      </c>
      <c r="C2644" s="1">
        <f>IFERROR(__xludf.DUMMYFUNCTION("""COMPUTED_VALUE"""),269.15)</f>
        <v>269.15</v>
      </c>
      <c r="D2644" s="1">
        <f>IFERROR(__xludf.DUMMYFUNCTION("""COMPUTED_VALUE"""),264.0)</f>
        <v>264</v>
      </c>
      <c r="E2644" s="1">
        <f>IFERROR(__xludf.DUMMYFUNCTION("""COMPUTED_VALUE"""),265.65)</f>
        <v>265.65</v>
      </c>
      <c r="F2644" s="1">
        <f>IFERROR(__xludf.DUMMYFUNCTION("""COMPUTED_VALUE"""),1932725.0)</f>
        <v>1932725</v>
      </c>
    </row>
    <row r="2645">
      <c r="A2645" s="2">
        <f>IFERROR(__xludf.DUMMYFUNCTION("""COMPUTED_VALUE"""),40417.645833333336)</f>
        <v>40417.64583</v>
      </c>
      <c r="B2645" s="1">
        <f>IFERROR(__xludf.DUMMYFUNCTION("""COMPUTED_VALUE"""),265.0)</f>
        <v>265</v>
      </c>
      <c r="C2645" s="1">
        <f>IFERROR(__xludf.DUMMYFUNCTION("""COMPUTED_VALUE"""),265.85)</f>
        <v>265.85</v>
      </c>
      <c r="D2645" s="1">
        <f>IFERROR(__xludf.DUMMYFUNCTION("""COMPUTED_VALUE"""),263.05)</f>
        <v>263.05</v>
      </c>
      <c r="E2645" s="1">
        <f>IFERROR(__xludf.DUMMYFUNCTION("""COMPUTED_VALUE"""),263.95)</f>
        <v>263.95</v>
      </c>
      <c r="F2645" s="1">
        <f>IFERROR(__xludf.DUMMYFUNCTION("""COMPUTED_VALUE"""),1440447.0)</f>
        <v>1440447</v>
      </c>
    </row>
    <row r="2646">
      <c r="A2646" s="2">
        <f>IFERROR(__xludf.DUMMYFUNCTION("""COMPUTED_VALUE"""),40420.645833333336)</f>
        <v>40420.64583</v>
      </c>
      <c r="B2646" s="1">
        <f>IFERROR(__xludf.DUMMYFUNCTION("""COMPUTED_VALUE"""),265.0)</f>
        <v>265</v>
      </c>
      <c r="C2646" s="1">
        <f>IFERROR(__xludf.DUMMYFUNCTION("""COMPUTED_VALUE"""),265.0)</f>
        <v>265</v>
      </c>
      <c r="D2646" s="1">
        <f>IFERROR(__xludf.DUMMYFUNCTION("""COMPUTED_VALUE"""),261.5)</f>
        <v>261.5</v>
      </c>
      <c r="E2646" s="1">
        <f>IFERROR(__xludf.DUMMYFUNCTION("""COMPUTED_VALUE"""),263.65)</f>
        <v>263.65</v>
      </c>
      <c r="F2646" s="1">
        <f>IFERROR(__xludf.DUMMYFUNCTION("""COMPUTED_VALUE"""),1358795.0)</f>
        <v>1358795</v>
      </c>
    </row>
    <row r="2647">
      <c r="A2647" s="2">
        <f>IFERROR(__xludf.DUMMYFUNCTION("""COMPUTED_VALUE"""),40421.645833333336)</f>
        <v>40421.64583</v>
      </c>
      <c r="B2647" s="1">
        <f>IFERROR(__xludf.DUMMYFUNCTION("""COMPUTED_VALUE"""),263.2)</f>
        <v>263.2</v>
      </c>
      <c r="C2647" s="1">
        <f>IFERROR(__xludf.DUMMYFUNCTION("""COMPUTED_VALUE"""),265.0)</f>
        <v>265</v>
      </c>
      <c r="D2647" s="1">
        <f>IFERROR(__xludf.DUMMYFUNCTION("""COMPUTED_VALUE"""),262.65)</f>
        <v>262.65</v>
      </c>
      <c r="E2647" s="1">
        <f>IFERROR(__xludf.DUMMYFUNCTION("""COMPUTED_VALUE"""),264.5)</f>
        <v>264.5</v>
      </c>
      <c r="F2647" s="1">
        <f>IFERROR(__xludf.DUMMYFUNCTION("""COMPUTED_VALUE"""),1474262.0)</f>
        <v>1474262</v>
      </c>
    </row>
    <row r="2648">
      <c r="A2648" s="2">
        <f>IFERROR(__xludf.DUMMYFUNCTION("""COMPUTED_VALUE"""),40422.645833333336)</f>
        <v>40422.64583</v>
      </c>
      <c r="B2648" s="1">
        <f>IFERROR(__xludf.DUMMYFUNCTION("""COMPUTED_VALUE"""),264.5)</f>
        <v>264.5</v>
      </c>
      <c r="C2648" s="1">
        <f>IFERROR(__xludf.DUMMYFUNCTION("""COMPUTED_VALUE"""),267.35)</f>
        <v>267.35</v>
      </c>
      <c r="D2648" s="1">
        <f>IFERROR(__xludf.DUMMYFUNCTION("""COMPUTED_VALUE"""),264.0)</f>
        <v>264</v>
      </c>
      <c r="E2648" s="1">
        <f>IFERROR(__xludf.DUMMYFUNCTION("""COMPUTED_VALUE"""),266.55)</f>
        <v>266.55</v>
      </c>
      <c r="F2648" s="1">
        <f>IFERROR(__xludf.DUMMYFUNCTION("""COMPUTED_VALUE"""),3097428.0)</f>
        <v>3097428</v>
      </c>
    </row>
    <row r="2649">
      <c r="A2649" s="2">
        <f>IFERROR(__xludf.DUMMYFUNCTION("""COMPUTED_VALUE"""),40423.645833333336)</f>
        <v>40423.64583</v>
      </c>
      <c r="B2649" s="1">
        <f>IFERROR(__xludf.DUMMYFUNCTION("""COMPUTED_VALUE"""),267.85)</f>
        <v>267.85</v>
      </c>
      <c r="C2649" s="1">
        <f>IFERROR(__xludf.DUMMYFUNCTION("""COMPUTED_VALUE"""),272.2)</f>
        <v>272.2</v>
      </c>
      <c r="D2649" s="1">
        <f>IFERROR(__xludf.DUMMYFUNCTION("""COMPUTED_VALUE"""),266.3)</f>
        <v>266.3</v>
      </c>
      <c r="E2649" s="1">
        <f>IFERROR(__xludf.DUMMYFUNCTION("""COMPUTED_VALUE"""),269.9)</f>
        <v>269.9</v>
      </c>
      <c r="F2649" s="1">
        <f>IFERROR(__xludf.DUMMYFUNCTION("""COMPUTED_VALUE"""),1370949.0)</f>
        <v>1370949</v>
      </c>
    </row>
    <row r="2650">
      <c r="A2650" s="2">
        <f>IFERROR(__xludf.DUMMYFUNCTION("""COMPUTED_VALUE"""),40424.645833333336)</f>
        <v>40424.64583</v>
      </c>
      <c r="B2650" s="1">
        <f>IFERROR(__xludf.DUMMYFUNCTION("""COMPUTED_VALUE"""),270.0)</f>
        <v>270</v>
      </c>
      <c r="C2650" s="1">
        <f>IFERROR(__xludf.DUMMYFUNCTION("""COMPUTED_VALUE"""),274.0)</f>
        <v>274</v>
      </c>
      <c r="D2650" s="1">
        <f>IFERROR(__xludf.DUMMYFUNCTION("""COMPUTED_VALUE"""),269.0)</f>
        <v>269</v>
      </c>
      <c r="E2650" s="1">
        <f>IFERROR(__xludf.DUMMYFUNCTION("""COMPUTED_VALUE"""),272.9)</f>
        <v>272.9</v>
      </c>
      <c r="F2650" s="1">
        <f>IFERROR(__xludf.DUMMYFUNCTION("""COMPUTED_VALUE"""),2525693.0)</f>
        <v>2525693</v>
      </c>
    </row>
    <row r="2651">
      <c r="A2651" s="2">
        <f>IFERROR(__xludf.DUMMYFUNCTION("""COMPUTED_VALUE"""),40427.645833333336)</f>
        <v>40427.64583</v>
      </c>
      <c r="B2651" s="1">
        <f>IFERROR(__xludf.DUMMYFUNCTION("""COMPUTED_VALUE"""),274.2)</f>
        <v>274.2</v>
      </c>
      <c r="C2651" s="1">
        <f>IFERROR(__xludf.DUMMYFUNCTION("""COMPUTED_VALUE"""),274.3)</f>
        <v>274.3</v>
      </c>
      <c r="D2651" s="1">
        <f>IFERROR(__xludf.DUMMYFUNCTION("""COMPUTED_VALUE"""),270.55)</f>
        <v>270.55</v>
      </c>
      <c r="E2651" s="1">
        <f>IFERROR(__xludf.DUMMYFUNCTION("""COMPUTED_VALUE"""),271.65)</f>
        <v>271.65</v>
      </c>
      <c r="F2651" s="1">
        <f>IFERROR(__xludf.DUMMYFUNCTION("""COMPUTED_VALUE"""),1221034.0)</f>
        <v>1221034</v>
      </c>
    </row>
    <row r="2652">
      <c r="A2652" s="2">
        <f>IFERROR(__xludf.DUMMYFUNCTION("""COMPUTED_VALUE"""),40428.645833333336)</f>
        <v>40428.64583</v>
      </c>
      <c r="B2652" s="1">
        <f>IFERROR(__xludf.DUMMYFUNCTION("""COMPUTED_VALUE"""),272.5)</f>
        <v>272.5</v>
      </c>
      <c r="C2652" s="1">
        <f>IFERROR(__xludf.DUMMYFUNCTION("""COMPUTED_VALUE"""),272.5)</f>
        <v>272.5</v>
      </c>
      <c r="D2652" s="1">
        <f>IFERROR(__xludf.DUMMYFUNCTION("""COMPUTED_VALUE"""),269.3)</f>
        <v>269.3</v>
      </c>
      <c r="E2652" s="1">
        <f>IFERROR(__xludf.DUMMYFUNCTION("""COMPUTED_VALUE"""),270.65)</f>
        <v>270.65</v>
      </c>
      <c r="F2652" s="1">
        <f>IFERROR(__xludf.DUMMYFUNCTION("""COMPUTED_VALUE"""),1591280.0)</f>
        <v>1591280</v>
      </c>
    </row>
    <row r="2653">
      <c r="A2653" s="2">
        <f>IFERROR(__xludf.DUMMYFUNCTION("""COMPUTED_VALUE"""),40429.645833333336)</f>
        <v>40429.64583</v>
      </c>
      <c r="B2653" s="1">
        <f>IFERROR(__xludf.DUMMYFUNCTION("""COMPUTED_VALUE"""),269.5)</f>
        <v>269.5</v>
      </c>
      <c r="C2653" s="1">
        <f>IFERROR(__xludf.DUMMYFUNCTION("""COMPUTED_VALUE"""),275.4)</f>
        <v>275.4</v>
      </c>
      <c r="D2653" s="1">
        <f>IFERROR(__xludf.DUMMYFUNCTION("""COMPUTED_VALUE"""),269.0)</f>
        <v>269</v>
      </c>
      <c r="E2653" s="1">
        <f>IFERROR(__xludf.DUMMYFUNCTION("""COMPUTED_VALUE"""),274.25)</f>
        <v>274.25</v>
      </c>
      <c r="F2653" s="1">
        <f>IFERROR(__xludf.DUMMYFUNCTION("""COMPUTED_VALUE"""),2144813.0)</f>
        <v>2144813</v>
      </c>
    </row>
    <row r="2654">
      <c r="A2654" s="2">
        <f>IFERROR(__xludf.DUMMYFUNCTION("""COMPUTED_VALUE"""),40430.645833333336)</f>
        <v>40430.64583</v>
      </c>
      <c r="B2654" s="1">
        <f>IFERROR(__xludf.DUMMYFUNCTION("""COMPUTED_VALUE"""),275.25)</f>
        <v>275.25</v>
      </c>
      <c r="C2654" s="1">
        <f>IFERROR(__xludf.DUMMYFUNCTION("""COMPUTED_VALUE"""),284.0)</f>
        <v>284</v>
      </c>
      <c r="D2654" s="1">
        <f>IFERROR(__xludf.DUMMYFUNCTION("""COMPUTED_VALUE"""),275.0)</f>
        <v>275</v>
      </c>
      <c r="E2654" s="1">
        <f>IFERROR(__xludf.DUMMYFUNCTION("""COMPUTED_VALUE"""),279.05)</f>
        <v>279.05</v>
      </c>
      <c r="F2654" s="1">
        <f>IFERROR(__xludf.DUMMYFUNCTION("""COMPUTED_VALUE"""),3187222.0)</f>
        <v>3187222</v>
      </c>
    </row>
    <row r="2655">
      <c r="A2655" s="2">
        <f>IFERROR(__xludf.DUMMYFUNCTION("""COMPUTED_VALUE"""),40434.645833333336)</f>
        <v>40434.64583</v>
      </c>
      <c r="B2655" s="1">
        <f>IFERROR(__xludf.DUMMYFUNCTION("""COMPUTED_VALUE"""),280.0)</f>
        <v>280</v>
      </c>
      <c r="C2655" s="1">
        <f>IFERROR(__xludf.DUMMYFUNCTION("""COMPUTED_VALUE"""),282.15)</f>
        <v>282.15</v>
      </c>
      <c r="D2655" s="1">
        <f>IFERROR(__xludf.DUMMYFUNCTION("""COMPUTED_VALUE"""),278.1)</f>
        <v>278.1</v>
      </c>
      <c r="E2655" s="1">
        <f>IFERROR(__xludf.DUMMYFUNCTION("""COMPUTED_VALUE"""),279.15)</f>
        <v>279.15</v>
      </c>
      <c r="F2655" s="1">
        <f>IFERROR(__xludf.DUMMYFUNCTION("""COMPUTED_VALUE"""),2465247.0)</f>
        <v>2465247</v>
      </c>
    </row>
    <row r="2656">
      <c r="A2656" s="2">
        <f>IFERROR(__xludf.DUMMYFUNCTION("""COMPUTED_VALUE"""),40435.645833333336)</f>
        <v>40435.64583</v>
      </c>
      <c r="B2656" s="1">
        <f>IFERROR(__xludf.DUMMYFUNCTION("""COMPUTED_VALUE"""),279.0)</f>
        <v>279</v>
      </c>
      <c r="C2656" s="1">
        <f>IFERROR(__xludf.DUMMYFUNCTION("""COMPUTED_VALUE"""),283.35)</f>
        <v>283.35</v>
      </c>
      <c r="D2656" s="1">
        <f>IFERROR(__xludf.DUMMYFUNCTION("""COMPUTED_VALUE"""),275.7)</f>
        <v>275.7</v>
      </c>
      <c r="E2656" s="1">
        <f>IFERROR(__xludf.DUMMYFUNCTION("""COMPUTED_VALUE"""),278.15)</f>
        <v>278.15</v>
      </c>
      <c r="F2656" s="1">
        <f>IFERROR(__xludf.DUMMYFUNCTION("""COMPUTED_VALUE"""),2084980.0)</f>
        <v>2084980</v>
      </c>
    </row>
    <row r="2657">
      <c r="A2657" s="2">
        <f>IFERROR(__xludf.DUMMYFUNCTION("""COMPUTED_VALUE"""),40436.645833333336)</f>
        <v>40436.64583</v>
      </c>
      <c r="B2657" s="1">
        <f>IFERROR(__xludf.DUMMYFUNCTION("""COMPUTED_VALUE"""),278.35)</f>
        <v>278.35</v>
      </c>
      <c r="C2657" s="1">
        <f>IFERROR(__xludf.DUMMYFUNCTION("""COMPUTED_VALUE"""),280.85)</f>
        <v>280.85</v>
      </c>
      <c r="D2657" s="1">
        <f>IFERROR(__xludf.DUMMYFUNCTION("""COMPUTED_VALUE"""),276.6)</f>
        <v>276.6</v>
      </c>
      <c r="E2657" s="1">
        <f>IFERROR(__xludf.DUMMYFUNCTION("""COMPUTED_VALUE"""),278.05)</f>
        <v>278.05</v>
      </c>
      <c r="F2657" s="1">
        <f>IFERROR(__xludf.DUMMYFUNCTION("""COMPUTED_VALUE"""),1790301.0)</f>
        <v>1790301</v>
      </c>
    </row>
    <row r="2658">
      <c r="A2658" s="2">
        <f>IFERROR(__xludf.DUMMYFUNCTION("""COMPUTED_VALUE"""),40437.645833333336)</f>
        <v>40437.64583</v>
      </c>
      <c r="B2658" s="1">
        <f>IFERROR(__xludf.DUMMYFUNCTION("""COMPUTED_VALUE"""),281.0)</f>
        <v>281</v>
      </c>
      <c r="C2658" s="1">
        <f>IFERROR(__xludf.DUMMYFUNCTION("""COMPUTED_VALUE"""),281.9)</f>
        <v>281.9</v>
      </c>
      <c r="D2658" s="1">
        <f>IFERROR(__xludf.DUMMYFUNCTION("""COMPUTED_VALUE"""),276.8)</f>
        <v>276.8</v>
      </c>
      <c r="E2658" s="1">
        <f>IFERROR(__xludf.DUMMYFUNCTION("""COMPUTED_VALUE"""),278.1)</f>
        <v>278.1</v>
      </c>
      <c r="F2658" s="1">
        <f>IFERROR(__xludf.DUMMYFUNCTION("""COMPUTED_VALUE"""),1871508.0)</f>
        <v>1871508</v>
      </c>
    </row>
    <row r="2659">
      <c r="A2659" s="2">
        <f>IFERROR(__xludf.DUMMYFUNCTION("""COMPUTED_VALUE"""),40438.645833333336)</f>
        <v>40438.64583</v>
      </c>
      <c r="B2659" s="1">
        <f>IFERROR(__xludf.DUMMYFUNCTION("""COMPUTED_VALUE"""),278.1)</f>
        <v>278.1</v>
      </c>
      <c r="C2659" s="1">
        <f>IFERROR(__xludf.DUMMYFUNCTION("""COMPUTED_VALUE"""),284.0)</f>
        <v>284</v>
      </c>
      <c r="D2659" s="1">
        <f>IFERROR(__xludf.DUMMYFUNCTION("""COMPUTED_VALUE"""),277.6)</f>
        <v>277.6</v>
      </c>
      <c r="E2659" s="1">
        <f>IFERROR(__xludf.DUMMYFUNCTION("""COMPUTED_VALUE"""),281.8)</f>
        <v>281.8</v>
      </c>
      <c r="F2659" s="1">
        <f>IFERROR(__xludf.DUMMYFUNCTION("""COMPUTED_VALUE"""),2793747.0)</f>
        <v>2793747</v>
      </c>
    </row>
    <row r="2660">
      <c r="A2660" s="2">
        <f>IFERROR(__xludf.DUMMYFUNCTION("""COMPUTED_VALUE"""),40441.645833333336)</f>
        <v>40441.64583</v>
      </c>
      <c r="B2660" s="1">
        <f>IFERROR(__xludf.DUMMYFUNCTION("""COMPUTED_VALUE"""),282.75)</f>
        <v>282.75</v>
      </c>
      <c r="C2660" s="1">
        <f>IFERROR(__xludf.DUMMYFUNCTION("""COMPUTED_VALUE"""),295.0)</f>
        <v>295</v>
      </c>
      <c r="D2660" s="1">
        <f>IFERROR(__xludf.DUMMYFUNCTION("""COMPUTED_VALUE"""),282.75)</f>
        <v>282.75</v>
      </c>
      <c r="E2660" s="1">
        <f>IFERROR(__xludf.DUMMYFUNCTION("""COMPUTED_VALUE"""),293.2)</f>
        <v>293.2</v>
      </c>
      <c r="F2660" s="1">
        <f>IFERROR(__xludf.DUMMYFUNCTION("""COMPUTED_VALUE"""),3669599.0)</f>
        <v>3669599</v>
      </c>
    </row>
    <row r="2661">
      <c r="A2661" s="2">
        <f>IFERROR(__xludf.DUMMYFUNCTION("""COMPUTED_VALUE"""),40442.645833333336)</f>
        <v>40442.64583</v>
      </c>
      <c r="B2661" s="1">
        <f>IFERROR(__xludf.DUMMYFUNCTION("""COMPUTED_VALUE"""),294.0)</f>
        <v>294</v>
      </c>
      <c r="C2661" s="1">
        <f>IFERROR(__xludf.DUMMYFUNCTION("""COMPUTED_VALUE"""),300.0)</f>
        <v>300</v>
      </c>
      <c r="D2661" s="1">
        <f>IFERROR(__xludf.DUMMYFUNCTION("""COMPUTED_VALUE"""),289.1)</f>
        <v>289.1</v>
      </c>
      <c r="E2661" s="1">
        <f>IFERROR(__xludf.DUMMYFUNCTION("""COMPUTED_VALUE"""),294.95)</f>
        <v>294.95</v>
      </c>
      <c r="F2661" s="1">
        <f>IFERROR(__xludf.DUMMYFUNCTION("""COMPUTED_VALUE"""),3025979.0)</f>
        <v>3025979</v>
      </c>
    </row>
    <row r="2662">
      <c r="A2662" s="2">
        <f>IFERROR(__xludf.DUMMYFUNCTION("""COMPUTED_VALUE"""),40443.645833333336)</f>
        <v>40443.64583</v>
      </c>
      <c r="B2662" s="1">
        <f>IFERROR(__xludf.DUMMYFUNCTION("""COMPUTED_VALUE"""),295.0)</f>
        <v>295</v>
      </c>
      <c r="C2662" s="1">
        <f>IFERROR(__xludf.DUMMYFUNCTION("""COMPUTED_VALUE"""),299.0)</f>
        <v>299</v>
      </c>
      <c r="D2662" s="1">
        <f>IFERROR(__xludf.DUMMYFUNCTION("""COMPUTED_VALUE"""),289.35)</f>
        <v>289.35</v>
      </c>
      <c r="E2662" s="1">
        <f>IFERROR(__xludf.DUMMYFUNCTION("""COMPUTED_VALUE"""),298.0)</f>
        <v>298</v>
      </c>
      <c r="F2662" s="1">
        <f>IFERROR(__xludf.DUMMYFUNCTION("""COMPUTED_VALUE"""),3043081.0)</f>
        <v>3043081</v>
      </c>
    </row>
    <row r="2663">
      <c r="A2663" s="2">
        <f>IFERROR(__xludf.DUMMYFUNCTION("""COMPUTED_VALUE"""),40444.645833333336)</f>
        <v>40444.64583</v>
      </c>
      <c r="B2663" s="1">
        <f>IFERROR(__xludf.DUMMYFUNCTION("""COMPUTED_VALUE"""),298.0)</f>
        <v>298</v>
      </c>
      <c r="C2663" s="1">
        <f>IFERROR(__xludf.DUMMYFUNCTION("""COMPUTED_VALUE"""),304.0)</f>
        <v>304</v>
      </c>
      <c r="D2663" s="1">
        <f>IFERROR(__xludf.DUMMYFUNCTION("""COMPUTED_VALUE"""),295.0)</f>
        <v>295</v>
      </c>
      <c r="E2663" s="1">
        <f>IFERROR(__xludf.DUMMYFUNCTION("""COMPUTED_VALUE"""),303.3)</f>
        <v>303.3</v>
      </c>
      <c r="F2663" s="1">
        <f>IFERROR(__xludf.DUMMYFUNCTION("""COMPUTED_VALUE"""),2649697.0)</f>
        <v>2649697</v>
      </c>
    </row>
    <row r="2664">
      <c r="A2664" s="2">
        <f>IFERROR(__xludf.DUMMYFUNCTION("""COMPUTED_VALUE"""),40445.645833333336)</f>
        <v>40445.64583</v>
      </c>
      <c r="B2664" s="1">
        <f>IFERROR(__xludf.DUMMYFUNCTION("""COMPUTED_VALUE"""),304.0)</f>
        <v>304</v>
      </c>
      <c r="C2664" s="1">
        <f>IFERROR(__xludf.DUMMYFUNCTION("""COMPUTED_VALUE"""),317.75)</f>
        <v>317.75</v>
      </c>
      <c r="D2664" s="1">
        <f>IFERROR(__xludf.DUMMYFUNCTION("""COMPUTED_VALUE"""),303.7)</f>
        <v>303.7</v>
      </c>
      <c r="E2664" s="1">
        <f>IFERROR(__xludf.DUMMYFUNCTION("""COMPUTED_VALUE"""),314.95)</f>
        <v>314.95</v>
      </c>
      <c r="F2664" s="1">
        <f>IFERROR(__xludf.DUMMYFUNCTION("""COMPUTED_VALUE"""),9314247.0)</f>
        <v>9314247</v>
      </c>
    </row>
    <row r="2665">
      <c r="A2665" s="2">
        <f>IFERROR(__xludf.DUMMYFUNCTION("""COMPUTED_VALUE"""),40448.645833333336)</f>
        <v>40448.64583</v>
      </c>
      <c r="B2665" s="1">
        <f>IFERROR(__xludf.DUMMYFUNCTION("""COMPUTED_VALUE"""),318.0)</f>
        <v>318</v>
      </c>
      <c r="C2665" s="1">
        <f>IFERROR(__xludf.DUMMYFUNCTION("""COMPUTED_VALUE"""),319.55)</f>
        <v>319.55</v>
      </c>
      <c r="D2665" s="1">
        <f>IFERROR(__xludf.DUMMYFUNCTION("""COMPUTED_VALUE"""),308.1)</f>
        <v>308.1</v>
      </c>
      <c r="E2665" s="1">
        <f>IFERROR(__xludf.DUMMYFUNCTION("""COMPUTED_VALUE"""),308.85)</f>
        <v>308.85</v>
      </c>
      <c r="F2665" s="1">
        <f>IFERROR(__xludf.DUMMYFUNCTION("""COMPUTED_VALUE"""),3426497.0)</f>
        <v>3426497</v>
      </c>
    </row>
    <row r="2666">
      <c r="A2666" s="2">
        <f>IFERROR(__xludf.DUMMYFUNCTION("""COMPUTED_VALUE"""),40449.645833333336)</f>
        <v>40449.64583</v>
      </c>
      <c r="B2666" s="1">
        <f>IFERROR(__xludf.DUMMYFUNCTION("""COMPUTED_VALUE"""),309.0)</f>
        <v>309</v>
      </c>
      <c r="C2666" s="1">
        <f>IFERROR(__xludf.DUMMYFUNCTION("""COMPUTED_VALUE"""),309.8)</f>
        <v>309.8</v>
      </c>
      <c r="D2666" s="1">
        <f>IFERROR(__xludf.DUMMYFUNCTION("""COMPUTED_VALUE"""),304.55)</f>
        <v>304.55</v>
      </c>
      <c r="E2666" s="1">
        <f>IFERROR(__xludf.DUMMYFUNCTION("""COMPUTED_VALUE"""),306.2)</f>
        <v>306.2</v>
      </c>
      <c r="F2666" s="1">
        <f>IFERROR(__xludf.DUMMYFUNCTION("""COMPUTED_VALUE"""),2201520.0)</f>
        <v>2201520</v>
      </c>
    </row>
    <row r="2667">
      <c r="A2667" s="2">
        <f>IFERROR(__xludf.DUMMYFUNCTION("""COMPUTED_VALUE"""),40450.645833333336)</f>
        <v>40450.64583</v>
      </c>
      <c r="B2667" s="1">
        <f>IFERROR(__xludf.DUMMYFUNCTION("""COMPUTED_VALUE"""),307.8)</f>
        <v>307.8</v>
      </c>
      <c r="C2667" s="1">
        <f>IFERROR(__xludf.DUMMYFUNCTION("""COMPUTED_VALUE"""),309.5)</f>
        <v>309.5</v>
      </c>
      <c r="D2667" s="1">
        <f>IFERROR(__xludf.DUMMYFUNCTION("""COMPUTED_VALUE"""),303.6)</f>
        <v>303.6</v>
      </c>
      <c r="E2667" s="1">
        <f>IFERROR(__xludf.DUMMYFUNCTION("""COMPUTED_VALUE"""),306.0)</f>
        <v>306</v>
      </c>
      <c r="F2667" s="1">
        <f>IFERROR(__xludf.DUMMYFUNCTION("""COMPUTED_VALUE"""),2061130.0)</f>
        <v>2061130</v>
      </c>
    </row>
    <row r="2668">
      <c r="A2668" s="2">
        <f>IFERROR(__xludf.DUMMYFUNCTION("""COMPUTED_VALUE"""),40451.645833333336)</f>
        <v>40451.64583</v>
      </c>
      <c r="B2668" s="1">
        <f>IFERROR(__xludf.DUMMYFUNCTION("""COMPUTED_VALUE"""),306.0)</f>
        <v>306</v>
      </c>
      <c r="C2668" s="1">
        <f>IFERROR(__xludf.DUMMYFUNCTION("""COMPUTED_VALUE"""),311.85)</f>
        <v>311.85</v>
      </c>
      <c r="D2668" s="1">
        <f>IFERROR(__xludf.DUMMYFUNCTION("""COMPUTED_VALUE"""),304.55)</f>
        <v>304.55</v>
      </c>
      <c r="E2668" s="1">
        <f>IFERROR(__xludf.DUMMYFUNCTION("""COMPUTED_VALUE"""),309.05)</f>
        <v>309.05</v>
      </c>
      <c r="F2668" s="1">
        <f>IFERROR(__xludf.DUMMYFUNCTION("""COMPUTED_VALUE"""),4275160.0)</f>
        <v>4275160</v>
      </c>
    </row>
    <row r="2669">
      <c r="A2669" s="2">
        <f>IFERROR(__xludf.DUMMYFUNCTION("""COMPUTED_VALUE"""),40452.645833333336)</f>
        <v>40452.64583</v>
      </c>
      <c r="B2669" s="1">
        <f>IFERROR(__xludf.DUMMYFUNCTION("""COMPUTED_VALUE"""),309.0)</f>
        <v>309</v>
      </c>
      <c r="C2669" s="1">
        <f>IFERROR(__xludf.DUMMYFUNCTION("""COMPUTED_VALUE"""),313.5)</f>
        <v>313.5</v>
      </c>
      <c r="D2669" s="1">
        <f>IFERROR(__xludf.DUMMYFUNCTION("""COMPUTED_VALUE"""),307.1)</f>
        <v>307.1</v>
      </c>
      <c r="E2669" s="1">
        <f>IFERROR(__xludf.DUMMYFUNCTION("""COMPUTED_VALUE"""),309.7)</f>
        <v>309.7</v>
      </c>
      <c r="F2669" s="1">
        <f>IFERROR(__xludf.DUMMYFUNCTION("""COMPUTED_VALUE"""),4831148.0)</f>
        <v>4831148</v>
      </c>
    </row>
    <row r="2670">
      <c r="A2670" s="2">
        <f>IFERROR(__xludf.DUMMYFUNCTION("""COMPUTED_VALUE"""),40455.645833333336)</f>
        <v>40455.64583</v>
      </c>
      <c r="B2670" s="1">
        <f>IFERROR(__xludf.DUMMYFUNCTION("""COMPUTED_VALUE"""),311.7)</f>
        <v>311.7</v>
      </c>
      <c r="C2670" s="1">
        <f>IFERROR(__xludf.DUMMYFUNCTION("""COMPUTED_VALUE"""),313.1)</f>
        <v>313.1</v>
      </c>
      <c r="D2670" s="1">
        <f>IFERROR(__xludf.DUMMYFUNCTION("""COMPUTED_VALUE"""),306.05)</f>
        <v>306.05</v>
      </c>
      <c r="E2670" s="1">
        <f>IFERROR(__xludf.DUMMYFUNCTION("""COMPUTED_VALUE"""),308.55)</f>
        <v>308.55</v>
      </c>
      <c r="F2670" s="1">
        <f>IFERROR(__xludf.DUMMYFUNCTION("""COMPUTED_VALUE"""),1726502.0)</f>
        <v>1726502</v>
      </c>
    </row>
    <row r="2671">
      <c r="A2671" s="2">
        <f>IFERROR(__xludf.DUMMYFUNCTION("""COMPUTED_VALUE"""),40456.645833333336)</f>
        <v>40456.64583</v>
      </c>
      <c r="B2671" s="1">
        <f>IFERROR(__xludf.DUMMYFUNCTION("""COMPUTED_VALUE"""),308.55)</f>
        <v>308.55</v>
      </c>
      <c r="C2671" s="1">
        <f>IFERROR(__xludf.DUMMYFUNCTION("""COMPUTED_VALUE"""),309.0)</f>
        <v>309</v>
      </c>
      <c r="D2671" s="1">
        <f>IFERROR(__xludf.DUMMYFUNCTION("""COMPUTED_VALUE"""),303.15)</f>
        <v>303.15</v>
      </c>
      <c r="E2671" s="1">
        <f>IFERROR(__xludf.DUMMYFUNCTION("""COMPUTED_VALUE"""),304.0)</f>
        <v>304</v>
      </c>
      <c r="F2671" s="1">
        <f>IFERROR(__xludf.DUMMYFUNCTION("""COMPUTED_VALUE"""),2544656.0)</f>
        <v>2544656</v>
      </c>
    </row>
    <row r="2672">
      <c r="A2672" s="2">
        <f>IFERROR(__xludf.DUMMYFUNCTION("""COMPUTED_VALUE"""),40457.645833333336)</f>
        <v>40457.64583</v>
      </c>
      <c r="B2672" s="1">
        <f>IFERROR(__xludf.DUMMYFUNCTION("""COMPUTED_VALUE"""),306.65)</f>
        <v>306.65</v>
      </c>
      <c r="C2672" s="1">
        <f>IFERROR(__xludf.DUMMYFUNCTION("""COMPUTED_VALUE"""),306.65)</f>
        <v>306.65</v>
      </c>
      <c r="D2672" s="1">
        <f>IFERROR(__xludf.DUMMYFUNCTION("""COMPUTED_VALUE"""),300.1)</f>
        <v>300.1</v>
      </c>
      <c r="E2672" s="1">
        <f>IFERROR(__xludf.DUMMYFUNCTION("""COMPUTED_VALUE"""),301.15)</f>
        <v>301.15</v>
      </c>
      <c r="F2672" s="1">
        <f>IFERROR(__xludf.DUMMYFUNCTION("""COMPUTED_VALUE"""),1825848.0)</f>
        <v>1825848</v>
      </c>
    </row>
    <row r="2673">
      <c r="A2673" s="2">
        <f>IFERROR(__xludf.DUMMYFUNCTION("""COMPUTED_VALUE"""),40458.645833333336)</f>
        <v>40458.64583</v>
      </c>
      <c r="B2673" s="1">
        <f>IFERROR(__xludf.DUMMYFUNCTION("""COMPUTED_VALUE"""),301.9)</f>
        <v>301.9</v>
      </c>
      <c r="C2673" s="1">
        <f>IFERROR(__xludf.DUMMYFUNCTION("""COMPUTED_VALUE"""),307.9)</f>
        <v>307.9</v>
      </c>
      <c r="D2673" s="1">
        <f>IFERROR(__xludf.DUMMYFUNCTION("""COMPUTED_VALUE"""),294.5)</f>
        <v>294.5</v>
      </c>
      <c r="E2673" s="1">
        <f>IFERROR(__xludf.DUMMYFUNCTION("""COMPUTED_VALUE"""),296.35)</f>
        <v>296.35</v>
      </c>
      <c r="F2673" s="1">
        <f>IFERROR(__xludf.DUMMYFUNCTION("""COMPUTED_VALUE"""),3504863.0)</f>
        <v>3504863</v>
      </c>
    </row>
    <row r="2674">
      <c r="A2674" s="2">
        <f>IFERROR(__xludf.DUMMYFUNCTION("""COMPUTED_VALUE"""),40459.645833333336)</f>
        <v>40459.64583</v>
      </c>
      <c r="B2674" s="1">
        <f>IFERROR(__xludf.DUMMYFUNCTION("""COMPUTED_VALUE"""),298.6)</f>
        <v>298.6</v>
      </c>
      <c r="C2674" s="1">
        <f>IFERROR(__xludf.DUMMYFUNCTION("""COMPUTED_VALUE"""),300.0)</f>
        <v>300</v>
      </c>
      <c r="D2674" s="1">
        <f>IFERROR(__xludf.DUMMYFUNCTION("""COMPUTED_VALUE"""),293.25)</f>
        <v>293.25</v>
      </c>
      <c r="E2674" s="1">
        <f>IFERROR(__xludf.DUMMYFUNCTION("""COMPUTED_VALUE"""),295.8)</f>
        <v>295.8</v>
      </c>
      <c r="F2674" s="1">
        <f>IFERROR(__xludf.DUMMYFUNCTION("""COMPUTED_VALUE"""),1884586.0)</f>
        <v>1884586</v>
      </c>
    </row>
    <row r="2675">
      <c r="A2675" s="2">
        <f>IFERROR(__xludf.DUMMYFUNCTION("""COMPUTED_VALUE"""),40462.645833333336)</f>
        <v>40462.64583</v>
      </c>
      <c r="B2675" s="1">
        <f>IFERROR(__xludf.DUMMYFUNCTION("""COMPUTED_VALUE"""),296.4)</f>
        <v>296.4</v>
      </c>
      <c r="C2675" s="1">
        <f>IFERROR(__xludf.DUMMYFUNCTION("""COMPUTED_VALUE"""),299.5)</f>
        <v>299.5</v>
      </c>
      <c r="D2675" s="1">
        <f>IFERROR(__xludf.DUMMYFUNCTION("""COMPUTED_VALUE"""),294.05)</f>
        <v>294.05</v>
      </c>
      <c r="E2675" s="1">
        <f>IFERROR(__xludf.DUMMYFUNCTION("""COMPUTED_VALUE"""),294.85)</f>
        <v>294.85</v>
      </c>
      <c r="F2675" s="1">
        <f>IFERROR(__xludf.DUMMYFUNCTION("""COMPUTED_VALUE"""),1788969.0)</f>
        <v>1788969</v>
      </c>
    </row>
    <row r="2676">
      <c r="A2676" s="2">
        <f>IFERROR(__xludf.DUMMYFUNCTION("""COMPUTED_VALUE"""),40463.645833333336)</f>
        <v>40463.64583</v>
      </c>
      <c r="B2676" s="1">
        <f>IFERROR(__xludf.DUMMYFUNCTION("""COMPUTED_VALUE"""),295.9)</f>
        <v>295.9</v>
      </c>
      <c r="C2676" s="1">
        <f>IFERROR(__xludf.DUMMYFUNCTION("""COMPUTED_VALUE"""),295.9)</f>
        <v>295.9</v>
      </c>
      <c r="D2676" s="1">
        <f>IFERROR(__xludf.DUMMYFUNCTION("""COMPUTED_VALUE"""),290.1)</f>
        <v>290.1</v>
      </c>
      <c r="E2676" s="1">
        <f>IFERROR(__xludf.DUMMYFUNCTION("""COMPUTED_VALUE"""),291.8)</f>
        <v>291.8</v>
      </c>
      <c r="F2676" s="1">
        <f>IFERROR(__xludf.DUMMYFUNCTION("""COMPUTED_VALUE"""),1096446.0)</f>
        <v>1096446</v>
      </c>
    </row>
    <row r="2677">
      <c r="A2677" s="2">
        <f>IFERROR(__xludf.DUMMYFUNCTION("""COMPUTED_VALUE"""),40464.645833333336)</f>
        <v>40464.64583</v>
      </c>
      <c r="B2677" s="1">
        <f>IFERROR(__xludf.DUMMYFUNCTION("""COMPUTED_VALUE"""),294.0)</f>
        <v>294</v>
      </c>
      <c r="C2677" s="1">
        <f>IFERROR(__xludf.DUMMYFUNCTION("""COMPUTED_VALUE"""),304.8)</f>
        <v>304.8</v>
      </c>
      <c r="D2677" s="1">
        <f>IFERROR(__xludf.DUMMYFUNCTION("""COMPUTED_VALUE"""),291.3)</f>
        <v>291.3</v>
      </c>
      <c r="E2677" s="1">
        <f>IFERROR(__xludf.DUMMYFUNCTION("""COMPUTED_VALUE"""),303.35)</f>
        <v>303.35</v>
      </c>
      <c r="F2677" s="1">
        <f>IFERROR(__xludf.DUMMYFUNCTION("""COMPUTED_VALUE"""),2469299.0)</f>
        <v>2469299</v>
      </c>
    </row>
    <row r="2678">
      <c r="A2678" s="2">
        <f>IFERROR(__xludf.DUMMYFUNCTION("""COMPUTED_VALUE"""),40465.645833333336)</f>
        <v>40465.64583</v>
      </c>
      <c r="B2678" s="1">
        <f>IFERROR(__xludf.DUMMYFUNCTION("""COMPUTED_VALUE"""),304.6)</f>
        <v>304.6</v>
      </c>
      <c r="C2678" s="1">
        <f>IFERROR(__xludf.DUMMYFUNCTION("""COMPUTED_VALUE"""),305.5)</f>
        <v>305.5</v>
      </c>
      <c r="D2678" s="1">
        <f>IFERROR(__xludf.DUMMYFUNCTION("""COMPUTED_VALUE"""),296.85)</f>
        <v>296.85</v>
      </c>
      <c r="E2678" s="1">
        <f>IFERROR(__xludf.DUMMYFUNCTION("""COMPUTED_VALUE"""),299.15)</f>
        <v>299.15</v>
      </c>
      <c r="F2678" s="1">
        <f>IFERROR(__xludf.DUMMYFUNCTION("""COMPUTED_VALUE"""),1550344.0)</f>
        <v>1550344</v>
      </c>
    </row>
    <row r="2679">
      <c r="A2679" s="2">
        <f>IFERROR(__xludf.DUMMYFUNCTION("""COMPUTED_VALUE"""),40466.645833333336)</f>
        <v>40466.64583</v>
      </c>
      <c r="B2679" s="1">
        <f>IFERROR(__xludf.DUMMYFUNCTION("""COMPUTED_VALUE"""),299.85)</f>
        <v>299.85</v>
      </c>
      <c r="C2679" s="1">
        <f>IFERROR(__xludf.DUMMYFUNCTION("""COMPUTED_VALUE"""),307.0)</f>
        <v>307</v>
      </c>
      <c r="D2679" s="1">
        <f>IFERROR(__xludf.DUMMYFUNCTION("""COMPUTED_VALUE"""),297.0)</f>
        <v>297</v>
      </c>
      <c r="E2679" s="1">
        <f>IFERROR(__xludf.DUMMYFUNCTION("""COMPUTED_VALUE"""),298.6)</f>
        <v>298.6</v>
      </c>
      <c r="F2679" s="1">
        <f>IFERROR(__xludf.DUMMYFUNCTION("""COMPUTED_VALUE"""),1126220.0)</f>
        <v>1126220</v>
      </c>
    </row>
    <row r="2680">
      <c r="A2680" s="2">
        <f>IFERROR(__xludf.DUMMYFUNCTION("""COMPUTED_VALUE"""),40469.645833333336)</f>
        <v>40469.64583</v>
      </c>
      <c r="B2680" s="1">
        <f>IFERROR(__xludf.DUMMYFUNCTION("""COMPUTED_VALUE"""),305.0)</f>
        <v>305</v>
      </c>
      <c r="C2680" s="1">
        <f>IFERROR(__xludf.DUMMYFUNCTION("""COMPUTED_VALUE"""),305.0)</f>
        <v>305</v>
      </c>
      <c r="D2680" s="1">
        <f>IFERROR(__xludf.DUMMYFUNCTION("""COMPUTED_VALUE"""),291.1)</f>
        <v>291.1</v>
      </c>
      <c r="E2680" s="1">
        <f>IFERROR(__xludf.DUMMYFUNCTION("""COMPUTED_VALUE"""),296.95)</f>
        <v>296.95</v>
      </c>
      <c r="F2680" s="1">
        <f>IFERROR(__xludf.DUMMYFUNCTION("""COMPUTED_VALUE"""),2557873.0)</f>
        <v>2557873</v>
      </c>
    </row>
    <row r="2681">
      <c r="A2681" s="2">
        <f>IFERROR(__xludf.DUMMYFUNCTION("""COMPUTED_VALUE"""),40470.645833333336)</f>
        <v>40470.64583</v>
      </c>
      <c r="B2681" s="1">
        <f>IFERROR(__xludf.DUMMYFUNCTION("""COMPUTED_VALUE"""),298.0)</f>
        <v>298</v>
      </c>
      <c r="C2681" s="1">
        <f>IFERROR(__xludf.DUMMYFUNCTION("""COMPUTED_VALUE"""),301.95)</f>
        <v>301.95</v>
      </c>
      <c r="D2681" s="1">
        <f>IFERROR(__xludf.DUMMYFUNCTION("""COMPUTED_VALUE"""),293.0)</f>
        <v>293</v>
      </c>
      <c r="E2681" s="1">
        <f>IFERROR(__xludf.DUMMYFUNCTION("""COMPUTED_VALUE"""),297.0)</f>
        <v>297</v>
      </c>
      <c r="F2681" s="1">
        <f>IFERROR(__xludf.DUMMYFUNCTION("""COMPUTED_VALUE"""),3265475.0)</f>
        <v>3265475</v>
      </c>
    </row>
    <row r="2682">
      <c r="A2682" s="2">
        <f>IFERROR(__xludf.DUMMYFUNCTION("""COMPUTED_VALUE"""),40471.645833333336)</f>
        <v>40471.64583</v>
      </c>
      <c r="B2682" s="1">
        <f>IFERROR(__xludf.DUMMYFUNCTION("""COMPUTED_VALUE"""),293.5)</f>
        <v>293.5</v>
      </c>
      <c r="C2682" s="1">
        <f>IFERROR(__xludf.DUMMYFUNCTION("""COMPUTED_VALUE"""),299.9)</f>
        <v>299.9</v>
      </c>
      <c r="D2682" s="1">
        <f>IFERROR(__xludf.DUMMYFUNCTION("""COMPUTED_VALUE"""),291.5)</f>
        <v>291.5</v>
      </c>
      <c r="E2682" s="1">
        <f>IFERROR(__xludf.DUMMYFUNCTION("""COMPUTED_VALUE"""),293.4)</f>
        <v>293.4</v>
      </c>
      <c r="F2682" s="1">
        <f>IFERROR(__xludf.DUMMYFUNCTION("""COMPUTED_VALUE"""),646829.0)</f>
        <v>646829</v>
      </c>
    </row>
    <row r="2683">
      <c r="A2683" s="2">
        <f>IFERROR(__xludf.DUMMYFUNCTION("""COMPUTED_VALUE"""),40472.645833333336)</f>
        <v>40472.64583</v>
      </c>
      <c r="B2683" s="1">
        <f>IFERROR(__xludf.DUMMYFUNCTION("""COMPUTED_VALUE"""),295.7)</f>
        <v>295.7</v>
      </c>
      <c r="C2683" s="1">
        <f>IFERROR(__xludf.DUMMYFUNCTION("""COMPUTED_VALUE"""),307.2)</f>
        <v>307.2</v>
      </c>
      <c r="D2683" s="1">
        <f>IFERROR(__xludf.DUMMYFUNCTION("""COMPUTED_VALUE"""),294.0)</f>
        <v>294</v>
      </c>
      <c r="E2683" s="1">
        <f>IFERROR(__xludf.DUMMYFUNCTION("""COMPUTED_VALUE"""),306.45)</f>
        <v>306.45</v>
      </c>
      <c r="F2683" s="1">
        <f>IFERROR(__xludf.DUMMYFUNCTION("""COMPUTED_VALUE"""),2586069.0)</f>
        <v>2586069</v>
      </c>
    </row>
    <row r="2684">
      <c r="A2684" s="2">
        <f>IFERROR(__xludf.DUMMYFUNCTION("""COMPUTED_VALUE"""),40473.645833333336)</f>
        <v>40473.64583</v>
      </c>
      <c r="B2684" s="1">
        <f>IFERROR(__xludf.DUMMYFUNCTION("""COMPUTED_VALUE"""),307.0)</f>
        <v>307</v>
      </c>
      <c r="C2684" s="1">
        <f>IFERROR(__xludf.DUMMYFUNCTION("""COMPUTED_VALUE"""),308.4)</f>
        <v>308.4</v>
      </c>
      <c r="D2684" s="1">
        <f>IFERROR(__xludf.DUMMYFUNCTION("""COMPUTED_VALUE"""),299.45)</f>
        <v>299.45</v>
      </c>
      <c r="E2684" s="1">
        <f>IFERROR(__xludf.DUMMYFUNCTION("""COMPUTED_VALUE"""),301.25)</f>
        <v>301.25</v>
      </c>
      <c r="F2684" s="1">
        <f>IFERROR(__xludf.DUMMYFUNCTION("""COMPUTED_VALUE"""),1095117.0)</f>
        <v>1095117</v>
      </c>
    </row>
    <row r="2685">
      <c r="A2685" s="2">
        <f>IFERROR(__xludf.DUMMYFUNCTION("""COMPUTED_VALUE"""),40476.645833333336)</f>
        <v>40476.64583</v>
      </c>
      <c r="B2685" s="1">
        <f>IFERROR(__xludf.DUMMYFUNCTION("""COMPUTED_VALUE"""),303.2)</f>
        <v>303.2</v>
      </c>
      <c r="C2685" s="1">
        <f>IFERROR(__xludf.DUMMYFUNCTION("""COMPUTED_VALUE"""),308.4)</f>
        <v>308.4</v>
      </c>
      <c r="D2685" s="1">
        <f>IFERROR(__xludf.DUMMYFUNCTION("""COMPUTED_VALUE"""),302.5)</f>
        <v>302.5</v>
      </c>
      <c r="E2685" s="1">
        <f>IFERROR(__xludf.DUMMYFUNCTION("""COMPUTED_VALUE"""),306.3)</f>
        <v>306.3</v>
      </c>
      <c r="F2685" s="1">
        <f>IFERROR(__xludf.DUMMYFUNCTION("""COMPUTED_VALUE"""),2702090.0)</f>
        <v>2702090</v>
      </c>
    </row>
    <row r="2686">
      <c r="A2686" s="2">
        <f>IFERROR(__xludf.DUMMYFUNCTION("""COMPUTED_VALUE"""),40477.645833333336)</f>
        <v>40477.64583</v>
      </c>
      <c r="B2686" s="1">
        <f>IFERROR(__xludf.DUMMYFUNCTION("""COMPUTED_VALUE"""),307.2)</f>
        <v>307.2</v>
      </c>
      <c r="C2686" s="1">
        <f>IFERROR(__xludf.DUMMYFUNCTION("""COMPUTED_VALUE"""),307.5)</f>
        <v>307.5</v>
      </c>
      <c r="D2686" s="1">
        <f>IFERROR(__xludf.DUMMYFUNCTION("""COMPUTED_VALUE"""),297.65)</f>
        <v>297.65</v>
      </c>
      <c r="E2686" s="1">
        <f>IFERROR(__xludf.DUMMYFUNCTION("""COMPUTED_VALUE"""),298.25)</f>
        <v>298.25</v>
      </c>
      <c r="F2686" s="1">
        <f>IFERROR(__xludf.DUMMYFUNCTION("""COMPUTED_VALUE"""),1896233.0)</f>
        <v>1896233</v>
      </c>
    </row>
    <row r="2687">
      <c r="A2687" s="2">
        <f>IFERROR(__xludf.DUMMYFUNCTION("""COMPUTED_VALUE"""),40478.645833333336)</f>
        <v>40478.64583</v>
      </c>
      <c r="B2687" s="1">
        <f>IFERROR(__xludf.DUMMYFUNCTION("""COMPUTED_VALUE"""),299.9)</f>
        <v>299.9</v>
      </c>
      <c r="C2687" s="1">
        <f>IFERROR(__xludf.DUMMYFUNCTION("""COMPUTED_VALUE"""),300.0)</f>
        <v>300</v>
      </c>
      <c r="D2687" s="1">
        <f>IFERROR(__xludf.DUMMYFUNCTION("""COMPUTED_VALUE"""),291.25)</f>
        <v>291.25</v>
      </c>
      <c r="E2687" s="1">
        <f>IFERROR(__xludf.DUMMYFUNCTION("""COMPUTED_VALUE"""),293.0)</f>
        <v>293</v>
      </c>
      <c r="F2687" s="1">
        <f>IFERROR(__xludf.DUMMYFUNCTION("""COMPUTED_VALUE"""),1768797.0)</f>
        <v>1768797</v>
      </c>
    </row>
    <row r="2688">
      <c r="A2688" s="2">
        <f>IFERROR(__xludf.DUMMYFUNCTION("""COMPUTED_VALUE"""),40479.645833333336)</f>
        <v>40479.64583</v>
      </c>
      <c r="B2688" s="1">
        <f>IFERROR(__xludf.DUMMYFUNCTION("""COMPUTED_VALUE"""),294.75)</f>
        <v>294.75</v>
      </c>
      <c r="C2688" s="1">
        <f>IFERROR(__xludf.DUMMYFUNCTION("""COMPUTED_VALUE"""),301.45)</f>
        <v>301.45</v>
      </c>
      <c r="D2688" s="1">
        <f>IFERROR(__xludf.DUMMYFUNCTION("""COMPUTED_VALUE"""),289.1)</f>
        <v>289.1</v>
      </c>
      <c r="E2688" s="1">
        <f>IFERROR(__xludf.DUMMYFUNCTION("""COMPUTED_VALUE"""),291.3)</f>
        <v>291.3</v>
      </c>
      <c r="F2688" s="1">
        <f>IFERROR(__xludf.DUMMYFUNCTION("""COMPUTED_VALUE"""),5822602.0)</f>
        <v>5822602</v>
      </c>
    </row>
    <row r="2689">
      <c r="A2689" s="2">
        <f>IFERROR(__xludf.DUMMYFUNCTION("""COMPUTED_VALUE"""),40480.645833333336)</f>
        <v>40480.64583</v>
      </c>
      <c r="B2689" s="1">
        <f>IFERROR(__xludf.DUMMYFUNCTION("""COMPUTED_VALUE"""),294.85)</f>
        <v>294.85</v>
      </c>
      <c r="C2689" s="1">
        <f>IFERROR(__xludf.DUMMYFUNCTION("""COMPUTED_VALUE"""),295.55)</f>
        <v>295.55</v>
      </c>
      <c r="D2689" s="1">
        <f>IFERROR(__xludf.DUMMYFUNCTION("""COMPUTED_VALUE"""),290.0)</f>
        <v>290</v>
      </c>
      <c r="E2689" s="1">
        <f>IFERROR(__xludf.DUMMYFUNCTION("""COMPUTED_VALUE"""),294.7)</f>
        <v>294.7</v>
      </c>
      <c r="F2689" s="1">
        <f>IFERROR(__xludf.DUMMYFUNCTION("""COMPUTED_VALUE"""),1282216.0)</f>
        <v>1282216</v>
      </c>
    </row>
    <row r="2690">
      <c r="A2690" s="2">
        <f>IFERROR(__xludf.DUMMYFUNCTION("""COMPUTED_VALUE"""),40483.645833333336)</f>
        <v>40483.64583</v>
      </c>
      <c r="B2690" s="1">
        <f>IFERROR(__xludf.DUMMYFUNCTION("""COMPUTED_VALUE"""),296.0)</f>
        <v>296</v>
      </c>
      <c r="C2690" s="1">
        <f>IFERROR(__xludf.DUMMYFUNCTION("""COMPUTED_VALUE"""),299.0)</f>
        <v>299</v>
      </c>
      <c r="D2690" s="1">
        <f>IFERROR(__xludf.DUMMYFUNCTION("""COMPUTED_VALUE"""),293.25)</f>
        <v>293.25</v>
      </c>
      <c r="E2690" s="1">
        <f>IFERROR(__xludf.DUMMYFUNCTION("""COMPUTED_VALUE"""),294.55)</f>
        <v>294.55</v>
      </c>
      <c r="F2690" s="1">
        <f>IFERROR(__xludf.DUMMYFUNCTION("""COMPUTED_VALUE"""),1758922.0)</f>
        <v>1758922</v>
      </c>
    </row>
    <row r="2691">
      <c r="A2691" s="2">
        <f>IFERROR(__xludf.DUMMYFUNCTION("""COMPUTED_VALUE"""),40484.645833333336)</f>
        <v>40484.64583</v>
      </c>
      <c r="B2691" s="1">
        <f>IFERROR(__xludf.DUMMYFUNCTION("""COMPUTED_VALUE"""),294.85)</f>
        <v>294.85</v>
      </c>
      <c r="C2691" s="1">
        <f>IFERROR(__xludf.DUMMYFUNCTION("""COMPUTED_VALUE"""),297.4)</f>
        <v>297.4</v>
      </c>
      <c r="D2691" s="1">
        <f>IFERROR(__xludf.DUMMYFUNCTION("""COMPUTED_VALUE"""),293.1)</f>
        <v>293.1</v>
      </c>
      <c r="E2691" s="1">
        <f>IFERROR(__xludf.DUMMYFUNCTION("""COMPUTED_VALUE"""),294.6)</f>
        <v>294.6</v>
      </c>
      <c r="F2691" s="1">
        <f>IFERROR(__xludf.DUMMYFUNCTION("""COMPUTED_VALUE"""),1192529.0)</f>
        <v>1192529</v>
      </c>
    </row>
    <row r="2692">
      <c r="A2692" s="2">
        <f>IFERROR(__xludf.DUMMYFUNCTION("""COMPUTED_VALUE"""),40485.645833333336)</f>
        <v>40485.64583</v>
      </c>
      <c r="B2692" s="1">
        <f>IFERROR(__xludf.DUMMYFUNCTION("""COMPUTED_VALUE"""),294.75)</f>
        <v>294.75</v>
      </c>
      <c r="C2692" s="1">
        <f>IFERROR(__xludf.DUMMYFUNCTION("""COMPUTED_VALUE"""),297.6)</f>
        <v>297.6</v>
      </c>
      <c r="D2692" s="1">
        <f>IFERROR(__xludf.DUMMYFUNCTION("""COMPUTED_VALUE"""),294.5)</f>
        <v>294.5</v>
      </c>
      <c r="E2692" s="1">
        <f>IFERROR(__xludf.DUMMYFUNCTION("""COMPUTED_VALUE"""),296.0)</f>
        <v>296</v>
      </c>
      <c r="F2692" s="1">
        <f>IFERROR(__xludf.DUMMYFUNCTION("""COMPUTED_VALUE"""),1301787.0)</f>
        <v>1301787</v>
      </c>
    </row>
    <row r="2693">
      <c r="A2693" s="2">
        <f>IFERROR(__xludf.DUMMYFUNCTION("""COMPUTED_VALUE"""),40486.645833333336)</f>
        <v>40486.64583</v>
      </c>
      <c r="B2693" s="1">
        <f>IFERROR(__xludf.DUMMYFUNCTION("""COMPUTED_VALUE"""),297.0)</f>
        <v>297</v>
      </c>
      <c r="C2693" s="1">
        <f>IFERROR(__xludf.DUMMYFUNCTION("""COMPUTED_VALUE"""),302.0)</f>
        <v>302</v>
      </c>
      <c r="D2693" s="1">
        <f>IFERROR(__xludf.DUMMYFUNCTION("""COMPUTED_VALUE"""),295.15)</f>
        <v>295.15</v>
      </c>
      <c r="E2693" s="1">
        <f>IFERROR(__xludf.DUMMYFUNCTION("""COMPUTED_VALUE"""),299.2)</f>
        <v>299.2</v>
      </c>
      <c r="F2693" s="1">
        <f>IFERROR(__xludf.DUMMYFUNCTION("""COMPUTED_VALUE"""),1572688.0)</f>
        <v>1572688</v>
      </c>
    </row>
    <row r="2694">
      <c r="A2694" s="2">
        <f>IFERROR(__xludf.DUMMYFUNCTION("""COMPUTED_VALUE"""),40487.645833333336)</f>
        <v>40487.64583</v>
      </c>
      <c r="B2694" s="1">
        <f>IFERROR(__xludf.DUMMYFUNCTION("""COMPUTED_VALUE"""),300.0)</f>
        <v>300</v>
      </c>
      <c r="C2694" s="1">
        <f>IFERROR(__xludf.DUMMYFUNCTION("""COMPUTED_VALUE"""),303.9)</f>
        <v>303.9</v>
      </c>
      <c r="D2694" s="1">
        <f>IFERROR(__xludf.DUMMYFUNCTION("""COMPUTED_VALUE"""),300.0)</f>
        <v>300</v>
      </c>
      <c r="E2694" s="1">
        <f>IFERROR(__xludf.DUMMYFUNCTION("""COMPUTED_VALUE"""),303.9)</f>
        <v>303.9</v>
      </c>
      <c r="F2694" s="1">
        <f>IFERROR(__xludf.DUMMYFUNCTION("""COMPUTED_VALUE"""),290393.0)</f>
        <v>290393</v>
      </c>
    </row>
    <row r="2695">
      <c r="A2695" s="2">
        <f>IFERROR(__xludf.DUMMYFUNCTION("""COMPUTED_VALUE"""),40490.645833333336)</f>
        <v>40490.64583</v>
      </c>
      <c r="B2695" s="1">
        <f>IFERROR(__xludf.DUMMYFUNCTION("""COMPUTED_VALUE"""),305.0)</f>
        <v>305</v>
      </c>
      <c r="C2695" s="1">
        <f>IFERROR(__xludf.DUMMYFUNCTION("""COMPUTED_VALUE"""),308.95)</f>
        <v>308.95</v>
      </c>
      <c r="D2695" s="1">
        <f>IFERROR(__xludf.DUMMYFUNCTION("""COMPUTED_VALUE"""),302.0)</f>
        <v>302</v>
      </c>
      <c r="E2695" s="1">
        <f>IFERROR(__xludf.DUMMYFUNCTION("""COMPUTED_VALUE"""),306.65)</f>
        <v>306.65</v>
      </c>
      <c r="F2695" s="1">
        <f>IFERROR(__xludf.DUMMYFUNCTION("""COMPUTED_VALUE"""),3409332.0)</f>
        <v>3409332</v>
      </c>
    </row>
    <row r="2696">
      <c r="A2696" s="2">
        <f>IFERROR(__xludf.DUMMYFUNCTION("""COMPUTED_VALUE"""),40491.645833333336)</f>
        <v>40491.64583</v>
      </c>
      <c r="B2696" s="1">
        <f>IFERROR(__xludf.DUMMYFUNCTION("""COMPUTED_VALUE"""),308.0)</f>
        <v>308</v>
      </c>
      <c r="C2696" s="1">
        <f>IFERROR(__xludf.DUMMYFUNCTION("""COMPUTED_VALUE"""),320.55)</f>
        <v>320.55</v>
      </c>
      <c r="D2696" s="1">
        <f>IFERROR(__xludf.DUMMYFUNCTION("""COMPUTED_VALUE"""),307.1)</f>
        <v>307.1</v>
      </c>
      <c r="E2696" s="1">
        <f>IFERROR(__xludf.DUMMYFUNCTION("""COMPUTED_VALUE"""),319.0)</f>
        <v>319</v>
      </c>
      <c r="F2696" s="1">
        <f>IFERROR(__xludf.DUMMYFUNCTION("""COMPUTED_VALUE"""),4730665.0)</f>
        <v>4730665</v>
      </c>
    </row>
    <row r="2697">
      <c r="A2697" s="2">
        <f>IFERROR(__xludf.DUMMYFUNCTION("""COMPUTED_VALUE"""),40492.645833333336)</f>
        <v>40492.64583</v>
      </c>
      <c r="B2697" s="1">
        <f>IFERROR(__xludf.DUMMYFUNCTION("""COMPUTED_VALUE"""),318.9)</f>
        <v>318.9</v>
      </c>
      <c r="C2697" s="1">
        <f>IFERROR(__xludf.DUMMYFUNCTION("""COMPUTED_VALUE"""),320.85)</f>
        <v>320.85</v>
      </c>
      <c r="D2697" s="1">
        <f>IFERROR(__xludf.DUMMYFUNCTION("""COMPUTED_VALUE"""),313.05)</f>
        <v>313.05</v>
      </c>
      <c r="E2697" s="1">
        <f>IFERROR(__xludf.DUMMYFUNCTION("""COMPUTED_VALUE"""),314.75)</f>
        <v>314.75</v>
      </c>
      <c r="F2697" s="1">
        <f>IFERROR(__xludf.DUMMYFUNCTION("""COMPUTED_VALUE"""),2158099.0)</f>
        <v>2158099</v>
      </c>
    </row>
    <row r="2698">
      <c r="A2698" s="2">
        <f>IFERROR(__xludf.DUMMYFUNCTION("""COMPUTED_VALUE"""),40493.645833333336)</f>
        <v>40493.64583</v>
      </c>
      <c r="B2698" s="1">
        <f>IFERROR(__xludf.DUMMYFUNCTION("""COMPUTED_VALUE"""),314.6)</f>
        <v>314.6</v>
      </c>
      <c r="C2698" s="1">
        <f>IFERROR(__xludf.DUMMYFUNCTION("""COMPUTED_VALUE"""),316.85)</f>
        <v>316.85</v>
      </c>
      <c r="D2698" s="1">
        <f>IFERROR(__xludf.DUMMYFUNCTION("""COMPUTED_VALUE"""),307.0)</f>
        <v>307</v>
      </c>
      <c r="E2698" s="1">
        <f>IFERROR(__xludf.DUMMYFUNCTION("""COMPUTED_VALUE"""),309.2)</f>
        <v>309.2</v>
      </c>
      <c r="F2698" s="1">
        <f>IFERROR(__xludf.DUMMYFUNCTION("""COMPUTED_VALUE"""),1301797.0)</f>
        <v>1301797</v>
      </c>
    </row>
    <row r="2699">
      <c r="A2699" s="2">
        <f>IFERROR(__xludf.DUMMYFUNCTION("""COMPUTED_VALUE"""),40494.645833333336)</f>
        <v>40494.64583</v>
      </c>
      <c r="B2699" s="1">
        <f>IFERROR(__xludf.DUMMYFUNCTION("""COMPUTED_VALUE"""),310.0)</f>
        <v>310</v>
      </c>
      <c r="C2699" s="1">
        <f>IFERROR(__xludf.DUMMYFUNCTION("""COMPUTED_VALUE"""),310.0)</f>
        <v>310</v>
      </c>
      <c r="D2699" s="1">
        <f>IFERROR(__xludf.DUMMYFUNCTION("""COMPUTED_VALUE"""),300.35)</f>
        <v>300.35</v>
      </c>
      <c r="E2699" s="1">
        <f>IFERROR(__xludf.DUMMYFUNCTION("""COMPUTED_VALUE"""),301.8)</f>
        <v>301.8</v>
      </c>
      <c r="F2699" s="1">
        <f>IFERROR(__xludf.DUMMYFUNCTION("""COMPUTED_VALUE"""),2991462.0)</f>
        <v>2991462</v>
      </c>
    </row>
    <row r="2700">
      <c r="A2700" s="2">
        <f>IFERROR(__xludf.DUMMYFUNCTION("""COMPUTED_VALUE"""),40497.645833333336)</f>
        <v>40497.64583</v>
      </c>
      <c r="B2700" s="1">
        <f>IFERROR(__xludf.DUMMYFUNCTION("""COMPUTED_VALUE"""),303.0)</f>
        <v>303</v>
      </c>
      <c r="C2700" s="1">
        <f>IFERROR(__xludf.DUMMYFUNCTION("""COMPUTED_VALUE"""),305.0)</f>
        <v>305</v>
      </c>
      <c r="D2700" s="1">
        <f>IFERROR(__xludf.DUMMYFUNCTION("""COMPUTED_VALUE"""),299.0)</f>
        <v>299</v>
      </c>
      <c r="E2700" s="1">
        <f>IFERROR(__xludf.DUMMYFUNCTION("""COMPUTED_VALUE"""),303.7)</f>
        <v>303.7</v>
      </c>
      <c r="F2700" s="1">
        <f>IFERROR(__xludf.DUMMYFUNCTION("""COMPUTED_VALUE"""),1832215.0)</f>
        <v>1832215</v>
      </c>
    </row>
    <row r="2701">
      <c r="A2701" s="2">
        <f>IFERROR(__xludf.DUMMYFUNCTION("""COMPUTED_VALUE"""),40498.645833333336)</f>
        <v>40498.64583</v>
      </c>
      <c r="B2701" s="1">
        <f>IFERROR(__xludf.DUMMYFUNCTION("""COMPUTED_VALUE"""),304.0)</f>
        <v>304</v>
      </c>
      <c r="C2701" s="1">
        <f>IFERROR(__xludf.DUMMYFUNCTION("""COMPUTED_VALUE"""),305.45)</f>
        <v>305.45</v>
      </c>
      <c r="D2701" s="1">
        <f>IFERROR(__xludf.DUMMYFUNCTION("""COMPUTED_VALUE"""),296.1)</f>
        <v>296.1</v>
      </c>
      <c r="E2701" s="1">
        <f>IFERROR(__xludf.DUMMYFUNCTION("""COMPUTED_VALUE"""),298.45)</f>
        <v>298.45</v>
      </c>
      <c r="F2701" s="1">
        <f>IFERROR(__xludf.DUMMYFUNCTION("""COMPUTED_VALUE"""),2708676.0)</f>
        <v>2708676</v>
      </c>
    </row>
    <row r="2702">
      <c r="A2702" s="2">
        <f>IFERROR(__xludf.DUMMYFUNCTION("""COMPUTED_VALUE"""),40500.645833333336)</f>
        <v>40500.64583</v>
      </c>
      <c r="B2702" s="1">
        <f>IFERROR(__xludf.DUMMYFUNCTION("""COMPUTED_VALUE"""),304.0)</f>
        <v>304</v>
      </c>
      <c r="C2702" s="1">
        <f>IFERROR(__xludf.DUMMYFUNCTION("""COMPUTED_VALUE"""),304.0)</f>
        <v>304</v>
      </c>
      <c r="D2702" s="1">
        <f>IFERROR(__xludf.DUMMYFUNCTION("""COMPUTED_VALUE"""),295.4)</f>
        <v>295.4</v>
      </c>
      <c r="E2702" s="1">
        <f>IFERROR(__xludf.DUMMYFUNCTION("""COMPUTED_VALUE"""),299.55)</f>
        <v>299.55</v>
      </c>
      <c r="F2702" s="1">
        <f>IFERROR(__xludf.DUMMYFUNCTION("""COMPUTED_VALUE"""),1863972.0)</f>
        <v>1863972</v>
      </c>
    </row>
    <row r="2703">
      <c r="A2703" s="2">
        <f>IFERROR(__xludf.DUMMYFUNCTION("""COMPUTED_VALUE"""),40501.645833333336)</f>
        <v>40501.64583</v>
      </c>
      <c r="B2703" s="1">
        <f>IFERROR(__xludf.DUMMYFUNCTION("""COMPUTED_VALUE"""),299.0)</f>
        <v>299</v>
      </c>
      <c r="C2703" s="1">
        <f>IFERROR(__xludf.DUMMYFUNCTION("""COMPUTED_VALUE"""),304.9)</f>
        <v>304.9</v>
      </c>
      <c r="D2703" s="1">
        <f>IFERROR(__xludf.DUMMYFUNCTION("""COMPUTED_VALUE"""),297.35)</f>
        <v>297.35</v>
      </c>
      <c r="E2703" s="1">
        <f>IFERROR(__xludf.DUMMYFUNCTION("""COMPUTED_VALUE"""),299.0)</f>
        <v>299</v>
      </c>
      <c r="F2703" s="1">
        <f>IFERROR(__xludf.DUMMYFUNCTION("""COMPUTED_VALUE"""),1868801.0)</f>
        <v>1868801</v>
      </c>
    </row>
    <row r="2704">
      <c r="A2704" s="2">
        <f>IFERROR(__xludf.DUMMYFUNCTION("""COMPUTED_VALUE"""),40504.645833333336)</f>
        <v>40504.64583</v>
      </c>
      <c r="B2704" s="1">
        <f>IFERROR(__xludf.DUMMYFUNCTION("""COMPUTED_VALUE"""),300.25)</f>
        <v>300.25</v>
      </c>
      <c r="C2704" s="1">
        <f>IFERROR(__xludf.DUMMYFUNCTION("""COMPUTED_VALUE"""),303.0)</f>
        <v>303</v>
      </c>
      <c r="D2704" s="1">
        <f>IFERROR(__xludf.DUMMYFUNCTION("""COMPUTED_VALUE"""),297.0)</f>
        <v>297</v>
      </c>
      <c r="E2704" s="1">
        <f>IFERROR(__xludf.DUMMYFUNCTION("""COMPUTED_VALUE"""),299.65)</f>
        <v>299.65</v>
      </c>
      <c r="F2704" s="1">
        <f>IFERROR(__xludf.DUMMYFUNCTION("""COMPUTED_VALUE"""),1926822.0)</f>
        <v>1926822</v>
      </c>
    </row>
    <row r="2705">
      <c r="A2705" s="2">
        <f>IFERROR(__xludf.DUMMYFUNCTION("""COMPUTED_VALUE"""),40505.645833333336)</f>
        <v>40505.64583</v>
      </c>
      <c r="B2705" s="1">
        <f>IFERROR(__xludf.DUMMYFUNCTION("""COMPUTED_VALUE"""),299.0)</f>
        <v>299</v>
      </c>
      <c r="C2705" s="1">
        <f>IFERROR(__xludf.DUMMYFUNCTION("""COMPUTED_VALUE"""),302.0)</f>
        <v>302</v>
      </c>
      <c r="D2705" s="1">
        <f>IFERROR(__xludf.DUMMYFUNCTION("""COMPUTED_VALUE"""),295.6)</f>
        <v>295.6</v>
      </c>
      <c r="E2705" s="1">
        <f>IFERROR(__xludf.DUMMYFUNCTION("""COMPUTED_VALUE"""),300.3)</f>
        <v>300.3</v>
      </c>
      <c r="F2705" s="1">
        <f>IFERROR(__xludf.DUMMYFUNCTION("""COMPUTED_VALUE"""),4559950.0)</f>
        <v>4559950</v>
      </c>
    </row>
    <row r="2706">
      <c r="A2706" s="2">
        <f>IFERROR(__xludf.DUMMYFUNCTION("""COMPUTED_VALUE"""),40506.645833333336)</f>
        <v>40506.64583</v>
      </c>
      <c r="B2706" s="1">
        <f>IFERROR(__xludf.DUMMYFUNCTION("""COMPUTED_VALUE"""),300.05)</f>
        <v>300.05</v>
      </c>
      <c r="C2706" s="1">
        <f>IFERROR(__xludf.DUMMYFUNCTION("""COMPUTED_VALUE"""),302.5)</f>
        <v>302.5</v>
      </c>
      <c r="D2706" s="1">
        <f>IFERROR(__xludf.DUMMYFUNCTION("""COMPUTED_VALUE"""),298.1)</f>
        <v>298.1</v>
      </c>
      <c r="E2706" s="1">
        <f>IFERROR(__xludf.DUMMYFUNCTION("""COMPUTED_VALUE"""),299.8)</f>
        <v>299.8</v>
      </c>
      <c r="F2706" s="1">
        <f>IFERROR(__xludf.DUMMYFUNCTION("""COMPUTED_VALUE"""),2857548.0)</f>
        <v>2857548</v>
      </c>
    </row>
    <row r="2707">
      <c r="A2707" s="2">
        <f>IFERROR(__xludf.DUMMYFUNCTION("""COMPUTED_VALUE"""),40507.645833333336)</f>
        <v>40507.64583</v>
      </c>
      <c r="B2707" s="1">
        <f>IFERROR(__xludf.DUMMYFUNCTION("""COMPUTED_VALUE"""),299.0)</f>
        <v>299</v>
      </c>
      <c r="C2707" s="1">
        <f>IFERROR(__xludf.DUMMYFUNCTION("""COMPUTED_VALUE"""),302.0)</f>
        <v>302</v>
      </c>
      <c r="D2707" s="1">
        <f>IFERROR(__xludf.DUMMYFUNCTION("""COMPUTED_VALUE"""),294.0)</f>
        <v>294</v>
      </c>
      <c r="E2707" s="1">
        <f>IFERROR(__xludf.DUMMYFUNCTION("""COMPUTED_VALUE"""),297.2)</f>
        <v>297.2</v>
      </c>
      <c r="F2707" s="1">
        <f>IFERROR(__xludf.DUMMYFUNCTION("""COMPUTED_VALUE"""),4133258.0)</f>
        <v>4133258</v>
      </c>
    </row>
    <row r="2708">
      <c r="A2708" s="2">
        <f>IFERROR(__xludf.DUMMYFUNCTION("""COMPUTED_VALUE"""),40508.645833333336)</f>
        <v>40508.64583</v>
      </c>
      <c r="B2708" s="1">
        <f>IFERROR(__xludf.DUMMYFUNCTION("""COMPUTED_VALUE"""),299.7)</f>
        <v>299.7</v>
      </c>
      <c r="C2708" s="1">
        <f>IFERROR(__xludf.DUMMYFUNCTION("""COMPUTED_VALUE"""),300.0)</f>
        <v>300</v>
      </c>
      <c r="D2708" s="1">
        <f>IFERROR(__xludf.DUMMYFUNCTION("""COMPUTED_VALUE"""),290.0)</f>
        <v>290</v>
      </c>
      <c r="E2708" s="1">
        <f>IFERROR(__xludf.DUMMYFUNCTION("""COMPUTED_VALUE"""),293.1)</f>
        <v>293.1</v>
      </c>
      <c r="F2708" s="1">
        <f>IFERROR(__xludf.DUMMYFUNCTION("""COMPUTED_VALUE"""),2362814.0)</f>
        <v>2362814</v>
      </c>
    </row>
    <row r="2709">
      <c r="A2709" s="2">
        <f>IFERROR(__xludf.DUMMYFUNCTION("""COMPUTED_VALUE"""),40511.645833333336)</f>
        <v>40511.64583</v>
      </c>
      <c r="B2709" s="1">
        <f>IFERROR(__xludf.DUMMYFUNCTION("""COMPUTED_VALUE"""),296.0)</f>
        <v>296</v>
      </c>
      <c r="C2709" s="1">
        <f>IFERROR(__xludf.DUMMYFUNCTION("""COMPUTED_VALUE"""),300.0)</f>
        <v>300</v>
      </c>
      <c r="D2709" s="1">
        <f>IFERROR(__xludf.DUMMYFUNCTION("""COMPUTED_VALUE"""),294.55)</f>
        <v>294.55</v>
      </c>
      <c r="E2709" s="1">
        <f>IFERROR(__xludf.DUMMYFUNCTION("""COMPUTED_VALUE"""),297.8)</f>
        <v>297.8</v>
      </c>
      <c r="F2709" s="1">
        <f>IFERROR(__xludf.DUMMYFUNCTION("""COMPUTED_VALUE"""),1881023.0)</f>
        <v>1881023</v>
      </c>
    </row>
    <row r="2710">
      <c r="A2710" s="2">
        <f>IFERROR(__xludf.DUMMYFUNCTION("""COMPUTED_VALUE"""),40512.645833333336)</f>
        <v>40512.64583</v>
      </c>
      <c r="B2710" s="1">
        <f>IFERROR(__xludf.DUMMYFUNCTION("""COMPUTED_VALUE"""),295.15)</f>
        <v>295.15</v>
      </c>
      <c r="C2710" s="1">
        <f>IFERROR(__xludf.DUMMYFUNCTION("""COMPUTED_VALUE"""),300.35)</f>
        <v>300.35</v>
      </c>
      <c r="D2710" s="1">
        <f>IFERROR(__xludf.DUMMYFUNCTION("""COMPUTED_VALUE"""),294.45)</f>
        <v>294.45</v>
      </c>
      <c r="E2710" s="1">
        <f>IFERROR(__xludf.DUMMYFUNCTION("""COMPUTED_VALUE"""),298.25)</f>
        <v>298.25</v>
      </c>
      <c r="F2710" s="1">
        <f>IFERROR(__xludf.DUMMYFUNCTION("""COMPUTED_VALUE"""),2755654.0)</f>
        <v>2755654</v>
      </c>
    </row>
    <row r="2711">
      <c r="A2711" s="2">
        <f>IFERROR(__xludf.DUMMYFUNCTION("""COMPUTED_VALUE"""),40513.645833333336)</f>
        <v>40513.64583</v>
      </c>
      <c r="B2711" s="1">
        <f>IFERROR(__xludf.DUMMYFUNCTION("""COMPUTED_VALUE"""),297.0)</f>
        <v>297</v>
      </c>
      <c r="C2711" s="1">
        <f>IFERROR(__xludf.DUMMYFUNCTION("""COMPUTED_VALUE"""),299.9)</f>
        <v>299.9</v>
      </c>
      <c r="D2711" s="1">
        <f>IFERROR(__xludf.DUMMYFUNCTION("""COMPUTED_VALUE"""),296.05)</f>
        <v>296.05</v>
      </c>
      <c r="E2711" s="1">
        <f>IFERROR(__xludf.DUMMYFUNCTION("""COMPUTED_VALUE"""),297.6)</f>
        <v>297.6</v>
      </c>
      <c r="F2711" s="1">
        <f>IFERROR(__xludf.DUMMYFUNCTION("""COMPUTED_VALUE"""),1425789.0)</f>
        <v>1425789</v>
      </c>
    </row>
    <row r="2712">
      <c r="A2712" s="2">
        <f>IFERROR(__xludf.DUMMYFUNCTION("""COMPUTED_VALUE"""),40514.645833333336)</f>
        <v>40514.64583</v>
      </c>
      <c r="B2712" s="1">
        <f>IFERROR(__xludf.DUMMYFUNCTION("""COMPUTED_VALUE"""),299.15)</f>
        <v>299.15</v>
      </c>
      <c r="C2712" s="1">
        <f>IFERROR(__xludf.DUMMYFUNCTION("""COMPUTED_VALUE"""),300.4)</f>
        <v>300.4</v>
      </c>
      <c r="D2712" s="1">
        <f>IFERROR(__xludf.DUMMYFUNCTION("""COMPUTED_VALUE"""),295.5)</f>
        <v>295.5</v>
      </c>
      <c r="E2712" s="1">
        <f>IFERROR(__xludf.DUMMYFUNCTION("""COMPUTED_VALUE"""),296.95)</f>
        <v>296.95</v>
      </c>
      <c r="F2712" s="1">
        <f>IFERROR(__xludf.DUMMYFUNCTION("""COMPUTED_VALUE"""),1999299.0)</f>
        <v>1999299</v>
      </c>
    </row>
    <row r="2713">
      <c r="A2713" s="2">
        <f>IFERROR(__xludf.DUMMYFUNCTION("""COMPUTED_VALUE"""),40515.645833333336)</f>
        <v>40515.64583</v>
      </c>
      <c r="B2713" s="1">
        <f>IFERROR(__xludf.DUMMYFUNCTION("""COMPUTED_VALUE"""),299.0)</f>
        <v>299</v>
      </c>
      <c r="C2713" s="1">
        <f>IFERROR(__xludf.DUMMYFUNCTION("""COMPUTED_VALUE"""),305.5)</f>
        <v>305.5</v>
      </c>
      <c r="D2713" s="1">
        <f>IFERROR(__xludf.DUMMYFUNCTION("""COMPUTED_VALUE"""),297.25)</f>
        <v>297.25</v>
      </c>
      <c r="E2713" s="1">
        <f>IFERROR(__xludf.DUMMYFUNCTION("""COMPUTED_VALUE"""),299.25)</f>
        <v>299.25</v>
      </c>
      <c r="F2713" s="1">
        <f>IFERROR(__xludf.DUMMYFUNCTION("""COMPUTED_VALUE"""),2629710.0)</f>
        <v>2629710</v>
      </c>
    </row>
    <row r="2714">
      <c r="A2714" s="2">
        <f>IFERROR(__xludf.DUMMYFUNCTION("""COMPUTED_VALUE"""),40518.645833333336)</f>
        <v>40518.64583</v>
      </c>
      <c r="B2714" s="1">
        <f>IFERROR(__xludf.DUMMYFUNCTION("""COMPUTED_VALUE"""),302.4)</f>
        <v>302.4</v>
      </c>
      <c r="C2714" s="1">
        <f>IFERROR(__xludf.DUMMYFUNCTION("""COMPUTED_VALUE"""),304.2)</f>
        <v>304.2</v>
      </c>
      <c r="D2714" s="1">
        <f>IFERROR(__xludf.DUMMYFUNCTION("""COMPUTED_VALUE"""),299.1)</f>
        <v>299.1</v>
      </c>
      <c r="E2714" s="1">
        <f>IFERROR(__xludf.DUMMYFUNCTION("""COMPUTED_VALUE"""),300.3)</f>
        <v>300.3</v>
      </c>
      <c r="F2714" s="1">
        <f>IFERROR(__xludf.DUMMYFUNCTION("""COMPUTED_VALUE"""),1186326.0)</f>
        <v>1186326</v>
      </c>
    </row>
    <row r="2715">
      <c r="A2715" s="2">
        <f>IFERROR(__xludf.DUMMYFUNCTION("""COMPUTED_VALUE"""),40519.645833333336)</f>
        <v>40519.64583</v>
      </c>
      <c r="B2715" s="1">
        <f>IFERROR(__xludf.DUMMYFUNCTION("""COMPUTED_VALUE"""),300.3)</f>
        <v>300.3</v>
      </c>
      <c r="C2715" s="1">
        <f>IFERROR(__xludf.DUMMYFUNCTION("""COMPUTED_VALUE"""),301.75)</f>
        <v>301.75</v>
      </c>
      <c r="D2715" s="1">
        <f>IFERROR(__xludf.DUMMYFUNCTION("""COMPUTED_VALUE"""),294.9)</f>
        <v>294.9</v>
      </c>
      <c r="E2715" s="1">
        <f>IFERROR(__xludf.DUMMYFUNCTION("""COMPUTED_VALUE"""),295.75)</f>
        <v>295.75</v>
      </c>
      <c r="F2715" s="1">
        <f>IFERROR(__xludf.DUMMYFUNCTION("""COMPUTED_VALUE"""),1082204.0)</f>
        <v>1082204</v>
      </c>
    </row>
    <row r="2716">
      <c r="A2716" s="2">
        <f>IFERROR(__xludf.DUMMYFUNCTION("""COMPUTED_VALUE"""),40520.645833333336)</f>
        <v>40520.64583</v>
      </c>
      <c r="B2716" s="1">
        <f>IFERROR(__xludf.DUMMYFUNCTION("""COMPUTED_VALUE"""),296.2)</f>
        <v>296.2</v>
      </c>
      <c r="C2716" s="1">
        <f>IFERROR(__xludf.DUMMYFUNCTION("""COMPUTED_VALUE"""),297.45)</f>
        <v>297.45</v>
      </c>
      <c r="D2716" s="1">
        <f>IFERROR(__xludf.DUMMYFUNCTION("""COMPUTED_VALUE"""),293.35)</f>
        <v>293.35</v>
      </c>
      <c r="E2716" s="1">
        <f>IFERROR(__xludf.DUMMYFUNCTION("""COMPUTED_VALUE"""),296.4)</f>
        <v>296.4</v>
      </c>
      <c r="F2716" s="1">
        <f>IFERROR(__xludf.DUMMYFUNCTION("""COMPUTED_VALUE"""),1031606.0)</f>
        <v>1031606</v>
      </c>
    </row>
    <row r="2717">
      <c r="A2717" s="2">
        <f>IFERROR(__xludf.DUMMYFUNCTION("""COMPUTED_VALUE"""),40521.645833333336)</f>
        <v>40521.64583</v>
      </c>
      <c r="B2717" s="1">
        <f>IFERROR(__xludf.DUMMYFUNCTION("""COMPUTED_VALUE"""),297.8)</f>
        <v>297.8</v>
      </c>
      <c r="C2717" s="1">
        <f>IFERROR(__xludf.DUMMYFUNCTION("""COMPUTED_VALUE"""),298.2)</f>
        <v>298.2</v>
      </c>
      <c r="D2717" s="1">
        <f>IFERROR(__xludf.DUMMYFUNCTION("""COMPUTED_VALUE"""),282.35)</f>
        <v>282.35</v>
      </c>
      <c r="E2717" s="1">
        <f>IFERROR(__xludf.DUMMYFUNCTION("""COMPUTED_VALUE"""),289.1)</f>
        <v>289.1</v>
      </c>
      <c r="F2717" s="1">
        <f>IFERROR(__xludf.DUMMYFUNCTION("""COMPUTED_VALUE"""),2342551.0)</f>
        <v>2342551</v>
      </c>
    </row>
    <row r="2718">
      <c r="A2718" s="2">
        <f>IFERROR(__xludf.DUMMYFUNCTION("""COMPUTED_VALUE"""),40522.645833333336)</f>
        <v>40522.64583</v>
      </c>
      <c r="B2718" s="1">
        <f>IFERROR(__xludf.DUMMYFUNCTION("""COMPUTED_VALUE"""),290.0)</f>
        <v>290</v>
      </c>
      <c r="C2718" s="1">
        <f>IFERROR(__xludf.DUMMYFUNCTION("""COMPUTED_VALUE"""),297.8)</f>
        <v>297.8</v>
      </c>
      <c r="D2718" s="1">
        <f>IFERROR(__xludf.DUMMYFUNCTION("""COMPUTED_VALUE"""),288.35)</f>
        <v>288.35</v>
      </c>
      <c r="E2718" s="1">
        <f>IFERROR(__xludf.DUMMYFUNCTION("""COMPUTED_VALUE"""),296.0)</f>
        <v>296</v>
      </c>
      <c r="F2718" s="1">
        <f>IFERROR(__xludf.DUMMYFUNCTION("""COMPUTED_VALUE"""),1445464.0)</f>
        <v>1445464</v>
      </c>
    </row>
    <row r="2719">
      <c r="A2719" s="2">
        <f>IFERROR(__xludf.DUMMYFUNCTION("""COMPUTED_VALUE"""),40525.645833333336)</f>
        <v>40525.64583</v>
      </c>
      <c r="B2719" s="1">
        <f>IFERROR(__xludf.DUMMYFUNCTION("""COMPUTED_VALUE"""),297.4)</f>
        <v>297.4</v>
      </c>
      <c r="C2719" s="1">
        <f>IFERROR(__xludf.DUMMYFUNCTION("""COMPUTED_VALUE"""),302.0)</f>
        <v>302</v>
      </c>
      <c r="D2719" s="1">
        <f>IFERROR(__xludf.DUMMYFUNCTION("""COMPUTED_VALUE"""),295.0)</f>
        <v>295</v>
      </c>
      <c r="E2719" s="1">
        <f>IFERROR(__xludf.DUMMYFUNCTION("""COMPUTED_VALUE"""),301.0)</f>
        <v>301</v>
      </c>
      <c r="F2719" s="1">
        <f>IFERROR(__xludf.DUMMYFUNCTION("""COMPUTED_VALUE"""),3373709.0)</f>
        <v>3373709</v>
      </c>
    </row>
    <row r="2720">
      <c r="A2720" s="2">
        <f>IFERROR(__xludf.DUMMYFUNCTION("""COMPUTED_VALUE"""),40526.645833333336)</f>
        <v>40526.64583</v>
      </c>
      <c r="B2720" s="1">
        <f>IFERROR(__xludf.DUMMYFUNCTION("""COMPUTED_VALUE"""),300.0)</f>
        <v>300</v>
      </c>
      <c r="C2720" s="1">
        <f>IFERROR(__xludf.DUMMYFUNCTION("""COMPUTED_VALUE"""),301.35)</f>
        <v>301.35</v>
      </c>
      <c r="D2720" s="1">
        <f>IFERROR(__xludf.DUMMYFUNCTION("""COMPUTED_VALUE"""),297.2)</f>
        <v>297.2</v>
      </c>
      <c r="E2720" s="1">
        <f>IFERROR(__xludf.DUMMYFUNCTION("""COMPUTED_VALUE"""),298.25)</f>
        <v>298.25</v>
      </c>
      <c r="F2720" s="1">
        <f>IFERROR(__xludf.DUMMYFUNCTION("""COMPUTED_VALUE"""),1436627.0)</f>
        <v>1436627</v>
      </c>
    </row>
    <row r="2721">
      <c r="A2721" s="2">
        <f>IFERROR(__xludf.DUMMYFUNCTION("""COMPUTED_VALUE"""),40527.645833333336)</f>
        <v>40527.64583</v>
      </c>
      <c r="B2721" s="1">
        <f>IFERROR(__xludf.DUMMYFUNCTION("""COMPUTED_VALUE"""),298.3)</f>
        <v>298.3</v>
      </c>
      <c r="C2721" s="1">
        <f>IFERROR(__xludf.DUMMYFUNCTION("""COMPUTED_VALUE"""),300.9)</f>
        <v>300.9</v>
      </c>
      <c r="D2721" s="1">
        <f>IFERROR(__xludf.DUMMYFUNCTION("""COMPUTED_VALUE"""),296.1)</f>
        <v>296.1</v>
      </c>
      <c r="E2721" s="1">
        <f>IFERROR(__xludf.DUMMYFUNCTION("""COMPUTED_VALUE"""),298.75)</f>
        <v>298.75</v>
      </c>
      <c r="F2721" s="1">
        <f>IFERROR(__xludf.DUMMYFUNCTION("""COMPUTED_VALUE"""),1659988.0)</f>
        <v>1659988</v>
      </c>
    </row>
    <row r="2722">
      <c r="A2722" s="2">
        <f>IFERROR(__xludf.DUMMYFUNCTION("""COMPUTED_VALUE"""),40528.645833333336)</f>
        <v>40528.64583</v>
      </c>
      <c r="B2722" s="1">
        <f>IFERROR(__xludf.DUMMYFUNCTION("""COMPUTED_VALUE"""),299.95)</f>
        <v>299.95</v>
      </c>
      <c r="C2722" s="1">
        <f>IFERROR(__xludf.DUMMYFUNCTION("""COMPUTED_VALUE"""),300.45)</f>
        <v>300.45</v>
      </c>
      <c r="D2722" s="1">
        <f>IFERROR(__xludf.DUMMYFUNCTION("""COMPUTED_VALUE"""),292.8)</f>
        <v>292.8</v>
      </c>
      <c r="E2722" s="1">
        <f>IFERROR(__xludf.DUMMYFUNCTION("""COMPUTED_VALUE"""),294.0)</f>
        <v>294</v>
      </c>
      <c r="F2722" s="1">
        <f>IFERROR(__xludf.DUMMYFUNCTION("""COMPUTED_VALUE"""),1588180.0)</f>
        <v>1588180</v>
      </c>
    </row>
    <row r="2723">
      <c r="A2723" s="2">
        <f>IFERROR(__xludf.DUMMYFUNCTION("""COMPUTED_VALUE"""),40532.645833333336)</f>
        <v>40532.64583</v>
      </c>
      <c r="B2723" s="1">
        <f>IFERROR(__xludf.DUMMYFUNCTION("""COMPUTED_VALUE"""),294.1)</f>
        <v>294.1</v>
      </c>
      <c r="C2723" s="1">
        <f>IFERROR(__xludf.DUMMYFUNCTION("""COMPUTED_VALUE"""),296.7)</f>
        <v>296.7</v>
      </c>
      <c r="D2723" s="1">
        <f>IFERROR(__xludf.DUMMYFUNCTION("""COMPUTED_VALUE"""),290.4)</f>
        <v>290.4</v>
      </c>
      <c r="E2723" s="1">
        <f>IFERROR(__xludf.DUMMYFUNCTION("""COMPUTED_VALUE"""),295.15)</f>
        <v>295.15</v>
      </c>
      <c r="F2723" s="1">
        <f>IFERROR(__xludf.DUMMYFUNCTION("""COMPUTED_VALUE"""),1426750.0)</f>
        <v>1426750</v>
      </c>
    </row>
    <row r="2724">
      <c r="A2724" s="2">
        <f>IFERROR(__xludf.DUMMYFUNCTION("""COMPUTED_VALUE"""),40533.645833333336)</f>
        <v>40533.64583</v>
      </c>
      <c r="B2724" s="1">
        <f>IFERROR(__xludf.DUMMYFUNCTION("""COMPUTED_VALUE"""),295.15)</f>
        <v>295.15</v>
      </c>
      <c r="C2724" s="1">
        <f>IFERROR(__xludf.DUMMYFUNCTION("""COMPUTED_VALUE"""),296.85)</f>
        <v>296.85</v>
      </c>
      <c r="D2724" s="1">
        <f>IFERROR(__xludf.DUMMYFUNCTION("""COMPUTED_VALUE"""),292.1)</f>
        <v>292.1</v>
      </c>
      <c r="E2724" s="1">
        <f>IFERROR(__xludf.DUMMYFUNCTION("""COMPUTED_VALUE"""),293.75)</f>
        <v>293.75</v>
      </c>
      <c r="F2724" s="1">
        <f>IFERROR(__xludf.DUMMYFUNCTION("""COMPUTED_VALUE"""),1492762.0)</f>
        <v>1492762</v>
      </c>
    </row>
    <row r="2725">
      <c r="A2725" s="2">
        <f>IFERROR(__xludf.DUMMYFUNCTION("""COMPUTED_VALUE"""),40534.645833333336)</f>
        <v>40534.64583</v>
      </c>
      <c r="B2725" s="1">
        <f>IFERROR(__xludf.DUMMYFUNCTION("""COMPUTED_VALUE"""),293.0)</f>
        <v>293</v>
      </c>
      <c r="C2725" s="1">
        <f>IFERROR(__xludf.DUMMYFUNCTION("""COMPUTED_VALUE"""),295.55)</f>
        <v>295.55</v>
      </c>
      <c r="D2725" s="1">
        <f>IFERROR(__xludf.DUMMYFUNCTION("""COMPUTED_VALUE"""),292.6)</f>
        <v>292.6</v>
      </c>
      <c r="E2725" s="1">
        <f>IFERROR(__xludf.DUMMYFUNCTION("""COMPUTED_VALUE"""),293.5)</f>
        <v>293.5</v>
      </c>
      <c r="F2725" s="1">
        <f>IFERROR(__xludf.DUMMYFUNCTION("""COMPUTED_VALUE"""),1930756.0)</f>
        <v>1930756</v>
      </c>
    </row>
    <row r="2726">
      <c r="A2726" s="2">
        <f>IFERROR(__xludf.DUMMYFUNCTION("""COMPUTED_VALUE"""),40535.645833333336)</f>
        <v>40535.64583</v>
      </c>
      <c r="B2726" s="1">
        <f>IFERROR(__xludf.DUMMYFUNCTION("""COMPUTED_VALUE"""),294.75)</f>
        <v>294.75</v>
      </c>
      <c r="C2726" s="1">
        <f>IFERROR(__xludf.DUMMYFUNCTION("""COMPUTED_VALUE"""),295.6)</f>
        <v>295.6</v>
      </c>
      <c r="D2726" s="1">
        <f>IFERROR(__xludf.DUMMYFUNCTION("""COMPUTED_VALUE"""),290.55)</f>
        <v>290.55</v>
      </c>
      <c r="E2726" s="1">
        <f>IFERROR(__xludf.DUMMYFUNCTION("""COMPUTED_VALUE"""),291.1)</f>
        <v>291.1</v>
      </c>
      <c r="F2726" s="1">
        <f>IFERROR(__xludf.DUMMYFUNCTION("""COMPUTED_VALUE"""),1560930.0)</f>
        <v>1560930</v>
      </c>
    </row>
    <row r="2727">
      <c r="A2727" s="2">
        <f>IFERROR(__xludf.DUMMYFUNCTION("""COMPUTED_VALUE"""),40536.645833333336)</f>
        <v>40536.64583</v>
      </c>
      <c r="B2727" s="1">
        <f>IFERROR(__xludf.DUMMYFUNCTION("""COMPUTED_VALUE"""),291.05)</f>
        <v>291.05</v>
      </c>
      <c r="C2727" s="1">
        <f>IFERROR(__xludf.DUMMYFUNCTION("""COMPUTED_VALUE"""),295.95)</f>
        <v>295.95</v>
      </c>
      <c r="D2727" s="1">
        <f>IFERROR(__xludf.DUMMYFUNCTION("""COMPUTED_VALUE"""),290.5)</f>
        <v>290.5</v>
      </c>
      <c r="E2727" s="1">
        <f>IFERROR(__xludf.DUMMYFUNCTION("""COMPUTED_VALUE"""),295.0)</f>
        <v>295</v>
      </c>
      <c r="F2727" s="1">
        <f>IFERROR(__xludf.DUMMYFUNCTION("""COMPUTED_VALUE"""),1335207.0)</f>
        <v>1335207</v>
      </c>
    </row>
    <row r="2728">
      <c r="A2728" s="2">
        <f>IFERROR(__xludf.DUMMYFUNCTION("""COMPUTED_VALUE"""),40539.645833333336)</f>
        <v>40539.64583</v>
      </c>
      <c r="B2728" s="1">
        <f>IFERROR(__xludf.DUMMYFUNCTION("""COMPUTED_VALUE"""),294.3)</f>
        <v>294.3</v>
      </c>
      <c r="C2728" s="1">
        <f>IFERROR(__xludf.DUMMYFUNCTION("""COMPUTED_VALUE"""),297.0)</f>
        <v>297</v>
      </c>
      <c r="D2728" s="1">
        <f>IFERROR(__xludf.DUMMYFUNCTION("""COMPUTED_VALUE"""),294.3)</f>
        <v>294.3</v>
      </c>
      <c r="E2728" s="1">
        <f>IFERROR(__xludf.DUMMYFUNCTION("""COMPUTED_VALUE"""),296.25)</f>
        <v>296.25</v>
      </c>
      <c r="F2728" s="1">
        <f>IFERROR(__xludf.DUMMYFUNCTION("""COMPUTED_VALUE"""),662421.0)</f>
        <v>662421</v>
      </c>
    </row>
    <row r="2729">
      <c r="A2729" s="2">
        <f>IFERROR(__xludf.DUMMYFUNCTION("""COMPUTED_VALUE"""),40540.645833333336)</f>
        <v>40540.64583</v>
      </c>
      <c r="B2729" s="1">
        <f>IFERROR(__xludf.DUMMYFUNCTION("""COMPUTED_VALUE"""),297.0)</f>
        <v>297</v>
      </c>
      <c r="C2729" s="1">
        <f>IFERROR(__xludf.DUMMYFUNCTION("""COMPUTED_VALUE"""),297.3)</f>
        <v>297.3</v>
      </c>
      <c r="D2729" s="1">
        <f>IFERROR(__xludf.DUMMYFUNCTION("""COMPUTED_VALUE"""),293.7)</f>
        <v>293.7</v>
      </c>
      <c r="E2729" s="1">
        <f>IFERROR(__xludf.DUMMYFUNCTION("""COMPUTED_VALUE"""),294.4)</f>
        <v>294.4</v>
      </c>
      <c r="F2729" s="1">
        <f>IFERROR(__xludf.DUMMYFUNCTION("""COMPUTED_VALUE"""),865940.0)</f>
        <v>865940</v>
      </c>
    </row>
    <row r="2730">
      <c r="A2730" s="2">
        <f>IFERROR(__xludf.DUMMYFUNCTION("""COMPUTED_VALUE"""),40541.645833333336)</f>
        <v>40541.64583</v>
      </c>
      <c r="B2730" s="1">
        <f>IFERROR(__xludf.DUMMYFUNCTION("""COMPUTED_VALUE"""),295.7)</f>
        <v>295.7</v>
      </c>
      <c r="C2730" s="1">
        <f>IFERROR(__xludf.DUMMYFUNCTION("""COMPUTED_VALUE"""),305.4)</f>
        <v>305.4</v>
      </c>
      <c r="D2730" s="1">
        <f>IFERROR(__xludf.DUMMYFUNCTION("""COMPUTED_VALUE"""),294.2)</f>
        <v>294.2</v>
      </c>
      <c r="E2730" s="1">
        <f>IFERROR(__xludf.DUMMYFUNCTION("""COMPUTED_VALUE"""),304.7)</f>
        <v>304.7</v>
      </c>
      <c r="F2730" s="1">
        <f>IFERROR(__xludf.DUMMYFUNCTION("""COMPUTED_VALUE"""),2300915.0)</f>
        <v>2300915</v>
      </c>
    </row>
    <row r="2731">
      <c r="A2731" s="2">
        <f>IFERROR(__xludf.DUMMYFUNCTION("""COMPUTED_VALUE"""),40542.645833333336)</f>
        <v>40542.64583</v>
      </c>
      <c r="B2731" s="1">
        <f>IFERROR(__xludf.DUMMYFUNCTION("""COMPUTED_VALUE"""),304.0)</f>
        <v>304</v>
      </c>
      <c r="C2731" s="1">
        <f>IFERROR(__xludf.DUMMYFUNCTION("""COMPUTED_VALUE"""),310.55)</f>
        <v>310.55</v>
      </c>
      <c r="D2731" s="1">
        <f>IFERROR(__xludf.DUMMYFUNCTION("""COMPUTED_VALUE"""),304.0)</f>
        <v>304</v>
      </c>
      <c r="E2731" s="1">
        <f>IFERROR(__xludf.DUMMYFUNCTION("""COMPUTED_VALUE"""),309.3)</f>
        <v>309.3</v>
      </c>
      <c r="F2731" s="1">
        <f>IFERROR(__xludf.DUMMYFUNCTION("""COMPUTED_VALUE"""),3240083.0)</f>
        <v>3240083</v>
      </c>
    </row>
    <row r="2732">
      <c r="A2732" s="2">
        <f>IFERROR(__xludf.DUMMYFUNCTION("""COMPUTED_VALUE"""),40543.645833333336)</f>
        <v>40543.64583</v>
      </c>
      <c r="B2732" s="1">
        <f>IFERROR(__xludf.DUMMYFUNCTION("""COMPUTED_VALUE"""),310.0)</f>
        <v>310</v>
      </c>
      <c r="C2732" s="1">
        <f>IFERROR(__xludf.DUMMYFUNCTION("""COMPUTED_VALUE"""),315.8)</f>
        <v>315.8</v>
      </c>
      <c r="D2732" s="1">
        <f>IFERROR(__xludf.DUMMYFUNCTION("""COMPUTED_VALUE"""),307.6)</f>
        <v>307.6</v>
      </c>
      <c r="E2732" s="1">
        <f>IFERROR(__xludf.DUMMYFUNCTION("""COMPUTED_VALUE"""),312.9)</f>
        <v>312.9</v>
      </c>
      <c r="F2732" s="1">
        <f>IFERROR(__xludf.DUMMYFUNCTION("""COMPUTED_VALUE"""),1755510.0)</f>
        <v>1755510</v>
      </c>
    </row>
    <row r="2733">
      <c r="A2733" s="2">
        <f>IFERROR(__xludf.DUMMYFUNCTION("""COMPUTED_VALUE"""),40546.645833333336)</f>
        <v>40546.64583</v>
      </c>
      <c r="B2733" s="1">
        <f>IFERROR(__xludf.DUMMYFUNCTION("""COMPUTED_VALUE"""),310.05)</f>
        <v>310.05</v>
      </c>
      <c r="C2733" s="1">
        <f>IFERROR(__xludf.DUMMYFUNCTION("""COMPUTED_VALUE"""),315.9)</f>
        <v>315.9</v>
      </c>
      <c r="D2733" s="1">
        <f>IFERROR(__xludf.DUMMYFUNCTION("""COMPUTED_VALUE"""),310.0)</f>
        <v>310</v>
      </c>
      <c r="E2733" s="1">
        <f>IFERROR(__xludf.DUMMYFUNCTION("""COMPUTED_VALUE"""),313.15)</f>
        <v>313.15</v>
      </c>
      <c r="F2733" s="1">
        <f>IFERROR(__xludf.DUMMYFUNCTION("""COMPUTED_VALUE"""),799917.0)</f>
        <v>799917</v>
      </c>
    </row>
    <row r="2734">
      <c r="A2734" s="2">
        <f>IFERROR(__xludf.DUMMYFUNCTION("""COMPUTED_VALUE"""),40547.645833333336)</f>
        <v>40547.64583</v>
      </c>
      <c r="B2734" s="1">
        <f>IFERROR(__xludf.DUMMYFUNCTION("""COMPUTED_VALUE"""),314.0)</f>
        <v>314</v>
      </c>
      <c r="C2734" s="1">
        <f>IFERROR(__xludf.DUMMYFUNCTION("""COMPUTED_VALUE"""),329.9)</f>
        <v>329.9</v>
      </c>
      <c r="D2734" s="1">
        <f>IFERROR(__xludf.DUMMYFUNCTION("""COMPUTED_VALUE"""),313.5)</f>
        <v>313.5</v>
      </c>
      <c r="E2734" s="1">
        <f>IFERROR(__xludf.DUMMYFUNCTION("""COMPUTED_VALUE"""),320.9)</f>
        <v>320.9</v>
      </c>
      <c r="F2734" s="1">
        <f>IFERROR(__xludf.DUMMYFUNCTION("""COMPUTED_VALUE"""),5397799.0)</f>
        <v>5397799</v>
      </c>
    </row>
    <row r="2735">
      <c r="A2735" s="2">
        <f>IFERROR(__xludf.DUMMYFUNCTION("""COMPUTED_VALUE"""),40548.645833333336)</f>
        <v>40548.64583</v>
      </c>
      <c r="B2735" s="1">
        <f>IFERROR(__xludf.DUMMYFUNCTION("""COMPUTED_VALUE"""),320.7)</f>
        <v>320.7</v>
      </c>
      <c r="C2735" s="1">
        <f>IFERROR(__xludf.DUMMYFUNCTION("""COMPUTED_VALUE"""),327.35)</f>
        <v>327.35</v>
      </c>
      <c r="D2735" s="1">
        <f>IFERROR(__xludf.DUMMYFUNCTION("""COMPUTED_VALUE"""),317.25)</f>
        <v>317.25</v>
      </c>
      <c r="E2735" s="1">
        <f>IFERROR(__xludf.DUMMYFUNCTION("""COMPUTED_VALUE"""),325.7)</f>
        <v>325.7</v>
      </c>
      <c r="F2735" s="1">
        <f>IFERROR(__xludf.DUMMYFUNCTION("""COMPUTED_VALUE"""),2728170.0)</f>
        <v>2728170</v>
      </c>
    </row>
    <row r="2736">
      <c r="A2736" s="2">
        <f>IFERROR(__xludf.DUMMYFUNCTION("""COMPUTED_VALUE"""),40549.645833333336)</f>
        <v>40549.64583</v>
      </c>
      <c r="B2736" s="1">
        <f>IFERROR(__xludf.DUMMYFUNCTION("""COMPUTED_VALUE"""),327.55)</f>
        <v>327.55</v>
      </c>
      <c r="C2736" s="1">
        <f>IFERROR(__xludf.DUMMYFUNCTION("""COMPUTED_VALUE"""),328.8)</f>
        <v>328.8</v>
      </c>
      <c r="D2736" s="1">
        <f>IFERROR(__xludf.DUMMYFUNCTION("""COMPUTED_VALUE"""),312.4)</f>
        <v>312.4</v>
      </c>
      <c r="E2736" s="1">
        <f>IFERROR(__xludf.DUMMYFUNCTION("""COMPUTED_VALUE"""),320.75)</f>
        <v>320.75</v>
      </c>
      <c r="F2736" s="1">
        <f>IFERROR(__xludf.DUMMYFUNCTION("""COMPUTED_VALUE"""),3041466.0)</f>
        <v>3041466</v>
      </c>
    </row>
    <row r="2737">
      <c r="A2737" s="2">
        <f>IFERROR(__xludf.DUMMYFUNCTION("""COMPUTED_VALUE"""),40550.645833333336)</f>
        <v>40550.64583</v>
      </c>
      <c r="B2737" s="1">
        <f>IFERROR(__xludf.DUMMYFUNCTION("""COMPUTED_VALUE"""),321.9)</f>
        <v>321.9</v>
      </c>
      <c r="C2737" s="1">
        <f>IFERROR(__xludf.DUMMYFUNCTION("""COMPUTED_VALUE"""),322.9)</f>
        <v>322.9</v>
      </c>
      <c r="D2737" s="1">
        <f>IFERROR(__xludf.DUMMYFUNCTION("""COMPUTED_VALUE"""),310.6)</f>
        <v>310.6</v>
      </c>
      <c r="E2737" s="1">
        <f>IFERROR(__xludf.DUMMYFUNCTION("""COMPUTED_VALUE"""),313.05)</f>
        <v>313.05</v>
      </c>
      <c r="F2737" s="1">
        <f>IFERROR(__xludf.DUMMYFUNCTION("""COMPUTED_VALUE"""),1724192.0)</f>
        <v>1724192</v>
      </c>
    </row>
    <row r="2738">
      <c r="A2738" s="2">
        <f>IFERROR(__xludf.DUMMYFUNCTION("""COMPUTED_VALUE"""),40553.645833333336)</f>
        <v>40553.64583</v>
      </c>
      <c r="B2738" s="1">
        <f>IFERROR(__xludf.DUMMYFUNCTION("""COMPUTED_VALUE"""),312.0)</f>
        <v>312</v>
      </c>
      <c r="C2738" s="1">
        <f>IFERROR(__xludf.DUMMYFUNCTION("""COMPUTED_VALUE"""),317.65)</f>
        <v>317.65</v>
      </c>
      <c r="D2738" s="1">
        <f>IFERROR(__xludf.DUMMYFUNCTION("""COMPUTED_VALUE"""),306.5)</f>
        <v>306.5</v>
      </c>
      <c r="E2738" s="1">
        <f>IFERROR(__xludf.DUMMYFUNCTION("""COMPUTED_VALUE"""),309.0)</f>
        <v>309</v>
      </c>
      <c r="F2738" s="1">
        <f>IFERROR(__xludf.DUMMYFUNCTION("""COMPUTED_VALUE"""),2015882.0)</f>
        <v>2015882</v>
      </c>
    </row>
    <row r="2739">
      <c r="A2739" s="2">
        <f>IFERROR(__xludf.DUMMYFUNCTION("""COMPUTED_VALUE"""),40554.645833333336)</f>
        <v>40554.64583</v>
      </c>
      <c r="B2739" s="1">
        <f>IFERROR(__xludf.DUMMYFUNCTION("""COMPUTED_VALUE"""),309.5)</f>
        <v>309.5</v>
      </c>
      <c r="C2739" s="1">
        <f>IFERROR(__xludf.DUMMYFUNCTION("""COMPUTED_VALUE"""),312.5)</f>
        <v>312.5</v>
      </c>
      <c r="D2739" s="1">
        <f>IFERROR(__xludf.DUMMYFUNCTION("""COMPUTED_VALUE"""),303.3)</f>
        <v>303.3</v>
      </c>
      <c r="E2739" s="1">
        <f>IFERROR(__xludf.DUMMYFUNCTION("""COMPUTED_VALUE"""),307.95)</f>
        <v>307.95</v>
      </c>
      <c r="F2739" s="1">
        <f>IFERROR(__xludf.DUMMYFUNCTION("""COMPUTED_VALUE"""),2119800.0)</f>
        <v>2119800</v>
      </c>
    </row>
    <row r="2740">
      <c r="A2740" s="2">
        <f>IFERROR(__xludf.DUMMYFUNCTION("""COMPUTED_VALUE"""),40555.645833333336)</f>
        <v>40555.64583</v>
      </c>
      <c r="B2740" s="1">
        <f>IFERROR(__xludf.DUMMYFUNCTION("""COMPUTED_VALUE"""),309.6)</f>
        <v>309.6</v>
      </c>
      <c r="C2740" s="1">
        <f>IFERROR(__xludf.DUMMYFUNCTION("""COMPUTED_VALUE"""),310.5)</f>
        <v>310.5</v>
      </c>
      <c r="D2740" s="1">
        <f>IFERROR(__xludf.DUMMYFUNCTION("""COMPUTED_VALUE"""),301.6)</f>
        <v>301.6</v>
      </c>
      <c r="E2740" s="1">
        <f>IFERROR(__xludf.DUMMYFUNCTION("""COMPUTED_VALUE"""),304.9)</f>
        <v>304.9</v>
      </c>
      <c r="F2740" s="1">
        <f>IFERROR(__xludf.DUMMYFUNCTION("""COMPUTED_VALUE"""),2307451.0)</f>
        <v>2307451</v>
      </c>
    </row>
    <row r="2741">
      <c r="A2741" s="2">
        <f>IFERROR(__xludf.DUMMYFUNCTION("""COMPUTED_VALUE"""),40556.645833333336)</f>
        <v>40556.64583</v>
      </c>
      <c r="B2741" s="1">
        <f>IFERROR(__xludf.DUMMYFUNCTION("""COMPUTED_VALUE"""),306.0)</f>
        <v>306</v>
      </c>
      <c r="C2741" s="1">
        <f>IFERROR(__xludf.DUMMYFUNCTION("""COMPUTED_VALUE"""),307.15)</f>
        <v>307.15</v>
      </c>
      <c r="D2741" s="1">
        <f>IFERROR(__xludf.DUMMYFUNCTION("""COMPUTED_VALUE"""),300.25)</f>
        <v>300.25</v>
      </c>
      <c r="E2741" s="1">
        <f>IFERROR(__xludf.DUMMYFUNCTION("""COMPUTED_VALUE"""),302.2)</f>
        <v>302.2</v>
      </c>
      <c r="F2741" s="1">
        <f>IFERROR(__xludf.DUMMYFUNCTION("""COMPUTED_VALUE"""),1881351.0)</f>
        <v>1881351</v>
      </c>
    </row>
    <row r="2742">
      <c r="A2742" s="2">
        <f>IFERROR(__xludf.DUMMYFUNCTION("""COMPUTED_VALUE"""),40557.645833333336)</f>
        <v>40557.64583</v>
      </c>
      <c r="B2742" s="1">
        <f>IFERROR(__xludf.DUMMYFUNCTION("""COMPUTED_VALUE"""),303.5)</f>
        <v>303.5</v>
      </c>
      <c r="C2742" s="1">
        <f>IFERROR(__xludf.DUMMYFUNCTION("""COMPUTED_VALUE"""),313.2)</f>
        <v>313.2</v>
      </c>
      <c r="D2742" s="1">
        <f>IFERROR(__xludf.DUMMYFUNCTION("""COMPUTED_VALUE"""),301.55)</f>
        <v>301.55</v>
      </c>
      <c r="E2742" s="1">
        <f>IFERROR(__xludf.DUMMYFUNCTION("""COMPUTED_VALUE"""),302.55)</f>
        <v>302.55</v>
      </c>
      <c r="F2742" s="1">
        <f>IFERROR(__xludf.DUMMYFUNCTION("""COMPUTED_VALUE"""),2492947.0)</f>
        <v>2492947</v>
      </c>
    </row>
    <row r="2743">
      <c r="A2743" s="2">
        <f>IFERROR(__xludf.DUMMYFUNCTION("""COMPUTED_VALUE"""),40560.645833333336)</f>
        <v>40560.64583</v>
      </c>
      <c r="B2743" s="1">
        <f>IFERROR(__xludf.DUMMYFUNCTION("""COMPUTED_VALUE"""),302.8)</f>
        <v>302.8</v>
      </c>
      <c r="C2743" s="1">
        <f>IFERROR(__xludf.DUMMYFUNCTION("""COMPUTED_VALUE"""),305.5)</f>
        <v>305.5</v>
      </c>
      <c r="D2743" s="1">
        <f>IFERROR(__xludf.DUMMYFUNCTION("""COMPUTED_VALUE"""),300.0)</f>
        <v>300</v>
      </c>
      <c r="E2743" s="1">
        <f>IFERROR(__xludf.DUMMYFUNCTION("""COMPUTED_VALUE"""),301.65)</f>
        <v>301.65</v>
      </c>
      <c r="F2743" s="1">
        <f>IFERROR(__xludf.DUMMYFUNCTION("""COMPUTED_VALUE"""),1474297.0)</f>
        <v>1474297</v>
      </c>
    </row>
    <row r="2744">
      <c r="A2744" s="2">
        <f>IFERROR(__xludf.DUMMYFUNCTION("""COMPUTED_VALUE"""),40561.645833333336)</f>
        <v>40561.64583</v>
      </c>
      <c r="B2744" s="1">
        <f>IFERROR(__xludf.DUMMYFUNCTION("""COMPUTED_VALUE"""),302.0)</f>
        <v>302</v>
      </c>
      <c r="C2744" s="1">
        <f>IFERROR(__xludf.DUMMYFUNCTION("""COMPUTED_VALUE"""),304.8)</f>
        <v>304.8</v>
      </c>
      <c r="D2744" s="1">
        <f>IFERROR(__xludf.DUMMYFUNCTION("""COMPUTED_VALUE"""),300.5)</f>
        <v>300.5</v>
      </c>
      <c r="E2744" s="1">
        <f>IFERROR(__xludf.DUMMYFUNCTION("""COMPUTED_VALUE"""),301.85)</f>
        <v>301.85</v>
      </c>
      <c r="F2744" s="1">
        <f>IFERROR(__xludf.DUMMYFUNCTION("""COMPUTED_VALUE"""),1808453.0)</f>
        <v>1808453</v>
      </c>
    </row>
    <row r="2745">
      <c r="A2745" s="2">
        <f>IFERROR(__xludf.DUMMYFUNCTION("""COMPUTED_VALUE"""),40562.645833333336)</f>
        <v>40562.64583</v>
      </c>
      <c r="B2745" s="1">
        <f>IFERROR(__xludf.DUMMYFUNCTION("""COMPUTED_VALUE"""),303.75)</f>
        <v>303.75</v>
      </c>
      <c r="C2745" s="1">
        <f>IFERROR(__xludf.DUMMYFUNCTION("""COMPUTED_VALUE"""),303.75)</f>
        <v>303.75</v>
      </c>
      <c r="D2745" s="1">
        <f>IFERROR(__xludf.DUMMYFUNCTION("""COMPUTED_VALUE"""),298.45)</f>
        <v>298.45</v>
      </c>
      <c r="E2745" s="1">
        <f>IFERROR(__xludf.DUMMYFUNCTION("""COMPUTED_VALUE"""),299.65)</f>
        <v>299.65</v>
      </c>
      <c r="F2745" s="1">
        <f>IFERROR(__xludf.DUMMYFUNCTION("""COMPUTED_VALUE"""),1937115.0)</f>
        <v>1937115</v>
      </c>
    </row>
    <row r="2746">
      <c r="A2746" s="2">
        <f>IFERROR(__xludf.DUMMYFUNCTION("""COMPUTED_VALUE"""),40563.645833333336)</f>
        <v>40563.64583</v>
      </c>
      <c r="B2746" s="1">
        <f>IFERROR(__xludf.DUMMYFUNCTION("""COMPUTED_VALUE"""),296.35)</f>
        <v>296.35</v>
      </c>
      <c r="C2746" s="1">
        <f>IFERROR(__xludf.DUMMYFUNCTION("""COMPUTED_VALUE"""),301.0)</f>
        <v>301</v>
      </c>
      <c r="D2746" s="1">
        <f>IFERROR(__xludf.DUMMYFUNCTION("""COMPUTED_VALUE"""),296.35)</f>
        <v>296.35</v>
      </c>
      <c r="E2746" s="1">
        <f>IFERROR(__xludf.DUMMYFUNCTION("""COMPUTED_VALUE"""),299.9)</f>
        <v>299.9</v>
      </c>
      <c r="F2746" s="1">
        <f>IFERROR(__xludf.DUMMYFUNCTION("""COMPUTED_VALUE"""),1109110.0)</f>
        <v>1109110</v>
      </c>
    </row>
    <row r="2747">
      <c r="A2747" s="2">
        <f>IFERROR(__xludf.DUMMYFUNCTION("""COMPUTED_VALUE"""),40564.645833333336)</f>
        <v>40564.64583</v>
      </c>
      <c r="B2747" s="1">
        <f>IFERROR(__xludf.DUMMYFUNCTION("""COMPUTED_VALUE"""),300.0)</f>
        <v>300</v>
      </c>
      <c r="C2747" s="1">
        <f>IFERROR(__xludf.DUMMYFUNCTION("""COMPUTED_VALUE"""),300.95)</f>
        <v>300.95</v>
      </c>
      <c r="D2747" s="1">
        <f>IFERROR(__xludf.DUMMYFUNCTION("""COMPUTED_VALUE"""),297.0)</f>
        <v>297</v>
      </c>
      <c r="E2747" s="1">
        <f>IFERROR(__xludf.DUMMYFUNCTION("""COMPUTED_VALUE"""),298.2)</f>
        <v>298.2</v>
      </c>
      <c r="F2747" s="1">
        <f>IFERROR(__xludf.DUMMYFUNCTION("""COMPUTED_VALUE"""),783110.0)</f>
        <v>783110</v>
      </c>
    </row>
    <row r="2748">
      <c r="A2748" s="2">
        <f>IFERROR(__xludf.DUMMYFUNCTION("""COMPUTED_VALUE"""),40567.645833333336)</f>
        <v>40567.64583</v>
      </c>
      <c r="B2748" s="1">
        <f>IFERROR(__xludf.DUMMYFUNCTION("""COMPUTED_VALUE"""),297.8)</f>
        <v>297.8</v>
      </c>
      <c r="C2748" s="1">
        <f>IFERROR(__xludf.DUMMYFUNCTION("""COMPUTED_VALUE"""),302.0)</f>
        <v>302</v>
      </c>
      <c r="D2748" s="1">
        <f>IFERROR(__xludf.DUMMYFUNCTION("""COMPUTED_VALUE"""),296.0)</f>
        <v>296</v>
      </c>
      <c r="E2748" s="1">
        <f>IFERROR(__xludf.DUMMYFUNCTION("""COMPUTED_VALUE"""),297.95)</f>
        <v>297.95</v>
      </c>
      <c r="F2748" s="1">
        <f>IFERROR(__xludf.DUMMYFUNCTION("""COMPUTED_VALUE"""),1753836.0)</f>
        <v>1753836</v>
      </c>
    </row>
    <row r="2749">
      <c r="A2749" s="2">
        <f>IFERROR(__xludf.DUMMYFUNCTION("""COMPUTED_VALUE"""),40568.645833333336)</f>
        <v>40568.64583</v>
      </c>
      <c r="B2749" s="1">
        <f>IFERROR(__xludf.DUMMYFUNCTION("""COMPUTED_VALUE"""),299.9)</f>
        <v>299.9</v>
      </c>
      <c r="C2749" s="1">
        <f>IFERROR(__xludf.DUMMYFUNCTION("""COMPUTED_VALUE"""),303.0)</f>
        <v>303</v>
      </c>
      <c r="D2749" s="1">
        <f>IFERROR(__xludf.DUMMYFUNCTION("""COMPUTED_VALUE"""),280.55)</f>
        <v>280.55</v>
      </c>
      <c r="E2749" s="1">
        <f>IFERROR(__xludf.DUMMYFUNCTION("""COMPUTED_VALUE"""),281.9)</f>
        <v>281.9</v>
      </c>
      <c r="F2749" s="1">
        <f>IFERROR(__xludf.DUMMYFUNCTION("""COMPUTED_VALUE"""),4655704.0)</f>
        <v>4655704</v>
      </c>
    </row>
    <row r="2750">
      <c r="A2750" s="2">
        <f>IFERROR(__xludf.DUMMYFUNCTION("""COMPUTED_VALUE"""),40570.645833333336)</f>
        <v>40570.64583</v>
      </c>
      <c r="B2750" s="1">
        <f>IFERROR(__xludf.DUMMYFUNCTION("""COMPUTED_VALUE"""),282.0)</f>
        <v>282</v>
      </c>
      <c r="C2750" s="1">
        <f>IFERROR(__xludf.DUMMYFUNCTION("""COMPUTED_VALUE"""),283.0)</f>
        <v>283</v>
      </c>
      <c r="D2750" s="1">
        <f>IFERROR(__xludf.DUMMYFUNCTION("""COMPUTED_VALUE"""),270.0)</f>
        <v>270</v>
      </c>
      <c r="E2750" s="1">
        <f>IFERROR(__xludf.DUMMYFUNCTION("""COMPUTED_VALUE"""),270.7)</f>
        <v>270.7</v>
      </c>
      <c r="F2750" s="1">
        <f>IFERROR(__xludf.DUMMYFUNCTION("""COMPUTED_VALUE"""),6960343.0)</f>
        <v>6960343</v>
      </c>
    </row>
    <row r="2751">
      <c r="A2751" s="2">
        <f>IFERROR(__xludf.DUMMYFUNCTION("""COMPUTED_VALUE"""),40571.645833333336)</f>
        <v>40571.64583</v>
      </c>
      <c r="B2751" s="1">
        <f>IFERROR(__xludf.DUMMYFUNCTION("""COMPUTED_VALUE"""),270.0)</f>
        <v>270</v>
      </c>
      <c r="C2751" s="1">
        <f>IFERROR(__xludf.DUMMYFUNCTION("""COMPUTED_VALUE"""),275.0)</f>
        <v>275</v>
      </c>
      <c r="D2751" s="1">
        <f>IFERROR(__xludf.DUMMYFUNCTION("""COMPUTED_VALUE"""),267.0)</f>
        <v>267</v>
      </c>
      <c r="E2751" s="1">
        <f>IFERROR(__xludf.DUMMYFUNCTION("""COMPUTED_VALUE"""),271.95)</f>
        <v>271.95</v>
      </c>
      <c r="F2751" s="1">
        <f>IFERROR(__xludf.DUMMYFUNCTION("""COMPUTED_VALUE"""),4089851.0)</f>
        <v>4089851</v>
      </c>
    </row>
    <row r="2752">
      <c r="A2752" s="2">
        <f>IFERROR(__xludf.DUMMYFUNCTION("""COMPUTED_VALUE"""),40574.645833333336)</f>
        <v>40574.64583</v>
      </c>
      <c r="B2752" s="1">
        <f>IFERROR(__xludf.DUMMYFUNCTION("""COMPUTED_VALUE"""),270.0)</f>
        <v>270</v>
      </c>
      <c r="C2752" s="1">
        <f>IFERROR(__xludf.DUMMYFUNCTION("""COMPUTED_VALUE"""),276.95)</f>
        <v>276.95</v>
      </c>
      <c r="D2752" s="1">
        <f>IFERROR(__xludf.DUMMYFUNCTION("""COMPUTED_VALUE"""),266.4)</f>
        <v>266.4</v>
      </c>
      <c r="E2752" s="1">
        <f>IFERROR(__xludf.DUMMYFUNCTION("""COMPUTED_VALUE"""),271.15)</f>
        <v>271.15</v>
      </c>
      <c r="F2752" s="1">
        <f>IFERROR(__xludf.DUMMYFUNCTION("""COMPUTED_VALUE"""),2852476.0)</f>
        <v>2852476</v>
      </c>
    </row>
    <row r="2753">
      <c r="A2753" s="2">
        <f>IFERROR(__xludf.DUMMYFUNCTION("""COMPUTED_VALUE"""),40575.645833333336)</f>
        <v>40575.64583</v>
      </c>
      <c r="B2753" s="1">
        <f>IFERROR(__xludf.DUMMYFUNCTION("""COMPUTED_VALUE"""),271.15)</f>
        <v>271.15</v>
      </c>
      <c r="C2753" s="1">
        <f>IFERROR(__xludf.DUMMYFUNCTION("""COMPUTED_VALUE"""),274.0)</f>
        <v>274</v>
      </c>
      <c r="D2753" s="1">
        <f>IFERROR(__xludf.DUMMYFUNCTION("""COMPUTED_VALUE"""),267.0)</f>
        <v>267</v>
      </c>
      <c r="E2753" s="1">
        <f>IFERROR(__xludf.DUMMYFUNCTION("""COMPUTED_VALUE"""),269.65)</f>
        <v>269.65</v>
      </c>
      <c r="F2753" s="1">
        <f>IFERROR(__xludf.DUMMYFUNCTION("""COMPUTED_VALUE"""),3627159.0)</f>
        <v>3627159</v>
      </c>
    </row>
    <row r="2754">
      <c r="A2754" s="2">
        <f>IFERROR(__xludf.DUMMYFUNCTION("""COMPUTED_VALUE"""),40576.645833333336)</f>
        <v>40576.64583</v>
      </c>
      <c r="B2754" s="1">
        <f>IFERROR(__xludf.DUMMYFUNCTION("""COMPUTED_VALUE"""),271.25)</f>
        <v>271.25</v>
      </c>
      <c r="C2754" s="1">
        <f>IFERROR(__xludf.DUMMYFUNCTION("""COMPUTED_VALUE"""),276.55)</f>
        <v>276.55</v>
      </c>
      <c r="D2754" s="1">
        <f>IFERROR(__xludf.DUMMYFUNCTION("""COMPUTED_VALUE"""),269.1)</f>
        <v>269.1</v>
      </c>
      <c r="E2754" s="1">
        <f>IFERROR(__xludf.DUMMYFUNCTION("""COMPUTED_VALUE"""),274.6)</f>
        <v>274.6</v>
      </c>
      <c r="F2754" s="1">
        <f>IFERROR(__xludf.DUMMYFUNCTION("""COMPUTED_VALUE"""),1588535.0)</f>
        <v>1588535</v>
      </c>
    </row>
    <row r="2755">
      <c r="A2755" s="2">
        <f>IFERROR(__xludf.DUMMYFUNCTION("""COMPUTED_VALUE"""),40577.645833333336)</f>
        <v>40577.64583</v>
      </c>
      <c r="B2755" s="1">
        <f>IFERROR(__xludf.DUMMYFUNCTION("""COMPUTED_VALUE"""),272.5)</f>
        <v>272.5</v>
      </c>
      <c r="C2755" s="1">
        <f>IFERROR(__xludf.DUMMYFUNCTION("""COMPUTED_VALUE"""),282.2)</f>
        <v>282.2</v>
      </c>
      <c r="D2755" s="1">
        <f>IFERROR(__xludf.DUMMYFUNCTION("""COMPUTED_VALUE"""),272.5)</f>
        <v>272.5</v>
      </c>
      <c r="E2755" s="1">
        <f>IFERROR(__xludf.DUMMYFUNCTION("""COMPUTED_VALUE"""),278.95)</f>
        <v>278.95</v>
      </c>
      <c r="F2755" s="1">
        <f>IFERROR(__xludf.DUMMYFUNCTION("""COMPUTED_VALUE"""),2913752.0)</f>
        <v>2913752</v>
      </c>
    </row>
    <row r="2756">
      <c r="A2756" s="2">
        <f>IFERROR(__xludf.DUMMYFUNCTION("""COMPUTED_VALUE"""),40578.645833333336)</f>
        <v>40578.64583</v>
      </c>
      <c r="B2756" s="1">
        <f>IFERROR(__xludf.DUMMYFUNCTION("""COMPUTED_VALUE"""),279.0)</f>
        <v>279</v>
      </c>
      <c r="C2756" s="1">
        <f>IFERROR(__xludf.DUMMYFUNCTION("""COMPUTED_VALUE"""),279.4)</f>
        <v>279.4</v>
      </c>
      <c r="D2756" s="1">
        <f>IFERROR(__xludf.DUMMYFUNCTION("""COMPUTED_VALUE"""),271.5)</f>
        <v>271.5</v>
      </c>
      <c r="E2756" s="1">
        <f>IFERROR(__xludf.DUMMYFUNCTION("""COMPUTED_VALUE"""),272.95)</f>
        <v>272.95</v>
      </c>
      <c r="F2756" s="1">
        <f>IFERROR(__xludf.DUMMYFUNCTION("""COMPUTED_VALUE"""),2293389.0)</f>
        <v>2293389</v>
      </c>
    </row>
    <row r="2757">
      <c r="A2757" s="2">
        <f>IFERROR(__xludf.DUMMYFUNCTION("""COMPUTED_VALUE"""),40581.645833333336)</f>
        <v>40581.64583</v>
      </c>
      <c r="B2757" s="1">
        <f>IFERROR(__xludf.DUMMYFUNCTION("""COMPUTED_VALUE"""),277.0)</f>
        <v>277</v>
      </c>
      <c r="C2757" s="1">
        <f>IFERROR(__xludf.DUMMYFUNCTION("""COMPUTED_VALUE"""),277.0)</f>
        <v>277</v>
      </c>
      <c r="D2757" s="1">
        <f>IFERROR(__xludf.DUMMYFUNCTION("""COMPUTED_VALUE"""),271.5)</f>
        <v>271.5</v>
      </c>
      <c r="E2757" s="1">
        <f>IFERROR(__xludf.DUMMYFUNCTION("""COMPUTED_VALUE"""),274.35)</f>
        <v>274.35</v>
      </c>
      <c r="F2757" s="1">
        <f>IFERROR(__xludf.DUMMYFUNCTION("""COMPUTED_VALUE"""),1160664.0)</f>
        <v>1160664</v>
      </c>
    </row>
    <row r="2758">
      <c r="A2758" s="2">
        <f>IFERROR(__xludf.DUMMYFUNCTION("""COMPUTED_VALUE"""),40582.645833333336)</f>
        <v>40582.64583</v>
      </c>
      <c r="B2758" s="1">
        <f>IFERROR(__xludf.DUMMYFUNCTION("""COMPUTED_VALUE"""),276.7)</f>
        <v>276.7</v>
      </c>
      <c r="C2758" s="1">
        <f>IFERROR(__xludf.DUMMYFUNCTION("""COMPUTED_VALUE"""),276.7)</f>
        <v>276.7</v>
      </c>
      <c r="D2758" s="1">
        <f>IFERROR(__xludf.DUMMYFUNCTION("""COMPUTED_VALUE"""),270.85)</f>
        <v>270.85</v>
      </c>
      <c r="E2758" s="1">
        <f>IFERROR(__xludf.DUMMYFUNCTION("""COMPUTED_VALUE"""),273.35)</f>
        <v>273.35</v>
      </c>
      <c r="F2758" s="1">
        <f>IFERROR(__xludf.DUMMYFUNCTION("""COMPUTED_VALUE"""),1422707.0)</f>
        <v>1422707</v>
      </c>
    </row>
    <row r="2759">
      <c r="A2759" s="2">
        <f>IFERROR(__xludf.DUMMYFUNCTION("""COMPUTED_VALUE"""),40583.645833333336)</f>
        <v>40583.64583</v>
      </c>
      <c r="B2759" s="1">
        <f>IFERROR(__xludf.DUMMYFUNCTION("""COMPUTED_VALUE"""),271.65)</f>
        <v>271.65</v>
      </c>
      <c r="C2759" s="1">
        <f>IFERROR(__xludf.DUMMYFUNCTION("""COMPUTED_VALUE"""),278.7)</f>
        <v>278.7</v>
      </c>
      <c r="D2759" s="1">
        <f>IFERROR(__xludf.DUMMYFUNCTION("""COMPUTED_VALUE"""),269.45)</f>
        <v>269.45</v>
      </c>
      <c r="E2759" s="1">
        <f>IFERROR(__xludf.DUMMYFUNCTION("""COMPUTED_VALUE"""),276.4)</f>
        <v>276.4</v>
      </c>
      <c r="F2759" s="1">
        <f>IFERROR(__xludf.DUMMYFUNCTION("""COMPUTED_VALUE"""),2032694.0)</f>
        <v>2032694</v>
      </c>
    </row>
    <row r="2760">
      <c r="A2760" s="2">
        <f>IFERROR(__xludf.DUMMYFUNCTION("""COMPUTED_VALUE"""),40584.645833333336)</f>
        <v>40584.64583</v>
      </c>
      <c r="B2760" s="1">
        <f>IFERROR(__xludf.DUMMYFUNCTION("""COMPUTED_VALUE"""),272.5)</f>
        <v>272.5</v>
      </c>
      <c r="C2760" s="1">
        <f>IFERROR(__xludf.DUMMYFUNCTION("""COMPUTED_VALUE"""),277.85)</f>
        <v>277.85</v>
      </c>
      <c r="D2760" s="1">
        <f>IFERROR(__xludf.DUMMYFUNCTION("""COMPUTED_VALUE"""),268.35)</f>
        <v>268.35</v>
      </c>
      <c r="E2760" s="1">
        <f>IFERROR(__xludf.DUMMYFUNCTION("""COMPUTED_VALUE"""),272.65)</f>
        <v>272.65</v>
      </c>
      <c r="F2760" s="1">
        <f>IFERROR(__xludf.DUMMYFUNCTION("""COMPUTED_VALUE"""),2010110.0)</f>
        <v>2010110</v>
      </c>
    </row>
    <row r="2761">
      <c r="A2761" s="2">
        <f>IFERROR(__xludf.DUMMYFUNCTION("""COMPUTED_VALUE"""),40585.645833333336)</f>
        <v>40585.64583</v>
      </c>
      <c r="B2761" s="1">
        <f>IFERROR(__xludf.DUMMYFUNCTION("""COMPUTED_VALUE"""),272.7)</f>
        <v>272.7</v>
      </c>
      <c r="C2761" s="1">
        <f>IFERROR(__xludf.DUMMYFUNCTION("""COMPUTED_VALUE"""),274.35)</f>
        <v>274.35</v>
      </c>
      <c r="D2761" s="1">
        <f>IFERROR(__xludf.DUMMYFUNCTION("""COMPUTED_VALUE"""),268.5)</f>
        <v>268.5</v>
      </c>
      <c r="E2761" s="1">
        <f>IFERROR(__xludf.DUMMYFUNCTION("""COMPUTED_VALUE"""),269.15)</f>
        <v>269.15</v>
      </c>
      <c r="F2761" s="1">
        <f>IFERROR(__xludf.DUMMYFUNCTION("""COMPUTED_VALUE"""),2245311.0)</f>
        <v>2245311</v>
      </c>
    </row>
    <row r="2762">
      <c r="A2762" s="2">
        <f>IFERROR(__xludf.DUMMYFUNCTION("""COMPUTED_VALUE"""),40588.645833333336)</f>
        <v>40588.64583</v>
      </c>
      <c r="B2762" s="1">
        <f>IFERROR(__xludf.DUMMYFUNCTION("""COMPUTED_VALUE"""),272.0)</f>
        <v>272</v>
      </c>
      <c r="C2762" s="1">
        <f>IFERROR(__xludf.DUMMYFUNCTION("""COMPUTED_VALUE"""),273.85)</f>
        <v>273.85</v>
      </c>
      <c r="D2762" s="1">
        <f>IFERROR(__xludf.DUMMYFUNCTION("""COMPUTED_VALUE"""),268.5)</f>
        <v>268.5</v>
      </c>
      <c r="E2762" s="1">
        <f>IFERROR(__xludf.DUMMYFUNCTION("""COMPUTED_VALUE"""),273.15)</f>
        <v>273.15</v>
      </c>
      <c r="F2762" s="1">
        <f>IFERROR(__xludf.DUMMYFUNCTION("""COMPUTED_VALUE"""),1438828.0)</f>
        <v>1438828</v>
      </c>
    </row>
    <row r="2763">
      <c r="A2763" s="2">
        <f>IFERROR(__xludf.DUMMYFUNCTION("""COMPUTED_VALUE"""),40589.645833333336)</f>
        <v>40589.64583</v>
      </c>
      <c r="B2763" s="1">
        <f>IFERROR(__xludf.DUMMYFUNCTION("""COMPUTED_VALUE"""),273.9)</f>
        <v>273.9</v>
      </c>
      <c r="C2763" s="1">
        <f>IFERROR(__xludf.DUMMYFUNCTION("""COMPUTED_VALUE"""),276.5)</f>
        <v>276.5</v>
      </c>
      <c r="D2763" s="1">
        <f>IFERROR(__xludf.DUMMYFUNCTION("""COMPUTED_VALUE"""),271.8)</f>
        <v>271.8</v>
      </c>
      <c r="E2763" s="1">
        <f>IFERROR(__xludf.DUMMYFUNCTION("""COMPUTED_VALUE"""),273.15)</f>
        <v>273.15</v>
      </c>
      <c r="F2763" s="1">
        <f>IFERROR(__xludf.DUMMYFUNCTION("""COMPUTED_VALUE"""),1209813.0)</f>
        <v>1209813</v>
      </c>
    </row>
    <row r="2764">
      <c r="A2764" s="2">
        <f>IFERROR(__xludf.DUMMYFUNCTION("""COMPUTED_VALUE"""),40590.645833333336)</f>
        <v>40590.64583</v>
      </c>
      <c r="B2764" s="1">
        <f>IFERROR(__xludf.DUMMYFUNCTION("""COMPUTED_VALUE"""),272.15)</f>
        <v>272.15</v>
      </c>
      <c r="C2764" s="1">
        <f>IFERROR(__xludf.DUMMYFUNCTION("""COMPUTED_VALUE"""),276.9)</f>
        <v>276.9</v>
      </c>
      <c r="D2764" s="1">
        <f>IFERROR(__xludf.DUMMYFUNCTION("""COMPUTED_VALUE"""),272.0)</f>
        <v>272</v>
      </c>
      <c r="E2764" s="1">
        <f>IFERROR(__xludf.DUMMYFUNCTION("""COMPUTED_VALUE"""),275.9)</f>
        <v>275.9</v>
      </c>
      <c r="F2764" s="1">
        <f>IFERROR(__xludf.DUMMYFUNCTION("""COMPUTED_VALUE"""),555104.0)</f>
        <v>555104</v>
      </c>
    </row>
    <row r="2765">
      <c r="A2765" s="2">
        <f>IFERROR(__xludf.DUMMYFUNCTION("""COMPUTED_VALUE"""),40591.645833333336)</f>
        <v>40591.64583</v>
      </c>
      <c r="B2765" s="1">
        <f>IFERROR(__xludf.DUMMYFUNCTION("""COMPUTED_VALUE"""),275.5)</f>
        <v>275.5</v>
      </c>
      <c r="C2765" s="1">
        <f>IFERROR(__xludf.DUMMYFUNCTION("""COMPUTED_VALUE"""),276.5)</f>
        <v>276.5</v>
      </c>
      <c r="D2765" s="1">
        <f>IFERROR(__xludf.DUMMYFUNCTION("""COMPUTED_VALUE"""),273.35)</f>
        <v>273.35</v>
      </c>
      <c r="E2765" s="1">
        <f>IFERROR(__xludf.DUMMYFUNCTION("""COMPUTED_VALUE"""),273.95)</f>
        <v>273.95</v>
      </c>
      <c r="F2765" s="1">
        <f>IFERROR(__xludf.DUMMYFUNCTION("""COMPUTED_VALUE"""),965275.0)</f>
        <v>965275</v>
      </c>
    </row>
    <row r="2766">
      <c r="A2766" s="2">
        <f>IFERROR(__xludf.DUMMYFUNCTION("""COMPUTED_VALUE"""),40592.645833333336)</f>
        <v>40592.64583</v>
      </c>
      <c r="B2766" s="1">
        <f>IFERROR(__xludf.DUMMYFUNCTION("""COMPUTED_VALUE"""),273.1)</f>
        <v>273.1</v>
      </c>
      <c r="C2766" s="1">
        <f>IFERROR(__xludf.DUMMYFUNCTION("""COMPUTED_VALUE"""),282.5)</f>
        <v>282.5</v>
      </c>
      <c r="D2766" s="1">
        <f>IFERROR(__xludf.DUMMYFUNCTION("""COMPUTED_VALUE"""),273.1)</f>
        <v>273.1</v>
      </c>
      <c r="E2766" s="1">
        <f>IFERROR(__xludf.DUMMYFUNCTION("""COMPUTED_VALUE"""),279.4)</f>
        <v>279.4</v>
      </c>
      <c r="F2766" s="1">
        <f>IFERROR(__xludf.DUMMYFUNCTION("""COMPUTED_VALUE"""),2296424.0)</f>
        <v>2296424</v>
      </c>
    </row>
    <row r="2767">
      <c r="A2767" s="2">
        <f>IFERROR(__xludf.DUMMYFUNCTION("""COMPUTED_VALUE"""),40595.645833333336)</f>
        <v>40595.64583</v>
      </c>
      <c r="B2767" s="1">
        <f>IFERROR(__xludf.DUMMYFUNCTION("""COMPUTED_VALUE"""),280.0)</f>
        <v>280</v>
      </c>
      <c r="C2767" s="1">
        <f>IFERROR(__xludf.DUMMYFUNCTION("""COMPUTED_VALUE"""),283.65)</f>
        <v>283.65</v>
      </c>
      <c r="D2767" s="1">
        <f>IFERROR(__xludf.DUMMYFUNCTION("""COMPUTED_VALUE"""),278.0)</f>
        <v>278</v>
      </c>
      <c r="E2767" s="1">
        <f>IFERROR(__xludf.DUMMYFUNCTION("""COMPUTED_VALUE"""),280.3)</f>
        <v>280.3</v>
      </c>
      <c r="F2767" s="1">
        <f>IFERROR(__xludf.DUMMYFUNCTION("""COMPUTED_VALUE"""),1037634.0)</f>
        <v>1037634</v>
      </c>
    </row>
    <row r="2768">
      <c r="A2768" s="2">
        <f>IFERROR(__xludf.DUMMYFUNCTION("""COMPUTED_VALUE"""),40596.645833333336)</f>
        <v>40596.64583</v>
      </c>
      <c r="B2768" s="1">
        <f>IFERROR(__xludf.DUMMYFUNCTION("""COMPUTED_VALUE"""),279.35)</f>
        <v>279.35</v>
      </c>
      <c r="C2768" s="1">
        <f>IFERROR(__xludf.DUMMYFUNCTION("""COMPUTED_VALUE"""),281.8)</f>
        <v>281.8</v>
      </c>
      <c r="D2768" s="1">
        <f>IFERROR(__xludf.DUMMYFUNCTION("""COMPUTED_VALUE"""),276.65)</f>
        <v>276.65</v>
      </c>
      <c r="E2768" s="1">
        <f>IFERROR(__xludf.DUMMYFUNCTION("""COMPUTED_VALUE"""),280.3)</f>
        <v>280.3</v>
      </c>
      <c r="F2768" s="1">
        <f>IFERROR(__xludf.DUMMYFUNCTION("""COMPUTED_VALUE"""),2089769.0)</f>
        <v>2089769</v>
      </c>
    </row>
    <row r="2769">
      <c r="A2769" s="2">
        <f>IFERROR(__xludf.DUMMYFUNCTION("""COMPUTED_VALUE"""),40597.645833333336)</f>
        <v>40597.64583</v>
      </c>
      <c r="B2769" s="1">
        <f>IFERROR(__xludf.DUMMYFUNCTION("""COMPUTED_VALUE"""),278.5)</f>
        <v>278.5</v>
      </c>
      <c r="C2769" s="1">
        <f>IFERROR(__xludf.DUMMYFUNCTION("""COMPUTED_VALUE"""),282.0)</f>
        <v>282</v>
      </c>
      <c r="D2769" s="1">
        <f>IFERROR(__xludf.DUMMYFUNCTION("""COMPUTED_VALUE"""),278.0)</f>
        <v>278</v>
      </c>
      <c r="E2769" s="1">
        <f>IFERROR(__xludf.DUMMYFUNCTION("""COMPUTED_VALUE"""),280.1)</f>
        <v>280.1</v>
      </c>
      <c r="F2769" s="1">
        <f>IFERROR(__xludf.DUMMYFUNCTION("""COMPUTED_VALUE"""),1318836.0)</f>
        <v>1318836</v>
      </c>
    </row>
    <row r="2770">
      <c r="A2770" s="2">
        <f>IFERROR(__xludf.DUMMYFUNCTION("""COMPUTED_VALUE"""),40598.645833333336)</f>
        <v>40598.64583</v>
      </c>
      <c r="B2770" s="1">
        <f>IFERROR(__xludf.DUMMYFUNCTION("""COMPUTED_VALUE"""),277.1)</f>
        <v>277.1</v>
      </c>
      <c r="C2770" s="1">
        <f>IFERROR(__xludf.DUMMYFUNCTION("""COMPUTED_VALUE"""),284.0)</f>
        <v>284</v>
      </c>
      <c r="D2770" s="1">
        <f>IFERROR(__xludf.DUMMYFUNCTION("""COMPUTED_VALUE"""),277.1)</f>
        <v>277.1</v>
      </c>
      <c r="E2770" s="1">
        <f>IFERROR(__xludf.DUMMYFUNCTION("""COMPUTED_VALUE"""),280.1)</f>
        <v>280.1</v>
      </c>
      <c r="F2770" s="1">
        <f>IFERROR(__xludf.DUMMYFUNCTION("""COMPUTED_VALUE"""),3732453.0)</f>
        <v>3732453</v>
      </c>
    </row>
    <row r="2771">
      <c r="A2771" s="2">
        <f>IFERROR(__xludf.DUMMYFUNCTION("""COMPUTED_VALUE"""),40599.645833333336)</f>
        <v>40599.64583</v>
      </c>
      <c r="B2771" s="1">
        <f>IFERROR(__xludf.DUMMYFUNCTION("""COMPUTED_VALUE"""),277.75)</f>
        <v>277.75</v>
      </c>
      <c r="C2771" s="1">
        <f>IFERROR(__xludf.DUMMYFUNCTION("""COMPUTED_VALUE"""),281.9)</f>
        <v>281.9</v>
      </c>
      <c r="D2771" s="1">
        <f>IFERROR(__xludf.DUMMYFUNCTION("""COMPUTED_VALUE"""),272.0)</f>
        <v>272</v>
      </c>
      <c r="E2771" s="1">
        <f>IFERROR(__xludf.DUMMYFUNCTION("""COMPUTED_VALUE"""),280.3)</f>
        <v>280.3</v>
      </c>
      <c r="F2771" s="1">
        <f>IFERROR(__xludf.DUMMYFUNCTION("""COMPUTED_VALUE"""),2248750.0)</f>
        <v>2248750</v>
      </c>
    </row>
    <row r="2772">
      <c r="A2772" s="2">
        <f>IFERROR(__xludf.DUMMYFUNCTION("""COMPUTED_VALUE"""),40602.645833333336)</f>
        <v>40602.64583</v>
      </c>
      <c r="B2772" s="1">
        <f>IFERROR(__xludf.DUMMYFUNCTION("""COMPUTED_VALUE"""),279.85)</f>
        <v>279.85</v>
      </c>
      <c r="C2772" s="1">
        <f>IFERROR(__xludf.DUMMYFUNCTION("""COMPUTED_VALUE"""),289.4)</f>
        <v>289.4</v>
      </c>
      <c r="D2772" s="1">
        <f>IFERROR(__xludf.DUMMYFUNCTION("""COMPUTED_VALUE"""),278.0)</f>
        <v>278</v>
      </c>
      <c r="E2772" s="1">
        <f>IFERROR(__xludf.DUMMYFUNCTION("""COMPUTED_VALUE"""),282.0)</f>
        <v>282</v>
      </c>
      <c r="F2772" s="1">
        <f>IFERROR(__xludf.DUMMYFUNCTION("""COMPUTED_VALUE"""),2254711.0)</f>
        <v>2254711</v>
      </c>
    </row>
    <row r="2773">
      <c r="A2773" s="2">
        <f>IFERROR(__xludf.DUMMYFUNCTION("""COMPUTED_VALUE"""),40603.645833333336)</f>
        <v>40603.64583</v>
      </c>
      <c r="B2773" s="1">
        <f>IFERROR(__xludf.DUMMYFUNCTION("""COMPUTED_VALUE"""),283.5)</f>
        <v>283.5</v>
      </c>
      <c r="C2773" s="1">
        <f>IFERROR(__xludf.DUMMYFUNCTION("""COMPUTED_VALUE"""),288.55)</f>
        <v>288.55</v>
      </c>
      <c r="D2773" s="1">
        <f>IFERROR(__xludf.DUMMYFUNCTION("""COMPUTED_VALUE"""),282.7)</f>
        <v>282.7</v>
      </c>
      <c r="E2773" s="1">
        <f>IFERROR(__xludf.DUMMYFUNCTION("""COMPUTED_VALUE"""),287.45)</f>
        <v>287.45</v>
      </c>
      <c r="F2773" s="1">
        <f>IFERROR(__xludf.DUMMYFUNCTION("""COMPUTED_VALUE"""),1559536.0)</f>
        <v>1559536</v>
      </c>
    </row>
    <row r="2774">
      <c r="A2774" s="2">
        <f>IFERROR(__xludf.DUMMYFUNCTION("""COMPUTED_VALUE"""),40605.645833333336)</f>
        <v>40605.64583</v>
      </c>
      <c r="B2774" s="1">
        <f>IFERROR(__xludf.DUMMYFUNCTION("""COMPUTED_VALUE"""),287.0)</f>
        <v>287</v>
      </c>
      <c r="C2774" s="1">
        <f>IFERROR(__xludf.DUMMYFUNCTION("""COMPUTED_VALUE"""),292.0)</f>
        <v>292</v>
      </c>
      <c r="D2774" s="1">
        <f>IFERROR(__xludf.DUMMYFUNCTION("""COMPUTED_VALUE"""),285.7)</f>
        <v>285.7</v>
      </c>
      <c r="E2774" s="1">
        <f>IFERROR(__xludf.DUMMYFUNCTION("""COMPUTED_VALUE"""),290.8)</f>
        <v>290.8</v>
      </c>
      <c r="F2774" s="1">
        <f>IFERROR(__xludf.DUMMYFUNCTION("""COMPUTED_VALUE"""),2893254.0)</f>
        <v>2893254</v>
      </c>
    </row>
    <row r="2775">
      <c r="A2775" s="2">
        <f>IFERROR(__xludf.DUMMYFUNCTION("""COMPUTED_VALUE"""),40606.645833333336)</f>
        <v>40606.64583</v>
      </c>
      <c r="B2775" s="1">
        <f>IFERROR(__xludf.DUMMYFUNCTION("""COMPUTED_VALUE"""),290.0)</f>
        <v>290</v>
      </c>
      <c r="C2775" s="1">
        <f>IFERROR(__xludf.DUMMYFUNCTION("""COMPUTED_VALUE"""),291.9)</f>
        <v>291.9</v>
      </c>
      <c r="D2775" s="1">
        <f>IFERROR(__xludf.DUMMYFUNCTION("""COMPUTED_VALUE"""),286.0)</f>
        <v>286</v>
      </c>
      <c r="E2775" s="1">
        <f>IFERROR(__xludf.DUMMYFUNCTION("""COMPUTED_VALUE"""),287.9)</f>
        <v>287.9</v>
      </c>
      <c r="F2775" s="1">
        <f>IFERROR(__xludf.DUMMYFUNCTION("""COMPUTED_VALUE"""),1801007.0)</f>
        <v>1801007</v>
      </c>
    </row>
    <row r="2776">
      <c r="A2776" s="2">
        <f>IFERROR(__xludf.DUMMYFUNCTION("""COMPUTED_VALUE"""),40609.645833333336)</f>
        <v>40609.64583</v>
      </c>
      <c r="B2776" s="1">
        <f>IFERROR(__xludf.DUMMYFUNCTION("""COMPUTED_VALUE"""),286.0)</f>
        <v>286</v>
      </c>
      <c r="C2776" s="1">
        <f>IFERROR(__xludf.DUMMYFUNCTION("""COMPUTED_VALUE"""),287.85)</f>
        <v>287.85</v>
      </c>
      <c r="D2776" s="1">
        <f>IFERROR(__xludf.DUMMYFUNCTION("""COMPUTED_VALUE"""),279.2)</f>
        <v>279.2</v>
      </c>
      <c r="E2776" s="1">
        <f>IFERROR(__xludf.DUMMYFUNCTION("""COMPUTED_VALUE"""),281.35)</f>
        <v>281.35</v>
      </c>
      <c r="F2776" s="1">
        <f>IFERROR(__xludf.DUMMYFUNCTION("""COMPUTED_VALUE"""),900565.0)</f>
        <v>900565</v>
      </c>
    </row>
    <row r="2777">
      <c r="A2777" s="2">
        <f>IFERROR(__xludf.DUMMYFUNCTION("""COMPUTED_VALUE"""),40610.645833333336)</f>
        <v>40610.64583</v>
      </c>
      <c r="B2777" s="1">
        <f>IFERROR(__xludf.DUMMYFUNCTION("""COMPUTED_VALUE"""),281.0)</f>
        <v>281</v>
      </c>
      <c r="C2777" s="1">
        <f>IFERROR(__xludf.DUMMYFUNCTION("""COMPUTED_VALUE"""),285.05)</f>
        <v>285.05</v>
      </c>
      <c r="D2777" s="1">
        <f>IFERROR(__xludf.DUMMYFUNCTION("""COMPUTED_VALUE"""),280.7)</f>
        <v>280.7</v>
      </c>
      <c r="E2777" s="1">
        <f>IFERROR(__xludf.DUMMYFUNCTION("""COMPUTED_VALUE"""),281.75)</f>
        <v>281.75</v>
      </c>
      <c r="F2777" s="1">
        <f>IFERROR(__xludf.DUMMYFUNCTION("""COMPUTED_VALUE"""),958768.0)</f>
        <v>958768</v>
      </c>
    </row>
    <row r="2778">
      <c r="A2778" s="2">
        <f>IFERROR(__xludf.DUMMYFUNCTION("""COMPUTED_VALUE"""),40611.645833333336)</f>
        <v>40611.64583</v>
      </c>
      <c r="B2778" s="1">
        <f>IFERROR(__xludf.DUMMYFUNCTION("""COMPUTED_VALUE"""),283.4)</f>
        <v>283.4</v>
      </c>
      <c r="C2778" s="1">
        <f>IFERROR(__xludf.DUMMYFUNCTION("""COMPUTED_VALUE"""),283.9)</f>
        <v>283.9</v>
      </c>
      <c r="D2778" s="1">
        <f>IFERROR(__xludf.DUMMYFUNCTION("""COMPUTED_VALUE"""),278.5)</f>
        <v>278.5</v>
      </c>
      <c r="E2778" s="1">
        <f>IFERROR(__xludf.DUMMYFUNCTION("""COMPUTED_VALUE"""),279.7)</f>
        <v>279.7</v>
      </c>
      <c r="F2778" s="1">
        <f>IFERROR(__xludf.DUMMYFUNCTION("""COMPUTED_VALUE"""),1441408.0)</f>
        <v>1441408</v>
      </c>
    </row>
    <row r="2779">
      <c r="A2779" s="2">
        <f>IFERROR(__xludf.DUMMYFUNCTION("""COMPUTED_VALUE"""),40612.645833333336)</f>
        <v>40612.64583</v>
      </c>
      <c r="B2779" s="1">
        <f>IFERROR(__xludf.DUMMYFUNCTION("""COMPUTED_VALUE"""),278.9)</f>
        <v>278.9</v>
      </c>
      <c r="C2779" s="1">
        <f>IFERROR(__xludf.DUMMYFUNCTION("""COMPUTED_VALUE"""),279.8)</f>
        <v>279.8</v>
      </c>
      <c r="D2779" s="1">
        <f>IFERROR(__xludf.DUMMYFUNCTION("""COMPUTED_VALUE"""),275.5)</f>
        <v>275.5</v>
      </c>
      <c r="E2779" s="1">
        <f>IFERROR(__xludf.DUMMYFUNCTION("""COMPUTED_VALUE"""),276.65)</f>
        <v>276.65</v>
      </c>
      <c r="F2779" s="1">
        <f>IFERROR(__xludf.DUMMYFUNCTION("""COMPUTED_VALUE"""),1008740.0)</f>
        <v>1008740</v>
      </c>
    </row>
    <row r="2780">
      <c r="A2780" s="2">
        <f>IFERROR(__xludf.DUMMYFUNCTION("""COMPUTED_VALUE"""),40613.645833333336)</f>
        <v>40613.64583</v>
      </c>
      <c r="B2780" s="1">
        <f>IFERROR(__xludf.DUMMYFUNCTION("""COMPUTED_VALUE"""),275.15)</f>
        <v>275.15</v>
      </c>
      <c r="C2780" s="1">
        <f>IFERROR(__xludf.DUMMYFUNCTION("""COMPUTED_VALUE"""),279.2)</f>
        <v>279.2</v>
      </c>
      <c r="D2780" s="1">
        <f>IFERROR(__xludf.DUMMYFUNCTION("""COMPUTED_VALUE"""),275.15)</f>
        <v>275.15</v>
      </c>
      <c r="E2780" s="1">
        <f>IFERROR(__xludf.DUMMYFUNCTION("""COMPUTED_VALUE"""),277.35)</f>
        <v>277.35</v>
      </c>
      <c r="F2780" s="1">
        <f>IFERROR(__xludf.DUMMYFUNCTION("""COMPUTED_VALUE"""),867354.0)</f>
        <v>867354</v>
      </c>
    </row>
    <row r="2781">
      <c r="A2781" s="2">
        <f>IFERROR(__xludf.DUMMYFUNCTION("""COMPUTED_VALUE"""),40616.645833333336)</f>
        <v>40616.64583</v>
      </c>
      <c r="B2781" s="1">
        <f>IFERROR(__xludf.DUMMYFUNCTION("""COMPUTED_VALUE"""),277.35)</f>
        <v>277.35</v>
      </c>
      <c r="C2781" s="1">
        <f>IFERROR(__xludf.DUMMYFUNCTION("""COMPUTED_VALUE"""),279.2)</f>
        <v>279.2</v>
      </c>
      <c r="D2781" s="1">
        <f>IFERROR(__xludf.DUMMYFUNCTION("""COMPUTED_VALUE"""),275.5)</f>
        <v>275.5</v>
      </c>
      <c r="E2781" s="1">
        <f>IFERROR(__xludf.DUMMYFUNCTION("""COMPUTED_VALUE"""),278.1)</f>
        <v>278.1</v>
      </c>
      <c r="F2781" s="1">
        <f>IFERROR(__xludf.DUMMYFUNCTION("""COMPUTED_VALUE"""),602992.0)</f>
        <v>602992</v>
      </c>
    </row>
    <row r="2782">
      <c r="A2782" s="2">
        <f>IFERROR(__xludf.DUMMYFUNCTION("""COMPUTED_VALUE"""),40617.645833333336)</f>
        <v>40617.64583</v>
      </c>
      <c r="B2782" s="1">
        <f>IFERROR(__xludf.DUMMYFUNCTION("""COMPUTED_VALUE"""),275.55)</f>
        <v>275.55</v>
      </c>
      <c r="C2782" s="1">
        <f>IFERROR(__xludf.DUMMYFUNCTION("""COMPUTED_VALUE"""),279.85)</f>
        <v>279.85</v>
      </c>
      <c r="D2782" s="1">
        <f>IFERROR(__xludf.DUMMYFUNCTION("""COMPUTED_VALUE"""),270.75)</f>
        <v>270.75</v>
      </c>
      <c r="E2782" s="1">
        <f>IFERROR(__xludf.DUMMYFUNCTION("""COMPUTED_VALUE"""),274.75)</f>
        <v>274.75</v>
      </c>
      <c r="F2782" s="1">
        <f>IFERROR(__xludf.DUMMYFUNCTION("""COMPUTED_VALUE"""),1739445.0)</f>
        <v>1739445</v>
      </c>
    </row>
    <row r="2783">
      <c r="A2783" s="2">
        <f>IFERROR(__xludf.DUMMYFUNCTION("""COMPUTED_VALUE"""),40618.645833333336)</f>
        <v>40618.64583</v>
      </c>
      <c r="B2783" s="1">
        <f>IFERROR(__xludf.DUMMYFUNCTION("""COMPUTED_VALUE"""),276.1)</f>
        <v>276.1</v>
      </c>
      <c r="C2783" s="1">
        <f>IFERROR(__xludf.DUMMYFUNCTION("""COMPUTED_VALUE"""),276.35)</f>
        <v>276.35</v>
      </c>
      <c r="D2783" s="1">
        <f>IFERROR(__xludf.DUMMYFUNCTION("""COMPUTED_VALUE"""),269.0)</f>
        <v>269</v>
      </c>
      <c r="E2783" s="1">
        <f>IFERROR(__xludf.DUMMYFUNCTION("""COMPUTED_VALUE"""),271.35)</f>
        <v>271.35</v>
      </c>
      <c r="F2783" s="1">
        <f>IFERROR(__xludf.DUMMYFUNCTION("""COMPUTED_VALUE"""),4895626.0)</f>
        <v>4895626</v>
      </c>
    </row>
    <row r="2784">
      <c r="A2784" s="2">
        <f>IFERROR(__xludf.DUMMYFUNCTION("""COMPUTED_VALUE"""),40619.645833333336)</f>
        <v>40619.64583</v>
      </c>
      <c r="B2784" s="1">
        <f>IFERROR(__xludf.DUMMYFUNCTION("""COMPUTED_VALUE"""),270.35)</f>
        <v>270.35</v>
      </c>
      <c r="C2784" s="1">
        <f>IFERROR(__xludf.DUMMYFUNCTION("""COMPUTED_VALUE"""),272.85)</f>
        <v>272.85</v>
      </c>
      <c r="D2784" s="1">
        <f>IFERROR(__xludf.DUMMYFUNCTION("""COMPUTED_VALUE"""),269.3)</f>
        <v>269.3</v>
      </c>
      <c r="E2784" s="1">
        <f>IFERROR(__xludf.DUMMYFUNCTION("""COMPUTED_VALUE"""),270.7)</f>
        <v>270.7</v>
      </c>
      <c r="F2784" s="1">
        <f>IFERROR(__xludf.DUMMYFUNCTION("""COMPUTED_VALUE"""),1326157.0)</f>
        <v>1326157</v>
      </c>
    </row>
    <row r="2785">
      <c r="A2785" s="2">
        <f>IFERROR(__xludf.DUMMYFUNCTION("""COMPUTED_VALUE"""),40620.645833333336)</f>
        <v>40620.64583</v>
      </c>
      <c r="B2785" s="1">
        <f>IFERROR(__xludf.DUMMYFUNCTION("""COMPUTED_VALUE"""),272.1)</f>
        <v>272.1</v>
      </c>
      <c r="C2785" s="1">
        <f>IFERROR(__xludf.DUMMYFUNCTION("""COMPUTED_VALUE"""),272.1)</f>
        <v>272.1</v>
      </c>
      <c r="D2785" s="1">
        <f>IFERROR(__xludf.DUMMYFUNCTION("""COMPUTED_VALUE"""),267.6)</f>
        <v>267.6</v>
      </c>
      <c r="E2785" s="1">
        <f>IFERROR(__xludf.DUMMYFUNCTION("""COMPUTED_VALUE"""),269.0)</f>
        <v>269</v>
      </c>
      <c r="F2785" s="1">
        <f>IFERROR(__xludf.DUMMYFUNCTION("""COMPUTED_VALUE"""),2237160.0)</f>
        <v>2237160</v>
      </c>
    </row>
    <row r="2786">
      <c r="A2786" s="2">
        <f>IFERROR(__xludf.DUMMYFUNCTION("""COMPUTED_VALUE"""),40623.645833333336)</f>
        <v>40623.64583</v>
      </c>
      <c r="B2786" s="1">
        <f>IFERROR(__xludf.DUMMYFUNCTION("""COMPUTED_VALUE"""),269.5)</f>
        <v>269.5</v>
      </c>
      <c r="C2786" s="1">
        <f>IFERROR(__xludf.DUMMYFUNCTION("""COMPUTED_VALUE"""),270.75)</f>
        <v>270.75</v>
      </c>
      <c r="D2786" s="1">
        <f>IFERROR(__xludf.DUMMYFUNCTION("""COMPUTED_VALUE"""),264.7)</f>
        <v>264.7</v>
      </c>
      <c r="E2786" s="1">
        <f>IFERROR(__xludf.DUMMYFUNCTION("""COMPUTED_VALUE"""),266.15)</f>
        <v>266.15</v>
      </c>
      <c r="F2786" s="1">
        <f>IFERROR(__xludf.DUMMYFUNCTION("""COMPUTED_VALUE"""),1640861.0)</f>
        <v>1640861</v>
      </c>
    </row>
    <row r="2787">
      <c r="A2787" s="2">
        <f>IFERROR(__xludf.DUMMYFUNCTION("""COMPUTED_VALUE"""),40624.645833333336)</f>
        <v>40624.64583</v>
      </c>
      <c r="B2787" s="1">
        <f>IFERROR(__xludf.DUMMYFUNCTION("""COMPUTED_VALUE"""),268.0)</f>
        <v>268</v>
      </c>
      <c r="C2787" s="1">
        <f>IFERROR(__xludf.DUMMYFUNCTION("""COMPUTED_VALUE"""),270.4)</f>
        <v>270.4</v>
      </c>
      <c r="D2787" s="1">
        <f>IFERROR(__xludf.DUMMYFUNCTION("""COMPUTED_VALUE"""),264.45)</f>
        <v>264.45</v>
      </c>
      <c r="E2787" s="1">
        <f>IFERROR(__xludf.DUMMYFUNCTION("""COMPUTED_VALUE"""),267.7)</f>
        <v>267.7</v>
      </c>
      <c r="F2787" s="1">
        <f>IFERROR(__xludf.DUMMYFUNCTION("""COMPUTED_VALUE"""),2312447.0)</f>
        <v>2312447</v>
      </c>
    </row>
    <row r="2788">
      <c r="A2788" s="2">
        <f>IFERROR(__xludf.DUMMYFUNCTION("""COMPUTED_VALUE"""),40625.645833333336)</f>
        <v>40625.64583</v>
      </c>
      <c r="B2788" s="1">
        <f>IFERROR(__xludf.DUMMYFUNCTION("""COMPUTED_VALUE"""),267.4)</f>
        <v>267.4</v>
      </c>
      <c r="C2788" s="1">
        <f>IFERROR(__xludf.DUMMYFUNCTION("""COMPUTED_VALUE"""),271.7)</f>
        <v>271.7</v>
      </c>
      <c r="D2788" s="1">
        <f>IFERROR(__xludf.DUMMYFUNCTION("""COMPUTED_VALUE"""),267.1)</f>
        <v>267.1</v>
      </c>
      <c r="E2788" s="1">
        <f>IFERROR(__xludf.DUMMYFUNCTION("""COMPUTED_VALUE"""),269.65)</f>
        <v>269.65</v>
      </c>
      <c r="F2788" s="1">
        <f>IFERROR(__xludf.DUMMYFUNCTION("""COMPUTED_VALUE"""),810725.0)</f>
        <v>810725</v>
      </c>
    </row>
    <row r="2789">
      <c r="A2789" s="2">
        <f>IFERROR(__xludf.DUMMYFUNCTION("""COMPUTED_VALUE"""),40626.645833333336)</f>
        <v>40626.64583</v>
      </c>
      <c r="B2789" s="1">
        <f>IFERROR(__xludf.DUMMYFUNCTION("""COMPUTED_VALUE"""),269.9)</f>
        <v>269.9</v>
      </c>
      <c r="C2789" s="1">
        <f>IFERROR(__xludf.DUMMYFUNCTION("""COMPUTED_VALUE"""),270.7)</f>
        <v>270.7</v>
      </c>
      <c r="D2789" s="1">
        <f>IFERROR(__xludf.DUMMYFUNCTION("""COMPUTED_VALUE"""),268.0)</f>
        <v>268</v>
      </c>
      <c r="E2789" s="1">
        <f>IFERROR(__xludf.DUMMYFUNCTION("""COMPUTED_VALUE"""),269.1)</f>
        <v>269.1</v>
      </c>
      <c r="F2789" s="1">
        <f>IFERROR(__xludf.DUMMYFUNCTION("""COMPUTED_VALUE"""),908105.0)</f>
        <v>908105</v>
      </c>
    </row>
    <row r="2790">
      <c r="A2790" s="2">
        <f>IFERROR(__xludf.DUMMYFUNCTION("""COMPUTED_VALUE"""),40627.645833333336)</f>
        <v>40627.64583</v>
      </c>
      <c r="B2790" s="1">
        <f>IFERROR(__xludf.DUMMYFUNCTION("""COMPUTED_VALUE"""),270.0)</f>
        <v>270</v>
      </c>
      <c r="C2790" s="1">
        <f>IFERROR(__xludf.DUMMYFUNCTION("""COMPUTED_VALUE"""),272.65)</f>
        <v>272.65</v>
      </c>
      <c r="D2790" s="1">
        <f>IFERROR(__xludf.DUMMYFUNCTION("""COMPUTED_VALUE"""),268.1)</f>
        <v>268.1</v>
      </c>
      <c r="E2790" s="1">
        <f>IFERROR(__xludf.DUMMYFUNCTION("""COMPUTED_VALUE"""),271.3)</f>
        <v>271.3</v>
      </c>
      <c r="F2790" s="1">
        <f>IFERROR(__xludf.DUMMYFUNCTION("""COMPUTED_VALUE"""),2500090.0)</f>
        <v>2500090</v>
      </c>
    </row>
    <row r="2791">
      <c r="A2791" s="2">
        <f>IFERROR(__xludf.DUMMYFUNCTION("""COMPUTED_VALUE"""),40630.645833333336)</f>
        <v>40630.64583</v>
      </c>
      <c r="B2791" s="1">
        <f>IFERROR(__xludf.DUMMYFUNCTION("""COMPUTED_VALUE"""),271.75)</f>
        <v>271.75</v>
      </c>
      <c r="C2791" s="1">
        <f>IFERROR(__xludf.DUMMYFUNCTION("""COMPUTED_VALUE"""),279.9)</f>
        <v>279.9</v>
      </c>
      <c r="D2791" s="1">
        <f>IFERROR(__xludf.DUMMYFUNCTION("""COMPUTED_VALUE"""),271.35)</f>
        <v>271.35</v>
      </c>
      <c r="E2791" s="1">
        <f>IFERROR(__xludf.DUMMYFUNCTION("""COMPUTED_VALUE"""),276.7)</f>
        <v>276.7</v>
      </c>
      <c r="F2791" s="1">
        <f>IFERROR(__xludf.DUMMYFUNCTION("""COMPUTED_VALUE"""),3088952.0)</f>
        <v>3088952</v>
      </c>
    </row>
    <row r="2792">
      <c r="A2792" s="2">
        <f>IFERROR(__xludf.DUMMYFUNCTION("""COMPUTED_VALUE"""),40631.645833333336)</f>
        <v>40631.64583</v>
      </c>
      <c r="B2792" s="1">
        <f>IFERROR(__xludf.DUMMYFUNCTION("""COMPUTED_VALUE"""),276.8)</f>
        <v>276.8</v>
      </c>
      <c r="C2792" s="1">
        <f>IFERROR(__xludf.DUMMYFUNCTION("""COMPUTED_VALUE"""),280.55)</f>
        <v>280.55</v>
      </c>
      <c r="D2792" s="1">
        <f>IFERROR(__xludf.DUMMYFUNCTION("""COMPUTED_VALUE"""),276.0)</f>
        <v>276</v>
      </c>
      <c r="E2792" s="1">
        <f>IFERROR(__xludf.DUMMYFUNCTION("""COMPUTED_VALUE"""),277.7)</f>
        <v>277.7</v>
      </c>
      <c r="F2792" s="1">
        <f>IFERROR(__xludf.DUMMYFUNCTION("""COMPUTED_VALUE"""),2788070.0)</f>
        <v>2788070</v>
      </c>
    </row>
    <row r="2793">
      <c r="A2793" s="2">
        <f>IFERROR(__xludf.DUMMYFUNCTION("""COMPUTED_VALUE"""),40632.645833333336)</f>
        <v>40632.64583</v>
      </c>
      <c r="B2793" s="1">
        <f>IFERROR(__xludf.DUMMYFUNCTION("""COMPUTED_VALUE"""),275.0)</f>
        <v>275</v>
      </c>
      <c r="C2793" s="1">
        <f>IFERROR(__xludf.DUMMYFUNCTION("""COMPUTED_VALUE"""),280.45)</f>
        <v>280.45</v>
      </c>
      <c r="D2793" s="1">
        <f>IFERROR(__xludf.DUMMYFUNCTION("""COMPUTED_VALUE"""),275.0)</f>
        <v>275</v>
      </c>
      <c r="E2793" s="1">
        <f>IFERROR(__xludf.DUMMYFUNCTION("""COMPUTED_VALUE"""),278.05)</f>
        <v>278.05</v>
      </c>
      <c r="F2793" s="1">
        <f>IFERROR(__xludf.DUMMYFUNCTION("""COMPUTED_VALUE"""),1739609.0)</f>
        <v>1739609</v>
      </c>
    </row>
    <row r="2794">
      <c r="A2794" s="2">
        <f>IFERROR(__xludf.DUMMYFUNCTION("""COMPUTED_VALUE"""),40633.645833333336)</f>
        <v>40633.64583</v>
      </c>
      <c r="B2794" s="1">
        <f>IFERROR(__xludf.DUMMYFUNCTION("""COMPUTED_VALUE"""),278.5)</f>
        <v>278.5</v>
      </c>
      <c r="C2794" s="1">
        <f>IFERROR(__xludf.DUMMYFUNCTION("""COMPUTED_VALUE"""),290.0)</f>
        <v>290</v>
      </c>
      <c r="D2794" s="1">
        <f>IFERROR(__xludf.DUMMYFUNCTION("""COMPUTED_VALUE"""),276.5)</f>
        <v>276.5</v>
      </c>
      <c r="E2794" s="1">
        <f>IFERROR(__xludf.DUMMYFUNCTION("""COMPUTED_VALUE"""),287.1)</f>
        <v>287.1</v>
      </c>
      <c r="F2794" s="1">
        <f>IFERROR(__xludf.DUMMYFUNCTION("""COMPUTED_VALUE"""),4410119.0)</f>
        <v>4410119</v>
      </c>
    </row>
    <row r="2795">
      <c r="A2795" s="2">
        <f>IFERROR(__xludf.DUMMYFUNCTION("""COMPUTED_VALUE"""),40634.645833333336)</f>
        <v>40634.64583</v>
      </c>
      <c r="B2795" s="1">
        <f>IFERROR(__xludf.DUMMYFUNCTION("""COMPUTED_VALUE"""),286.0)</f>
        <v>286</v>
      </c>
      <c r="C2795" s="1">
        <f>IFERROR(__xludf.DUMMYFUNCTION("""COMPUTED_VALUE"""),290.05)</f>
        <v>290.05</v>
      </c>
      <c r="D2795" s="1">
        <f>IFERROR(__xludf.DUMMYFUNCTION("""COMPUTED_VALUE"""),282.0)</f>
        <v>282</v>
      </c>
      <c r="E2795" s="1">
        <f>IFERROR(__xludf.DUMMYFUNCTION("""COMPUTED_VALUE"""),283.95)</f>
        <v>283.95</v>
      </c>
      <c r="F2795" s="1">
        <f>IFERROR(__xludf.DUMMYFUNCTION("""COMPUTED_VALUE"""),1301124.0)</f>
        <v>1301124</v>
      </c>
    </row>
    <row r="2796">
      <c r="A2796" s="2">
        <f>IFERROR(__xludf.DUMMYFUNCTION("""COMPUTED_VALUE"""),40637.645833333336)</f>
        <v>40637.64583</v>
      </c>
      <c r="B2796" s="1">
        <f>IFERROR(__xludf.DUMMYFUNCTION("""COMPUTED_VALUE"""),283.1)</f>
        <v>283.1</v>
      </c>
      <c r="C2796" s="1">
        <f>IFERROR(__xludf.DUMMYFUNCTION("""COMPUTED_VALUE"""),284.9)</f>
        <v>284.9</v>
      </c>
      <c r="D2796" s="1">
        <f>IFERROR(__xludf.DUMMYFUNCTION("""COMPUTED_VALUE"""),277.15)</f>
        <v>277.15</v>
      </c>
      <c r="E2796" s="1">
        <f>IFERROR(__xludf.DUMMYFUNCTION("""COMPUTED_VALUE"""),279.65)</f>
        <v>279.65</v>
      </c>
      <c r="F2796" s="1">
        <f>IFERROR(__xludf.DUMMYFUNCTION("""COMPUTED_VALUE"""),970446.0)</f>
        <v>970446</v>
      </c>
    </row>
    <row r="2797">
      <c r="A2797" s="2">
        <f>IFERROR(__xludf.DUMMYFUNCTION("""COMPUTED_VALUE"""),40638.645833333336)</f>
        <v>40638.64583</v>
      </c>
      <c r="B2797" s="1">
        <f>IFERROR(__xludf.DUMMYFUNCTION("""COMPUTED_VALUE"""),279.0)</f>
        <v>279</v>
      </c>
      <c r="C2797" s="1">
        <f>IFERROR(__xludf.DUMMYFUNCTION("""COMPUTED_VALUE"""),282.75)</f>
        <v>282.75</v>
      </c>
      <c r="D2797" s="1">
        <f>IFERROR(__xludf.DUMMYFUNCTION("""COMPUTED_VALUE"""),274.0)</f>
        <v>274</v>
      </c>
      <c r="E2797" s="1">
        <f>IFERROR(__xludf.DUMMYFUNCTION("""COMPUTED_VALUE"""),275.35)</f>
        <v>275.35</v>
      </c>
      <c r="F2797" s="1">
        <f>IFERROR(__xludf.DUMMYFUNCTION("""COMPUTED_VALUE"""),1201569.0)</f>
        <v>1201569</v>
      </c>
    </row>
    <row r="2798">
      <c r="A2798" s="2">
        <f>IFERROR(__xludf.DUMMYFUNCTION("""COMPUTED_VALUE"""),40639.645833333336)</f>
        <v>40639.64583</v>
      </c>
      <c r="B2798" s="1">
        <f>IFERROR(__xludf.DUMMYFUNCTION("""COMPUTED_VALUE"""),276.0)</f>
        <v>276</v>
      </c>
      <c r="C2798" s="1">
        <f>IFERROR(__xludf.DUMMYFUNCTION("""COMPUTED_VALUE"""),278.2)</f>
        <v>278.2</v>
      </c>
      <c r="D2798" s="1">
        <f>IFERROR(__xludf.DUMMYFUNCTION("""COMPUTED_VALUE"""),274.1)</f>
        <v>274.1</v>
      </c>
      <c r="E2798" s="1">
        <f>IFERROR(__xludf.DUMMYFUNCTION("""COMPUTED_VALUE"""),277.2)</f>
        <v>277.2</v>
      </c>
      <c r="F2798" s="1">
        <f>IFERROR(__xludf.DUMMYFUNCTION("""COMPUTED_VALUE"""),1355991.0)</f>
        <v>1355991</v>
      </c>
    </row>
    <row r="2799">
      <c r="A2799" s="2">
        <f>IFERROR(__xludf.DUMMYFUNCTION("""COMPUTED_VALUE"""),40640.645833333336)</f>
        <v>40640.64583</v>
      </c>
      <c r="B2799" s="1">
        <f>IFERROR(__xludf.DUMMYFUNCTION("""COMPUTED_VALUE"""),277.6)</f>
        <v>277.6</v>
      </c>
      <c r="C2799" s="1">
        <f>IFERROR(__xludf.DUMMYFUNCTION("""COMPUTED_VALUE"""),279.25)</f>
        <v>279.25</v>
      </c>
      <c r="D2799" s="1">
        <f>IFERROR(__xludf.DUMMYFUNCTION("""COMPUTED_VALUE"""),275.0)</f>
        <v>275</v>
      </c>
      <c r="E2799" s="1">
        <f>IFERROR(__xludf.DUMMYFUNCTION("""COMPUTED_VALUE"""),276.0)</f>
        <v>276</v>
      </c>
      <c r="F2799" s="1">
        <f>IFERROR(__xludf.DUMMYFUNCTION("""COMPUTED_VALUE"""),1185709.0)</f>
        <v>1185709</v>
      </c>
    </row>
    <row r="2800">
      <c r="A2800" s="2">
        <f>IFERROR(__xludf.DUMMYFUNCTION("""COMPUTED_VALUE"""),40641.645833333336)</f>
        <v>40641.64583</v>
      </c>
      <c r="B2800" s="1">
        <f>IFERROR(__xludf.DUMMYFUNCTION("""COMPUTED_VALUE"""),276.5)</f>
        <v>276.5</v>
      </c>
      <c r="C2800" s="1">
        <f>IFERROR(__xludf.DUMMYFUNCTION("""COMPUTED_VALUE"""),278.9)</f>
        <v>278.9</v>
      </c>
      <c r="D2800" s="1">
        <f>IFERROR(__xludf.DUMMYFUNCTION("""COMPUTED_VALUE"""),275.75)</f>
        <v>275.75</v>
      </c>
      <c r="E2800" s="1">
        <f>IFERROR(__xludf.DUMMYFUNCTION("""COMPUTED_VALUE"""),277.05)</f>
        <v>277.05</v>
      </c>
      <c r="F2800" s="1">
        <f>IFERROR(__xludf.DUMMYFUNCTION("""COMPUTED_VALUE"""),779829.0)</f>
        <v>779829</v>
      </c>
    </row>
    <row r="2801">
      <c r="A2801" s="2">
        <f>IFERROR(__xludf.DUMMYFUNCTION("""COMPUTED_VALUE"""),40644.645833333336)</f>
        <v>40644.64583</v>
      </c>
      <c r="B2801" s="1">
        <f>IFERROR(__xludf.DUMMYFUNCTION("""COMPUTED_VALUE"""),275.9)</f>
        <v>275.9</v>
      </c>
      <c r="C2801" s="1">
        <f>IFERROR(__xludf.DUMMYFUNCTION("""COMPUTED_VALUE"""),278.8)</f>
        <v>278.8</v>
      </c>
      <c r="D2801" s="1">
        <f>IFERROR(__xludf.DUMMYFUNCTION("""COMPUTED_VALUE"""),272.4)</f>
        <v>272.4</v>
      </c>
      <c r="E2801" s="1">
        <f>IFERROR(__xludf.DUMMYFUNCTION("""COMPUTED_VALUE"""),273.65)</f>
        <v>273.65</v>
      </c>
      <c r="F2801" s="1">
        <f>IFERROR(__xludf.DUMMYFUNCTION("""COMPUTED_VALUE"""),2103172.0)</f>
        <v>2103172</v>
      </c>
    </row>
    <row r="2802">
      <c r="A2802" s="2">
        <f>IFERROR(__xludf.DUMMYFUNCTION("""COMPUTED_VALUE"""),40646.645833333336)</f>
        <v>40646.64583</v>
      </c>
      <c r="B2802" s="1">
        <f>IFERROR(__xludf.DUMMYFUNCTION("""COMPUTED_VALUE"""),273.35)</f>
        <v>273.35</v>
      </c>
      <c r="C2802" s="1">
        <f>IFERROR(__xludf.DUMMYFUNCTION("""COMPUTED_VALUE"""),285.95)</f>
        <v>285.95</v>
      </c>
      <c r="D2802" s="1">
        <f>IFERROR(__xludf.DUMMYFUNCTION("""COMPUTED_VALUE"""),273.0)</f>
        <v>273</v>
      </c>
      <c r="E2802" s="1">
        <f>IFERROR(__xludf.DUMMYFUNCTION("""COMPUTED_VALUE"""),281.6)</f>
        <v>281.6</v>
      </c>
      <c r="F2802" s="1">
        <f>IFERROR(__xludf.DUMMYFUNCTION("""COMPUTED_VALUE"""),4129166.0)</f>
        <v>4129166</v>
      </c>
    </row>
    <row r="2803">
      <c r="A2803" s="2">
        <f>IFERROR(__xludf.DUMMYFUNCTION("""COMPUTED_VALUE"""),40648.645833333336)</f>
        <v>40648.64583</v>
      </c>
      <c r="B2803" s="1">
        <f>IFERROR(__xludf.DUMMYFUNCTION("""COMPUTED_VALUE"""),281.65)</f>
        <v>281.65</v>
      </c>
      <c r="C2803" s="1">
        <f>IFERROR(__xludf.DUMMYFUNCTION("""COMPUTED_VALUE"""),283.3)</f>
        <v>283.3</v>
      </c>
      <c r="D2803" s="1">
        <f>IFERROR(__xludf.DUMMYFUNCTION("""COMPUTED_VALUE"""),272.85)</f>
        <v>272.85</v>
      </c>
      <c r="E2803" s="1">
        <f>IFERROR(__xludf.DUMMYFUNCTION("""COMPUTED_VALUE"""),275.05)</f>
        <v>275.05</v>
      </c>
      <c r="F2803" s="1">
        <f>IFERROR(__xludf.DUMMYFUNCTION("""COMPUTED_VALUE"""),2410719.0)</f>
        <v>2410719</v>
      </c>
    </row>
    <row r="2804">
      <c r="A2804" s="2">
        <f>IFERROR(__xludf.DUMMYFUNCTION("""COMPUTED_VALUE"""),40651.645833333336)</f>
        <v>40651.64583</v>
      </c>
      <c r="B2804" s="1">
        <f>IFERROR(__xludf.DUMMYFUNCTION("""COMPUTED_VALUE"""),276.0)</f>
        <v>276</v>
      </c>
      <c r="C2804" s="1">
        <f>IFERROR(__xludf.DUMMYFUNCTION("""COMPUTED_VALUE"""),284.0)</f>
        <v>284</v>
      </c>
      <c r="D2804" s="1">
        <f>IFERROR(__xludf.DUMMYFUNCTION("""COMPUTED_VALUE"""),274.75)</f>
        <v>274.75</v>
      </c>
      <c r="E2804" s="1">
        <f>IFERROR(__xludf.DUMMYFUNCTION("""COMPUTED_VALUE"""),281.15)</f>
        <v>281.15</v>
      </c>
      <c r="F2804" s="1">
        <f>IFERROR(__xludf.DUMMYFUNCTION("""COMPUTED_VALUE"""),2137424.0)</f>
        <v>2137424</v>
      </c>
    </row>
    <row r="2805">
      <c r="A2805" s="2">
        <f>IFERROR(__xludf.DUMMYFUNCTION("""COMPUTED_VALUE"""),40652.645833333336)</f>
        <v>40652.64583</v>
      </c>
      <c r="B2805" s="1">
        <f>IFERROR(__xludf.DUMMYFUNCTION("""COMPUTED_VALUE"""),280.55)</f>
        <v>280.55</v>
      </c>
      <c r="C2805" s="1">
        <f>IFERROR(__xludf.DUMMYFUNCTION("""COMPUTED_VALUE"""),281.95)</f>
        <v>281.95</v>
      </c>
      <c r="D2805" s="1">
        <f>IFERROR(__xludf.DUMMYFUNCTION("""COMPUTED_VALUE"""),276.3)</f>
        <v>276.3</v>
      </c>
      <c r="E2805" s="1">
        <f>IFERROR(__xludf.DUMMYFUNCTION("""COMPUTED_VALUE"""),277.05)</f>
        <v>277.05</v>
      </c>
      <c r="F2805" s="1">
        <f>IFERROR(__xludf.DUMMYFUNCTION("""COMPUTED_VALUE"""),993470.0)</f>
        <v>993470</v>
      </c>
    </row>
    <row r="2806">
      <c r="A2806" s="2">
        <f>IFERROR(__xludf.DUMMYFUNCTION("""COMPUTED_VALUE"""),40653.645833333336)</f>
        <v>40653.64583</v>
      </c>
      <c r="B2806" s="1">
        <f>IFERROR(__xludf.DUMMYFUNCTION("""COMPUTED_VALUE"""),278.95)</f>
        <v>278.95</v>
      </c>
      <c r="C2806" s="1">
        <f>IFERROR(__xludf.DUMMYFUNCTION("""COMPUTED_VALUE"""),284.6)</f>
        <v>284.6</v>
      </c>
      <c r="D2806" s="1">
        <f>IFERROR(__xludf.DUMMYFUNCTION("""COMPUTED_VALUE"""),278.0)</f>
        <v>278</v>
      </c>
      <c r="E2806" s="1">
        <f>IFERROR(__xludf.DUMMYFUNCTION("""COMPUTED_VALUE"""),284.1)</f>
        <v>284.1</v>
      </c>
      <c r="F2806" s="1">
        <f>IFERROR(__xludf.DUMMYFUNCTION("""COMPUTED_VALUE"""),1443344.0)</f>
        <v>1443344</v>
      </c>
    </row>
    <row r="2807">
      <c r="A2807" s="2">
        <f>IFERROR(__xludf.DUMMYFUNCTION("""COMPUTED_VALUE"""),40654.645833333336)</f>
        <v>40654.64583</v>
      </c>
      <c r="B2807" s="1">
        <f>IFERROR(__xludf.DUMMYFUNCTION("""COMPUTED_VALUE"""),285.85)</f>
        <v>285.85</v>
      </c>
      <c r="C2807" s="1">
        <f>IFERROR(__xludf.DUMMYFUNCTION("""COMPUTED_VALUE"""),289.95)</f>
        <v>289.95</v>
      </c>
      <c r="D2807" s="1">
        <f>IFERROR(__xludf.DUMMYFUNCTION("""COMPUTED_VALUE"""),283.55)</f>
        <v>283.55</v>
      </c>
      <c r="E2807" s="1">
        <f>IFERROR(__xludf.DUMMYFUNCTION("""COMPUTED_VALUE"""),288.75)</f>
        <v>288.75</v>
      </c>
      <c r="F2807" s="1">
        <f>IFERROR(__xludf.DUMMYFUNCTION("""COMPUTED_VALUE"""),1731220.0)</f>
        <v>1731220</v>
      </c>
    </row>
    <row r="2808">
      <c r="A2808" s="2">
        <f>IFERROR(__xludf.DUMMYFUNCTION("""COMPUTED_VALUE"""),40658.645833333336)</f>
        <v>40658.64583</v>
      </c>
      <c r="B2808" s="1">
        <f>IFERROR(__xludf.DUMMYFUNCTION("""COMPUTED_VALUE"""),289.8)</f>
        <v>289.8</v>
      </c>
      <c r="C2808" s="1">
        <f>IFERROR(__xludf.DUMMYFUNCTION("""COMPUTED_VALUE"""),293.4)</f>
        <v>293.4</v>
      </c>
      <c r="D2808" s="1">
        <f>IFERROR(__xludf.DUMMYFUNCTION("""COMPUTED_VALUE"""),287.6)</f>
        <v>287.6</v>
      </c>
      <c r="E2808" s="1">
        <f>IFERROR(__xludf.DUMMYFUNCTION("""COMPUTED_VALUE"""),288.65)</f>
        <v>288.65</v>
      </c>
      <c r="F2808" s="1">
        <f>IFERROR(__xludf.DUMMYFUNCTION("""COMPUTED_VALUE"""),718013.0)</f>
        <v>718013</v>
      </c>
    </row>
    <row r="2809">
      <c r="A2809" s="2">
        <f>IFERROR(__xludf.DUMMYFUNCTION("""COMPUTED_VALUE"""),40659.645833333336)</f>
        <v>40659.64583</v>
      </c>
      <c r="B2809" s="1">
        <f>IFERROR(__xludf.DUMMYFUNCTION("""COMPUTED_VALUE"""),288.95)</f>
        <v>288.95</v>
      </c>
      <c r="C2809" s="1">
        <f>IFERROR(__xludf.DUMMYFUNCTION("""COMPUTED_VALUE"""),288.95)</f>
        <v>288.95</v>
      </c>
      <c r="D2809" s="1">
        <f>IFERROR(__xludf.DUMMYFUNCTION("""COMPUTED_VALUE"""),279.35)</f>
        <v>279.35</v>
      </c>
      <c r="E2809" s="1">
        <f>IFERROR(__xludf.DUMMYFUNCTION("""COMPUTED_VALUE"""),283.6)</f>
        <v>283.6</v>
      </c>
      <c r="F2809" s="1">
        <f>IFERROR(__xludf.DUMMYFUNCTION("""COMPUTED_VALUE"""),1236592.0)</f>
        <v>1236592</v>
      </c>
    </row>
    <row r="2810">
      <c r="A2810" s="2">
        <f>IFERROR(__xludf.DUMMYFUNCTION("""COMPUTED_VALUE"""),40660.645833333336)</f>
        <v>40660.64583</v>
      </c>
      <c r="B2810" s="1">
        <f>IFERROR(__xludf.DUMMYFUNCTION("""COMPUTED_VALUE"""),284.0)</f>
        <v>284</v>
      </c>
      <c r="C2810" s="1">
        <f>IFERROR(__xludf.DUMMYFUNCTION("""COMPUTED_VALUE"""),287.75)</f>
        <v>287.75</v>
      </c>
      <c r="D2810" s="1">
        <f>IFERROR(__xludf.DUMMYFUNCTION("""COMPUTED_VALUE"""),282.15)</f>
        <v>282.15</v>
      </c>
      <c r="E2810" s="1">
        <f>IFERROR(__xludf.DUMMYFUNCTION("""COMPUTED_VALUE"""),283.5)</f>
        <v>283.5</v>
      </c>
      <c r="F2810" s="1">
        <f>IFERROR(__xludf.DUMMYFUNCTION("""COMPUTED_VALUE"""),603760.0)</f>
        <v>603760</v>
      </c>
    </row>
    <row r="2811">
      <c r="A2811" s="2">
        <f>IFERROR(__xludf.DUMMYFUNCTION("""COMPUTED_VALUE"""),40661.645833333336)</f>
        <v>40661.64583</v>
      </c>
      <c r="B2811" s="1">
        <f>IFERROR(__xludf.DUMMYFUNCTION("""COMPUTED_VALUE"""),284.0)</f>
        <v>284</v>
      </c>
      <c r="C2811" s="1">
        <f>IFERROR(__xludf.DUMMYFUNCTION("""COMPUTED_VALUE"""),284.5)</f>
        <v>284.5</v>
      </c>
      <c r="D2811" s="1">
        <f>IFERROR(__xludf.DUMMYFUNCTION("""COMPUTED_VALUE"""),278.35)</f>
        <v>278.35</v>
      </c>
      <c r="E2811" s="1">
        <f>IFERROR(__xludf.DUMMYFUNCTION("""COMPUTED_VALUE"""),279.3)</f>
        <v>279.3</v>
      </c>
      <c r="F2811" s="1">
        <f>IFERROR(__xludf.DUMMYFUNCTION("""COMPUTED_VALUE"""),2628098.0)</f>
        <v>2628098</v>
      </c>
    </row>
    <row r="2812">
      <c r="A2812" s="2">
        <f>IFERROR(__xludf.DUMMYFUNCTION("""COMPUTED_VALUE"""),40662.645833333336)</f>
        <v>40662.64583</v>
      </c>
      <c r="B2812" s="1">
        <f>IFERROR(__xludf.DUMMYFUNCTION("""COMPUTED_VALUE"""),280.75)</f>
        <v>280.75</v>
      </c>
      <c r="C2812" s="1">
        <f>IFERROR(__xludf.DUMMYFUNCTION("""COMPUTED_VALUE"""),287.0)</f>
        <v>287</v>
      </c>
      <c r="D2812" s="1">
        <f>IFERROR(__xludf.DUMMYFUNCTION("""COMPUTED_VALUE"""),279.65)</f>
        <v>279.65</v>
      </c>
      <c r="E2812" s="1">
        <f>IFERROR(__xludf.DUMMYFUNCTION("""COMPUTED_VALUE"""),285.2)</f>
        <v>285.2</v>
      </c>
      <c r="F2812" s="1">
        <f>IFERROR(__xludf.DUMMYFUNCTION("""COMPUTED_VALUE"""),2062384.0)</f>
        <v>2062384</v>
      </c>
    </row>
    <row r="2813">
      <c r="A2813" s="2">
        <f>IFERROR(__xludf.DUMMYFUNCTION("""COMPUTED_VALUE"""),40665.645833333336)</f>
        <v>40665.64583</v>
      </c>
      <c r="B2813" s="1">
        <f>IFERROR(__xludf.DUMMYFUNCTION("""COMPUTED_VALUE"""),286.8)</f>
        <v>286.8</v>
      </c>
      <c r="C2813" s="1">
        <f>IFERROR(__xludf.DUMMYFUNCTION("""COMPUTED_VALUE"""),288.0)</f>
        <v>288</v>
      </c>
      <c r="D2813" s="1">
        <f>IFERROR(__xludf.DUMMYFUNCTION("""COMPUTED_VALUE"""),280.2)</f>
        <v>280.2</v>
      </c>
      <c r="E2813" s="1">
        <f>IFERROR(__xludf.DUMMYFUNCTION("""COMPUTED_VALUE"""),281.05)</f>
        <v>281.05</v>
      </c>
      <c r="F2813" s="1">
        <f>IFERROR(__xludf.DUMMYFUNCTION("""COMPUTED_VALUE"""),1305466.0)</f>
        <v>1305466</v>
      </c>
    </row>
    <row r="2814">
      <c r="A2814" s="2">
        <f>IFERROR(__xludf.DUMMYFUNCTION("""COMPUTED_VALUE"""),40666.645833333336)</f>
        <v>40666.64583</v>
      </c>
      <c r="B2814" s="1">
        <f>IFERROR(__xludf.DUMMYFUNCTION("""COMPUTED_VALUE"""),281.6)</f>
        <v>281.6</v>
      </c>
      <c r="C2814" s="1">
        <f>IFERROR(__xludf.DUMMYFUNCTION("""COMPUTED_VALUE"""),282.2)</f>
        <v>282.2</v>
      </c>
      <c r="D2814" s="1">
        <f>IFERROR(__xludf.DUMMYFUNCTION("""COMPUTED_VALUE"""),271.5)</f>
        <v>271.5</v>
      </c>
      <c r="E2814" s="1">
        <f>IFERROR(__xludf.DUMMYFUNCTION("""COMPUTED_VALUE"""),272.65)</f>
        <v>272.65</v>
      </c>
      <c r="F2814" s="1">
        <f>IFERROR(__xludf.DUMMYFUNCTION("""COMPUTED_VALUE"""),1559712.0)</f>
        <v>1559712</v>
      </c>
    </row>
    <row r="2815">
      <c r="A2815" s="2">
        <f>IFERROR(__xludf.DUMMYFUNCTION("""COMPUTED_VALUE"""),40667.645833333336)</f>
        <v>40667.64583</v>
      </c>
      <c r="B2815" s="1">
        <f>IFERROR(__xludf.DUMMYFUNCTION("""COMPUTED_VALUE"""),272.55)</f>
        <v>272.55</v>
      </c>
      <c r="C2815" s="1">
        <f>IFERROR(__xludf.DUMMYFUNCTION("""COMPUTED_VALUE"""),277.2)</f>
        <v>277.2</v>
      </c>
      <c r="D2815" s="1">
        <f>IFERROR(__xludf.DUMMYFUNCTION("""COMPUTED_VALUE"""),270.6)</f>
        <v>270.6</v>
      </c>
      <c r="E2815" s="1">
        <f>IFERROR(__xludf.DUMMYFUNCTION("""COMPUTED_VALUE"""),275.1)</f>
        <v>275.1</v>
      </c>
      <c r="F2815" s="1">
        <f>IFERROR(__xludf.DUMMYFUNCTION("""COMPUTED_VALUE"""),1280917.0)</f>
        <v>1280917</v>
      </c>
    </row>
    <row r="2816">
      <c r="A2816" s="2">
        <f>IFERROR(__xludf.DUMMYFUNCTION("""COMPUTED_VALUE"""),40668.645833333336)</f>
        <v>40668.64583</v>
      </c>
      <c r="B2816" s="1">
        <f>IFERROR(__xludf.DUMMYFUNCTION("""COMPUTED_VALUE"""),275.0)</f>
        <v>275</v>
      </c>
      <c r="C2816" s="1">
        <f>IFERROR(__xludf.DUMMYFUNCTION("""COMPUTED_VALUE"""),275.25)</f>
        <v>275.25</v>
      </c>
      <c r="D2816" s="1">
        <f>IFERROR(__xludf.DUMMYFUNCTION("""COMPUTED_VALUE"""),265.9)</f>
        <v>265.9</v>
      </c>
      <c r="E2816" s="1">
        <f>IFERROR(__xludf.DUMMYFUNCTION("""COMPUTED_VALUE"""),267.55)</f>
        <v>267.55</v>
      </c>
      <c r="F2816" s="1">
        <f>IFERROR(__xludf.DUMMYFUNCTION("""COMPUTED_VALUE"""),983472.0)</f>
        <v>983472</v>
      </c>
    </row>
    <row r="2817">
      <c r="A2817" s="2">
        <f>IFERROR(__xludf.DUMMYFUNCTION("""COMPUTED_VALUE"""),40669.645833333336)</f>
        <v>40669.64583</v>
      </c>
      <c r="B2817" s="1">
        <f>IFERROR(__xludf.DUMMYFUNCTION("""COMPUTED_VALUE"""),269.9)</f>
        <v>269.9</v>
      </c>
      <c r="C2817" s="1">
        <f>IFERROR(__xludf.DUMMYFUNCTION("""COMPUTED_VALUE"""),277.65)</f>
        <v>277.65</v>
      </c>
      <c r="D2817" s="1">
        <f>IFERROR(__xludf.DUMMYFUNCTION("""COMPUTED_VALUE"""),268.5)</f>
        <v>268.5</v>
      </c>
      <c r="E2817" s="1">
        <f>IFERROR(__xludf.DUMMYFUNCTION("""COMPUTED_VALUE"""),275.9)</f>
        <v>275.9</v>
      </c>
      <c r="F2817" s="1">
        <f>IFERROR(__xludf.DUMMYFUNCTION("""COMPUTED_VALUE"""),1721684.0)</f>
        <v>1721684</v>
      </c>
    </row>
    <row r="2818">
      <c r="A2818" s="2">
        <f>IFERROR(__xludf.DUMMYFUNCTION("""COMPUTED_VALUE"""),40672.645833333336)</f>
        <v>40672.64583</v>
      </c>
      <c r="B2818" s="1">
        <f>IFERROR(__xludf.DUMMYFUNCTION("""COMPUTED_VALUE"""),275.15)</f>
        <v>275.15</v>
      </c>
      <c r="C2818" s="1">
        <f>IFERROR(__xludf.DUMMYFUNCTION("""COMPUTED_VALUE"""),288.7)</f>
        <v>288.7</v>
      </c>
      <c r="D2818" s="1">
        <f>IFERROR(__xludf.DUMMYFUNCTION("""COMPUTED_VALUE"""),269.9)</f>
        <v>269.9</v>
      </c>
      <c r="E2818" s="1">
        <f>IFERROR(__xludf.DUMMYFUNCTION("""COMPUTED_VALUE"""),284.75)</f>
        <v>284.75</v>
      </c>
      <c r="F2818" s="1">
        <f>IFERROR(__xludf.DUMMYFUNCTION("""COMPUTED_VALUE"""),4797471.0)</f>
        <v>4797471</v>
      </c>
    </row>
    <row r="2819">
      <c r="A2819" s="2">
        <f>IFERROR(__xludf.DUMMYFUNCTION("""COMPUTED_VALUE"""),40673.645833333336)</f>
        <v>40673.64583</v>
      </c>
      <c r="B2819" s="1">
        <f>IFERROR(__xludf.DUMMYFUNCTION("""COMPUTED_VALUE"""),286.7)</f>
        <v>286.7</v>
      </c>
      <c r="C2819" s="1">
        <f>IFERROR(__xludf.DUMMYFUNCTION("""COMPUTED_VALUE"""),299.8)</f>
        <v>299.8</v>
      </c>
      <c r="D2819" s="1">
        <f>IFERROR(__xludf.DUMMYFUNCTION("""COMPUTED_VALUE"""),286.7)</f>
        <v>286.7</v>
      </c>
      <c r="E2819" s="1">
        <f>IFERROR(__xludf.DUMMYFUNCTION("""COMPUTED_VALUE"""),297.25)</f>
        <v>297.25</v>
      </c>
      <c r="F2819" s="1">
        <f>IFERROR(__xludf.DUMMYFUNCTION("""COMPUTED_VALUE"""),6735970.0)</f>
        <v>6735970</v>
      </c>
    </row>
    <row r="2820">
      <c r="A2820" s="2">
        <f>IFERROR(__xludf.DUMMYFUNCTION("""COMPUTED_VALUE"""),40674.645833333336)</f>
        <v>40674.64583</v>
      </c>
      <c r="B2820" s="1">
        <f>IFERROR(__xludf.DUMMYFUNCTION("""COMPUTED_VALUE"""),297.0)</f>
        <v>297</v>
      </c>
      <c r="C2820" s="1">
        <f>IFERROR(__xludf.DUMMYFUNCTION("""COMPUTED_VALUE"""),301.9)</f>
        <v>301.9</v>
      </c>
      <c r="D2820" s="1">
        <f>IFERROR(__xludf.DUMMYFUNCTION("""COMPUTED_VALUE"""),294.05)</f>
        <v>294.05</v>
      </c>
      <c r="E2820" s="1">
        <f>IFERROR(__xludf.DUMMYFUNCTION("""COMPUTED_VALUE"""),300.2)</f>
        <v>300.2</v>
      </c>
      <c r="F2820" s="1">
        <f>IFERROR(__xludf.DUMMYFUNCTION("""COMPUTED_VALUE"""),3305966.0)</f>
        <v>3305966</v>
      </c>
    </row>
    <row r="2821">
      <c r="A2821" s="2">
        <f>IFERROR(__xludf.DUMMYFUNCTION("""COMPUTED_VALUE"""),40675.645833333336)</f>
        <v>40675.64583</v>
      </c>
      <c r="B2821" s="1">
        <f>IFERROR(__xludf.DUMMYFUNCTION("""COMPUTED_VALUE"""),298.0)</f>
        <v>298</v>
      </c>
      <c r="C2821" s="1">
        <f>IFERROR(__xludf.DUMMYFUNCTION("""COMPUTED_VALUE"""),303.7)</f>
        <v>303.7</v>
      </c>
      <c r="D2821" s="1">
        <f>IFERROR(__xludf.DUMMYFUNCTION("""COMPUTED_VALUE"""),297.45)</f>
        <v>297.45</v>
      </c>
      <c r="E2821" s="1">
        <f>IFERROR(__xludf.DUMMYFUNCTION("""COMPUTED_VALUE"""),301.4)</f>
        <v>301.4</v>
      </c>
      <c r="F2821" s="1">
        <f>IFERROR(__xludf.DUMMYFUNCTION("""COMPUTED_VALUE"""),3247018.0)</f>
        <v>3247018</v>
      </c>
    </row>
    <row r="2822">
      <c r="A2822" s="2">
        <f>IFERROR(__xludf.DUMMYFUNCTION("""COMPUTED_VALUE"""),40676.645833333336)</f>
        <v>40676.64583</v>
      </c>
      <c r="B2822" s="1">
        <f>IFERROR(__xludf.DUMMYFUNCTION("""COMPUTED_VALUE"""),299.3)</f>
        <v>299.3</v>
      </c>
      <c r="C2822" s="1">
        <f>IFERROR(__xludf.DUMMYFUNCTION("""COMPUTED_VALUE"""),311.9)</f>
        <v>311.9</v>
      </c>
      <c r="D2822" s="1">
        <f>IFERROR(__xludf.DUMMYFUNCTION("""COMPUTED_VALUE"""),297.55)</f>
        <v>297.55</v>
      </c>
      <c r="E2822" s="1">
        <f>IFERROR(__xludf.DUMMYFUNCTION("""COMPUTED_VALUE"""),306.65)</f>
        <v>306.65</v>
      </c>
      <c r="F2822" s="1">
        <f>IFERROR(__xludf.DUMMYFUNCTION("""COMPUTED_VALUE"""),3159300.0)</f>
        <v>3159300</v>
      </c>
    </row>
    <row r="2823">
      <c r="A2823" s="2">
        <f>IFERROR(__xludf.DUMMYFUNCTION("""COMPUTED_VALUE"""),40679.645833333336)</f>
        <v>40679.64583</v>
      </c>
      <c r="B2823" s="1">
        <f>IFERROR(__xludf.DUMMYFUNCTION("""COMPUTED_VALUE"""),306.0)</f>
        <v>306</v>
      </c>
      <c r="C2823" s="1">
        <f>IFERROR(__xludf.DUMMYFUNCTION("""COMPUTED_VALUE"""),310.45)</f>
        <v>310.45</v>
      </c>
      <c r="D2823" s="1">
        <f>IFERROR(__xludf.DUMMYFUNCTION("""COMPUTED_VALUE"""),301.25)</f>
        <v>301.25</v>
      </c>
      <c r="E2823" s="1">
        <f>IFERROR(__xludf.DUMMYFUNCTION("""COMPUTED_VALUE"""),304.35)</f>
        <v>304.35</v>
      </c>
      <c r="F2823" s="1">
        <f>IFERROR(__xludf.DUMMYFUNCTION("""COMPUTED_VALUE"""),1968360.0)</f>
        <v>1968360</v>
      </c>
    </row>
    <row r="2824">
      <c r="A2824" s="2">
        <f>IFERROR(__xludf.DUMMYFUNCTION("""COMPUTED_VALUE"""),40680.645833333336)</f>
        <v>40680.64583</v>
      </c>
      <c r="B2824" s="1">
        <f>IFERROR(__xludf.DUMMYFUNCTION("""COMPUTED_VALUE"""),304.0)</f>
        <v>304</v>
      </c>
      <c r="C2824" s="1">
        <f>IFERROR(__xludf.DUMMYFUNCTION("""COMPUTED_VALUE"""),310.4)</f>
        <v>310.4</v>
      </c>
      <c r="D2824" s="1">
        <f>IFERROR(__xludf.DUMMYFUNCTION("""COMPUTED_VALUE"""),302.35)</f>
        <v>302.35</v>
      </c>
      <c r="E2824" s="1">
        <f>IFERROR(__xludf.DUMMYFUNCTION("""COMPUTED_VALUE"""),308.95)</f>
        <v>308.95</v>
      </c>
      <c r="F2824" s="1">
        <f>IFERROR(__xludf.DUMMYFUNCTION("""COMPUTED_VALUE"""),1755657.0)</f>
        <v>1755657</v>
      </c>
    </row>
    <row r="2825">
      <c r="A2825" s="2">
        <f>IFERROR(__xludf.DUMMYFUNCTION("""COMPUTED_VALUE"""),40681.645833333336)</f>
        <v>40681.64583</v>
      </c>
      <c r="B2825" s="1">
        <f>IFERROR(__xludf.DUMMYFUNCTION("""COMPUTED_VALUE"""),309.0)</f>
        <v>309</v>
      </c>
      <c r="C2825" s="1">
        <f>IFERROR(__xludf.DUMMYFUNCTION("""COMPUTED_VALUE"""),311.65)</f>
        <v>311.65</v>
      </c>
      <c r="D2825" s="1">
        <f>IFERROR(__xludf.DUMMYFUNCTION("""COMPUTED_VALUE"""),308.0)</f>
        <v>308</v>
      </c>
      <c r="E2825" s="1">
        <f>IFERROR(__xludf.DUMMYFUNCTION("""COMPUTED_VALUE"""),309.05)</f>
        <v>309.05</v>
      </c>
      <c r="F2825" s="1">
        <f>IFERROR(__xludf.DUMMYFUNCTION("""COMPUTED_VALUE"""),1558363.0)</f>
        <v>1558363</v>
      </c>
    </row>
    <row r="2826">
      <c r="A2826" s="2">
        <f>IFERROR(__xludf.DUMMYFUNCTION("""COMPUTED_VALUE"""),40682.645833333336)</f>
        <v>40682.64583</v>
      </c>
      <c r="B2826" s="1">
        <f>IFERROR(__xludf.DUMMYFUNCTION("""COMPUTED_VALUE"""),308.95)</f>
        <v>308.95</v>
      </c>
      <c r="C2826" s="1">
        <f>IFERROR(__xludf.DUMMYFUNCTION("""COMPUTED_VALUE"""),311.0)</f>
        <v>311</v>
      </c>
      <c r="D2826" s="1">
        <f>IFERROR(__xludf.DUMMYFUNCTION("""COMPUTED_VALUE"""),307.1)</f>
        <v>307.1</v>
      </c>
      <c r="E2826" s="1">
        <f>IFERROR(__xludf.DUMMYFUNCTION("""COMPUTED_VALUE"""),309.6)</f>
        <v>309.6</v>
      </c>
      <c r="F2826" s="1">
        <f>IFERROR(__xludf.DUMMYFUNCTION("""COMPUTED_VALUE"""),1277341.0)</f>
        <v>1277341</v>
      </c>
    </row>
    <row r="2827">
      <c r="A2827" s="2">
        <f>IFERROR(__xludf.DUMMYFUNCTION("""COMPUTED_VALUE"""),40683.645833333336)</f>
        <v>40683.64583</v>
      </c>
      <c r="B2827" s="1">
        <f>IFERROR(__xludf.DUMMYFUNCTION("""COMPUTED_VALUE"""),309.0)</f>
        <v>309</v>
      </c>
      <c r="C2827" s="1">
        <f>IFERROR(__xludf.DUMMYFUNCTION("""COMPUTED_VALUE"""),312.75)</f>
        <v>312.75</v>
      </c>
      <c r="D2827" s="1">
        <f>IFERROR(__xludf.DUMMYFUNCTION("""COMPUTED_VALUE"""),308.05)</f>
        <v>308.05</v>
      </c>
      <c r="E2827" s="1">
        <f>IFERROR(__xludf.DUMMYFUNCTION("""COMPUTED_VALUE"""),310.2)</f>
        <v>310.2</v>
      </c>
      <c r="F2827" s="1">
        <f>IFERROR(__xludf.DUMMYFUNCTION("""COMPUTED_VALUE"""),1930176.0)</f>
        <v>1930176</v>
      </c>
    </row>
    <row r="2828">
      <c r="A2828" s="2">
        <f>IFERROR(__xludf.DUMMYFUNCTION("""COMPUTED_VALUE"""),40686.645833333336)</f>
        <v>40686.64583</v>
      </c>
      <c r="B2828" s="1">
        <f>IFERROR(__xludf.DUMMYFUNCTION("""COMPUTED_VALUE"""),309.95)</f>
        <v>309.95</v>
      </c>
      <c r="C2828" s="1">
        <f>IFERROR(__xludf.DUMMYFUNCTION("""COMPUTED_VALUE"""),309.95)</f>
        <v>309.95</v>
      </c>
      <c r="D2828" s="1">
        <f>IFERROR(__xludf.DUMMYFUNCTION("""COMPUTED_VALUE"""),302.55)</f>
        <v>302.55</v>
      </c>
      <c r="E2828" s="1">
        <f>IFERROR(__xludf.DUMMYFUNCTION("""COMPUTED_VALUE"""),304.0)</f>
        <v>304</v>
      </c>
      <c r="F2828" s="1">
        <f>IFERROR(__xludf.DUMMYFUNCTION("""COMPUTED_VALUE"""),2599483.0)</f>
        <v>2599483</v>
      </c>
    </row>
    <row r="2829">
      <c r="A2829" s="2">
        <f>IFERROR(__xludf.DUMMYFUNCTION("""COMPUTED_VALUE"""),40687.645833333336)</f>
        <v>40687.64583</v>
      </c>
      <c r="B2829" s="1">
        <f>IFERROR(__xludf.DUMMYFUNCTION("""COMPUTED_VALUE"""),304.05)</f>
        <v>304.05</v>
      </c>
      <c r="C2829" s="1">
        <f>IFERROR(__xludf.DUMMYFUNCTION("""COMPUTED_VALUE"""),305.3)</f>
        <v>305.3</v>
      </c>
      <c r="D2829" s="1">
        <f>IFERROR(__xludf.DUMMYFUNCTION("""COMPUTED_VALUE"""),298.55)</f>
        <v>298.55</v>
      </c>
      <c r="E2829" s="1">
        <f>IFERROR(__xludf.DUMMYFUNCTION("""COMPUTED_VALUE"""),302.25)</f>
        <v>302.25</v>
      </c>
      <c r="F2829" s="1">
        <f>IFERROR(__xludf.DUMMYFUNCTION("""COMPUTED_VALUE"""),3335267.0)</f>
        <v>3335267</v>
      </c>
    </row>
    <row r="2830">
      <c r="A2830" s="2">
        <f>IFERROR(__xludf.DUMMYFUNCTION("""COMPUTED_VALUE"""),40688.645833333336)</f>
        <v>40688.64583</v>
      </c>
      <c r="B2830" s="1">
        <f>IFERROR(__xludf.DUMMYFUNCTION("""COMPUTED_VALUE"""),301.55)</f>
        <v>301.55</v>
      </c>
      <c r="C2830" s="1">
        <f>IFERROR(__xludf.DUMMYFUNCTION("""COMPUTED_VALUE"""),307.9)</f>
        <v>307.9</v>
      </c>
      <c r="D2830" s="1">
        <f>IFERROR(__xludf.DUMMYFUNCTION("""COMPUTED_VALUE"""),296.55)</f>
        <v>296.55</v>
      </c>
      <c r="E2830" s="1">
        <f>IFERROR(__xludf.DUMMYFUNCTION("""COMPUTED_VALUE"""),300.0)</f>
        <v>300</v>
      </c>
      <c r="F2830" s="1">
        <f>IFERROR(__xludf.DUMMYFUNCTION("""COMPUTED_VALUE"""),2356167.0)</f>
        <v>2356167</v>
      </c>
    </row>
    <row r="2831">
      <c r="A2831" s="2">
        <f>IFERROR(__xludf.DUMMYFUNCTION("""COMPUTED_VALUE"""),40689.645833333336)</f>
        <v>40689.64583</v>
      </c>
      <c r="B2831" s="1">
        <f>IFERROR(__xludf.DUMMYFUNCTION("""COMPUTED_VALUE"""),300.05)</f>
        <v>300.05</v>
      </c>
      <c r="C2831" s="1">
        <f>IFERROR(__xludf.DUMMYFUNCTION("""COMPUTED_VALUE"""),310.0)</f>
        <v>310</v>
      </c>
      <c r="D2831" s="1">
        <f>IFERROR(__xludf.DUMMYFUNCTION("""COMPUTED_VALUE"""),298.75)</f>
        <v>298.75</v>
      </c>
      <c r="E2831" s="1">
        <f>IFERROR(__xludf.DUMMYFUNCTION("""COMPUTED_VALUE"""),308.6)</f>
        <v>308.6</v>
      </c>
      <c r="F2831" s="1">
        <f>IFERROR(__xludf.DUMMYFUNCTION("""COMPUTED_VALUE"""),2605674.0)</f>
        <v>2605674</v>
      </c>
    </row>
    <row r="2832">
      <c r="A2832" s="2">
        <f>IFERROR(__xludf.DUMMYFUNCTION("""COMPUTED_VALUE"""),40690.645833333336)</f>
        <v>40690.64583</v>
      </c>
      <c r="B2832" s="1">
        <f>IFERROR(__xludf.DUMMYFUNCTION("""COMPUTED_VALUE"""),306.1)</f>
        <v>306.1</v>
      </c>
      <c r="C2832" s="1">
        <f>IFERROR(__xludf.DUMMYFUNCTION("""COMPUTED_VALUE"""),307.0)</f>
        <v>307</v>
      </c>
      <c r="D2832" s="1">
        <f>IFERROR(__xludf.DUMMYFUNCTION("""COMPUTED_VALUE"""),301.15)</f>
        <v>301.15</v>
      </c>
      <c r="E2832" s="1">
        <f>IFERROR(__xludf.DUMMYFUNCTION("""COMPUTED_VALUE"""),301.95)</f>
        <v>301.95</v>
      </c>
      <c r="F2832" s="1">
        <f>IFERROR(__xludf.DUMMYFUNCTION("""COMPUTED_VALUE"""),873315.0)</f>
        <v>873315</v>
      </c>
    </row>
    <row r="2833">
      <c r="A2833" s="2">
        <f>IFERROR(__xludf.DUMMYFUNCTION("""COMPUTED_VALUE"""),40693.645833333336)</f>
        <v>40693.64583</v>
      </c>
      <c r="B2833" s="1">
        <f>IFERROR(__xludf.DUMMYFUNCTION("""COMPUTED_VALUE"""),302.1)</f>
        <v>302.1</v>
      </c>
      <c r="C2833" s="1">
        <f>IFERROR(__xludf.DUMMYFUNCTION("""COMPUTED_VALUE"""),304.9)</f>
        <v>304.9</v>
      </c>
      <c r="D2833" s="1">
        <f>IFERROR(__xludf.DUMMYFUNCTION("""COMPUTED_VALUE"""),300.0)</f>
        <v>300</v>
      </c>
      <c r="E2833" s="1">
        <f>IFERROR(__xludf.DUMMYFUNCTION("""COMPUTED_VALUE"""),302.8)</f>
        <v>302.8</v>
      </c>
      <c r="F2833" s="1">
        <f>IFERROR(__xludf.DUMMYFUNCTION("""COMPUTED_VALUE"""),1051439.0)</f>
        <v>1051439</v>
      </c>
    </row>
    <row r="2834">
      <c r="A2834" s="2">
        <f>IFERROR(__xludf.DUMMYFUNCTION("""COMPUTED_VALUE"""),40694.645833333336)</f>
        <v>40694.64583</v>
      </c>
      <c r="B2834" s="1">
        <f>IFERROR(__xludf.DUMMYFUNCTION("""COMPUTED_VALUE"""),302.1)</f>
        <v>302.1</v>
      </c>
      <c r="C2834" s="1">
        <f>IFERROR(__xludf.DUMMYFUNCTION("""COMPUTED_VALUE"""),309.45)</f>
        <v>309.45</v>
      </c>
      <c r="D2834" s="1">
        <f>IFERROR(__xludf.DUMMYFUNCTION("""COMPUTED_VALUE"""),302.1)</f>
        <v>302.1</v>
      </c>
      <c r="E2834" s="1">
        <f>IFERROR(__xludf.DUMMYFUNCTION("""COMPUTED_VALUE"""),304.55)</f>
        <v>304.55</v>
      </c>
      <c r="F2834" s="1">
        <f>IFERROR(__xludf.DUMMYFUNCTION("""COMPUTED_VALUE"""),1970851.0)</f>
        <v>1970851</v>
      </c>
    </row>
    <row r="2835">
      <c r="A2835" s="2">
        <f>IFERROR(__xludf.DUMMYFUNCTION("""COMPUTED_VALUE"""),40695.645833333336)</f>
        <v>40695.64583</v>
      </c>
      <c r="B2835" s="1">
        <f>IFERROR(__xludf.DUMMYFUNCTION("""COMPUTED_VALUE"""),304.85)</f>
        <v>304.85</v>
      </c>
      <c r="C2835" s="1">
        <f>IFERROR(__xludf.DUMMYFUNCTION("""COMPUTED_VALUE"""),313.0)</f>
        <v>313</v>
      </c>
      <c r="D2835" s="1">
        <f>IFERROR(__xludf.DUMMYFUNCTION("""COMPUTED_VALUE"""),303.2)</f>
        <v>303.2</v>
      </c>
      <c r="E2835" s="1">
        <f>IFERROR(__xludf.DUMMYFUNCTION("""COMPUTED_VALUE"""),310.45)</f>
        <v>310.45</v>
      </c>
      <c r="F2835" s="1">
        <f>IFERROR(__xludf.DUMMYFUNCTION("""COMPUTED_VALUE"""),1276905.0)</f>
        <v>1276905</v>
      </c>
    </row>
    <row r="2836">
      <c r="A2836" s="2">
        <f>IFERROR(__xludf.DUMMYFUNCTION("""COMPUTED_VALUE"""),40696.645833333336)</f>
        <v>40696.64583</v>
      </c>
      <c r="B2836" s="1">
        <f>IFERROR(__xludf.DUMMYFUNCTION("""COMPUTED_VALUE"""),311.4)</f>
        <v>311.4</v>
      </c>
      <c r="C2836" s="1">
        <f>IFERROR(__xludf.DUMMYFUNCTION("""COMPUTED_VALUE"""),323.8)</f>
        <v>323.8</v>
      </c>
      <c r="D2836" s="1">
        <f>IFERROR(__xludf.DUMMYFUNCTION("""COMPUTED_VALUE"""),310.1)</f>
        <v>310.1</v>
      </c>
      <c r="E2836" s="1">
        <f>IFERROR(__xludf.DUMMYFUNCTION("""COMPUTED_VALUE"""),320.75)</f>
        <v>320.75</v>
      </c>
      <c r="F2836" s="1">
        <f>IFERROR(__xludf.DUMMYFUNCTION("""COMPUTED_VALUE"""),3956634.0)</f>
        <v>3956634</v>
      </c>
    </row>
    <row r="2837">
      <c r="A2837" s="2">
        <f>IFERROR(__xludf.DUMMYFUNCTION("""COMPUTED_VALUE"""),40697.645833333336)</f>
        <v>40697.64583</v>
      </c>
      <c r="B2837" s="1">
        <f>IFERROR(__xludf.DUMMYFUNCTION("""COMPUTED_VALUE"""),320.9)</f>
        <v>320.9</v>
      </c>
      <c r="C2837" s="1">
        <f>IFERROR(__xludf.DUMMYFUNCTION("""COMPUTED_VALUE"""),321.0)</f>
        <v>321</v>
      </c>
      <c r="D2837" s="1">
        <f>IFERROR(__xludf.DUMMYFUNCTION("""COMPUTED_VALUE"""),315.2)</f>
        <v>315.2</v>
      </c>
      <c r="E2837" s="1">
        <f>IFERROR(__xludf.DUMMYFUNCTION("""COMPUTED_VALUE"""),318.55)</f>
        <v>318.55</v>
      </c>
      <c r="F2837" s="1">
        <f>IFERROR(__xludf.DUMMYFUNCTION("""COMPUTED_VALUE"""),2109606.0)</f>
        <v>2109606</v>
      </c>
    </row>
    <row r="2838">
      <c r="A2838" s="2">
        <f>IFERROR(__xludf.DUMMYFUNCTION("""COMPUTED_VALUE"""),40700.645833333336)</f>
        <v>40700.64583</v>
      </c>
      <c r="B2838" s="1">
        <f>IFERROR(__xludf.DUMMYFUNCTION("""COMPUTED_VALUE"""),318.65)</f>
        <v>318.65</v>
      </c>
      <c r="C2838" s="1">
        <f>IFERROR(__xludf.DUMMYFUNCTION("""COMPUTED_VALUE"""),319.5)</f>
        <v>319.5</v>
      </c>
      <c r="D2838" s="1">
        <f>IFERROR(__xludf.DUMMYFUNCTION("""COMPUTED_VALUE"""),314.15)</f>
        <v>314.15</v>
      </c>
      <c r="E2838" s="1">
        <f>IFERROR(__xludf.DUMMYFUNCTION("""COMPUTED_VALUE"""),314.95)</f>
        <v>314.95</v>
      </c>
      <c r="F2838" s="1">
        <f>IFERROR(__xludf.DUMMYFUNCTION("""COMPUTED_VALUE"""),1227592.0)</f>
        <v>1227592</v>
      </c>
    </row>
    <row r="2839">
      <c r="A2839" s="2">
        <f>IFERROR(__xludf.DUMMYFUNCTION("""COMPUTED_VALUE"""),40701.645833333336)</f>
        <v>40701.64583</v>
      </c>
      <c r="B2839" s="1">
        <f>IFERROR(__xludf.DUMMYFUNCTION("""COMPUTED_VALUE"""),311.95)</f>
        <v>311.95</v>
      </c>
      <c r="C2839" s="1">
        <f>IFERROR(__xludf.DUMMYFUNCTION("""COMPUTED_VALUE"""),314.9)</f>
        <v>314.9</v>
      </c>
      <c r="D2839" s="1">
        <f>IFERROR(__xludf.DUMMYFUNCTION("""COMPUTED_VALUE"""),306.65)</f>
        <v>306.65</v>
      </c>
      <c r="E2839" s="1">
        <f>IFERROR(__xludf.DUMMYFUNCTION("""COMPUTED_VALUE"""),308.75)</f>
        <v>308.75</v>
      </c>
      <c r="F2839" s="1">
        <f>IFERROR(__xludf.DUMMYFUNCTION("""COMPUTED_VALUE"""),2256698.0)</f>
        <v>2256698</v>
      </c>
    </row>
    <row r="2840">
      <c r="A2840" s="2">
        <f>IFERROR(__xludf.DUMMYFUNCTION("""COMPUTED_VALUE"""),40702.645833333336)</f>
        <v>40702.64583</v>
      </c>
      <c r="B2840" s="1">
        <f>IFERROR(__xludf.DUMMYFUNCTION("""COMPUTED_VALUE"""),306.8)</f>
        <v>306.8</v>
      </c>
      <c r="C2840" s="1">
        <f>IFERROR(__xludf.DUMMYFUNCTION("""COMPUTED_VALUE"""),315.8)</f>
        <v>315.8</v>
      </c>
      <c r="D2840" s="1">
        <f>IFERROR(__xludf.DUMMYFUNCTION("""COMPUTED_VALUE"""),305.65)</f>
        <v>305.65</v>
      </c>
      <c r="E2840" s="1">
        <f>IFERROR(__xludf.DUMMYFUNCTION("""COMPUTED_VALUE"""),313.4)</f>
        <v>313.4</v>
      </c>
      <c r="F2840" s="1">
        <f>IFERROR(__xludf.DUMMYFUNCTION("""COMPUTED_VALUE"""),1386122.0)</f>
        <v>1386122</v>
      </c>
    </row>
    <row r="2841">
      <c r="A2841" s="2">
        <f>IFERROR(__xludf.DUMMYFUNCTION("""COMPUTED_VALUE"""),40703.645833333336)</f>
        <v>40703.64583</v>
      </c>
      <c r="B2841" s="1">
        <f>IFERROR(__xludf.DUMMYFUNCTION("""COMPUTED_VALUE"""),315.7)</f>
        <v>315.7</v>
      </c>
      <c r="C2841" s="1">
        <f>IFERROR(__xludf.DUMMYFUNCTION("""COMPUTED_VALUE"""),316.3)</f>
        <v>316.3</v>
      </c>
      <c r="D2841" s="1">
        <f>IFERROR(__xludf.DUMMYFUNCTION("""COMPUTED_VALUE"""),312.0)</f>
        <v>312</v>
      </c>
      <c r="E2841" s="1">
        <f>IFERROR(__xludf.DUMMYFUNCTION("""COMPUTED_VALUE"""),312.55)</f>
        <v>312.55</v>
      </c>
      <c r="F2841" s="1">
        <f>IFERROR(__xludf.DUMMYFUNCTION("""COMPUTED_VALUE"""),966979.0)</f>
        <v>966979</v>
      </c>
    </row>
    <row r="2842">
      <c r="A2842" s="2">
        <f>IFERROR(__xludf.DUMMYFUNCTION("""COMPUTED_VALUE"""),40704.645833333336)</f>
        <v>40704.64583</v>
      </c>
      <c r="B2842" s="1">
        <f>IFERROR(__xludf.DUMMYFUNCTION("""COMPUTED_VALUE"""),313.0)</f>
        <v>313</v>
      </c>
      <c r="C2842" s="1">
        <f>IFERROR(__xludf.DUMMYFUNCTION("""COMPUTED_VALUE"""),313.2)</f>
        <v>313.2</v>
      </c>
      <c r="D2842" s="1">
        <f>IFERROR(__xludf.DUMMYFUNCTION("""COMPUTED_VALUE"""),309.35)</f>
        <v>309.35</v>
      </c>
      <c r="E2842" s="1">
        <f>IFERROR(__xludf.DUMMYFUNCTION("""COMPUTED_VALUE"""),311.45)</f>
        <v>311.45</v>
      </c>
      <c r="F2842" s="1">
        <f>IFERROR(__xludf.DUMMYFUNCTION("""COMPUTED_VALUE"""),650374.0)</f>
        <v>650374</v>
      </c>
    </row>
    <row r="2843">
      <c r="A2843" s="2">
        <f>IFERROR(__xludf.DUMMYFUNCTION("""COMPUTED_VALUE"""),40707.645833333336)</f>
        <v>40707.64583</v>
      </c>
      <c r="B2843" s="1">
        <f>IFERROR(__xludf.DUMMYFUNCTION("""COMPUTED_VALUE"""),308.4)</f>
        <v>308.4</v>
      </c>
      <c r="C2843" s="1">
        <f>IFERROR(__xludf.DUMMYFUNCTION("""COMPUTED_VALUE"""),315.8)</f>
        <v>315.8</v>
      </c>
      <c r="D2843" s="1">
        <f>IFERROR(__xludf.DUMMYFUNCTION("""COMPUTED_VALUE"""),308.4)</f>
        <v>308.4</v>
      </c>
      <c r="E2843" s="1">
        <f>IFERROR(__xludf.DUMMYFUNCTION("""COMPUTED_VALUE"""),313.95)</f>
        <v>313.95</v>
      </c>
      <c r="F2843" s="1">
        <f>IFERROR(__xludf.DUMMYFUNCTION("""COMPUTED_VALUE"""),1290141.0)</f>
        <v>1290141</v>
      </c>
    </row>
    <row r="2844">
      <c r="A2844" s="2">
        <f>IFERROR(__xludf.DUMMYFUNCTION("""COMPUTED_VALUE"""),40708.645833333336)</f>
        <v>40708.64583</v>
      </c>
      <c r="B2844" s="1">
        <f>IFERROR(__xludf.DUMMYFUNCTION("""COMPUTED_VALUE"""),313.6)</f>
        <v>313.6</v>
      </c>
      <c r="C2844" s="1">
        <f>IFERROR(__xludf.DUMMYFUNCTION("""COMPUTED_VALUE"""),318.2)</f>
        <v>318.2</v>
      </c>
      <c r="D2844" s="1">
        <f>IFERROR(__xludf.DUMMYFUNCTION("""COMPUTED_VALUE"""),313.6)</f>
        <v>313.6</v>
      </c>
      <c r="E2844" s="1">
        <f>IFERROR(__xludf.DUMMYFUNCTION("""COMPUTED_VALUE"""),315.35)</f>
        <v>315.35</v>
      </c>
      <c r="F2844" s="1">
        <f>IFERROR(__xludf.DUMMYFUNCTION("""COMPUTED_VALUE"""),1805807.0)</f>
        <v>1805807</v>
      </c>
    </row>
    <row r="2845">
      <c r="A2845" s="2">
        <f>IFERROR(__xludf.DUMMYFUNCTION("""COMPUTED_VALUE"""),40709.645833333336)</f>
        <v>40709.64583</v>
      </c>
      <c r="B2845" s="1">
        <f>IFERROR(__xludf.DUMMYFUNCTION("""COMPUTED_VALUE"""),314.95)</f>
        <v>314.95</v>
      </c>
      <c r="C2845" s="1">
        <f>IFERROR(__xludf.DUMMYFUNCTION("""COMPUTED_VALUE"""),318.8)</f>
        <v>318.8</v>
      </c>
      <c r="D2845" s="1">
        <f>IFERROR(__xludf.DUMMYFUNCTION("""COMPUTED_VALUE"""),313.0)</f>
        <v>313</v>
      </c>
      <c r="E2845" s="1">
        <f>IFERROR(__xludf.DUMMYFUNCTION("""COMPUTED_VALUE"""),316.75)</f>
        <v>316.75</v>
      </c>
      <c r="F2845" s="1">
        <f>IFERROR(__xludf.DUMMYFUNCTION("""COMPUTED_VALUE"""),999983.0)</f>
        <v>999983</v>
      </c>
    </row>
    <row r="2846">
      <c r="A2846" s="2">
        <f>IFERROR(__xludf.DUMMYFUNCTION("""COMPUTED_VALUE"""),40710.645833333336)</f>
        <v>40710.64583</v>
      </c>
      <c r="B2846" s="1">
        <f>IFERROR(__xludf.DUMMYFUNCTION("""COMPUTED_VALUE"""),318.0)</f>
        <v>318</v>
      </c>
      <c r="C2846" s="1">
        <f>IFERROR(__xludf.DUMMYFUNCTION("""COMPUTED_VALUE"""),323.0)</f>
        <v>323</v>
      </c>
      <c r="D2846" s="1">
        <f>IFERROR(__xludf.DUMMYFUNCTION("""COMPUTED_VALUE"""),315.25)</f>
        <v>315.25</v>
      </c>
      <c r="E2846" s="1">
        <f>IFERROR(__xludf.DUMMYFUNCTION("""COMPUTED_VALUE"""),320.9)</f>
        <v>320.9</v>
      </c>
      <c r="F2846" s="1">
        <f>IFERROR(__xludf.DUMMYFUNCTION("""COMPUTED_VALUE"""),3371149.0)</f>
        <v>3371149</v>
      </c>
    </row>
    <row r="2847">
      <c r="A2847" s="2">
        <f>IFERROR(__xludf.DUMMYFUNCTION("""COMPUTED_VALUE"""),40711.645833333336)</f>
        <v>40711.64583</v>
      </c>
      <c r="B2847" s="1">
        <f>IFERROR(__xludf.DUMMYFUNCTION("""COMPUTED_VALUE"""),317.25)</f>
        <v>317.25</v>
      </c>
      <c r="C2847" s="1">
        <f>IFERROR(__xludf.DUMMYFUNCTION("""COMPUTED_VALUE"""),326.5)</f>
        <v>326.5</v>
      </c>
      <c r="D2847" s="1">
        <f>IFERROR(__xludf.DUMMYFUNCTION("""COMPUTED_VALUE"""),317.25)</f>
        <v>317.25</v>
      </c>
      <c r="E2847" s="1">
        <f>IFERROR(__xludf.DUMMYFUNCTION("""COMPUTED_VALUE"""),320.9)</f>
        <v>320.9</v>
      </c>
      <c r="F2847" s="1">
        <f>IFERROR(__xludf.DUMMYFUNCTION("""COMPUTED_VALUE"""),2503209.0)</f>
        <v>2503209</v>
      </c>
    </row>
    <row r="2848">
      <c r="A2848" s="2">
        <f>IFERROR(__xludf.DUMMYFUNCTION("""COMPUTED_VALUE"""),40714.645833333336)</f>
        <v>40714.64583</v>
      </c>
      <c r="B2848" s="1">
        <f>IFERROR(__xludf.DUMMYFUNCTION("""COMPUTED_VALUE"""),320.0)</f>
        <v>320</v>
      </c>
      <c r="C2848" s="1">
        <f>IFERROR(__xludf.DUMMYFUNCTION("""COMPUTED_VALUE"""),324.7)</f>
        <v>324.7</v>
      </c>
      <c r="D2848" s="1">
        <f>IFERROR(__xludf.DUMMYFUNCTION("""COMPUTED_VALUE"""),313.8)</f>
        <v>313.8</v>
      </c>
      <c r="E2848" s="1">
        <f>IFERROR(__xludf.DUMMYFUNCTION("""COMPUTED_VALUE"""),322.55)</f>
        <v>322.55</v>
      </c>
      <c r="F2848" s="1">
        <f>IFERROR(__xludf.DUMMYFUNCTION("""COMPUTED_VALUE"""),4312687.0)</f>
        <v>4312687</v>
      </c>
    </row>
    <row r="2849">
      <c r="A2849" s="2">
        <f>IFERROR(__xludf.DUMMYFUNCTION("""COMPUTED_VALUE"""),40715.645833333336)</f>
        <v>40715.64583</v>
      </c>
      <c r="B2849" s="1">
        <f>IFERROR(__xludf.DUMMYFUNCTION("""COMPUTED_VALUE"""),322.0)</f>
        <v>322</v>
      </c>
      <c r="C2849" s="1">
        <f>IFERROR(__xludf.DUMMYFUNCTION("""COMPUTED_VALUE"""),327.0)</f>
        <v>327</v>
      </c>
      <c r="D2849" s="1">
        <f>IFERROR(__xludf.DUMMYFUNCTION("""COMPUTED_VALUE"""),320.9)</f>
        <v>320.9</v>
      </c>
      <c r="E2849" s="1">
        <f>IFERROR(__xludf.DUMMYFUNCTION("""COMPUTED_VALUE"""),322.35)</f>
        <v>322.35</v>
      </c>
      <c r="F2849" s="1">
        <f>IFERROR(__xludf.DUMMYFUNCTION("""COMPUTED_VALUE"""),2289179.0)</f>
        <v>2289179</v>
      </c>
    </row>
    <row r="2850">
      <c r="A2850" s="2">
        <f>IFERROR(__xludf.DUMMYFUNCTION("""COMPUTED_VALUE"""),40716.645833333336)</f>
        <v>40716.64583</v>
      </c>
      <c r="B2850" s="1">
        <f>IFERROR(__xludf.DUMMYFUNCTION("""COMPUTED_VALUE"""),323.0)</f>
        <v>323</v>
      </c>
      <c r="C2850" s="1">
        <f>IFERROR(__xludf.DUMMYFUNCTION("""COMPUTED_VALUE"""),323.95)</f>
        <v>323.95</v>
      </c>
      <c r="D2850" s="1">
        <f>IFERROR(__xludf.DUMMYFUNCTION("""COMPUTED_VALUE"""),310.0)</f>
        <v>310</v>
      </c>
      <c r="E2850" s="1">
        <f>IFERROR(__xludf.DUMMYFUNCTION("""COMPUTED_VALUE"""),310.75)</f>
        <v>310.75</v>
      </c>
      <c r="F2850" s="1">
        <f>IFERROR(__xludf.DUMMYFUNCTION("""COMPUTED_VALUE"""),2409893.0)</f>
        <v>2409893</v>
      </c>
    </row>
    <row r="2851">
      <c r="A2851" s="2">
        <f>IFERROR(__xludf.DUMMYFUNCTION("""COMPUTED_VALUE"""),40717.645833333336)</f>
        <v>40717.64583</v>
      </c>
      <c r="B2851" s="1">
        <f>IFERROR(__xludf.DUMMYFUNCTION("""COMPUTED_VALUE"""),310.0)</f>
        <v>310</v>
      </c>
      <c r="C2851" s="1">
        <f>IFERROR(__xludf.DUMMYFUNCTION("""COMPUTED_VALUE"""),318.9)</f>
        <v>318.9</v>
      </c>
      <c r="D2851" s="1">
        <f>IFERROR(__xludf.DUMMYFUNCTION("""COMPUTED_VALUE"""),309.9)</f>
        <v>309.9</v>
      </c>
      <c r="E2851" s="1">
        <f>IFERROR(__xludf.DUMMYFUNCTION("""COMPUTED_VALUE"""),317.6)</f>
        <v>317.6</v>
      </c>
      <c r="F2851" s="1">
        <f>IFERROR(__xludf.DUMMYFUNCTION("""COMPUTED_VALUE"""),1160640.0)</f>
        <v>1160640</v>
      </c>
    </row>
    <row r="2852">
      <c r="A2852" s="2">
        <f>IFERROR(__xludf.DUMMYFUNCTION("""COMPUTED_VALUE"""),40718.645833333336)</f>
        <v>40718.64583</v>
      </c>
      <c r="B2852" s="1">
        <f>IFERROR(__xludf.DUMMYFUNCTION("""COMPUTED_VALUE"""),318.05)</f>
        <v>318.05</v>
      </c>
      <c r="C2852" s="1">
        <f>IFERROR(__xludf.DUMMYFUNCTION("""COMPUTED_VALUE"""),325.0)</f>
        <v>325</v>
      </c>
      <c r="D2852" s="1">
        <f>IFERROR(__xludf.DUMMYFUNCTION("""COMPUTED_VALUE"""),318.05)</f>
        <v>318.05</v>
      </c>
      <c r="E2852" s="1">
        <f>IFERROR(__xludf.DUMMYFUNCTION("""COMPUTED_VALUE"""),324.35)</f>
        <v>324.35</v>
      </c>
      <c r="F2852" s="1">
        <f>IFERROR(__xludf.DUMMYFUNCTION("""COMPUTED_VALUE"""),1505937.0)</f>
        <v>1505937</v>
      </c>
    </row>
    <row r="2853">
      <c r="A2853" s="2">
        <f>IFERROR(__xludf.DUMMYFUNCTION("""COMPUTED_VALUE"""),40721.645833333336)</f>
        <v>40721.64583</v>
      </c>
      <c r="B2853" s="1">
        <f>IFERROR(__xludf.DUMMYFUNCTION("""COMPUTED_VALUE"""),321.0)</f>
        <v>321</v>
      </c>
      <c r="C2853" s="1">
        <f>IFERROR(__xludf.DUMMYFUNCTION("""COMPUTED_VALUE"""),327.0)</f>
        <v>327</v>
      </c>
      <c r="D2853" s="1">
        <f>IFERROR(__xludf.DUMMYFUNCTION("""COMPUTED_VALUE"""),321.0)</f>
        <v>321</v>
      </c>
      <c r="E2853" s="1">
        <f>IFERROR(__xludf.DUMMYFUNCTION("""COMPUTED_VALUE"""),323.45)</f>
        <v>323.45</v>
      </c>
      <c r="F2853" s="1">
        <f>IFERROR(__xludf.DUMMYFUNCTION("""COMPUTED_VALUE"""),1145129.0)</f>
        <v>1145129</v>
      </c>
    </row>
    <row r="2854">
      <c r="A2854" s="2">
        <f>IFERROR(__xludf.DUMMYFUNCTION("""COMPUTED_VALUE"""),40722.645833333336)</f>
        <v>40722.64583</v>
      </c>
      <c r="B2854" s="1">
        <f>IFERROR(__xludf.DUMMYFUNCTION("""COMPUTED_VALUE"""),322.4)</f>
        <v>322.4</v>
      </c>
      <c r="C2854" s="1">
        <f>IFERROR(__xludf.DUMMYFUNCTION("""COMPUTED_VALUE"""),325.45)</f>
        <v>325.45</v>
      </c>
      <c r="D2854" s="1">
        <f>IFERROR(__xludf.DUMMYFUNCTION("""COMPUTED_VALUE"""),321.35)</f>
        <v>321.35</v>
      </c>
      <c r="E2854" s="1">
        <f>IFERROR(__xludf.DUMMYFUNCTION("""COMPUTED_VALUE"""),323.6)</f>
        <v>323.6</v>
      </c>
      <c r="F2854" s="1">
        <f>IFERROR(__xludf.DUMMYFUNCTION("""COMPUTED_VALUE"""),1401219.0)</f>
        <v>1401219</v>
      </c>
    </row>
    <row r="2855">
      <c r="A2855" s="2">
        <f>IFERROR(__xludf.DUMMYFUNCTION("""COMPUTED_VALUE"""),40723.645833333336)</f>
        <v>40723.64583</v>
      </c>
      <c r="B2855" s="1">
        <f>IFERROR(__xludf.DUMMYFUNCTION("""COMPUTED_VALUE"""),324.7)</f>
        <v>324.7</v>
      </c>
      <c r="C2855" s="1">
        <f>IFERROR(__xludf.DUMMYFUNCTION("""COMPUTED_VALUE"""),334.65)</f>
        <v>334.65</v>
      </c>
      <c r="D2855" s="1">
        <f>IFERROR(__xludf.DUMMYFUNCTION("""COMPUTED_VALUE"""),324.1)</f>
        <v>324.1</v>
      </c>
      <c r="E2855" s="1">
        <f>IFERROR(__xludf.DUMMYFUNCTION("""COMPUTED_VALUE"""),332.8)</f>
        <v>332.8</v>
      </c>
      <c r="F2855" s="1">
        <f>IFERROR(__xludf.DUMMYFUNCTION("""COMPUTED_VALUE"""),2455593.0)</f>
        <v>2455593</v>
      </c>
    </row>
    <row r="2856">
      <c r="A2856" s="2">
        <f>IFERROR(__xludf.DUMMYFUNCTION("""COMPUTED_VALUE"""),40724.645833333336)</f>
        <v>40724.64583</v>
      </c>
      <c r="B2856" s="1">
        <f>IFERROR(__xludf.DUMMYFUNCTION("""COMPUTED_VALUE"""),334.0)</f>
        <v>334</v>
      </c>
      <c r="C2856" s="1">
        <f>IFERROR(__xludf.DUMMYFUNCTION("""COMPUTED_VALUE"""),348.0)</f>
        <v>348</v>
      </c>
      <c r="D2856" s="1">
        <f>IFERROR(__xludf.DUMMYFUNCTION("""COMPUTED_VALUE"""),333.5)</f>
        <v>333.5</v>
      </c>
      <c r="E2856" s="1">
        <f>IFERROR(__xludf.DUMMYFUNCTION("""COMPUTED_VALUE"""),343.65)</f>
        <v>343.65</v>
      </c>
      <c r="F2856" s="1">
        <f>IFERROR(__xludf.DUMMYFUNCTION("""COMPUTED_VALUE"""),4476231.0)</f>
        <v>4476231</v>
      </c>
    </row>
    <row r="2857">
      <c r="A2857" s="2">
        <f>IFERROR(__xludf.DUMMYFUNCTION("""COMPUTED_VALUE"""),40725.645833333336)</f>
        <v>40725.64583</v>
      </c>
      <c r="B2857" s="1">
        <f>IFERROR(__xludf.DUMMYFUNCTION("""COMPUTED_VALUE"""),342.4)</f>
        <v>342.4</v>
      </c>
      <c r="C2857" s="1">
        <f>IFERROR(__xludf.DUMMYFUNCTION("""COMPUTED_VALUE"""),343.5)</f>
        <v>343.5</v>
      </c>
      <c r="D2857" s="1">
        <f>IFERROR(__xludf.DUMMYFUNCTION("""COMPUTED_VALUE"""),335.7)</f>
        <v>335.7</v>
      </c>
      <c r="E2857" s="1">
        <f>IFERROR(__xludf.DUMMYFUNCTION("""COMPUTED_VALUE"""),336.75)</f>
        <v>336.75</v>
      </c>
      <c r="F2857" s="1">
        <f>IFERROR(__xludf.DUMMYFUNCTION("""COMPUTED_VALUE"""),1912354.0)</f>
        <v>1912354</v>
      </c>
    </row>
    <row r="2858">
      <c r="A2858" s="2">
        <f>IFERROR(__xludf.DUMMYFUNCTION("""COMPUTED_VALUE"""),40728.645833333336)</f>
        <v>40728.64583</v>
      </c>
      <c r="B2858" s="1">
        <f>IFERROR(__xludf.DUMMYFUNCTION("""COMPUTED_VALUE"""),341.0)</f>
        <v>341</v>
      </c>
      <c r="C2858" s="1">
        <f>IFERROR(__xludf.DUMMYFUNCTION("""COMPUTED_VALUE"""),341.0)</f>
        <v>341</v>
      </c>
      <c r="D2858" s="1">
        <f>IFERROR(__xludf.DUMMYFUNCTION("""COMPUTED_VALUE"""),335.55)</f>
        <v>335.55</v>
      </c>
      <c r="E2858" s="1">
        <f>IFERROR(__xludf.DUMMYFUNCTION("""COMPUTED_VALUE"""),336.45)</f>
        <v>336.45</v>
      </c>
      <c r="F2858" s="1">
        <f>IFERROR(__xludf.DUMMYFUNCTION("""COMPUTED_VALUE"""),1767312.0)</f>
        <v>1767312</v>
      </c>
    </row>
    <row r="2859">
      <c r="A2859" s="2">
        <f>IFERROR(__xludf.DUMMYFUNCTION("""COMPUTED_VALUE"""),40729.645833333336)</f>
        <v>40729.64583</v>
      </c>
      <c r="B2859" s="1">
        <f>IFERROR(__xludf.DUMMYFUNCTION("""COMPUTED_VALUE"""),336.05)</f>
        <v>336.05</v>
      </c>
      <c r="C2859" s="1">
        <f>IFERROR(__xludf.DUMMYFUNCTION("""COMPUTED_VALUE"""),336.5)</f>
        <v>336.5</v>
      </c>
      <c r="D2859" s="1">
        <f>IFERROR(__xludf.DUMMYFUNCTION("""COMPUTED_VALUE"""),331.45)</f>
        <v>331.45</v>
      </c>
      <c r="E2859" s="1">
        <f>IFERROR(__xludf.DUMMYFUNCTION("""COMPUTED_VALUE"""),332.8)</f>
        <v>332.8</v>
      </c>
      <c r="F2859" s="1">
        <f>IFERROR(__xludf.DUMMYFUNCTION("""COMPUTED_VALUE"""),2503942.0)</f>
        <v>2503942</v>
      </c>
    </row>
    <row r="2860">
      <c r="A2860" s="2">
        <f>IFERROR(__xludf.DUMMYFUNCTION("""COMPUTED_VALUE"""),40730.645833333336)</f>
        <v>40730.64583</v>
      </c>
      <c r="B2860" s="1">
        <f>IFERROR(__xludf.DUMMYFUNCTION("""COMPUTED_VALUE"""),330.65)</f>
        <v>330.65</v>
      </c>
      <c r="C2860" s="1">
        <f>IFERROR(__xludf.DUMMYFUNCTION("""COMPUTED_VALUE"""),334.9)</f>
        <v>334.9</v>
      </c>
      <c r="D2860" s="1">
        <f>IFERROR(__xludf.DUMMYFUNCTION("""COMPUTED_VALUE"""),328.7)</f>
        <v>328.7</v>
      </c>
      <c r="E2860" s="1">
        <f>IFERROR(__xludf.DUMMYFUNCTION("""COMPUTED_VALUE"""),329.75)</f>
        <v>329.75</v>
      </c>
      <c r="F2860" s="1">
        <f>IFERROR(__xludf.DUMMYFUNCTION("""COMPUTED_VALUE"""),2436300.0)</f>
        <v>2436300</v>
      </c>
    </row>
    <row r="2861">
      <c r="A2861" s="2">
        <f>IFERROR(__xludf.DUMMYFUNCTION("""COMPUTED_VALUE"""),40731.645833333336)</f>
        <v>40731.64583</v>
      </c>
      <c r="B2861" s="1">
        <f>IFERROR(__xludf.DUMMYFUNCTION("""COMPUTED_VALUE"""),330.95)</f>
        <v>330.95</v>
      </c>
      <c r="C2861" s="1">
        <f>IFERROR(__xludf.DUMMYFUNCTION("""COMPUTED_VALUE"""),339.9)</f>
        <v>339.9</v>
      </c>
      <c r="D2861" s="1">
        <f>IFERROR(__xludf.DUMMYFUNCTION("""COMPUTED_VALUE"""),330.2)</f>
        <v>330.2</v>
      </c>
      <c r="E2861" s="1">
        <f>IFERROR(__xludf.DUMMYFUNCTION("""COMPUTED_VALUE"""),335.75)</f>
        <v>335.75</v>
      </c>
      <c r="F2861" s="1">
        <f>IFERROR(__xludf.DUMMYFUNCTION("""COMPUTED_VALUE"""),2877579.0)</f>
        <v>2877579</v>
      </c>
    </row>
    <row r="2862">
      <c r="A2862" s="2">
        <f>IFERROR(__xludf.DUMMYFUNCTION("""COMPUTED_VALUE"""),40732.645833333336)</f>
        <v>40732.64583</v>
      </c>
      <c r="B2862" s="1">
        <f>IFERROR(__xludf.DUMMYFUNCTION("""COMPUTED_VALUE"""),334.0)</f>
        <v>334</v>
      </c>
      <c r="C2862" s="1">
        <f>IFERROR(__xludf.DUMMYFUNCTION("""COMPUTED_VALUE"""),338.4)</f>
        <v>338.4</v>
      </c>
      <c r="D2862" s="1">
        <f>IFERROR(__xludf.DUMMYFUNCTION("""COMPUTED_VALUE"""),331.65)</f>
        <v>331.65</v>
      </c>
      <c r="E2862" s="1">
        <f>IFERROR(__xludf.DUMMYFUNCTION("""COMPUTED_VALUE"""),333.45)</f>
        <v>333.45</v>
      </c>
      <c r="F2862" s="1">
        <f>IFERROR(__xludf.DUMMYFUNCTION("""COMPUTED_VALUE"""),1714115.0)</f>
        <v>1714115</v>
      </c>
    </row>
    <row r="2863">
      <c r="A2863" s="2">
        <f>IFERROR(__xludf.DUMMYFUNCTION("""COMPUTED_VALUE"""),40735.645833333336)</f>
        <v>40735.64583</v>
      </c>
      <c r="B2863" s="1">
        <f>IFERROR(__xludf.DUMMYFUNCTION("""COMPUTED_VALUE"""),332.0)</f>
        <v>332</v>
      </c>
      <c r="C2863" s="1">
        <f>IFERROR(__xludf.DUMMYFUNCTION("""COMPUTED_VALUE"""),335.5)</f>
        <v>335.5</v>
      </c>
      <c r="D2863" s="1">
        <f>IFERROR(__xludf.DUMMYFUNCTION("""COMPUTED_VALUE"""),330.95)</f>
        <v>330.95</v>
      </c>
      <c r="E2863" s="1">
        <f>IFERROR(__xludf.DUMMYFUNCTION("""COMPUTED_VALUE"""),332.0)</f>
        <v>332</v>
      </c>
      <c r="F2863" s="1">
        <f>IFERROR(__xludf.DUMMYFUNCTION("""COMPUTED_VALUE"""),865852.0)</f>
        <v>865852</v>
      </c>
    </row>
    <row r="2864">
      <c r="A2864" s="2">
        <f>IFERROR(__xludf.DUMMYFUNCTION("""COMPUTED_VALUE"""),40736.645833333336)</f>
        <v>40736.64583</v>
      </c>
      <c r="B2864" s="1">
        <f>IFERROR(__xludf.DUMMYFUNCTION("""COMPUTED_VALUE"""),331.55)</f>
        <v>331.55</v>
      </c>
      <c r="C2864" s="1">
        <f>IFERROR(__xludf.DUMMYFUNCTION("""COMPUTED_VALUE"""),335.3)</f>
        <v>335.3</v>
      </c>
      <c r="D2864" s="1">
        <f>IFERROR(__xludf.DUMMYFUNCTION("""COMPUTED_VALUE"""),329.0)</f>
        <v>329</v>
      </c>
      <c r="E2864" s="1">
        <f>IFERROR(__xludf.DUMMYFUNCTION("""COMPUTED_VALUE"""),332.95)</f>
        <v>332.95</v>
      </c>
      <c r="F2864" s="1">
        <f>IFERROR(__xludf.DUMMYFUNCTION("""COMPUTED_VALUE"""),1126865.0)</f>
        <v>1126865</v>
      </c>
    </row>
    <row r="2865">
      <c r="A2865" s="2">
        <f>IFERROR(__xludf.DUMMYFUNCTION("""COMPUTED_VALUE"""),40737.645833333336)</f>
        <v>40737.64583</v>
      </c>
      <c r="B2865" s="1">
        <f>IFERROR(__xludf.DUMMYFUNCTION("""COMPUTED_VALUE"""),332.45)</f>
        <v>332.45</v>
      </c>
      <c r="C2865" s="1">
        <f>IFERROR(__xludf.DUMMYFUNCTION("""COMPUTED_VALUE"""),334.45)</f>
        <v>334.45</v>
      </c>
      <c r="D2865" s="1">
        <f>IFERROR(__xludf.DUMMYFUNCTION("""COMPUTED_VALUE"""),330.15)</f>
        <v>330.15</v>
      </c>
      <c r="E2865" s="1">
        <f>IFERROR(__xludf.DUMMYFUNCTION("""COMPUTED_VALUE"""),331.35)</f>
        <v>331.35</v>
      </c>
      <c r="F2865" s="1">
        <f>IFERROR(__xludf.DUMMYFUNCTION("""COMPUTED_VALUE"""),1144824.0)</f>
        <v>1144824</v>
      </c>
    </row>
    <row r="2866">
      <c r="A2866" s="2">
        <f>IFERROR(__xludf.DUMMYFUNCTION("""COMPUTED_VALUE"""),40738.645833333336)</f>
        <v>40738.64583</v>
      </c>
      <c r="B2866" s="1">
        <f>IFERROR(__xludf.DUMMYFUNCTION("""COMPUTED_VALUE"""),331.0)</f>
        <v>331</v>
      </c>
      <c r="C2866" s="1">
        <f>IFERROR(__xludf.DUMMYFUNCTION("""COMPUTED_VALUE"""),336.05)</f>
        <v>336.05</v>
      </c>
      <c r="D2866" s="1">
        <f>IFERROR(__xludf.DUMMYFUNCTION("""COMPUTED_VALUE"""),328.55)</f>
        <v>328.55</v>
      </c>
      <c r="E2866" s="1">
        <f>IFERROR(__xludf.DUMMYFUNCTION("""COMPUTED_VALUE"""),332.3)</f>
        <v>332.3</v>
      </c>
      <c r="F2866" s="1">
        <f>IFERROR(__xludf.DUMMYFUNCTION("""COMPUTED_VALUE"""),1062244.0)</f>
        <v>1062244</v>
      </c>
    </row>
    <row r="2867">
      <c r="A2867" s="2">
        <f>IFERROR(__xludf.DUMMYFUNCTION("""COMPUTED_VALUE"""),40739.645833333336)</f>
        <v>40739.64583</v>
      </c>
      <c r="B2867" s="1">
        <f>IFERROR(__xludf.DUMMYFUNCTION("""COMPUTED_VALUE"""),331.2)</f>
        <v>331.2</v>
      </c>
      <c r="C2867" s="1">
        <f>IFERROR(__xludf.DUMMYFUNCTION("""COMPUTED_VALUE"""),333.8)</f>
        <v>333.8</v>
      </c>
      <c r="D2867" s="1">
        <f>IFERROR(__xludf.DUMMYFUNCTION("""COMPUTED_VALUE"""),328.35)</f>
        <v>328.35</v>
      </c>
      <c r="E2867" s="1">
        <f>IFERROR(__xludf.DUMMYFUNCTION("""COMPUTED_VALUE"""),329.75)</f>
        <v>329.75</v>
      </c>
      <c r="F2867" s="1">
        <f>IFERROR(__xludf.DUMMYFUNCTION("""COMPUTED_VALUE"""),1076030.0)</f>
        <v>1076030</v>
      </c>
    </row>
    <row r="2868">
      <c r="A2868" s="2">
        <f>IFERROR(__xludf.DUMMYFUNCTION("""COMPUTED_VALUE"""),40742.645833333336)</f>
        <v>40742.64583</v>
      </c>
      <c r="B2868" s="1">
        <f>IFERROR(__xludf.DUMMYFUNCTION("""COMPUTED_VALUE"""),330.0)</f>
        <v>330</v>
      </c>
      <c r="C2868" s="1">
        <f>IFERROR(__xludf.DUMMYFUNCTION("""COMPUTED_VALUE"""),334.0)</f>
        <v>334</v>
      </c>
      <c r="D2868" s="1">
        <f>IFERROR(__xludf.DUMMYFUNCTION("""COMPUTED_VALUE"""),328.0)</f>
        <v>328</v>
      </c>
      <c r="E2868" s="1">
        <f>IFERROR(__xludf.DUMMYFUNCTION("""COMPUTED_VALUE"""),333.1)</f>
        <v>333.1</v>
      </c>
      <c r="F2868" s="1">
        <f>IFERROR(__xludf.DUMMYFUNCTION("""COMPUTED_VALUE"""),1180470.0)</f>
        <v>1180470</v>
      </c>
    </row>
    <row r="2869">
      <c r="A2869" s="2">
        <f>IFERROR(__xludf.DUMMYFUNCTION("""COMPUTED_VALUE"""),40743.645833333336)</f>
        <v>40743.64583</v>
      </c>
      <c r="B2869" s="1">
        <f>IFERROR(__xludf.DUMMYFUNCTION("""COMPUTED_VALUE"""),331.75)</f>
        <v>331.75</v>
      </c>
      <c r="C2869" s="1">
        <f>IFERROR(__xludf.DUMMYFUNCTION("""COMPUTED_VALUE"""),332.8)</f>
        <v>332.8</v>
      </c>
      <c r="D2869" s="1">
        <f>IFERROR(__xludf.DUMMYFUNCTION("""COMPUTED_VALUE"""),329.5)</f>
        <v>329.5</v>
      </c>
      <c r="E2869" s="1">
        <f>IFERROR(__xludf.DUMMYFUNCTION("""COMPUTED_VALUE"""),330.85)</f>
        <v>330.85</v>
      </c>
      <c r="F2869" s="1">
        <f>IFERROR(__xludf.DUMMYFUNCTION("""COMPUTED_VALUE"""),1774965.0)</f>
        <v>1774965</v>
      </c>
    </row>
    <row r="2870">
      <c r="A2870" s="2">
        <f>IFERROR(__xludf.DUMMYFUNCTION("""COMPUTED_VALUE"""),40744.645833333336)</f>
        <v>40744.64583</v>
      </c>
      <c r="B2870" s="1">
        <f>IFERROR(__xludf.DUMMYFUNCTION("""COMPUTED_VALUE"""),331.65)</f>
        <v>331.65</v>
      </c>
      <c r="C2870" s="1">
        <f>IFERROR(__xludf.DUMMYFUNCTION("""COMPUTED_VALUE"""),333.5)</f>
        <v>333.5</v>
      </c>
      <c r="D2870" s="1">
        <f>IFERROR(__xludf.DUMMYFUNCTION("""COMPUTED_VALUE"""),330.0)</f>
        <v>330</v>
      </c>
      <c r="E2870" s="1">
        <f>IFERROR(__xludf.DUMMYFUNCTION("""COMPUTED_VALUE"""),331.85)</f>
        <v>331.85</v>
      </c>
      <c r="F2870" s="1">
        <f>IFERROR(__xludf.DUMMYFUNCTION("""COMPUTED_VALUE"""),1974487.0)</f>
        <v>1974487</v>
      </c>
    </row>
    <row r="2871">
      <c r="A2871" s="2">
        <f>IFERROR(__xludf.DUMMYFUNCTION("""COMPUTED_VALUE"""),40745.645833333336)</f>
        <v>40745.64583</v>
      </c>
      <c r="B2871" s="1">
        <f>IFERROR(__xludf.DUMMYFUNCTION("""COMPUTED_VALUE"""),332.75)</f>
        <v>332.75</v>
      </c>
      <c r="C2871" s="1">
        <f>IFERROR(__xludf.DUMMYFUNCTION("""COMPUTED_VALUE"""),336.3)</f>
        <v>336.3</v>
      </c>
      <c r="D2871" s="1">
        <f>IFERROR(__xludf.DUMMYFUNCTION("""COMPUTED_VALUE"""),331.4)</f>
        <v>331.4</v>
      </c>
      <c r="E2871" s="1">
        <f>IFERROR(__xludf.DUMMYFUNCTION("""COMPUTED_VALUE"""),333.75)</f>
        <v>333.75</v>
      </c>
      <c r="F2871" s="1">
        <f>IFERROR(__xludf.DUMMYFUNCTION("""COMPUTED_VALUE"""),1530879.0)</f>
        <v>1530879</v>
      </c>
    </row>
    <row r="2872">
      <c r="A2872" s="2">
        <f>IFERROR(__xludf.DUMMYFUNCTION("""COMPUTED_VALUE"""),40746.645833333336)</f>
        <v>40746.64583</v>
      </c>
      <c r="B2872" s="1">
        <f>IFERROR(__xludf.DUMMYFUNCTION("""COMPUTED_VALUE"""),335.2)</f>
        <v>335.2</v>
      </c>
      <c r="C2872" s="1">
        <f>IFERROR(__xludf.DUMMYFUNCTION("""COMPUTED_VALUE"""),337.4)</f>
        <v>337.4</v>
      </c>
      <c r="D2872" s="1">
        <f>IFERROR(__xludf.DUMMYFUNCTION("""COMPUTED_VALUE"""),332.25)</f>
        <v>332.25</v>
      </c>
      <c r="E2872" s="1">
        <f>IFERROR(__xludf.DUMMYFUNCTION("""COMPUTED_VALUE"""),333.7)</f>
        <v>333.7</v>
      </c>
      <c r="F2872" s="1">
        <f>IFERROR(__xludf.DUMMYFUNCTION("""COMPUTED_VALUE"""),2064576.0)</f>
        <v>2064576</v>
      </c>
    </row>
    <row r="2873">
      <c r="A2873" s="2">
        <f>IFERROR(__xludf.DUMMYFUNCTION("""COMPUTED_VALUE"""),40749.645833333336)</f>
        <v>40749.64583</v>
      </c>
      <c r="B2873" s="1">
        <f>IFERROR(__xludf.DUMMYFUNCTION("""COMPUTED_VALUE"""),333.25)</f>
        <v>333.25</v>
      </c>
      <c r="C2873" s="1">
        <f>IFERROR(__xludf.DUMMYFUNCTION("""COMPUTED_VALUE"""),334.0)</f>
        <v>334</v>
      </c>
      <c r="D2873" s="1">
        <f>IFERROR(__xludf.DUMMYFUNCTION("""COMPUTED_VALUE"""),329.75)</f>
        <v>329.75</v>
      </c>
      <c r="E2873" s="1">
        <f>IFERROR(__xludf.DUMMYFUNCTION("""COMPUTED_VALUE"""),331.2)</f>
        <v>331.2</v>
      </c>
      <c r="F2873" s="1">
        <f>IFERROR(__xludf.DUMMYFUNCTION("""COMPUTED_VALUE"""),2848687.0)</f>
        <v>2848687</v>
      </c>
    </row>
    <row r="2874">
      <c r="A2874" s="2">
        <f>IFERROR(__xludf.DUMMYFUNCTION("""COMPUTED_VALUE"""),40750.645833333336)</f>
        <v>40750.64583</v>
      </c>
      <c r="B2874" s="1">
        <f>IFERROR(__xludf.DUMMYFUNCTION("""COMPUTED_VALUE"""),331.7)</f>
        <v>331.7</v>
      </c>
      <c r="C2874" s="1">
        <f>IFERROR(__xludf.DUMMYFUNCTION("""COMPUTED_VALUE"""),333.0)</f>
        <v>333</v>
      </c>
      <c r="D2874" s="1">
        <f>IFERROR(__xludf.DUMMYFUNCTION("""COMPUTED_VALUE"""),324.2)</f>
        <v>324.2</v>
      </c>
      <c r="E2874" s="1">
        <f>IFERROR(__xludf.DUMMYFUNCTION("""COMPUTED_VALUE"""),327.45)</f>
        <v>327.45</v>
      </c>
      <c r="F2874" s="1">
        <f>IFERROR(__xludf.DUMMYFUNCTION("""COMPUTED_VALUE"""),1420497.0)</f>
        <v>1420497</v>
      </c>
    </row>
    <row r="2875">
      <c r="A2875" s="2">
        <f>IFERROR(__xludf.DUMMYFUNCTION("""COMPUTED_VALUE"""),40751.645833333336)</f>
        <v>40751.64583</v>
      </c>
      <c r="B2875" s="1">
        <f>IFERROR(__xludf.DUMMYFUNCTION("""COMPUTED_VALUE"""),329.3)</f>
        <v>329.3</v>
      </c>
      <c r="C2875" s="1">
        <f>IFERROR(__xludf.DUMMYFUNCTION("""COMPUTED_VALUE"""),329.3)</f>
        <v>329.3</v>
      </c>
      <c r="D2875" s="1">
        <f>IFERROR(__xludf.DUMMYFUNCTION("""COMPUTED_VALUE"""),322.1)</f>
        <v>322.1</v>
      </c>
      <c r="E2875" s="1">
        <f>IFERROR(__xludf.DUMMYFUNCTION("""COMPUTED_VALUE"""),326.0)</f>
        <v>326</v>
      </c>
      <c r="F2875" s="1">
        <f>IFERROR(__xludf.DUMMYFUNCTION("""COMPUTED_VALUE"""),1853575.0)</f>
        <v>1853575</v>
      </c>
    </row>
    <row r="2876">
      <c r="A2876" s="2">
        <f>IFERROR(__xludf.DUMMYFUNCTION("""COMPUTED_VALUE"""),40752.645833333336)</f>
        <v>40752.64583</v>
      </c>
      <c r="B2876" s="1">
        <f>IFERROR(__xludf.DUMMYFUNCTION("""COMPUTED_VALUE"""),325.85)</f>
        <v>325.85</v>
      </c>
      <c r="C2876" s="1">
        <f>IFERROR(__xludf.DUMMYFUNCTION("""COMPUTED_VALUE"""),329.2)</f>
        <v>329.2</v>
      </c>
      <c r="D2876" s="1">
        <f>IFERROR(__xludf.DUMMYFUNCTION("""COMPUTED_VALUE"""),320.05)</f>
        <v>320.05</v>
      </c>
      <c r="E2876" s="1">
        <f>IFERROR(__xludf.DUMMYFUNCTION("""COMPUTED_VALUE"""),322.85)</f>
        <v>322.85</v>
      </c>
      <c r="F2876" s="1">
        <f>IFERROR(__xludf.DUMMYFUNCTION("""COMPUTED_VALUE"""),9159189.0)</f>
        <v>9159189</v>
      </c>
    </row>
    <row r="2877">
      <c r="A2877" s="2">
        <f>IFERROR(__xludf.DUMMYFUNCTION("""COMPUTED_VALUE"""),40753.645833333336)</f>
        <v>40753.64583</v>
      </c>
      <c r="B2877" s="1">
        <f>IFERROR(__xludf.DUMMYFUNCTION("""COMPUTED_VALUE"""),325.7)</f>
        <v>325.7</v>
      </c>
      <c r="C2877" s="1">
        <f>IFERROR(__xludf.DUMMYFUNCTION("""COMPUTED_VALUE"""),327.0)</f>
        <v>327</v>
      </c>
      <c r="D2877" s="1">
        <f>IFERROR(__xludf.DUMMYFUNCTION("""COMPUTED_VALUE"""),319.45)</f>
        <v>319.45</v>
      </c>
      <c r="E2877" s="1">
        <f>IFERROR(__xludf.DUMMYFUNCTION("""COMPUTED_VALUE"""),324.0)</f>
        <v>324</v>
      </c>
      <c r="F2877" s="1">
        <f>IFERROR(__xludf.DUMMYFUNCTION("""COMPUTED_VALUE"""),3824366.0)</f>
        <v>3824366</v>
      </c>
    </row>
    <row r="2878">
      <c r="A2878" s="2">
        <f>IFERROR(__xludf.DUMMYFUNCTION("""COMPUTED_VALUE"""),40756.645833333336)</f>
        <v>40756.64583</v>
      </c>
      <c r="B2878" s="1">
        <f>IFERROR(__xludf.DUMMYFUNCTION("""COMPUTED_VALUE"""),325.5)</f>
        <v>325.5</v>
      </c>
      <c r="C2878" s="1">
        <f>IFERROR(__xludf.DUMMYFUNCTION("""COMPUTED_VALUE"""),327.3)</f>
        <v>327.3</v>
      </c>
      <c r="D2878" s="1">
        <f>IFERROR(__xludf.DUMMYFUNCTION("""COMPUTED_VALUE"""),321.6)</f>
        <v>321.6</v>
      </c>
      <c r="E2878" s="1">
        <f>IFERROR(__xludf.DUMMYFUNCTION("""COMPUTED_VALUE"""),322.95)</f>
        <v>322.95</v>
      </c>
      <c r="F2878" s="1">
        <f>IFERROR(__xludf.DUMMYFUNCTION("""COMPUTED_VALUE"""),1349396.0)</f>
        <v>1349396</v>
      </c>
    </row>
    <row r="2879">
      <c r="A2879" s="2">
        <f>IFERROR(__xludf.DUMMYFUNCTION("""COMPUTED_VALUE"""),40757.645833333336)</f>
        <v>40757.64583</v>
      </c>
      <c r="B2879" s="1">
        <f>IFERROR(__xludf.DUMMYFUNCTION("""COMPUTED_VALUE"""),323.85)</f>
        <v>323.85</v>
      </c>
      <c r="C2879" s="1">
        <f>IFERROR(__xludf.DUMMYFUNCTION("""COMPUTED_VALUE"""),326.8)</f>
        <v>326.8</v>
      </c>
      <c r="D2879" s="1">
        <f>IFERROR(__xludf.DUMMYFUNCTION("""COMPUTED_VALUE"""),320.25)</f>
        <v>320.25</v>
      </c>
      <c r="E2879" s="1">
        <f>IFERROR(__xludf.DUMMYFUNCTION("""COMPUTED_VALUE"""),323.75)</f>
        <v>323.75</v>
      </c>
      <c r="F2879" s="1">
        <f>IFERROR(__xludf.DUMMYFUNCTION("""COMPUTED_VALUE"""),2364644.0)</f>
        <v>2364644</v>
      </c>
    </row>
    <row r="2880">
      <c r="A2880" s="2">
        <f>IFERROR(__xludf.DUMMYFUNCTION("""COMPUTED_VALUE"""),40758.645833333336)</f>
        <v>40758.64583</v>
      </c>
      <c r="B2880" s="1">
        <f>IFERROR(__xludf.DUMMYFUNCTION("""COMPUTED_VALUE"""),320.5)</f>
        <v>320.5</v>
      </c>
      <c r="C2880" s="1">
        <f>IFERROR(__xludf.DUMMYFUNCTION("""COMPUTED_VALUE"""),323.45)</f>
        <v>323.45</v>
      </c>
      <c r="D2880" s="1">
        <f>IFERROR(__xludf.DUMMYFUNCTION("""COMPUTED_VALUE"""),317.0)</f>
        <v>317</v>
      </c>
      <c r="E2880" s="1">
        <f>IFERROR(__xludf.DUMMYFUNCTION("""COMPUTED_VALUE"""),322.0)</f>
        <v>322</v>
      </c>
      <c r="F2880" s="1">
        <f>IFERROR(__xludf.DUMMYFUNCTION("""COMPUTED_VALUE"""),2568934.0)</f>
        <v>2568934</v>
      </c>
    </row>
    <row r="2881">
      <c r="A2881" s="2">
        <f>IFERROR(__xludf.DUMMYFUNCTION("""COMPUTED_VALUE"""),40759.645833333336)</f>
        <v>40759.64583</v>
      </c>
      <c r="B2881" s="1">
        <f>IFERROR(__xludf.DUMMYFUNCTION("""COMPUTED_VALUE"""),322.65)</f>
        <v>322.65</v>
      </c>
      <c r="C2881" s="1">
        <f>IFERROR(__xludf.DUMMYFUNCTION("""COMPUTED_VALUE"""),325.45)</f>
        <v>325.45</v>
      </c>
      <c r="D2881" s="1">
        <f>IFERROR(__xludf.DUMMYFUNCTION("""COMPUTED_VALUE"""),317.85)</f>
        <v>317.85</v>
      </c>
      <c r="E2881" s="1">
        <f>IFERROR(__xludf.DUMMYFUNCTION("""COMPUTED_VALUE"""),319.2)</f>
        <v>319.2</v>
      </c>
      <c r="F2881" s="1">
        <f>IFERROR(__xludf.DUMMYFUNCTION("""COMPUTED_VALUE"""),2150710.0)</f>
        <v>2150710</v>
      </c>
    </row>
    <row r="2882">
      <c r="A2882" s="2">
        <f>IFERROR(__xludf.DUMMYFUNCTION("""COMPUTED_VALUE"""),40760.645833333336)</f>
        <v>40760.64583</v>
      </c>
      <c r="B2882" s="1">
        <f>IFERROR(__xludf.DUMMYFUNCTION("""COMPUTED_VALUE"""),315.0)</f>
        <v>315</v>
      </c>
      <c r="C2882" s="1">
        <f>IFERROR(__xludf.DUMMYFUNCTION("""COMPUTED_VALUE"""),320.5)</f>
        <v>320.5</v>
      </c>
      <c r="D2882" s="1">
        <f>IFERROR(__xludf.DUMMYFUNCTION("""COMPUTED_VALUE"""),312.1)</f>
        <v>312.1</v>
      </c>
      <c r="E2882" s="1">
        <f>IFERROR(__xludf.DUMMYFUNCTION("""COMPUTED_VALUE"""),318.85)</f>
        <v>318.85</v>
      </c>
      <c r="F2882" s="1">
        <f>IFERROR(__xludf.DUMMYFUNCTION("""COMPUTED_VALUE"""),2715088.0)</f>
        <v>2715088</v>
      </c>
    </row>
    <row r="2883">
      <c r="A2883" s="2">
        <f>IFERROR(__xludf.DUMMYFUNCTION("""COMPUTED_VALUE"""),40763.645833333336)</f>
        <v>40763.64583</v>
      </c>
      <c r="B2883" s="1">
        <f>IFERROR(__xludf.DUMMYFUNCTION("""COMPUTED_VALUE"""),311.25)</f>
        <v>311.25</v>
      </c>
      <c r="C2883" s="1">
        <f>IFERROR(__xludf.DUMMYFUNCTION("""COMPUTED_VALUE"""),321.3)</f>
        <v>321.3</v>
      </c>
      <c r="D2883" s="1">
        <f>IFERROR(__xludf.DUMMYFUNCTION("""COMPUTED_VALUE"""),308.55)</f>
        <v>308.55</v>
      </c>
      <c r="E2883" s="1">
        <f>IFERROR(__xludf.DUMMYFUNCTION("""COMPUTED_VALUE"""),319.7)</f>
        <v>319.7</v>
      </c>
      <c r="F2883" s="1">
        <f>IFERROR(__xludf.DUMMYFUNCTION("""COMPUTED_VALUE"""),5022498.0)</f>
        <v>5022498</v>
      </c>
    </row>
    <row r="2884">
      <c r="A2884" s="2">
        <f>IFERROR(__xludf.DUMMYFUNCTION("""COMPUTED_VALUE"""),40764.645833333336)</f>
        <v>40764.64583</v>
      </c>
      <c r="B2884" s="1">
        <f>IFERROR(__xludf.DUMMYFUNCTION("""COMPUTED_VALUE"""),314.0)</f>
        <v>314</v>
      </c>
      <c r="C2884" s="1">
        <f>IFERROR(__xludf.DUMMYFUNCTION("""COMPUTED_VALUE"""),322.8)</f>
        <v>322.8</v>
      </c>
      <c r="D2884" s="1">
        <f>IFERROR(__xludf.DUMMYFUNCTION("""COMPUTED_VALUE"""),310.65)</f>
        <v>310.65</v>
      </c>
      <c r="E2884" s="1">
        <f>IFERROR(__xludf.DUMMYFUNCTION("""COMPUTED_VALUE"""),319.45)</f>
        <v>319.45</v>
      </c>
      <c r="F2884" s="1">
        <f>IFERROR(__xludf.DUMMYFUNCTION("""COMPUTED_VALUE"""),2979527.0)</f>
        <v>2979527</v>
      </c>
    </row>
    <row r="2885">
      <c r="A2885" s="2">
        <f>IFERROR(__xludf.DUMMYFUNCTION("""COMPUTED_VALUE"""),40765.645833333336)</f>
        <v>40765.64583</v>
      </c>
      <c r="B2885" s="1">
        <f>IFERROR(__xludf.DUMMYFUNCTION("""COMPUTED_VALUE"""),318.0)</f>
        <v>318</v>
      </c>
      <c r="C2885" s="1">
        <f>IFERROR(__xludf.DUMMYFUNCTION("""COMPUTED_VALUE"""),320.0)</f>
        <v>320</v>
      </c>
      <c r="D2885" s="1">
        <f>IFERROR(__xludf.DUMMYFUNCTION("""COMPUTED_VALUE"""),314.5)</f>
        <v>314.5</v>
      </c>
      <c r="E2885" s="1">
        <f>IFERROR(__xludf.DUMMYFUNCTION("""COMPUTED_VALUE"""),316.3)</f>
        <v>316.3</v>
      </c>
      <c r="F2885" s="1">
        <f>IFERROR(__xludf.DUMMYFUNCTION("""COMPUTED_VALUE"""),2655553.0)</f>
        <v>2655553</v>
      </c>
    </row>
    <row r="2886">
      <c r="A2886" s="2">
        <f>IFERROR(__xludf.DUMMYFUNCTION("""COMPUTED_VALUE"""),40766.645833333336)</f>
        <v>40766.64583</v>
      </c>
      <c r="B2886" s="1">
        <f>IFERROR(__xludf.DUMMYFUNCTION("""COMPUTED_VALUE"""),317.4)</f>
        <v>317.4</v>
      </c>
      <c r="C2886" s="1">
        <f>IFERROR(__xludf.DUMMYFUNCTION("""COMPUTED_VALUE"""),317.4)</f>
        <v>317.4</v>
      </c>
      <c r="D2886" s="1">
        <f>IFERROR(__xludf.DUMMYFUNCTION("""COMPUTED_VALUE"""),314.6)</f>
        <v>314.6</v>
      </c>
      <c r="E2886" s="1">
        <f>IFERROR(__xludf.DUMMYFUNCTION("""COMPUTED_VALUE"""),315.55)</f>
        <v>315.55</v>
      </c>
      <c r="F2886" s="1">
        <f>IFERROR(__xludf.DUMMYFUNCTION("""COMPUTED_VALUE"""),1896062.0)</f>
        <v>1896062</v>
      </c>
    </row>
    <row r="2887">
      <c r="A2887" s="2">
        <f>IFERROR(__xludf.DUMMYFUNCTION("""COMPUTED_VALUE"""),40767.645833333336)</f>
        <v>40767.64583</v>
      </c>
      <c r="B2887" s="1">
        <f>IFERROR(__xludf.DUMMYFUNCTION("""COMPUTED_VALUE"""),319.0)</f>
        <v>319</v>
      </c>
      <c r="C2887" s="1">
        <f>IFERROR(__xludf.DUMMYFUNCTION("""COMPUTED_VALUE"""),319.0)</f>
        <v>319</v>
      </c>
      <c r="D2887" s="1">
        <f>IFERROR(__xludf.DUMMYFUNCTION("""COMPUTED_VALUE"""),313.2)</f>
        <v>313.2</v>
      </c>
      <c r="E2887" s="1">
        <f>IFERROR(__xludf.DUMMYFUNCTION("""COMPUTED_VALUE"""),315.05)</f>
        <v>315.05</v>
      </c>
      <c r="F2887" s="1">
        <f>IFERROR(__xludf.DUMMYFUNCTION("""COMPUTED_VALUE"""),1844873.0)</f>
        <v>1844873</v>
      </c>
    </row>
    <row r="2888">
      <c r="A2888" s="2">
        <f>IFERROR(__xludf.DUMMYFUNCTION("""COMPUTED_VALUE"""),40771.645833333336)</f>
        <v>40771.64583</v>
      </c>
      <c r="B2888" s="1">
        <f>IFERROR(__xludf.DUMMYFUNCTION("""COMPUTED_VALUE"""),316.0)</f>
        <v>316</v>
      </c>
      <c r="C2888" s="1">
        <f>IFERROR(__xludf.DUMMYFUNCTION("""COMPUTED_VALUE"""),316.0)</f>
        <v>316</v>
      </c>
      <c r="D2888" s="1">
        <f>IFERROR(__xludf.DUMMYFUNCTION("""COMPUTED_VALUE"""),309.6)</f>
        <v>309.6</v>
      </c>
      <c r="E2888" s="1">
        <f>IFERROR(__xludf.DUMMYFUNCTION("""COMPUTED_VALUE"""),310.45)</f>
        <v>310.45</v>
      </c>
      <c r="F2888" s="1">
        <f>IFERROR(__xludf.DUMMYFUNCTION("""COMPUTED_VALUE"""),2309861.0)</f>
        <v>2309861</v>
      </c>
    </row>
    <row r="2889">
      <c r="A2889" s="2">
        <f>IFERROR(__xludf.DUMMYFUNCTION("""COMPUTED_VALUE"""),40772.645833333336)</f>
        <v>40772.64583</v>
      </c>
      <c r="B2889" s="1">
        <f>IFERROR(__xludf.DUMMYFUNCTION("""COMPUTED_VALUE"""),311.0)</f>
        <v>311</v>
      </c>
      <c r="C2889" s="1">
        <f>IFERROR(__xludf.DUMMYFUNCTION("""COMPUTED_VALUE"""),319.0)</f>
        <v>319</v>
      </c>
      <c r="D2889" s="1">
        <f>IFERROR(__xludf.DUMMYFUNCTION("""COMPUTED_VALUE"""),310.55)</f>
        <v>310.55</v>
      </c>
      <c r="E2889" s="1">
        <f>IFERROR(__xludf.DUMMYFUNCTION("""COMPUTED_VALUE"""),316.4)</f>
        <v>316.4</v>
      </c>
      <c r="F2889" s="1">
        <f>IFERROR(__xludf.DUMMYFUNCTION("""COMPUTED_VALUE"""),1950763.0)</f>
        <v>1950763</v>
      </c>
    </row>
    <row r="2890">
      <c r="A2890" s="2">
        <f>IFERROR(__xludf.DUMMYFUNCTION("""COMPUTED_VALUE"""),40774.645833333336)</f>
        <v>40774.64583</v>
      </c>
      <c r="B2890" s="1">
        <f>IFERROR(__xludf.DUMMYFUNCTION("""COMPUTED_VALUE"""),313.55)</f>
        <v>313.55</v>
      </c>
      <c r="C2890" s="1">
        <f>IFERROR(__xludf.DUMMYFUNCTION("""COMPUTED_VALUE"""),319.4)</f>
        <v>319.4</v>
      </c>
      <c r="D2890" s="1">
        <f>IFERROR(__xludf.DUMMYFUNCTION("""COMPUTED_VALUE"""),312.7)</f>
        <v>312.7</v>
      </c>
      <c r="E2890" s="1">
        <f>IFERROR(__xludf.DUMMYFUNCTION("""COMPUTED_VALUE"""),315.7)</f>
        <v>315.7</v>
      </c>
      <c r="F2890" s="1">
        <f>IFERROR(__xludf.DUMMYFUNCTION("""COMPUTED_VALUE"""),1724375.0)</f>
        <v>1724375</v>
      </c>
    </row>
    <row r="2891">
      <c r="A2891" s="2">
        <f>IFERROR(__xludf.DUMMYFUNCTION("""COMPUTED_VALUE"""),40777.645833333336)</f>
        <v>40777.64583</v>
      </c>
      <c r="B2891" s="1">
        <f>IFERROR(__xludf.DUMMYFUNCTION("""COMPUTED_VALUE"""),315.95)</f>
        <v>315.95</v>
      </c>
      <c r="C2891" s="1">
        <f>IFERROR(__xludf.DUMMYFUNCTION("""COMPUTED_VALUE"""),316.15)</f>
        <v>316.15</v>
      </c>
      <c r="D2891" s="1">
        <f>IFERROR(__xludf.DUMMYFUNCTION("""COMPUTED_VALUE"""),312.55)</f>
        <v>312.55</v>
      </c>
      <c r="E2891" s="1">
        <f>IFERROR(__xludf.DUMMYFUNCTION("""COMPUTED_VALUE"""),313.15)</f>
        <v>313.15</v>
      </c>
      <c r="F2891" s="1">
        <f>IFERROR(__xludf.DUMMYFUNCTION("""COMPUTED_VALUE"""),1601337.0)</f>
        <v>1601337</v>
      </c>
    </row>
    <row r="2892">
      <c r="A2892" s="2">
        <f>IFERROR(__xludf.DUMMYFUNCTION("""COMPUTED_VALUE"""),40778.645833333336)</f>
        <v>40778.64583</v>
      </c>
      <c r="B2892" s="1">
        <f>IFERROR(__xludf.DUMMYFUNCTION("""COMPUTED_VALUE"""),314.0)</f>
        <v>314</v>
      </c>
      <c r="C2892" s="1">
        <f>IFERROR(__xludf.DUMMYFUNCTION("""COMPUTED_VALUE"""),319.3)</f>
        <v>319.3</v>
      </c>
      <c r="D2892" s="1">
        <f>IFERROR(__xludf.DUMMYFUNCTION("""COMPUTED_VALUE"""),313.5)</f>
        <v>313.5</v>
      </c>
      <c r="E2892" s="1">
        <f>IFERROR(__xludf.DUMMYFUNCTION("""COMPUTED_VALUE"""),318.15)</f>
        <v>318.15</v>
      </c>
      <c r="F2892" s="1">
        <f>IFERROR(__xludf.DUMMYFUNCTION("""COMPUTED_VALUE"""),2782892.0)</f>
        <v>2782892</v>
      </c>
    </row>
    <row r="2893">
      <c r="A2893" s="2">
        <f>IFERROR(__xludf.DUMMYFUNCTION("""COMPUTED_VALUE"""),40779.645833333336)</f>
        <v>40779.64583</v>
      </c>
      <c r="B2893" s="1">
        <f>IFERROR(__xludf.DUMMYFUNCTION("""COMPUTED_VALUE"""),318.3)</f>
        <v>318.3</v>
      </c>
      <c r="C2893" s="1">
        <f>IFERROR(__xludf.DUMMYFUNCTION("""COMPUTED_VALUE"""),321.6)</f>
        <v>321.6</v>
      </c>
      <c r="D2893" s="1">
        <f>IFERROR(__xludf.DUMMYFUNCTION("""COMPUTED_VALUE"""),315.6)</f>
        <v>315.6</v>
      </c>
      <c r="E2893" s="1">
        <f>IFERROR(__xludf.DUMMYFUNCTION("""COMPUTED_VALUE"""),319.7)</f>
        <v>319.7</v>
      </c>
      <c r="F2893" s="1">
        <f>IFERROR(__xludf.DUMMYFUNCTION("""COMPUTED_VALUE"""),2993047.0)</f>
        <v>2993047</v>
      </c>
    </row>
    <row r="2894">
      <c r="A2894" s="2">
        <f>IFERROR(__xludf.DUMMYFUNCTION("""COMPUTED_VALUE"""),40780.645833333336)</f>
        <v>40780.64583</v>
      </c>
      <c r="B2894" s="1">
        <f>IFERROR(__xludf.DUMMYFUNCTION("""COMPUTED_VALUE"""),320.55)</f>
        <v>320.55</v>
      </c>
      <c r="C2894" s="1">
        <f>IFERROR(__xludf.DUMMYFUNCTION("""COMPUTED_VALUE"""),324.45)</f>
        <v>324.45</v>
      </c>
      <c r="D2894" s="1">
        <f>IFERROR(__xludf.DUMMYFUNCTION("""COMPUTED_VALUE"""),319.0)</f>
        <v>319</v>
      </c>
      <c r="E2894" s="1">
        <f>IFERROR(__xludf.DUMMYFUNCTION("""COMPUTED_VALUE"""),320.3)</f>
        <v>320.3</v>
      </c>
      <c r="F2894" s="1">
        <f>IFERROR(__xludf.DUMMYFUNCTION("""COMPUTED_VALUE"""),7132173.0)</f>
        <v>7132173</v>
      </c>
    </row>
    <row r="2895">
      <c r="A2895" s="2">
        <f>IFERROR(__xludf.DUMMYFUNCTION("""COMPUTED_VALUE"""),40781.645833333336)</f>
        <v>40781.64583</v>
      </c>
      <c r="B2895" s="1">
        <f>IFERROR(__xludf.DUMMYFUNCTION("""COMPUTED_VALUE"""),320.0)</f>
        <v>320</v>
      </c>
      <c r="C2895" s="1">
        <f>IFERROR(__xludf.DUMMYFUNCTION("""COMPUTED_VALUE"""),321.15)</f>
        <v>321.15</v>
      </c>
      <c r="D2895" s="1">
        <f>IFERROR(__xludf.DUMMYFUNCTION("""COMPUTED_VALUE"""),317.3)</f>
        <v>317.3</v>
      </c>
      <c r="E2895" s="1">
        <f>IFERROR(__xludf.DUMMYFUNCTION("""COMPUTED_VALUE"""),319.65)</f>
        <v>319.65</v>
      </c>
      <c r="F2895" s="1">
        <f>IFERROR(__xludf.DUMMYFUNCTION("""COMPUTED_VALUE"""),1486824.0)</f>
        <v>1486824</v>
      </c>
    </row>
    <row r="2896">
      <c r="A2896" s="2">
        <f>IFERROR(__xludf.DUMMYFUNCTION("""COMPUTED_VALUE"""),40784.645833333336)</f>
        <v>40784.64583</v>
      </c>
      <c r="B2896" s="1">
        <f>IFERROR(__xludf.DUMMYFUNCTION("""COMPUTED_VALUE"""),320.0)</f>
        <v>320</v>
      </c>
      <c r="C2896" s="1">
        <f>IFERROR(__xludf.DUMMYFUNCTION("""COMPUTED_VALUE"""),321.85)</f>
        <v>321.85</v>
      </c>
      <c r="D2896" s="1">
        <f>IFERROR(__xludf.DUMMYFUNCTION("""COMPUTED_VALUE"""),318.3)</f>
        <v>318.3</v>
      </c>
      <c r="E2896" s="1">
        <f>IFERROR(__xludf.DUMMYFUNCTION("""COMPUTED_VALUE"""),320.0)</f>
        <v>320</v>
      </c>
      <c r="F2896" s="1">
        <f>IFERROR(__xludf.DUMMYFUNCTION("""COMPUTED_VALUE"""),3558243.0)</f>
        <v>3558243</v>
      </c>
    </row>
    <row r="2897">
      <c r="A2897" s="2">
        <f>IFERROR(__xludf.DUMMYFUNCTION("""COMPUTED_VALUE"""),40785.645833333336)</f>
        <v>40785.64583</v>
      </c>
      <c r="B2897" s="1">
        <f>IFERROR(__xludf.DUMMYFUNCTION("""COMPUTED_VALUE"""),320.6)</f>
        <v>320.6</v>
      </c>
      <c r="C2897" s="1">
        <f>IFERROR(__xludf.DUMMYFUNCTION("""COMPUTED_VALUE"""),321.55)</f>
        <v>321.55</v>
      </c>
      <c r="D2897" s="1">
        <f>IFERROR(__xludf.DUMMYFUNCTION("""COMPUTED_VALUE"""),319.15)</f>
        <v>319.15</v>
      </c>
      <c r="E2897" s="1">
        <f>IFERROR(__xludf.DUMMYFUNCTION("""COMPUTED_VALUE"""),320.4)</f>
        <v>320.4</v>
      </c>
      <c r="F2897" s="1">
        <f>IFERROR(__xludf.DUMMYFUNCTION("""COMPUTED_VALUE"""),4291158.0)</f>
        <v>4291158</v>
      </c>
    </row>
    <row r="2898">
      <c r="A2898" s="2">
        <f>IFERROR(__xludf.DUMMYFUNCTION("""COMPUTED_VALUE"""),40788.645833333336)</f>
        <v>40788.64583</v>
      </c>
      <c r="B2898" s="1">
        <f>IFERROR(__xludf.DUMMYFUNCTION("""COMPUTED_VALUE"""),330.0)</f>
        <v>330</v>
      </c>
      <c r="C2898" s="1">
        <f>IFERROR(__xludf.DUMMYFUNCTION("""COMPUTED_VALUE"""),331.0)</f>
        <v>331</v>
      </c>
      <c r="D2898" s="1">
        <f>IFERROR(__xludf.DUMMYFUNCTION("""COMPUTED_VALUE"""),315.35)</f>
        <v>315.35</v>
      </c>
      <c r="E2898" s="1">
        <f>IFERROR(__xludf.DUMMYFUNCTION("""COMPUTED_VALUE"""),320.0)</f>
        <v>320</v>
      </c>
      <c r="F2898" s="1">
        <f>IFERROR(__xludf.DUMMYFUNCTION("""COMPUTED_VALUE"""),4706588.0)</f>
        <v>4706588</v>
      </c>
    </row>
    <row r="2899">
      <c r="A2899" s="2">
        <f>IFERROR(__xludf.DUMMYFUNCTION("""COMPUTED_VALUE"""),40791.645833333336)</f>
        <v>40791.64583</v>
      </c>
      <c r="B2899" s="1">
        <f>IFERROR(__xludf.DUMMYFUNCTION("""COMPUTED_VALUE"""),321.4)</f>
        <v>321.4</v>
      </c>
      <c r="C2899" s="1">
        <f>IFERROR(__xludf.DUMMYFUNCTION("""COMPUTED_VALUE"""),321.4)</f>
        <v>321.4</v>
      </c>
      <c r="D2899" s="1">
        <f>IFERROR(__xludf.DUMMYFUNCTION("""COMPUTED_VALUE"""),316.7)</f>
        <v>316.7</v>
      </c>
      <c r="E2899" s="1">
        <f>IFERROR(__xludf.DUMMYFUNCTION("""COMPUTED_VALUE"""),319.85)</f>
        <v>319.85</v>
      </c>
      <c r="F2899" s="1">
        <f>IFERROR(__xludf.DUMMYFUNCTION("""COMPUTED_VALUE"""),1668142.0)</f>
        <v>1668142</v>
      </c>
    </row>
    <row r="2900">
      <c r="A2900" s="2">
        <f>IFERROR(__xludf.DUMMYFUNCTION("""COMPUTED_VALUE"""),40792.645833333336)</f>
        <v>40792.64583</v>
      </c>
      <c r="B2900" s="1">
        <f>IFERROR(__xludf.DUMMYFUNCTION("""COMPUTED_VALUE"""),319.85)</f>
        <v>319.85</v>
      </c>
      <c r="C2900" s="1">
        <f>IFERROR(__xludf.DUMMYFUNCTION("""COMPUTED_VALUE"""),320.45)</f>
        <v>320.45</v>
      </c>
      <c r="D2900" s="1">
        <f>IFERROR(__xludf.DUMMYFUNCTION("""COMPUTED_VALUE"""),314.95)</f>
        <v>314.95</v>
      </c>
      <c r="E2900" s="1">
        <f>IFERROR(__xludf.DUMMYFUNCTION("""COMPUTED_VALUE"""),320.0)</f>
        <v>320</v>
      </c>
      <c r="F2900" s="1">
        <f>IFERROR(__xludf.DUMMYFUNCTION("""COMPUTED_VALUE"""),2156702.0)</f>
        <v>2156702</v>
      </c>
    </row>
    <row r="2901">
      <c r="A2901" s="2">
        <f>IFERROR(__xludf.DUMMYFUNCTION("""COMPUTED_VALUE"""),40793.645833333336)</f>
        <v>40793.64583</v>
      </c>
      <c r="B2901" s="1">
        <f>IFERROR(__xludf.DUMMYFUNCTION("""COMPUTED_VALUE"""),320.0)</f>
        <v>320</v>
      </c>
      <c r="C2901" s="1">
        <f>IFERROR(__xludf.DUMMYFUNCTION("""COMPUTED_VALUE"""),322.5)</f>
        <v>322.5</v>
      </c>
      <c r="D2901" s="1">
        <f>IFERROR(__xludf.DUMMYFUNCTION("""COMPUTED_VALUE"""),318.35)</f>
        <v>318.35</v>
      </c>
      <c r="E2901" s="1">
        <f>IFERROR(__xludf.DUMMYFUNCTION("""COMPUTED_VALUE"""),320.5)</f>
        <v>320.5</v>
      </c>
      <c r="F2901" s="1">
        <f>IFERROR(__xludf.DUMMYFUNCTION("""COMPUTED_VALUE"""),2609747.0)</f>
        <v>2609747</v>
      </c>
    </row>
    <row r="2902">
      <c r="A2902" s="2">
        <f>IFERROR(__xludf.DUMMYFUNCTION("""COMPUTED_VALUE"""),40794.645833333336)</f>
        <v>40794.64583</v>
      </c>
      <c r="B2902" s="1">
        <f>IFERROR(__xludf.DUMMYFUNCTION("""COMPUTED_VALUE"""),320.35)</f>
        <v>320.35</v>
      </c>
      <c r="C2902" s="1">
        <f>IFERROR(__xludf.DUMMYFUNCTION("""COMPUTED_VALUE"""),327.4)</f>
        <v>327.4</v>
      </c>
      <c r="D2902" s="1">
        <f>IFERROR(__xludf.DUMMYFUNCTION("""COMPUTED_VALUE"""),318.8)</f>
        <v>318.8</v>
      </c>
      <c r="E2902" s="1">
        <f>IFERROR(__xludf.DUMMYFUNCTION("""COMPUTED_VALUE"""),324.75)</f>
        <v>324.75</v>
      </c>
      <c r="F2902" s="1">
        <f>IFERROR(__xludf.DUMMYFUNCTION("""COMPUTED_VALUE"""),3610242.0)</f>
        <v>3610242</v>
      </c>
    </row>
    <row r="2903">
      <c r="A2903" s="2">
        <f>IFERROR(__xludf.DUMMYFUNCTION("""COMPUTED_VALUE"""),40795.645833333336)</f>
        <v>40795.64583</v>
      </c>
      <c r="B2903" s="1">
        <f>IFERROR(__xludf.DUMMYFUNCTION("""COMPUTED_VALUE"""),325.15)</f>
        <v>325.15</v>
      </c>
      <c r="C2903" s="1">
        <f>IFERROR(__xludf.DUMMYFUNCTION("""COMPUTED_VALUE"""),338.0)</f>
        <v>338</v>
      </c>
      <c r="D2903" s="1">
        <f>IFERROR(__xludf.DUMMYFUNCTION("""COMPUTED_VALUE"""),325.0)</f>
        <v>325</v>
      </c>
      <c r="E2903" s="1">
        <f>IFERROR(__xludf.DUMMYFUNCTION("""COMPUTED_VALUE"""),333.15)</f>
        <v>333.15</v>
      </c>
      <c r="F2903" s="1">
        <f>IFERROR(__xludf.DUMMYFUNCTION("""COMPUTED_VALUE"""),5585928.0)</f>
        <v>5585928</v>
      </c>
    </row>
    <row r="2904">
      <c r="A2904" s="2">
        <f>IFERROR(__xludf.DUMMYFUNCTION("""COMPUTED_VALUE"""),40798.645833333336)</f>
        <v>40798.64583</v>
      </c>
      <c r="B2904" s="1">
        <f>IFERROR(__xludf.DUMMYFUNCTION("""COMPUTED_VALUE"""),329.6)</f>
        <v>329.6</v>
      </c>
      <c r="C2904" s="1">
        <f>IFERROR(__xludf.DUMMYFUNCTION("""COMPUTED_VALUE"""),348.5)</f>
        <v>348.5</v>
      </c>
      <c r="D2904" s="1">
        <f>IFERROR(__xludf.DUMMYFUNCTION("""COMPUTED_VALUE"""),329.6)</f>
        <v>329.6</v>
      </c>
      <c r="E2904" s="1">
        <f>IFERROR(__xludf.DUMMYFUNCTION("""COMPUTED_VALUE"""),346.0)</f>
        <v>346</v>
      </c>
      <c r="F2904" s="1">
        <f>IFERROR(__xludf.DUMMYFUNCTION("""COMPUTED_VALUE"""),4858629.0)</f>
        <v>4858629</v>
      </c>
    </row>
    <row r="2905">
      <c r="A2905" s="2">
        <f>IFERROR(__xludf.DUMMYFUNCTION("""COMPUTED_VALUE"""),40799.645833333336)</f>
        <v>40799.64583</v>
      </c>
      <c r="B2905" s="1">
        <f>IFERROR(__xludf.DUMMYFUNCTION("""COMPUTED_VALUE"""),346.75)</f>
        <v>346.75</v>
      </c>
      <c r="C2905" s="1">
        <f>IFERROR(__xludf.DUMMYFUNCTION("""COMPUTED_VALUE"""),347.85)</f>
        <v>347.85</v>
      </c>
      <c r="D2905" s="1">
        <f>IFERROR(__xludf.DUMMYFUNCTION("""COMPUTED_VALUE"""),340.15)</f>
        <v>340.15</v>
      </c>
      <c r="E2905" s="1">
        <f>IFERROR(__xludf.DUMMYFUNCTION("""COMPUTED_VALUE"""),341.35)</f>
        <v>341.35</v>
      </c>
      <c r="F2905" s="1">
        <f>IFERROR(__xludf.DUMMYFUNCTION("""COMPUTED_VALUE"""),3890429.0)</f>
        <v>3890429</v>
      </c>
    </row>
    <row r="2906">
      <c r="A2906" s="2">
        <f>IFERROR(__xludf.DUMMYFUNCTION("""COMPUTED_VALUE"""),40800.645833333336)</f>
        <v>40800.64583</v>
      </c>
      <c r="B2906" s="1">
        <f>IFERROR(__xludf.DUMMYFUNCTION("""COMPUTED_VALUE"""),342.85)</f>
        <v>342.85</v>
      </c>
      <c r="C2906" s="1">
        <f>IFERROR(__xludf.DUMMYFUNCTION("""COMPUTED_VALUE"""),353.95)</f>
        <v>353.95</v>
      </c>
      <c r="D2906" s="1">
        <f>IFERROR(__xludf.DUMMYFUNCTION("""COMPUTED_VALUE"""),337.55)</f>
        <v>337.55</v>
      </c>
      <c r="E2906" s="1">
        <f>IFERROR(__xludf.DUMMYFUNCTION("""COMPUTED_VALUE"""),352.6)</f>
        <v>352.6</v>
      </c>
      <c r="F2906" s="1">
        <f>IFERROR(__xludf.DUMMYFUNCTION("""COMPUTED_VALUE"""),3575382.0)</f>
        <v>3575382</v>
      </c>
    </row>
    <row r="2907">
      <c r="A2907" s="2">
        <f>IFERROR(__xludf.DUMMYFUNCTION("""COMPUTED_VALUE"""),40801.645833333336)</f>
        <v>40801.64583</v>
      </c>
      <c r="B2907" s="1">
        <f>IFERROR(__xludf.DUMMYFUNCTION("""COMPUTED_VALUE"""),354.5)</f>
        <v>354.5</v>
      </c>
      <c r="C2907" s="1">
        <f>IFERROR(__xludf.DUMMYFUNCTION("""COMPUTED_VALUE"""),354.8)</f>
        <v>354.8</v>
      </c>
      <c r="D2907" s="1">
        <f>IFERROR(__xludf.DUMMYFUNCTION("""COMPUTED_VALUE"""),346.1)</f>
        <v>346.1</v>
      </c>
      <c r="E2907" s="1">
        <f>IFERROR(__xludf.DUMMYFUNCTION("""COMPUTED_VALUE"""),349.25)</f>
        <v>349.25</v>
      </c>
      <c r="F2907" s="1">
        <f>IFERROR(__xludf.DUMMYFUNCTION("""COMPUTED_VALUE"""),3540391.0)</f>
        <v>3540391</v>
      </c>
    </row>
    <row r="2908">
      <c r="A2908" s="2">
        <f>IFERROR(__xludf.DUMMYFUNCTION("""COMPUTED_VALUE"""),40802.645833333336)</f>
        <v>40802.64583</v>
      </c>
      <c r="B2908" s="1">
        <f>IFERROR(__xludf.DUMMYFUNCTION("""COMPUTED_VALUE"""),347.25)</f>
        <v>347.25</v>
      </c>
      <c r="C2908" s="1">
        <f>IFERROR(__xludf.DUMMYFUNCTION("""COMPUTED_VALUE"""),351.35)</f>
        <v>351.35</v>
      </c>
      <c r="D2908" s="1">
        <f>IFERROR(__xludf.DUMMYFUNCTION("""COMPUTED_VALUE"""),336.85)</f>
        <v>336.85</v>
      </c>
      <c r="E2908" s="1">
        <f>IFERROR(__xludf.DUMMYFUNCTION("""COMPUTED_VALUE"""),339.35)</f>
        <v>339.35</v>
      </c>
      <c r="F2908" s="1">
        <f>IFERROR(__xludf.DUMMYFUNCTION("""COMPUTED_VALUE"""),4985062.0)</f>
        <v>4985062</v>
      </c>
    </row>
    <row r="2909">
      <c r="A2909" s="2">
        <f>IFERROR(__xludf.DUMMYFUNCTION("""COMPUTED_VALUE"""),40805.645833333336)</f>
        <v>40805.64583</v>
      </c>
      <c r="B2909" s="1">
        <f>IFERROR(__xludf.DUMMYFUNCTION("""COMPUTED_VALUE"""),339.5)</f>
        <v>339.5</v>
      </c>
      <c r="C2909" s="1">
        <f>IFERROR(__xludf.DUMMYFUNCTION("""COMPUTED_VALUE"""),340.0)</f>
        <v>340</v>
      </c>
      <c r="D2909" s="1">
        <f>IFERROR(__xludf.DUMMYFUNCTION("""COMPUTED_VALUE"""),335.2)</f>
        <v>335.2</v>
      </c>
      <c r="E2909" s="1">
        <f>IFERROR(__xludf.DUMMYFUNCTION("""COMPUTED_VALUE"""),337.85)</f>
        <v>337.85</v>
      </c>
      <c r="F2909" s="1">
        <f>IFERROR(__xludf.DUMMYFUNCTION("""COMPUTED_VALUE"""),1509561.0)</f>
        <v>1509561</v>
      </c>
    </row>
    <row r="2910">
      <c r="A2910" s="2">
        <f>IFERROR(__xludf.DUMMYFUNCTION("""COMPUTED_VALUE"""),40806.645833333336)</f>
        <v>40806.64583</v>
      </c>
      <c r="B2910" s="1">
        <f>IFERROR(__xludf.DUMMYFUNCTION("""COMPUTED_VALUE"""),338.8)</f>
        <v>338.8</v>
      </c>
      <c r="C2910" s="1">
        <f>IFERROR(__xludf.DUMMYFUNCTION("""COMPUTED_VALUE"""),345.95)</f>
        <v>345.95</v>
      </c>
      <c r="D2910" s="1">
        <f>IFERROR(__xludf.DUMMYFUNCTION("""COMPUTED_VALUE"""),337.25)</f>
        <v>337.25</v>
      </c>
      <c r="E2910" s="1">
        <f>IFERROR(__xludf.DUMMYFUNCTION("""COMPUTED_VALUE"""),343.0)</f>
        <v>343</v>
      </c>
      <c r="F2910" s="1">
        <f>IFERROR(__xludf.DUMMYFUNCTION("""COMPUTED_VALUE"""),2015334.0)</f>
        <v>2015334</v>
      </c>
    </row>
    <row r="2911">
      <c r="A2911" s="2">
        <f>IFERROR(__xludf.DUMMYFUNCTION("""COMPUTED_VALUE"""),40807.645833333336)</f>
        <v>40807.64583</v>
      </c>
      <c r="B2911" s="1">
        <f>IFERROR(__xludf.DUMMYFUNCTION("""COMPUTED_VALUE"""),342.25)</f>
        <v>342.25</v>
      </c>
      <c r="C2911" s="1">
        <f>IFERROR(__xludf.DUMMYFUNCTION("""COMPUTED_VALUE"""),345.45)</f>
        <v>345.45</v>
      </c>
      <c r="D2911" s="1">
        <f>IFERROR(__xludf.DUMMYFUNCTION("""COMPUTED_VALUE"""),335.0)</f>
        <v>335</v>
      </c>
      <c r="E2911" s="1">
        <f>IFERROR(__xludf.DUMMYFUNCTION("""COMPUTED_VALUE"""),338.75)</f>
        <v>338.75</v>
      </c>
      <c r="F2911" s="1">
        <f>IFERROR(__xludf.DUMMYFUNCTION("""COMPUTED_VALUE"""),2413225.0)</f>
        <v>2413225</v>
      </c>
    </row>
    <row r="2912">
      <c r="A2912" s="2">
        <f>IFERROR(__xludf.DUMMYFUNCTION("""COMPUTED_VALUE"""),40808.645833333336)</f>
        <v>40808.64583</v>
      </c>
      <c r="B2912" s="1">
        <f>IFERROR(__xludf.DUMMYFUNCTION("""COMPUTED_VALUE"""),336.0)</f>
        <v>336</v>
      </c>
      <c r="C2912" s="1">
        <f>IFERROR(__xludf.DUMMYFUNCTION("""COMPUTED_VALUE"""),337.75)</f>
        <v>337.75</v>
      </c>
      <c r="D2912" s="1">
        <f>IFERROR(__xludf.DUMMYFUNCTION("""COMPUTED_VALUE"""),331.05)</f>
        <v>331.05</v>
      </c>
      <c r="E2912" s="1">
        <f>IFERROR(__xludf.DUMMYFUNCTION("""COMPUTED_VALUE"""),331.9)</f>
        <v>331.9</v>
      </c>
      <c r="F2912" s="1">
        <f>IFERROR(__xludf.DUMMYFUNCTION("""COMPUTED_VALUE"""),2452724.0)</f>
        <v>2452724</v>
      </c>
    </row>
    <row r="2913">
      <c r="A2913" s="2">
        <f>IFERROR(__xludf.DUMMYFUNCTION("""COMPUTED_VALUE"""),40809.645833333336)</f>
        <v>40809.64583</v>
      </c>
      <c r="B2913" s="1">
        <f>IFERROR(__xludf.DUMMYFUNCTION("""COMPUTED_VALUE"""),330.1)</f>
        <v>330.1</v>
      </c>
      <c r="C2913" s="1">
        <f>IFERROR(__xludf.DUMMYFUNCTION("""COMPUTED_VALUE"""),335.75)</f>
        <v>335.75</v>
      </c>
      <c r="D2913" s="1">
        <f>IFERROR(__xludf.DUMMYFUNCTION("""COMPUTED_VALUE"""),328.0)</f>
        <v>328</v>
      </c>
      <c r="E2913" s="1">
        <f>IFERROR(__xludf.DUMMYFUNCTION("""COMPUTED_VALUE"""),331.15)</f>
        <v>331.15</v>
      </c>
      <c r="F2913" s="1">
        <f>IFERROR(__xludf.DUMMYFUNCTION("""COMPUTED_VALUE"""),2142263.0)</f>
        <v>2142263</v>
      </c>
    </row>
    <row r="2914">
      <c r="A2914" s="2">
        <f>IFERROR(__xludf.DUMMYFUNCTION("""COMPUTED_VALUE"""),40812.645833333336)</f>
        <v>40812.64583</v>
      </c>
      <c r="B2914" s="1">
        <f>IFERROR(__xludf.DUMMYFUNCTION("""COMPUTED_VALUE"""),331.9)</f>
        <v>331.9</v>
      </c>
      <c r="C2914" s="1">
        <f>IFERROR(__xludf.DUMMYFUNCTION("""COMPUTED_VALUE"""),331.9)</f>
        <v>331.9</v>
      </c>
      <c r="D2914" s="1">
        <f>IFERROR(__xludf.DUMMYFUNCTION("""COMPUTED_VALUE"""),324.65)</f>
        <v>324.65</v>
      </c>
      <c r="E2914" s="1">
        <f>IFERROR(__xludf.DUMMYFUNCTION("""COMPUTED_VALUE"""),328.9)</f>
        <v>328.9</v>
      </c>
      <c r="F2914" s="1">
        <f>IFERROR(__xludf.DUMMYFUNCTION("""COMPUTED_VALUE"""),1384504.0)</f>
        <v>1384504</v>
      </c>
    </row>
    <row r="2915">
      <c r="A2915" s="2">
        <f>IFERROR(__xludf.DUMMYFUNCTION("""COMPUTED_VALUE"""),40813.645833333336)</f>
        <v>40813.64583</v>
      </c>
      <c r="B2915" s="1">
        <f>IFERROR(__xludf.DUMMYFUNCTION("""COMPUTED_VALUE"""),330.55)</f>
        <v>330.55</v>
      </c>
      <c r="C2915" s="1">
        <f>IFERROR(__xludf.DUMMYFUNCTION("""COMPUTED_VALUE"""),340.0)</f>
        <v>340</v>
      </c>
      <c r="D2915" s="1">
        <f>IFERROR(__xludf.DUMMYFUNCTION("""COMPUTED_VALUE"""),328.9)</f>
        <v>328.9</v>
      </c>
      <c r="E2915" s="1">
        <f>IFERROR(__xludf.DUMMYFUNCTION("""COMPUTED_VALUE"""),338.8)</f>
        <v>338.8</v>
      </c>
      <c r="F2915" s="1">
        <f>IFERROR(__xludf.DUMMYFUNCTION("""COMPUTED_VALUE"""),2548163.0)</f>
        <v>2548163</v>
      </c>
    </row>
    <row r="2916">
      <c r="A2916" s="2">
        <f>IFERROR(__xludf.DUMMYFUNCTION("""COMPUTED_VALUE"""),40814.645833333336)</f>
        <v>40814.64583</v>
      </c>
      <c r="B2916" s="1">
        <f>IFERROR(__xludf.DUMMYFUNCTION("""COMPUTED_VALUE"""),339.9)</f>
        <v>339.9</v>
      </c>
      <c r="C2916" s="1">
        <f>IFERROR(__xludf.DUMMYFUNCTION("""COMPUTED_VALUE"""),339.9)</f>
        <v>339.9</v>
      </c>
      <c r="D2916" s="1">
        <f>IFERROR(__xludf.DUMMYFUNCTION("""COMPUTED_VALUE"""),332.8)</f>
        <v>332.8</v>
      </c>
      <c r="E2916" s="1">
        <f>IFERROR(__xludf.DUMMYFUNCTION("""COMPUTED_VALUE"""),334.75)</f>
        <v>334.75</v>
      </c>
      <c r="F2916" s="1">
        <f>IFERROR(__xludf.DUMMYFUNCTION("""COMPUTED_VALUE"""),2396557.0)</f>
        <v>2396557</v>
      </c>
    </row>
    <row r="2917">
      <c r="A2917" s="2">
        <f>IFERROR(__xludf.DUMMYFUNCTION("""COMPUTED_VALUE"""),40815.645833333336)</f>
        <v>40815.64583</v>
      </c>
      <c r="B2917" s="1">
        <f>IFERROR(__xludf.DUMMYFUNCTION("""COMPUTED_VALUE"""),334.0)</f>
        <v>334</v>
      </c>
      <c r="C2917" s="1">
        <f>IFERROR(__xludf.DUMMYFUNCTION("""COMPUTED_VALUE"""),347.0)</f>
        <v>347</v>
      </c>
      <c r="D2917" s="1">
        <f>IFERROR(__xludf.DUMMYFUNCTION("""COMPUTED_VALUE"""),332.1)</f>
        <v>332.1</v>
      </c>
      <c r="E2917" s="1">
        <f>IFERROR(__xludf.DUMMYFUNCTION("""COMPUTED_VALUE"""),343.8)</f>
        <v>343.8</v>
      </c>
      <c r="F2917" s="1">
        <f>IFERROR(__xludf.DUMMYFUNCTION("""COMPUTED_VALUE"""),3028674.0)</f>
        <v>3028674</v>
      </c>
    </row>
    <row r="2918">
      <c r="A2918" s="2">
        <f>IFERROR(__xludf.DUMMYFUNCTION("""COMPUTED_VALUE"""),40816.645833333336)</f>
        <v>40816.64583</v>
      </c>
      <c r="B2918" s="1">
        <f>IFERROR(__xludf.DUMMYFUNCTION("""COMPUTED_VALUE"""),339.55)</f>
        <v>339.55</v>
      </c>
      <c r="C2918" s="1">
        <f>IFERROR(__xludf.DUMMYFUNCTION("""COMPUTED_VALUE"""),343.5)</f>
        <v>343.5</v>
      </c>
      <c r="D2918" s="1">
        <f>IFERROR(__xludf.DUMMYFUNCTION("""COMPUTED_VALUE"""),336.0)</f>
        <v>336</v>
      </c>
      <c r="E2918" s="1">
        <f>IFERROR(__xludf.DUMMYFUNCTION("""COMPUTED_VALUE"""),340.6)</f>
        <v>340.6</v>
      </c>
      <c r="F2918" s="1">
        <f>IFERROR(__xludf.DUMMYFUNCTION("""COMPUTED_VALUE"""),2909985.0)</f>
        <v>2909985</v>
      </c>
    </row>
    <row r="2919">
      <c r="A2919" s="2">
        <f>IFERROR(__xludf.DUMMYFUNCTION("""COMPUTED_VALUE"""),40819.645833333336)</f>
        <v>40819.64583</v>
      </c>
      <c r="B2919" s="1">
        <f>IFERROR(__xludf.DUMMYFUNCTION("""COMPUTED_VALUE"""),338.0)</f>
        <v>338</v>
      </c>
      <c r="C2919" s="1">
        <f>IFERROR(__xludf.DUMMYFUNCTION("""COMPUTED_VALUE"""),339.65)</f>
        <v>339.65</v>
      </c>
      <c r="D2919" s="1">
        <f>IFERROR(__xludf.DUMMYFUNCTION("""COMPUTED_VALUE"""),332.55)</f>
        <v>332.55</v>
      </c>
      <c r="E2919" s="1">
        <f>IFERROR(__xludf.DUMMYFUNCTION("""COMPUTED_VALUE"""),334.15)</f>
        <v>334.15</v>
      </c>
      <c r="F2919" s="1">
        <f>IFERROR(__xludf.DUMMYFUNCTION("""COMPUTED_VALUE"""),1403507.0)</f>
        <v>1403507</v>
      </c>
    </row>
    <row r="2920">
      <c r="A2920" s="2">
        <f>IFERROR(__xludf.DUMMYFUNCTION("""COMPUTED_VALUE"""),40820.645833333336)</f>
        <v>40820.64583</v>
      </c>
      <c r="B2920" s="1">
        <f>IFERROR(__xludf.DUMMYFUNCTION("""COMPUTED_VALUE"""),333.0)</f>
        <v>333</v>
      </c>
      <c r="C2920" s="1">
        <f>IFERROR(__xludf.DUMMYFUNCTION("""COMPUTED_VALUE"""),337.0)</f>
        <v>337</v>
      </c>
      <c r="D2920" s="1">
        <f>IFERROR(__xludf.DUMMYFUNCTION("""COMPUTED_VALUE"""),322.8)</f>
        <v>322.8</v>
      </c>
      <c r="E2920" s="1">
        <f>IFERROR(__xludf.DUMMYFUNCTION("""COMPUTED_VALUE"""),326.25)</f>
        <v>326.25</v>
      </c>
      <c r="F2920" s="1">
        <f>IFERROR(__xludf.DUMMYFUNCTION("""COMPUTED_VALUE"""),2333503.0)</f>
        <v>2333503</v>
      </c>
    </row>
    <row r="2921">
      <c r="A2921" s="2">
        <f>IFERROR(__xludf.DUMMYFUNCTION("""COMPUTED_VALUE"""),40821.645833333336)</f>
        <v>40821.64583</v>
      </c>
      <c r="B2921" s="1">
        <f>IFERROR(__xludf.DUMMYFUNCTION("""COMPUTED_VALUE"""),325.1)</f>
        <v>325.1</v>
      </c>
      <c r="C2921" s="1">
        <f>IFERROR(__xludf.DUMMYFUNCTION("""COMPUTED_VALUE"""),328.45)</f>
        <v>328.45</v>
      </c>
      <c r="D2921" s="1">
        <f>IFERROR(__xludf.DUMMYFUNCTION("""COMPUTED_VALUE"""),319.25)</f>
        <v>319.25</v>
      </c>
      <c r="E2921" s="1">
        <f>IFERROR(__xludf.DUMMYFUNCTION("""COMPUTED_VALUE"""),321.9)</f>
        <v>321.9</v>
      </c>
      <c r="F2921" s="1">
        <f>IFERROR(__xludf.DUMMYFUNCTION("""COMPUTED_VALUE"""),2867335.0)</f>
        <v>2867335</v>
      </c>
    </row>
    <row r="2922">
      <c r="A2922" s="2">
        <f>IFERROR(__xludf.DUMMYFUNCTION("""COMPUTED_VALUE"""),40823.645833333336)</f>
        <v>40823.64583</v>
      </c>
      <c r="B2922" s="1">
        <f>IFERROR(__xludf.DUMMYFUNCTION("""COMPUTED_VALUE"""),328.0)</f>
        <v>328</v>
      </c>
      <c r="C2922" s="1">
        <f>IFERROR(__xludf.DUMMYFUNCTION("""COMPUTED_VALUE"""),331.65)</f>
        <v>331.65</v>
      </c>
      <c r="D2922" s="1">
        <f>IFERROR(__xludf.DUMMYFUNCTION("""COMPUTED_VALUE"""),325.05)</f>
        <v>325.05</v>
      </c>
      <c r="E2922" s="1">
        <f>IFERROR(__xludf.DUMMYFUNCTION("""COMPUTED_VALUE"""),329.35)</f>
        <v>329.35</v>
      </c>
      <c r="F2922" s="1">
        <f>IFERROR(__xludf.DUMMYFUNCTION("""COMPUTED_VALUE"""),2500289.0)</f>
        <v>2500289</v>
      </c>
    </row>
    <row r="2923">
      <c r="A2923" s="2">
        <f>IFERROR(__xludf.DUMMYFUNCTION("""COMPUTED_VALUE"""),40826.645833333336)</f>
        <v>40826.64583</v>
      </c>
      <c r="B2923" s="1">
        <f>IFERROR(__xludf.DUMMYFUNCTION("""COMPUTED_VALUE"""),329.35)</f>
        <v>329.35</v>
      </c>
      <c r="C2923" s="1">
        <f>IFERROR(__xludf.DUMMYFUNCTION("""COMPUTED_VALUE"""),334.0)</f>
        <v>334</v>
      </c>
      <c r="D2923" s="1">
        <f>IFERROR(__xludf.DUMMYFUNCTION("""COMPUTED_VALUE"""),325.25)</f>
        <v>325.25</v>
      </c>
      <c r="E2923" s="1">
        <f>IFERROR(__xludf.DUMMYFUNCTION("""COMPUTED_VALUE"""),331.15)</f>
        <v>331.15</v>
      </c>
      <c r="F2923" s="1">
        <f>IFERROR(__xludf.DUMMYFUNCTION("""COMPUTED_VALUE"""),2980788.0)</f>
        <v>2980788</v>
      </c>
    </row>
    <row r="2924">
      <c r="A2924" s="2">
        <f>IFERROR(__xludf.DUMMYFUNCTION("""COMPUTED_VALUE"""),40827.645833333336)</f>
        <v>40827.64583</v>
      </c>
      <c r="B2924" s="1">
        <f>IFERROR(__xludf.DUMMYFUNCTION("""COMPUTED_VALUE"""),334.0)</f>
        <v>334</v>
      </c>
      <c r="C2924" s="1">
        <f>IFERROR(__xludf.DUMMYFUNCTION("""COMPUTED_VALUE"""),334.0)</f>
        <v>334</v>
      </c>
      <c r="D2924" s="1">
        <f>IFERROR(__xludf.DUMMYFUNCTION("""COMPUTED_VALUE"""),324.55)</f>
        <v>324.55</v>
      </c>
      <c r="E2924" s="1">
        <f>IFERROR(__xludf.DUMMYFUNCTION("""COMPUTED_VALUE"""),325.8)</f>
        <v>325.8</v>
      </c>
      <c r="F2924" s="1">
        <f>IFERROR(__xludf.DUMMYFUNCTION("""COMPUTED_VALUE"""),1817839.0)</f>
        <v>1817839</v>
      </c>
    </row>
    <row r="2925">
      <c r="A2925" s="2">
        <f>IFERROR(__xludf.DUMMYFUNCTION("""COMPUTED_VALUE"""),40828.645833333336)</f>
        <v>40828.64583</v>
      </c>
      <c r="B2925" s="1">
        <f>IFERROR(__xludf.DUMMYFUNCTION("""COMPUTED_VALUE"""),326.35)</f>
        <v>326.35</v>
      </c>
      <c r="C2925" s="1">
        <f>IFERROR(__xludf.DUMMYFUNCTION("""COMPUTED_VALUE"""),331.0)</f>
        <v>331</v>
      </c>
      <c r="D2925" s="1">
        <f>IFERROR(__xludf.DUMMYFUNCTION("""COMPUTED_VALUE"""),326.1)</f>
        <v>326.1</v>
      </c>
      <c r="E2925" s="1">
        <f>IFERROR(__xludf.DUMMYFUNCTION("""COMPUTED_VALUE"""),329.35)</f>
        <v>329.35</v>
      </c>
      <c r="F2925" s="1">
        <f>IFERROR(__xludf.DUMMYFUNCTION("""COMPUTED_VALUE"""),1512005.0)</f>
        <v>1512005</v>
      </c>
    </row>
    <row r="2926">
      <c r="A2926" s="2">
        <f>IFERROR(__xludf.DUMMYFUNCTION("""COMPUTED_VALUE"""),40829.645833333336)</f>
        <v>40829.64583</v>
      </c>
      <c r="B2926" s="1">
        <f>IFERROR(__xludf.DUMMYFUNCTION("""COMPUTED_VALUE"""),329.1)</f>
        <v>329.1</v>
      </c>
      <c r="C2926" s="1">
        <f>IFERROR(__xludf.DUMMYFUNCTION("""COMPUTED_VALUE"""),332.5)</f>
        <v>332.5</v>
      </c>
      <c r="D2926" s="1">
        <f>IFERROR(__xludf.DUMMYFUNCTION("""COMPUTED_VALUE"""),324.15)</f>
        <v>324.15</v>
      </c>
      <c r="E2926" s="1">
        <f>IFERROR(__xludf.DUMMYFUNCTION("""COMPUTED_VALUE"""),326.75)</f>
        <v>326.75</v>
      </c>
      <c r="F2926" s="1">
        <f>IFERROR(__xludf.DUMMYFUNCTION("""COMPUTED_VALUE"""),1558110.0)</f>
        <v>1558110</v>
      </c>
    </row>
    <row r="2927">
      <c r="A2927" s="2">
        <f>IFERROR(__xludf.DUMMYFUNCTION("""COMPUTED_VALUE"""),40830.645833333336)</f>
        <v>40830.64583</v>
      </c>
      <c r="B2927" s="1">
        <f>IFERROR(__xludf.DUMMYFUNCTION("""COMPUTED_VALUE"""),326.75)</f>
        <v>326.75</v>
      </c>
      <c r="C2927" s="1">
        <f>IFERROR(__xludf.DUMMYFUNCTION("""COMPUTED_VALUE"""),334.0)</f>
        <v>334</v>
      </c>
      <c r="D2927" s="1">
        <f>IFERROR(__xludf.DUMMYFUNCTION("""COMPUTED_VALUE"""),326.75)</f>
        <v>326.75</v>
      </c>
      <c r="E2927" s="1">
        <f>IFERROR(__xludf.DUMMYFUNCTION("""COMPUTED_VALUE"""),331.45)</f>
        <v>331.45</v>
      </c>
      <c r="F2927" s="1">
        <f>IFERROR(__xludf.DUMMYFUNCTION("""COMPUTED_VALUE"""),2841978.0)</f>
        <v>2841978</v>
      </c>
    </row>
    <row r="2928">
      <c r="A2928" s="2">
        <f>IFERROR(__xludf.DUMMYFUNCTION("""COMPUTED_VALUE"""),40833.645833333336)</f>
        <v>40833.64583</v>
      </c>
      <c r="B2928" s="1">
        <f>IFERROR(__xludf.DUMMYFUNCTION("""COMPUTED_VALUE"""),333.8)</f>
        <v>333.8</v>
      </c>
      <c r="C2928" s="1">
        <f>IFERROR(__xludf.DUMMYFUNCTION("""COMPUTED_VALUE"""),335.0)</f>
        <v>335</v>
      </c>
      <c r="D2928" s="1">
        <f>IFERROR(__xludf.DUMMYFUNCTION("""COMPUTED_VALUE"""),330.05)</f>
        <v>330.05</v>
      </c>
      <c r="E2928" s="1">
        <f>IFERROR(__xludf.DUMMYFUNCTION("""COMPUTED_VALUE"""),333.9)</f>
        <v>333.9</v>
      </c>
      <c r="F2928" s="1">
        <f>IFERROR(__xludf.DUMMYFUNCTION("""COMPUTED_VALUE"""),1310537.0)</f>
        <v>1310537</v>
      </c>
    </row>
    <row r="2929">
      <c r="A2929" s="2">
        <f>IFERROR(__xludf.DUMMYFUNCTION("""COMPUTED_VALUE"""),40834.645833333336)</f>
        <v>40834.64583</v>
      </c>
      <c r="B2929" s="1">
        <f>IFERROR(__xludf.DUMMYFUNCTION("""COMPUTED_VALUE"""),331.15)</f>
        <v>331.15</v>
      </c>
      <c r="C2929" s="1">
        <f>IFERROR(__xludf.DUMMYFUNCTION("""COMPUTED_VALUE"""),335.65)</f>
        <v>335.65</v>
      </c>
      <c r="D2929" s="1">
        <f>IFERROR(__xludf.DUMMYFUNCTION("""COMPUTED_VALUE"""),327.65)</f>
        <v>327.65</v>
      </c>
      <c r="E2929" s="1">
        <f>IFERROR(__xludf.DUMMYFUNCTION("""COMPUTED_VALUE"""),329.45)</f>
        <v>329.45</v>
      </c>
      <c r="F2929" s="1">
        <f>IFERROR(__xludf.DUMMYFUNCTION("""COMPUTED_VALUE"""),1184035.0)</f>
        <v>1184035</v>
      </c>
    </row>
    <row r="2930">
      <c r="A2930" s="2">
        <f>IFERROR(__xludf.DUMMYFUNCTION("""COMPUTED_VALUE"""),40835.645833333336)</f>
        <v>40835.64583</v>
      </c>
      <c r="B2930" s="1">
        <f>IFERROR(__xludf.DUMMYFUNCTION("""COMPUTED_VALUE"""),330.15)</f>
        <v>330.15</v>
      </c>
      <c r="C2930" s="1">
        <f>IFERROR(__xludf.DUMMYFUNCTION("""COMPUTED_VALUE"""),334.0)</f>
        <v>334</v>
      </c>
      <c r="D2930" s="1">
        <f>IFERROR(__xludf.DUMMYFUNCTION("""COMPUTED_VALUE"""),327.85)</f>
        <v>327.85</v>
      </c>
      <c r="E2930" s="1">
        <f>IFERROR(__xludf.DUMMYFUNCTION("""COMPUTED_VALUE"""),331.45)</f>
        <v>331.45</v>
      </c>
      <c r="F2930" s="1">
        <f>IFERROR(__xludf.DUMMYFUNCTION("""COMPUTED_VALUE"""),2312230.0)</f>
        <v>2312230</v>
      </c>
    </row>
    <row r="2931">
      <c r="A2931" s="2">
        <f>IFERROR(__xludf.DUMMYFUNCTION("""COMPUTED_VALUE"""),40836.645833333336)</f>
        <v>40836.64583</v>
      </c>
      <c r="B2931" s="1">
        <f>IFERROR(__xludf.DUMMYFUNCTION("""COMPUTED_VALUE"""),331.0)</f>
        <v>331</v>
      </c>
      <c r="C2931" s="1">
        <f>IFERROR(__xludf.DUMMYFUNCTION("""COMPUTED_VALUE"""),333.8)</f>
        <v>333.8</v>
      </c>
      <c r="D2931" s="1">
        <f>IFERROR(__xludf.DUMMYFUNCTION("""COMPUTED_VALUE"""),327.7)</f>
        <v>327.7</v>
      </c>
      <c r="E2931" s="1">
        <f>IFERROR(__xludf.DUMMYFUNCTION("""COMPUTED_VALUE"""),330.45)</f>
        <v>330.45</v>
      </c>
      <c r="F2931" s="1">
        <f>IFERROR(__xludf.DUMMYFUNCTION("""COMPUTED_VALUE"""),2261741.0)</f>
        <v>2261741</v>
      </c>
    </row>
    <row r="2932">
      <c r="A2932" s="2">
        <f>IFERROR(__xludf.DUMMYFUNCTION("""COMPUTED_VALUE"""),40837.645833333336)</f>
        <v>40837.64583</v>
      </c>
      <c r="B2932" s="1">
        <f>IFERROR(__xludf.DUMMYFUNCTION("""COMPUTED_VALUE"""),331.9)</f>
        <v>331.9</v>
      </c>
      <c r="C2932" s="1">
        <f>IFERROR(__xludf.DUMMYFUNCTION("""COMPUTED_VALUE"""),332.25)</f>
        <v>332.25</v>
      </c>
      <c r="D2932" s="1">
        <f>IFERROR(__xludf.DUMMYFUNCTION("""COMPUTED_VALUE"""),325.2)</f>
        <v>325.2</v>
      </c>
      <c r="E2932" s="1">
        <f>IFERROR(__xludf.DUMMYFUNCTION("""COMPUTED_VALUE"""),326.1)</f>
        <v>326.1</v>
      </c>
      <c r="F2932" s="1">
        <f>IFERROR(__xludf.DUMMYFUNCTION("""COMPUTED_VALUE"""),1987414.0)</f>
        <v>1987414</v>
      </c>
    </row>
    <row r="2933">
      <c r="A2933" s="2">
        <f>IFERROR(__xludf.DUMMYFUNCTION("""COMPUTED_VALUE"""),40840.645833333336)</f>
        <v>40840.64583</v>
      </c>
      <c r="B2933" s="1">
        <f>IFERROR(__xludf.DUMMYFUNCTION("""COMPUTED_VALUE"""),330.0)</f>
        <v>330</v>
      </c>
      <c r="C2933" s="1">
        <f>IFERROR(__xludf.DUMMYFUNCTION("""COMPUTED_VALUE"""),338.5)</f>
        <v>338.5</v>
      </c>
      <c r="D2933" s="1">
        <f>IFERROR(__xludf.DUMMYFUNCTION("""COMPUTED_VALUE"""),328.0)</f>
        <v>328</v>
      </c>
      <c r="E2933" s="1">
        <f>IFERROR(__xludf.DUMMYFUNCTION("""COMPUTED_VALUE"""),336.9)</f>
        <v>336.9</v>
      </c>
      <c r="F2933" s="1">
        <f>IFERROR(__xludf.DUMMYFUNCTION("""COMPUTED_VALUE"""),2005654.0)</f>
        <v>2005654</v>
      </c>
    </row>
    <row r="2934">
      <c r="A2934" s="2">
        <f>IFERROR(__xludf.DUMMYFUNCTION("""COMPUTED_VALUE"""),40841.645833333336)</f>
        <v>40841.64583</v>
      </c>
      <c r="B2934" s="1">
        <f>IFERROR(__xludf.DUMMYFUNCTION("""COMPUTED_VALUE"""),339.35)</f>
        <v>339.35</v>
      </c>
      <c r="C2934" s="1">
        <f>IFERROR(__xludf.DUMMYFUNCTION("""COMPUTED_VALUE"""),345.0)</f>
        <v>345</v>
      </c>
      <c r="D2934" s="1">
        <f>IFERROR(__xludf.DUMMYFUNCTION("""COMPUTED_VALUE"""),334.8)</f>
        <v>334.8</v>
      </c>
      <c r="E2934" s="1">
        <f>IFERROR(__xludf.DUMMYFUNCTION("""COMPUTED_VALUE"""),341.05)</f>
        <v>341.05</v>
      </c>
      <c r="F2934" s="1">
        <f>IFERROR(__xludf.DUMMYFUNCTION("""COMPUTED_VALUE"""),3466500.0)</f>
        <v>3466500</v>
      </c>
    </row>
    <row r="2935">
      <c r="A2935" s="2">
        <f>IFERROR(__xludf.DUMMYFUNCTION("""COMPUTED_VALUE"""),40842.645833333336)</f>
        <v>40842.64583</v>
      </c>
      <c r="B2935" s="1">
        <f>IFERROR(__xludf.DUMMYFUNCTION("""COMPUTED_VALUE"""),342.9)</f>
        <v>342.9</v>
      </c>
      <c r="C2935" s="1">
        <f>IFERROR(__xludf.DUMMYFUNCTION("""COMPUTED_VALUE"""),345.0)</f>
        <v>345</v>
      </c>
      <c r="D2935" s="1">
        <f>IFERROR(__xludf.DUMMYFUNCTION("""COMPUTED_VALUE"""),342.0)</f>
        <v>342</v>
      </c>
      <c r="E2935" s="1">
        <f>IFERROR(__xludf.DUMMYFUNCTION("""COMPUTED_VALUE"""),343.0)</f>
        <v>343</v>
      </c>
      <c r="F2935" s="1">
        <f>IFERROR(__xludf.DUMMYFUNCTION("""COMPUTED_VALUE"""),204684.0)</f>
        <v>204684</v>
      </c>
    </row>
    <row r="2936">
      <c r="A2936" s="2">
        <f>IFERROR(__xludf.DUMMYFUNCTION("""COMPUTED_VALUE"""),40844.645833333336)</f>
        <v>40844.64583</v>
      </c>
      <c r="B2936" s="1">
        <f>IFERROR(__xludf.DUMMYFUNCTION("""COMPUTED_VALUE"""),347.0)</f>
        <v>347</v>
      </c>
      <c r="C2936" s="1">
        <f>IFERROR(__xludf.DUMMYFUNCTION("""COMPUTED_VALUE"""),360.0)</f>
        <v>360</v>
      </c>
      <c r="D2936" s="1">
        <f>IFERROR(__xludf.DUMMYFUNCTION("""COMPUTED_VALUE"""),346.2)</f>
        <v>346.2</v>
      </c>
      <c r="E2936" s="1">
        <f>IFERROR(__xludf.DUMMYFUNCTION("""COMPUTED_VALUE"""),351.05)</f>
        <v>351.05</v>
      </c>
      <c r="F2936" s="1">
        <f>IFERROR(__xludf.DUMMYFUNCTION("""COMPUTED_VALUE"""),3480175.0)</f>
        <v>3480175</v>
      </c>
    </row>
    <row r="2937">
      <c r="A2937" s="2">
        <f>IFERROR(__xludf.DUMMYFUNCTION("""COMPUTED_VALUE"""),40847.645833333336)</f>
        <v>40847.64583</v>
      </c>
      <c r="B2937" s="1">
        <f>IFERROR(__xludf.DUMMYFUNCTION("""COMPUTED_VALUE"""),351.0)</f>
        <v>351</v>
      </c>
      <c r="C2937" s="1">
        <f>IFERROR(__xludf.DUMMYFUNCTION("""COMPUTED_VALUE"""),378.15)</f>
        <v>378.15</v>
      </c>
      <c r="D2937" s="1">
        <f>IFERROR(__xludf.DUMMYFUNCTION("""COMPUTED_VALUE"""),348.35)</f>
        <v>348.35</v>
      </c>
      <c r="E2937" s="1">
        <f>IFERROR(__xludf.DUMMYFUNCTION("""COMPUTED_VALUE"""),375.8)</f>
        <v>375.8</v>
      </c>
      <c r="F2937" s="1">
        <f>IFERROR(__xludf.DUMMYFUNCTION("""COMPUTED_VALUE"""),8016432.0)</f>
        <v>8016432</v>
      </c>
    </row>
    <row r="2938">
      <c r="A2938" s="2">
        <f>IFERROR(__xludf.DUMMYFUNCTION("""COMPUTED_VALUE"""),40848.645833333336)</f>
        <v>40848.64583</v>
      </c>
      <c r="B2938" s="1">
        <f>IFERROR(__xludf.DUMMYFUNCTION("""COMPUTED_VALUE"""),371.4)</f>
        <v>371.4</v>
      </c>
      <c r="C2938" s="1">
        <f>IFERROR(__xludf.DUMMYFUNCTION("""COMPUTED_VALUE"""),393.25)</f>
        <v>393.25</v>
      </c>
      <c r="D2938" s="1">
        <f>IFERROR(__xludf.DUMMYFUNCTION("""COMPUTED_VALUE"""),371.2)</f>
        <v>371.2</v>
      </c>
      <c r="E2938" s="1">
        <f>IFERROR(__xludf.DUMMYFUNCTION("""COMPUTED_VALUE"""),388.1)</f>
        <v>388.1</v>
      </c>
      <c r="F2938" s="1">
        <f>IFERROR(__xludf.DUMMYFUNCTION("""COMPUTED_VALUE"""),9174039.0)</f>
        <v>9174039</v>
      </c>
    </row>
    <row r="2939">
      <c r="A2939" s="2">
        <f>IFERROR(__xludf.DUMMYFUNCTION("""COMPUTED_VALUE"""),40849.645833333336)</f>
        <v>40849.64583</v>
      </c>
      <c r="B2939" s="1">
        <f>IFERROR(__xludf.DUMMYFUNCTION("""COMPUTED_VALUE"""),384.5)</f>
        <v>384.5</v>
      </c>
      <c r="C2939" s="1">
        <f>IFERROR(__xludf.DUMMYFUNCTION("""COMPUTED_VALUE"""),391.9)</f>
        <v>391.9</v>
      </c>
      <c r="D2939" s="1">
        <f>IFERROR(__xludf.DUMMYFUNCTION("""COMPUTED_VALUE"""),383.4)</f>
        <v>383.4</v>
      </c>
      <c r="E2939" s="1">
        <f>IFERROR(__xludf.DUMMYFUNCTION("""COMPUTED_VALUE"""),390.05)</f>
        <v>390.05</v>
      </c>
      <c r="F2939" s="1">
        <f>IFERROR(__xludf.DUMMYFUNCTION("""COMPUTED_VALUE"""),4872709.0)</f>
        <v>4872709</v>
      </c>
    </row>
    <row r="2940">
      <c r="A2940" s="2">
        <f>IFERROR(__xludf.DUMMYFUNCTION("""COMPUTED_VALUE"""),40850.645833333336)</f>
        <v>40850.64583</v>
      </c>
      <c r="B2940" s="1">
        <f>IFERROR(__xludf.DUMMYFUNCTION("""COMPUTED_VALUE"""),387.55)</f>
        <v>387.55</v>
      </c>
      <c r="C2940" s="1">
        <f>IFERROR(__xludf.DUMMYFUNCTION("""COMPUTED_VALUE"""),387.55)</f>
        <v>387.55</v>
      </c>
      <c r="D2940" s="1">
        <f>IFERROR(__xludf.DUMMYFUNCTION("""COMPUTED_VALUE"""),379.9)</f>
        <v>379.9</v>
      </c>
      <c r="E2940" s="1">
        <f>IFERROR(__xludf.DUMMYFUNCTION("""COMPUTED_VALUE"""),382.25)</f>
        <v>382.25</v>
      </c>
      <c r="F2940" s="1">
        <f>IFERROR(__xludf.DUMMYFUNCTION("""COMPUTED_VALUE"""),7187338.0)</f>
        <v>7187338</v>
      </c>
    </row>
    <row r="2941">
      <c r="A2941" s="2">
        <f>IFERROR(__xludf.DUMMYFUNCTION("""COMPUTED_VALUE"""),40851.645833333336)</f>
        <v>40851.64583</v>
      </c>
      <c r="B2941" s="1">
        <f>IFERROR(__xludf.DUMMYFUNCTION("""COMPUTED_VALUE"""),382.0)</f>
        <v>382</v>
      </c>
      <c r="C2941" s="1">
        <f>IFERROR(__xludf.DUMMYFUNCTION("""COMPUTED_VALUE"""),383.45)</f>
        <v>383.45</v>
      </c>
      <c r="D2941" s="1">
        <f>IFERROR(__xludf.DUMMYFUNCTION("""COMPUTED_VALUE"""),376.55)</f>
        <v>376.55</v>
      </c>
      <c r="E2941" s="1">
        <f>IFERROR(__xludf.DUMMYFUNCTION("""COMPUTED_VALUE"""),379.65)</f>
        <v>379.65</v>
      </c>
      <c r="F2941" s="1">
        <f>IFERROR(__xludf.DUMMYFUNCTION("""COMPUTED_VALUE"""),6162861.0)</f>
        <v>6162861</v>
      </c>
    </row>
    <row r="2942">
      <c r="A2942" s="2">
        <f>IFERROR(__xludf.DUMMYFUNCTION("""COMPUTED_VALUE"""),40855.645833333336)</f>
        <v>40855.64583</v>
      </c>
      <c r="B2942" s="1">
        <f>IFERROR(__xludf.DUMMYFUNCTION("""COMPUTED_VALUE"""),377.6)</f>
        <v>377.6</v>
      </c>
      <c r="C2942" s="1">
        <f>IFERROR(__xludf.DUMMYFUNCTION("""COMPUTED_VALUE"""),386.4)</f>
        <v>386.4</v>
      </c>
      <c r="D2942" s="1">
        <f>IFERROR(__xludf.DUMMYFUNCTION("""COMPUTED_VALUE"""),377.6)</f>
        <v>377.6</v>
      </c>
      <c r="E2942" s="1">
        <f>IFERROR(__xludf.DUMMYFUNCTION("""COMPUTED_VALUE"""),380.7)</f>
        <v>380.7</v>
      </c>
      <c r="F2942" s="1">
        <f>IFERROR(__xludf.DUMMYFUNCTION("""COMPUTED_VALUE"""),4298936.0)</f>
        <v>4298936</v>
      </c>
    </row>
    <row r="2943">
      <c r="A2943" s="2">
        <f>IFERROR(__xludf.DUMMYFUNCTION("""COMPUTED_VALUE"""),40856.645833333336)</f>
        <v>40856.64583</v>
      </c>
      <c r="B2943" s="1">
        <f>IFERROR(__xludf.DUMMYFUNCTION("""COMPUTED_VALUE"""),381.5)</f>
        <v>381.5</v>
      </c>
      <c r="C2943" s="1">
        <f>IFERROR(__xludf.DUMMYFUNCTION("""COMPUTED_VALUE"""),397.4)</f>
        <v>397.4</v>
      </c>
      <c r="D2943" s="1">
        <f>IFERROR(__xludf.DUMMYFUNCTION("""COMPUTED_VALUE"""),381.5)</f>
        <v>381.5</v>
      </c>
      <c r="E2943" s="1">
        <f>IFERROR(__xludf.DUMMYFUNCTION("""COMPUTED_VALUE"""),392.9)</f>
        <v>392.9</v>
      </c>
      <c r="F2943" s="1">
        <f>IFERROR(__xludf.DUMMYFUNCTION("""COMPUTED_VALUE"""),6574596.0)</f>
        <v>6574596</v>
      </c>
    </row>
    <row r="2944">
      <c r="A2944" s="2">
        <f>IFERROR(__xludf.DUMMYFUNCTION("""COMPUTED_VALUE"""),40858.645833333336)</f>
        <v>40858.64583</v>
      </c>
      <c r="B2944" s="1">
        <f>IFERROR(__xludf.DUMMYFUNCTION("""COMPUTED_VALUE"""),390.25)</f>
        <v>390.25</v>
      </c>
      <c r="C2944" s="1">
        <f>IFERROR(__xludf.DUMMYFUNCTION("""COMPUTED_VALUE"""),398.2)</f>
        <v>398.2</v>
      </c>
      <c r="D2944" s="1">
        <f>IFERROR(__xludf.DUMMYFUNCTION("""COMPUTED_VALUE"""),387.95)</f>
        <v>387.95</v>
      </c>
      <c r="E2944" s="1">
        <f>IFERROR(__xludf.DUMMYFUNCTION("""COMPUTED_VALUE"""),395.65)</f>
        <v>395.65</v>
      </c>
      <c r="F2944" s="1">
        <f>IFERROR(__xludf.DUMMYFUNCTION("""COMPUTED_VALUE"""),7170102.0)</f>
        <v>7170102</v>
      </c>
    </row>
    <row r="2945">
      <c r="A2945" s="2">
        <f>IFERROR(__xludf.DUMMYFUNCTION("""COMPUTED_VALUE"""),40861.645833333336)</f>
        <v>40861.64583</v>
      </c>
      <c r="B2945" s="1">
        <f>IFERROR(__xludf.DUMMYFUNCTION("""COMPUTED_VALUE"""),396.5)</f>
        <v>396.5</v>
      </c>
      <c r="C2945" s="1">
        <f>IFERROR(__xludf.DUMMYFUNCTION("""COMPUTED_VALUE"""),403.35)</f>
        <v>403.35</v>
      </c>
      <c r="D2945" s="1">
        <f>IFERROR(__xludf.DUMMYFUNCTION("""COMPUTED_VALUE"""),395.3)</f>
        <v>395.3</v>
      </c>
      <c r="E2945" s="1">
        <f>IFERROR(__xludf.DUMMYFUNCTION("""COMPUTED_VALUE"""),399.55)</f>
        <v>399.55</v>
      </c>
      <c r="F2945" s="1">
        <f>IFERROR(__xludf.DUMMYFUNCTION("""COMPUTED_VALUE"""),3232928.0)</f>
        <v>3232928</v>
      </c>
    </row>
    <row r="2946">
      <c r="A2946" s="2">
        <f>IFERROR(__xludf.DUMMYFUNCTION("""COMPUTED_VALUE"""),40862.645833333336)</f>
        <v>40862.64583</v>
      </c>
      <c r="B2946" s="1">
        <f>IFERROR(__xludf.DUMMYFUNCTION("""COMPUTED_VALUE"""),399.0)</f>
        <v>399</v>
      </c>
      <c r="C2946" s="1">
        <f>IFERROR(__xludf.DUMMYFUNCTION("""COMPUTED_VALUE"""),399.45)</f>
        <v>399.45</v>
      </c>
      <c r="D2946" s="1">
        <f>IFERROR(__xludf.DUMMYFUNCTION("""COMPUTED_VALUE"""),389.7)</f>
        <v>389.7</v>
      </c>
      <c r="E2946" s="1">
        <f>IFERROR(__xludf.DUMMYFUNCTION("""COMPUTED_VALUE"""),391.35)</f>
        <v>391.35</v>
      </c>
      <c r="F2946" s="1">
        <f>IFERROR(__xludf.DUMMYFUNCTION("""COMPUTED_VALUE"""),1724676.0)</f>
        <v>1724676</v>
      </c>
    </row>
    <row r="2947">
      <c r="A2947" s="2">
        <f>IFERROR(__xludf.DUMMYFUNCTION("""COMPUTED_VALUE"""),40863.645833333336)</f>
        <v>40863.64583</v>
      </c>
      <c r="B2947" s="1">
        <f>IFERROR(__xludf.DUMMYFUNCTION("""COMPUTED_VALUE"""),391.3)</f>
        <v>391.3</v>
      </c>
      <c r="C2947" s="1">
        <f>IFERROR(__xludf.DUMMYFUNCTION("""COMPUTED_VALUE"""),394.5)</f>
        <v>394.5</v>
      </c>
      <c r="D2947" s="1">
        <f>IFERROR(__xludf.DUMMYFUNCTION("""COMPUTED_VALUE"""),387.35)</f>
        <v>387.35</v>
      </c>
      <c r="E2947" s="1">
        <f>IFERROR(__xludf.DUMMYFUNCTION("""COMPUTED_VALUE"""),391.9)</f>
        <v>391.9</v>
      </c>
      <c r="F2947" s="1">
        <f>IFERROR(__xludf.DUMMYFUNCTION("""COMPUTED_VALUE"""),2297870.0)</f>
        <v>2297870</v>
      </c>
    </row>
    <row r="2948">
      <c r="A2948" s="2">
        <f>IFERROR(__xludf.DUMMYFUNCTION("""COMPUTED_VALUE"""),40864.645833333336)</f>
        <v>40864.64583</v>
      </c>
      <c r="B2948" s="1">
        <f>IFERROR(__xludf.DUMMYFUNCTION("""COMPUTED_VALUE"""),392.75)</f>
        <v>392.75</v>
      </c>
      <c r="C2948" s="1">
        <f>IFERROR(__xludf.DUMMYFUNCTION("""COMPUTED_VALUE"""),394.7)</f>
        <v>394.7</v>
      </c>
      <c r="D2948" s="1">
        <f>IFERROR(__xludf.DUMMYFUNCTION("""COMPUTED_VALUE"""),389.1)</f>
        <v>389.1</v>
      </c>
      <c r="E2948" s="1">
        <f>IFERROR(__xludf.DUMMYFUNCTION("""COMPUTED_VALUE"""),390.7)</f>
        <v>390.7</v>
      </c>
      <c r="F2948" s="1">
        <f>IFERROR(__xludf.DUMMYFUNCTION("""COMPUTED_VALUE"""),1500384.0)</f>
        <v>1500384</v>
      </c>
    </row>
    <row r="2949">
      <c r="A2949" s="2">
        <f>IFERROR(__xludf.DUMMYFUNCTION("""COMPUTED_VALUE"""),40865.645833333336)</f>
        <v>40865.64583</v>
      </c>
      <c r="B2949" s="1">
        <f>IFERROR(__xludf.DUMMYFUNCTION("""COMPUTED_VALUE"""),388.95)</f>
        <v>388.95</v>
      </c>
      <c r="C2949" s="1">
        <f>IFERROR(__xludf.DUMMYFUNCTION("""COMPUTED_VALUE"""),393.45)</f>
        <v>393.45</v>
      </c>
      <c r="D2949" s="1">
        <f>IFERROR(__xludf.DUMMYFUNCTION("""COMPUTED_VALUE"""),384.35)</f>
        <v>384.35</v>
      </c>
      <c r="E2949" s="1">
        <f>IFERROR(__xludf.DUMMYFUNCTION("""COMPUTED_VALUE"""),389.85)</f>
        <v>389.85</v>
      </c>
      <c r="F2949" s="1">
        <f>IFERROR(__xludf.DUMMYFUNCTION("""COMPUTED_VALUE"""),3435409.0)</f>
        <v>3435409</v>
      </c>
    </row>
    <row r="2950">
      <c r="A2950" s="2">
        <f>IFERROR(__xludf.DUMMYFUNCTION("""COMPUTED_VALUE"""),40868.645833333336)</f>
        <v>40868.64583</v>
      </c>
      <c r="B2950" s="1">
        <f>IFERROR(__xludf.DUMMYFUNCTION("""COMPUTED_VALUE"""),389.0)</f>
        <v>389</v>
      </c>
      <c r="C2950" s="1">
        <f>IFERROR(__xludf.DUMMYFUNCTION("""COMPUTED_VALUE"""),393.0)</f>
        <v>393</v>
      </c>
      <c r="D2950" s="1">
        <f>IFERROR(__xludf.DUMMYFUNCTION("""COMPUTED_VALUE"""),387.65)</f>
        <v>387.65</v>
      </c>
      <c r="E2950" s="1">
        <f>IFERROR(__xludf.DUMMYFUNCTION("""COMPUTED_VALUE"""),390.2)</f>
        <v>390.2</v>
      </c>
      <c r="F2950" s="1">
        <f>IFERROR(__xludf.DUMMYFUNCTION("""COMPUTED_VALUE"""),2197774.0)</f>
        <v>2197774</v>
      </c>
    </row>
    <row r="2951">
      <c r="A2951" s="2">
        <f>IFERROR(__xludf.DUMMYFUNCTION("""COMPUTED_VALUE"""),40869.645833333336)</f>
        <v>40869.64583</v>
      </c>
      <c r="B2951" s="1">
        <f>IFERROR(__xludf.DUMMYFUNCTION("""COMPUTED_VALUE"""),390.95)</f>
        <v>390.95</v>
      </c>
      <c r="C2951" s="1">
        <f>IFERROR(__xludf.DUMMYFUNCTION("""COMPUTED_VALUE"""),392.0)</f>
        <v>392</v>
      </c>
      <c r="D2951" s="1">
        <f>IFERROR(__xludf.DUMMYFUNCTION("""COMPUTED_VALUE"""),383.75)</f>
        <v>383.75</v>
      </c>
      <c r="E2951" s="1">
        <f>IFERROR(__xludf.DUMMYFUNCTION("""COMPUTED_VALUE"""),384.9)</f>
        <v>384.9</v>
      </c>
      <c r="F2951" s="1">
        <f>IFERROR(__xludf.DUMMYFUNCTION("""COMPUTED_VALUE"""),3609814.0)</f>
        <v>3609814</v>
      </c>
    </row>
    <row r="2952">
      <c r="A2952" s="2">
        <f>IFERROR(__xludf.DUMMYFUNCTION("""COMPUTED_VALUE"""),40870.645833333336)</f>
        <v>40870.64583</v>
      </c>
      <c r="B2952" s="1">
        <f>IFERROR(__xludf.DUMMYFUNCTION("""COMPUTED_VALUE"""),383.75)</f>
        <v>383.75</v>
      </c>
      <c r="C2952" s="1">
        <f>IFERROR(__xludf.DUMMYFUNCTION("""COMPUTED_VALUE"""),387.75)</f>
        <v>387.75</v>
      </c>
      <c r="D2952" s="1">
        <f>IFERROR(__xludf.DUMMYFUNCTION("""COMPUTED_VALUE"""),378.5)</f>
        <v>378.5</v>
      </c>
      <c r="E2952" s="1">
        <f>IFERROR(__xludf.DUMMYFUNCTION("""COMPUTED_VALUE"""),383.65)</f>
        <v>383.65</v>
      </c>
      <c r="F2952" s="1">
        <f>IFERROR(__xludf.DUMMYFUNCTION("""COMPUTED_VALUE"""),2879124.0)</f>
        <v>2879124</v>
      </c>
    </row>
    <row r="2953">
      <c r="A2953" s="2">
        <f>IFERROR(__xludf.DUMMYFUNCTION("""COMPUTED_VALUE"""),40871.645833333336)</f>
        <v>40871.64583</v>
      </c>
      <c r="B2953" s="1">
        <f>IFERROR(__xludf.DUMMYFUNCTION("""COMPUTED_VALUE"""),383.7)</f>
        <v>383.7</v>
      </c>
      <c r="C2953" s="1">
        <f>IFERROR(__xludf.DUMMYFUNCTION("""COMPUTED_VALUE"""),387.0)</f>
        <v>387</v>
      </c>
      <c r="D2953" s="1">
        <f>IFERROR(__xludf.DUMMYFUNCTION("""COMPUTED_VALUE"""),379.0)</f>
        <v>379</v>
      </c>
      <c r="E2953" s="1">
        <f>IFERROR(__xludf.DUMMYFUNCTION("""COMPUTED_VALUE"""),385.0)</f>
        <v>385</v>
      </c>
      <c r="F2953" s="1">
        <f>IFERROR(__xludf.DUMMYFUNCTION("""COMPUTED_VALUE"""),1911340.0)</f>
        <v>1911340</v>
      </c>
    </row>
    <row r="2954">
      <c r="A2954" s="2">
        <f>IFERROR(__xludf.DUMMYFUNCTION("""COMPUTED_VALUE"""),40872.645833333336)</f>
        <v>40872.64583</v>
      </c>
      <c r="B2954" s="1">
        <f>IFERROR(__xludf.DUMMYFUNCTION("""COMPUTED_VALUE"""),384.55)</f>
        <v>384.55</v>
      </c>
      <c r="C2954" s="1">
        <f>IFERROR(__xludf.DUMMYFUNCTION("""COMPUTED_VALUE"""),384.55)</f>
        <v>384.55</v>
      </c>
      <c r="D2954" s="1">
        <f>IFERROR(__xludf.DUMMYFUNCTION("""COMPUTED_VALUE"""),373.25)</f>
        <v>373.25</v>
      </c>
      <c r="E2954" s="1">
        <f>IFERROR(__xludf.DUMMYFUNCTION("""COMPUTED_VALUE"""),375.8)</f>
        <v>375.8</v>
      </c>
      <c r="F2954" s="1">
        <f>IFERROR(__xludf.DUMMYFUNCTION("""COMPUTED_VALUE"""),1709121.0)</f>
        <v>1709121</v>
      </c>
    </row>
    <row r="2955">
      <c r="A2955" s="2">
        <f>IFERROR(__xludf.DUMMYFUNCTION("""COMPUTED_VALUE"""),40875.645833333336)</f>
        <v>40875.64583</v>
      </c>
      <c r="B2955" s="1">
        <f>IFERROR(__xludf.DUMMYFUNCTION("""COMPUTED_VALUE"""),376.75)</f>
        <v>376.75</v>
      </c>
      <c r="C2955" s="1">
        <f>IFERROR(__xludf.DUMMYFUNCTION("""COMPUTED_VALUE"""),383.85)</f>
        <v>383.85</v>
      </c>
      <c r="D2955" s="1">
        <f>IFERROR(__xludf.DUMMYFUNCTION("""COMPUTED_VALUE"""),376.75)</f>
        <v>376.75</v>
      </c>
      <c r="E2955" s="1">
        <f>IFERROR(__xludf.DUMMYFUNCTION("""COMPUTED_VALUE"""),381.9)</f>
        <v>381.9</v>
      </c>
      <c r="F2955" s="1">
        <f>IFERROR(__xludf.DUMMYFUNCTION("""COMPUTED_VALUE"""),2004148.0)</f>
        <v>2004148</v>
      </c>
    </row>
    <row r="2956">
      <c r="A2956" s="2">
        <f>IFERROR(__xludf.DUMMYFUNCTION("""COMPUTED_VALUE"""),40876.645833333336)</f>
        <v>40876.64583</v>
      </c>
      <c r="B2956" s="1">
        <f>IFERROR(__xludf.DUMMYFUNCTION("""COMPUTED_VALUE"""),382.95)</f>
        <v>382.95</v>
      </c>
      <c r="C2956" s="1">
        <f>IFERROR(__xludf.DUMMYFUNCTION("""COMPUTED_VALUE"""),389.95)</f>
        <v>389.95</v>
      </c>
      <c r="D2956" s="1">
        <f>IFERROR(__xludf.DUMMYFUNCTION("""COMPUTED_VALUE"""),382.05)</f>
        <v>382.05</v>
      </c>
      <c r="E2956" s="1">
        <f>IFERROR(__xludf.DUMMYFUNCTION("""COMPUTED_VALUE"""),388.2)</f>
        <v>388.2</v>
      </c>
      <c r="F2956" s="1">
        <f>IFERROR(__xludf.DUMMYFUNCTION("""COMPUTED_VALUE"""),2414054.0)</f>
        <v>2414054</v>
      </c>
    </row>
    <row r="2957">
      <c r="A2957" s="2">
        <f>IFERROR(__xludf.DUMMYFUNCTION("""COMPUTED_VALUE"""),40877.645833333336)</f>
        <v>40877.64583</v>
      </c>
      <c r="B2957" s="1">
        <f>IFERROR(__xludf.DUMMYFUNCTION("""COMPUTED_VALUE"""),387.8)</f>
        <v>387.8</v>
      </c>
      <c r="C2957" s="1">
        <f>IFERROR(__xludf.DUMMYFUNCTION("""COMPUTED_VALUE"""),401.0)</f>
        <v>401</v>
      </c>
      <c r="D2957" s="1">
        <f>IFERROR(__xludf.DUMMYFUNCTION("""COMPUTED_VALUE"""),387.1)</f>
        <v>387.1</v>
      </c>
      <c r="E2957" s="1">
        <f>IFERROR(__xludf.DUMMYFUNCTION("""COMPUTED_VALUE"""),397.15)</f>
        <v>397.15</v>
      </c>
      <c r="F2957" s="1">
        <f>IFERROR(__xludf.DUMMYFUNCTION("""COMPUTED_VALUE"""),4964804.0)</f>
        <v>4964804</v>
      </c>
    </row>
    <row r="2958">
      <c r="A2958" s="2">
        <f>IFERROR(__xludf.DUMMYFUNCTION("""COMPUTED_VALUE"""),40878.645833333336)</f>
        <v>40878.64583</v>
      </c>
      <c r="B2958" s="1">
        <f>IFERROR(__xludf.DUMMYFUNCTION("""COMPUTED_VALUE"""),403.0)</f>
        <v>403</v>
      </c>
      <c r="C2958" s="1">
        <f>IFERROR(__xludf.DUMMYFUNCTION("""COMPUTED_VALUE"""),403.0)</f>
        <v>403</v>
      </c>
      <c r="D2958" s="1">
        <f>IFERROR(__xludf.DUMMYFUNCTION("""COMPUTED_VALUE"""),389.7)</f>
        <v>389.7</v>
      </c>
      <c r="E2958" s="1">
        <f>IFERROR(__xludf.DUMMYFUNCTION("""COMPUTED_VALUE"""),390.6)</f>
        <v>390.6</v>
      </c>
      <c r="F2958" s="1">
        <f>IFERROR(__xludf.DUMMYFUNCTION("""COMPUTED_VALUE"""),3180616.0)</f>
        <v>3180616</v>
      </c>
    </row>
    <row r="2959">
      <c r="A2959" s="2">
        <f>IFERROR(__xludf.DUMMYFUNCTION("""COMPUTED_VALUE"""),40879.645833333336)</f>
        <v>40879.64583</v>
      </c>
      <c r="B2959" s="1">
        <f>IFERROR(__xludf.DUMMYFUNCTION("""COMPUTED_VALUE"""),393.4)</f>
        <v>393.4</v>
      </c>
      <c r="C2959" s="1">
        <f>IFERROR(__xludf.DUMMYFUNCTION("""COMPUTED_VALUE"""),397.4)</f>
        <v>397.4</v>
      </c>
      <c r="D2959" s="1">
        <f>IFERROR(__xludf.DUMMYFUNCTION("""COMPUTED_VALUE"""),391.35)</f>
        <v>391.35</v>
      </c>
      <c r="E2959" s="1">
        <f>IFERROR(__xludf.DUMMYFUNCTION("""COMPUTED_VALUE"""),394.9)</f>
        <v>394.9</v>
      </c>
      <c r="F2959" s="1">
        <f>IFERROR(__xludf.DUMMYFUNCTION("""COMPUTED_VALUE"""),2696779.0)</f>
        <v>2696779</v>
      </c>
    </row>
    <row r="2960">
      <c r="A2960" s="2">
        <f>IFERROR(__xludf.DUMMYFUNCTION("""COMPUTED_VALUE"""),40882.645833333336)</f>
        <v>40882.64583</v>
      </c>
      <c r="B2960" s="1">
        <f>IFERROR(__xludf.DUMMYFUNCTION("""COMPUTED_VALUE"""),395.35)</f>
        <v>395.35</v>
      </c>
      <c r="C2960" s="1">
        <f>IFERROR(__xludf.DUMMYFUNCTION("""COMPUTED_VALUE"""),398.4)</f>
        <v>398.4</v>
      </c>
      <c r="D2960" s="1">
        <f>IFERROR(__xludf.DUMMYFUNCTION("""COMPUTED_VALUE"""),392.2)</f>
        <v>392.2</v>
      </c>
      <c r="E2960" s="1">
        <f>IFERROR(__xludf.DUMMYFUNCTION("""COMPUTED_VALUE"""),395.0)</f>
        <v>395</v>
      </c>
      <c r="F2960" s="1">
        <f>IFERROR(__xludf.DUMMYFUNCTION("""COMPUTED_VALUE"""),1116245.0)</f>
        <v>1116245</v>
      </c>
    </row>
    <row r="2961">
      <c r="A2961" s="2">
        <f>IFERROR(__xludf.DUMMYFUNCTION("""COMPUTED_VALUE"""),40884.645833333336)</f>
        <v>40884.64583</v>
      </c>
      <c r="B2961" s="1">
        <f>IFERROR(__xludf.DUMMYFUNCTION("""COMPUTED_VALUE"""),395.0)</f>
        <v>395</v>
      </c>
      <c r="C2961" s="1">
        <f>IFERROR(__xludf.DUMMYFUNCTION("""COMPUTED_VALUE"""),400.05)</f>
        <v>400.05</v>
      </c>
      <c r="D2961" s="1">
        <f>IFERROR(__xludf.DUMMYFUNCTION("""COMPUTED_VALUE"""),393.4)</f>
        <v>393.4</v>
      </c>
      <c r="E2961" s="1">
        <f>IFERROR(__xludf.DUMMYFUNCTION("""COMPUTED_VALUE"""),396.75)</f>
        <v>396.75</v>
      </c>
      <c r="F2961" s="1">
        <f>IFERROR(__xludf.DUMMYFUNCTION("""COMPUTED_VALUE"""),1884018.0)</f>
        <v>1884018</v>
      </c>
    </row>
    <row r="2962">
      <c r="A2962" s="2">
        <f>IFERROR(__xludf.DUMMYFUNCTION("""COMPUTED_VALUE"""),40885.645833333336)</f>
        <v>40885.64583</v>
      </c>
      <c r="B2962" s="1">
        <f>IFERROR(__xludf.DUMMYFUNCTION("""COMPUTED_VALUE"""),394.55)</f>
        <v>394.55</v>
      </c>
      <c r="C2962" s="1">
        <f>IFERROR(__xludf.DUMMYFUNCTION("""COMPUTED_VALUE"""),397.5)</f>
        <v>397.5</v>
      </c>
      <c r="D2962" s="1">
        <f>IFERROR(__xludf.DUMMYFUNCTION("""COMPUTED_VALUE"""),388.25)</f>
        <v>388.25</v>
      </c>
      <c r="E2962" s="1">
        <f>IFERROR(__xludf.DUMMYFUNCTION("""COMPUTED_VALUE"""),392.95)</f>
        <v>392.95</v>
      </c>
      <c r="F2962" s="1">
        <f>IFERROR(__xludf.DUMMYFUNCTION("""COMPUTED_VALUE"""),1886638.0)</f>
        <v>1886638</v>
      </c>
    </row>
    <row r="2963">
      <c r="A2963" s="2">
        <f>IFERROR(__xludf.DUMMYFUNCTION("""COMPUTED_VALUE"""),40886.645833333336)</f>
        <v>40886.64583</v>
      </c>
      <c r="B2963" s="1">
        <f>IFERROR(__xludf.DUMMYFUNCTION("""COMPUTED_VALUE"""),390.4)</f>
        <v>390.4</v>
      </c>
      <c r="C2963" s="1">
        <f>IFERROR(__xludf.DUMMYFUNCTION("""COMPUTED_VALUE"""),390.95)</f>
        <v>390.95</v>
      </c>
      <c r="D2963" s="1">
        <f>IFERROR(__xludf.DUMMYFUNCTION("""COMPUTED_VALUE"""),384.65)</f>
        <v>384.65</v>
      </c>
      <c r="E2963" s="1">
        <f>IFERROR(__xludf.DUMMYFUNCTION("""COMPUTED_VALUE"""),385.7)</f>
        <v>385.7</v>
      </c>
      <c r="F2963" s="1">
        <f>IFERROR(__xludf.DUMMYFUNCTION("""COMPUTED_VALUE"""),1789135.0)</f>
        <v>1789135</v>
      </c>
    </row>
    <row r="2964">
      <c r="A2964" s="2">
        <f>IFERROR(__xludf.DUMMYFUNCTION("""COMPUTED_VALUE"""),40889.645833333336)</f>
        <v>40889.64583</v>
      </c>
      <c r="B2964" s="1">
        <f>IFERROR(__xludf.DUMMYFUNCTION("""COMPUTED_VALUE"""),386.15)</f>
        <v>386.15</v>
      </c>
      <c r="C2964" s="1">
        <f>IFERROR(__xludf.DUMMYFUNCTION("""COMPUTED_VALUE"""),386.5)</f>
        <v>386.5</v>
      </c>
      <c r="D2964" s="1">
        <f>IFERROR(__xludf.DUMMYFUNCTION("""COMPUTED_VALUE"""),381.0)</f>
        <v>381</v>
      </c>
      <c r="E2964" s="1">
        <f>IFERROR(__xludf.DUMMYFUNCTION("""COMPUTED_VALUE"""),383.3)</f>
        <v>383.3</v>
      </c>
      <c r="F2964" s="1">
        <f>IFERROR(__xludf.DUMMYFUNCTION("""COMPUTED_VALUE"""),1926515.0)</f>
        <v>1926515</v>
      </c>
    </row>
    <row r="2965">
      <c r="A2965" s="2">
        <f>IFERROR(__xludf.DUMMYFUNCTION("""COMPUTED_VALUE"""),40890.645833333336)</f>
        <v>40890.64583</v>
      </c>
      <c r="B2965" s="1">
        <f>IFERROR(__xludf.DUMMYFUNCTION("""COMPUTED_VALUE"""),385.0)</f>
        <v>385</v>
      </c>
      <c r="C2965" s="1">
        <f>IFERROR(__xludf.DUMMYFUNCTION("""COMPUTED_VALUE"""),388.0)</f>
        <v>388</v>
      </c>
      <c r="D2965" s="1">
        <f>IFERROR(__xludf.DUMMYFUNCTION("""COMPUTED_VALUE"""),381.75)</f>
        <v>381.75</v>
      </c>
      <c r="E2965" s="1">
        <f>IFERROR(__xludf.DUMMYFUNCTION("""COMPUTED_VALUE"""),386.05)</f>
        <v>386.05</v>
      </c>
      <c r="F2965" s="1">
        <f>IFERROR(__xludf.DUMMYFUNCTION("""COMPUTED_VALUE"""),944694.0)</f>
        <v>944694</v>
      </c>
    </row>
    <row r="2966">
      <c r="A2966" s="2">
        <f>IFERROR(__xludf.DUMMYFUNCTION("""COMPUTED_VALUE"""),40891.645833333336)</f>
        <v>40891.64583</v>
      </c>
      <c r="B2966" s="1">
        <f>IFERROR(__xludf.DUMMYFUNCTION("""COMPUTED_VALUE"""),385.05)</f>
        <v>385.05</v>
      </c>
      <c r="C2966" s="1">
        <f>IFERROR(__xludf.DUMMYFUNCTION("""COMPUTED_VALUE"""),392.45)</f>
        <v>392.45</v>
      </c>
      <c r="D2966" s="1">
        <f>IFERROR(__xludf.DUMMYFUNCTION("""COMPUTED_VALUE"""),382.4)</f>
        <v>382.4</v>
      </c>
      <c r="E2966" s="1">
        <f>IFERROR(__xludf.DUMMYFUNCTION("""COMPUTED_VALUE"""),384.45)</f>
        <v>384.45</v>
      </c>
      <c r="F2966" s="1">
        <f>IFERROR(__xludf.DUMMYFUNCTION("""COMPUTED_VALUE"""),1268518.0)</f>
        <v>1268518</v>
      </c>
    </row>
    <row r="2967">
      <c r="A2967" s="2">
        <f>IFERROR(__xludf.DUMMYFUNCTION("""COMPUTED_VALUE"""),40892.645833333336)</f>
        <v>40892.64583</v>
      </c>
      <c r="B2967" s="1">
        <f>IFERROR(__xludf.DUMMYFUNCTION("""COMPUTED_VALUE"""),384.0)</f>
        <v>384</v>
      </c>
      <c r="C2967" s="1">
        <f>IFERROR(__xludf.DUMMYFUNCTION("""COMPUTED_VALUE"""),396.75)</f>
        <v>396.75</v>
      </c>
      <c r="D2967" s="1">
        <f>IFERROR(__xludf.DUMMYFUNCTION("""COMPUTED_VALUE"""),382.55)</f>
        <v>382.55</v>
      </c>
      <c r="E2967" s="1">
        <f>IFERROR(__xludf.DUMMYFUNCTION("""COMPUTED_VALUE"""),395.2)</f>
        <v>395.2</v>
      </c>
      <c r="F2967" s="1">
        <f>IFERROR(__xludf.DUMMYFUNCTION("""COMPUTED_VALUE"""),2848153.0)</f>
        <v>2848153</v>
      </c>
    </row>
    <row r="2968">
      <c r="A2968" s="2">
        <f>IFERROR(__xludf.DUMMYFUNCTION("""COMPUTED_VALUE"""),40893.645833333336)</f>
        <v>40893.64583</v>
      </c>
      <c r="B2968" s="1">
        <f>IFERROR(__xludf.DUMMYFUNCTION("""COMPUTED_VALUE"""),395.5)</f>
        <v>395.5</v>
      </c>
      <c r="C2968" s="1">
        <f>IFERROR(__xludf.DUMMYFUNCTION("""COMPUTED_VALUE"""),405.0)</f>
        <v>405</v>
      </c>
      <c r="D2968" s="1">
        <f>IFERROR(__xludf.DUMMYFUNCTION("""COMPUTED_VALUE"""),388.0)</f>
        <v>388</v>
      </c>
      <c r="E2968" s="1">
        <f>IFERROR(__xludf.DUMMYFUNCTION("""COMPUTED_VALUE"""),392.8)</f>
        <v>392.8</v>
      </c>
      <c r="F2968" s="1">
        <f>IFERROR(__xludf.DUMMYFUNCTION("""COMPUTED_VALUE"""),2709272.0)</f>
        <v>2709272</v>
      </c>
    </row>
    <row r="2969">
      <c r="A2969" s="2">
        <f>IFERROR(__xludf.DUMMYFUNCTION("""COMPUTED_VALUE"""),40896.645833333336)</f>
        <v>40896.64583</v>
      </c>
      <c r="B2969" s="1">
        <f>IFERROR(__xludf.DUMMYFUNCTION("""COMPUTED_VALUE"""),393.5)</f>
        <v>393.5</v>
      </c>
      <c r="C2969" s="1">
        <f>IFERROR(__xludf.DUMMYFUNCTION("""COMPUTED_VALUE"""),399.2)</f>
        <v>399.2</v>
      </c>
      <c r="D2969" s="1">
        <f>IFERROR(__xludf.DUMMYFUNCTION("""COMPUTED_VALUE"""),388.5)</f>
        <v>388.5</v>
      </c>
      <c r="E2969" s="1">
        <f>IFERROR(__xludf.DUMMYFUNCTION("""COMPUTED_VALUE"""),396.2)</f>
        <v>396.2</v>
      </c>
      <c r="F2969" s="1">
        <f>IFERROR(__xludf.DUMMYFUNCTION("""COMPUTED_VALUE"""),1861261.0)</f>
        <v>1861261</v>
      </c>
    </row>
    <row r="2970">
      <c r="A2970" s="2">
        <f>IFERROR(__xludf.DUMMYFUNCTION("""COMPUTED_VALUE"""),40897.645833333336)</f>
        <v>40897.64583</v>
      </c>
      <c r="B2970" s="1">
        <f>IFERROR(__xludf.DUMMYFUNCTION("""COMPUTED_VALUE"""),396.6)</f>
        <v>396.6</v>
      </c>
      <c r="C2970" s="1">
        <f>IFERROR(__xludf.DUMMYFUNCTION("""COMPUTED_VALUE"""),402.9)</f>
        <v>402.9</v>
      </c>
      <c r="D2970" s="1">
        <f>IFERROR(__xludf.DUMMYFUNCTION("""COMPUTED_VALUE"""),394.5)</f>
        <v>394.5</v>
      </c>
      <c r="E2970" s="1">
        <f>IFERROR(__xludf.DUMMYFUNCTION("""COMPUTED_VALUE"""),396.7)</f>
        <v>396.7</v>
      </c>
      <c r="F2970" s="1">
        <f>IFERROR(__xludf.DUMMYFUNCTION("""COMPUTED_VALUE"""),1722756.0)</f>
        <v>1722756</v>
      </c>
    </row>
    <row r="2971">
      <c r="A2971" s="2">
        <f>IFERROR(__xludf.DUMMYFUNCTION("""COMPUTED_VALUE"""),40898.645833333336)</f>
        <v>40898.64583</v>
      </c>
      <c r="B2971" s="1">
        <f>IFERROR(__xludf.DUMMYFUNCTION("""COMPUTED_VALUE"""),402.0)</f>
        <v>402</v>
      </c>
      <c r="C2971" s="1">
        <f>IFERROR(__xludf.DUMMYFUNCTION("""COMPUTED_VALUE"""),404.65)</f>
        <v>404.65</v>
      </c>
      <c r="D2971" s="1">
        <f>IFERROR(__xludf.DUMMYFUNCTION("""COMPUTED_VALUE"""),397.6)</f>
        <v>397.6</v>
      </c>
      <c r="E2971" s="1">
        <f>IFERROR(__xludf.DUMMYFUNCTION("""COMPUTED_VALUE"""),401.5)</f>
        <v>401.5</v>
      </c>
      <c r="F2971" s="1">
        <f>IFERROR(__xludf.DUMMYFUNCTION("""COMPUTED_VALUE"""),2958318.0)</f>
        <v>2958318</v>
      </c>
    </row>
    <row r="2972">
      <c r="A2972" s="2">
        <f>IFERROR(__xludf.DUMMYFUNCTION("""COMPUTED_VALUE"""),40899.645833333336)</f>
        <v>40899.64583</v>
      </c>
      <c r="B2972" s="1">
        <f>IFERROR(__xludf.DUMMYFUNCTION("""COMPUTED_VALUE"""),401.0)</f>
        <v>401</v>
      </c>
      <c r="C2972" s="1">
        <f>IFERROR(__xludf.DUMMYFUNCTION("""COMPUTED_VALUE"""),412.5)</f>
        <v>412.5</v>
      </c>
      <c r="D2972" s="1">
        <f>IFERROR(__xludf.DUMMYFUNCTION("""COMPUTED_VALUE"""),399.25)</f>
        <v>399.25</v>
      </c>
      <c r="E2972" s="1">
        <f>IFERROR(__xludf.DUMMYFUNCTION("""COMPUTED_VALUE"""),408.4)</f>
        <v>408.4</v>
      </c>
      <c r="F2972" s="1">
        <f>IFERROR(__xludf.DUMMYFUNCTION("""COMPUTED_VALUE"""),3480833.0)</f>
        <v>3480833</v>
      </c>
    </row>
    <row r="2973">
      <c r="A2973" s="2">
        <f>IFERROR(__xludf.DUMMYFUNCTION("""COMPUTED_VALUE"""),40900.645833333336)</f>
        <v>40900.64583</v>
      </c>
      <c r="B2973" s="1">
        <f>IFERROR(__xludf.DUMMYFUNCTION("""COMPUTED_VALUE"""),410.0)</f>
        <v>410</v>
      </c>
      <c r="C2973" s="1">
        <f>IFERROR(__xludf.DUMMYFUNCTION("""COMPUTED_VALUE"""),414.9)</f>
        <v>414.9</v>
      </c>
      <c r="D2973" s="1">
        <f>IFERROR(__xludf.DUMMYFUNCTION("""COMPUTED_VALUE"""),408.5)</f>
        <v>408.5</v>
      </c>
      <c r="E2973" s="1">
        <f>IFERROR(__xludf.DUMMYFUNCTION("""COMPUTED_VALUE"""),411.7)</f>
        <v>411.7</v>
      </c>
      <c r="F2973" s="1">
        <f>IFERROR(__xludf.DUMMYFUNCTION("""COMPUTED_VALUE"""),2478598.0)</f>
        <v>2478598</v>
      </c>
    </row>
    <row r="2974">
      <c r="A2974" s="2">
        <f>IFERROR(__xludf.DUMMYFUNCTION("""COMPUTED_VALUE"""),40903.645833333336)</f>
        <v>40903.64583</v>
      </c>
      <c r="B2974" s="1">
        <f>IFERROR(__xludf.DUMMYFUNCTION("""COMPUTED_VALUE"""),411.95)</f>
        <v>411.95</v>
      </c>
      <c r="C2974" s="1">
        <f>IFERROR(__xludf.DUMMYFUNCTION("""COMPUTED_VALUE"""),420.25)</f>
        <v>420.25</v>
      </c>
      <c r="D2974" s="1">
        <f>IFERROR(__xludf.DUMMYFUNCTION("""COMPUTED_VALUE"""),411.8)</f>
        <v>411.8</v>
      </c>
      <c r="E2974" s="1">
        <f>IFERROR(__xludf.DUMMYFUNCTION("""COMPUTED_VALUE"""),419.2)</f>
        <v>419.2</v>
      </c>
      <c r="F2974" s="1">
        <f>IFERROR(__xludf.DUMMYFUNCTION("""COMPUTED_VALUE"""),3210785.0)</f>
        <v>3210785</v>
      </c>
    </row>
    <row r="2975">
      <c r="A2975" s="2">
        <f>IFERROR(__xludf.DUMMYFUNCTION("""COMPUTED_VALUE"""),40904.645833333336)</f>
        <v>40904.64583</v>
      </c>
      <c r="B2975" s="1">
        <f>IFERROR(__xludf.DUMMYFUNCTION("""COMPUTED_VALUE"""),419.0)</f>
        <v>419</v>
      </c>
      <c r="C2975" s="1">
        <f>IFERROR(__xludf.DUMMYFUNCTION("""COMPUTED_VALUE"""),420.05)</f>
        <v>420.05</v>
      </c>
      <c r="D2975" s="1">
        <f>IFERROR(__xludf.DUMMYFUNCTION("""COMPUTED_VALUE"""),415.05)</f>
        <v>415.05</v>
      </c>
      <c r="E2975" s="1">
        <f>IFERROR(__xludf.DUMMYFUNCTION("""COMPUTED_VALUE"""),416.75)</f>
        <v>416.75</v>
      </c>
      <c r="F2975" s="1">
        <f>IFERROR(__xludf.DUMMYFUNCTION("""COMPUTED_VALUE"""),1805252.0)</f>
        <v>1805252</v>
      </c>
    </row>
    <row r="2976">
      <c r="A2976" s="2">
        <f>IFERROR(__xludf.DUMMYFUNCTION("""COMPUTED_VALUE"""),40905.645833333336)</f>
        <v>40905.64583</v>
      </c>
      <c r="B2976" s="1">
        <f>IFERROR(__xludf.DUMMYFUNCTION("""COMPUTED_VALUE"""),416.95)</f>
        <v>416.95</v>
      </c>
      <c r="C2976" s="1">
        <f>IFERROR(__xludf.DUMMYFUNCTION("""COMPUTED_VALUE"""),418.0)</f>
        <v>418</v>
      </c>
      <c r="D2976" s="1">
        <f>IFERROR(__xludf.DUMMYFUNCTION("""COMPUTED_VALUE"""),410.7)</f>
        <v>410.7</v>
      </c>
      <c r="E2976" s="1">
        <f>IFERROR(__xludf.DUMMYFUNCTION("""COMPUTED_VALUE"""),411.65)</f>
        <v>411.65</v>
      </c>
      <c r="F2976" s="1">
        <f>IFERROR(__xludf.DUMMYFUNCTION("""COMPUTED_VALUE"""),2100950.0)</f>
        <v>2100950</v>
      </c>
    </row>
    <row r="2977">
      <c r="A2977" s="2">
        <f>IFERROR(__xludf.DUMMYFUNCTION("""COMPUTED_VALUE"""),40906.645833333336)</f>
        <v>40906.64583</v>
      </c>
      <c r="B2977" s="1">
        <f>IFERROR(__xludf.DUMMYFUNCTION("""COMPUTED_VALUE"""),411.75)</f>
        <v>411.75</v>
      </c>
      <c r="C2977" s="1">
        <f>IFERROR(__xludf.DUMMYFUNCTION("""COMPUTED_VALUE"""),416.75)</f>
        <v>416.75</v>
      </c>
      <c r="D2977" s="1">
        <f>IFERROR(__xludf.DUMMYFUNCTION("""COMPUTED_VALUE"""),407.1)</f>
        <v>407.1</v>
      </c>
      <c r="E2977" s="1">
        <f>IFERROR(__xludf.DUMMYFUNCTION("""COMPUTED_VALUE"""),414.3)</f>
        <v>414.3</v>
      </c>
      <c r="F2977" s="1">
        <f>IFERROR(__xludf.DUMMYFUNCTION("""COMPUTED_VALUE"""),3064284.0)</f>
        <v>3064284</v>
      </c>
    </row>
    <row r="2978">
      <c r="A2978" s="2">
        <f>IFERROR(__xludf.DUMMYFUNCTION("""COMPUTED_VALUE"""),40907.645833333336)</f>
        <v>40907.64583</v>
      </c>
      <c r="B2978" s="1">
        <f>IFERROR(__xludf.DUMMYFUNCTION("""COMPUTED_VALUE"""),414.9)</f>
        <v>414.9</v>
      </c>
      <c r="C2978" s="1">
        <f>IFERROR(__xludf.DUMMYFUNCTION("""COMPUTED_VALUE"""),414.95)</f>
        <v>414.95</v>
      </c>
      <c r="D2978" s="1">
        <f>IFERROR(__xludf.DUMMYFUNCTION("""COMPUTED_VALUE"""),405.35)</f>
        <v>405.35</v>
      </c>
      <c r="E2978" s="1">
        <f>IFERROR(__xludf.DUMMYFUNCTION("""COMPUTED_VALUE"""),407.4)</f>
        <v>407.4</v>
      </c>
      <c r="F2978" s="1">
        <f>IFERROR(__xludf.DUMMYFUNCTION("""COMPUTED_VALUE"""),1008710.0)</f>
        <v>1008710</v>
      </c>
    </row>
    <row r="2979">
      <c r="A2979" s="2">
        <f>IFERROR(__xludf.DUMMYFUNCTION("""COMPUTED_VALUE"""),40910.645833333336)</f>
        <v>40910.64583</v>
      </c>
      <c r="B2979" s="1">
        <f>IFERROR(__xludf.DUMMYFUNCTION("""COMPUTED_VALUE"""),408.15)</f>
        <v>408.15</v>
      </c>
      <c r="C2979" s="1">
        <f>IFERROR(__xludf.DUMMYFUNCTION("""COMPUTED_VALUE"""),410.0)</f>
        <v>410</v>
      </c>
      <c r="D2979" s="1">
        <f>IFERROR(__xludf.DUMMYFUNCTION("""COMPUTED_VALUE"""),401.5)</f>
        <v>401.5</v>
      </c>
      <c r="E2979" s="1">
        <f>IFERROR(__xludf.DUMMYFUNCTION("""COMPUTED_VALUE"""),402.4)</f>
        <v>402.4</v>
      </c>
      <c r="F2979" s="1">
        <f>IFERROR(__xludf.DUMMYFUNCTION("""COMPUTED_VALUE"""),772876.0)</f>
        <v>772876</v>
      </c>
    </row>
    <row r="2980">
      <c r="A2980" s="2">
        <f>IFERROR(__xludf.DUMMYFUNCTION("""COMPUTED_VALUE"""),40911.645833333336)</f>
        <v>40911.64583</v>
      </c>
      <c r="B2980" s="1">
        <f>IFERROR(__xludf.DUMMYFUNCTION("""COMPUTED_VALUE"""),405.25)</f>
        <v>405.25</v>
      </c>
      <c r="C2980" s="1">
        <f>IFERROR(__xludf.DUMMYFUNCTION("""COMPUTED_VALUE"""),411.7)</f>
        <v>411.7</v>
      </c>
      <c r="D2980" s="1">
        <f>IFERROR(__xludf.DUMMYFUNCTION("""COMPUTED_VALUE"""),405.25)</f>
        <v>405.25</v>
      </c>
      <c r="E2980" s="1">
        <f>IFERROR(__xludf.DUMMYFUNCTION("""COMPUTED_VALUE"""),407.95)</f>
        <v>407.95</v>
      </c>
      <c r="F2980" s="1">
        <f>IFERROR(__xludf.DUMMYFUNCTION("""COMPUTED_VALUE"""),1521362.0)</f>
        <v>1521362</v>
      </c>
    </row>
    <row r="2981">
      <c r="A2981" s="2">
        <f>IFERROR(__xludf.DUMMYFUNCTION("""COMPUTED_VALUE"""),40912.645833333336)</f>
        <v>40912.64583</v>
      </c>
      <c r="B2981" s="1">
        <f>IFERROR(__xludf.DUMMYFUNCTION("""COMPUTED_VALUE"""),407.6)</f>
        <v>407.6</v>
      </c>
      <c r="C2981" s="1">
        <f>IFERROR(__xludf.DUMMYFUNCTION("""COMPUTED_VALUE"""),407.6)</f>
        <v>407.6</v>
      </c>
      <c r="D2981" s="1">
        <f>IFERROR(__xludf.DUMMYFUNCTION("""COMPUTED_VALUE"""),392.75)</f>
        <v>392.75</v>
      </c>
      <c r="E2981" s="1">
        <f>IFERROR(__xludf.DUMMYFUNCTION("""COMPUTED_VALUE"""),395.45)</f>
        <v>395.45</v>
      </c>
      <c r="F2981" s="1">
        <f>IFERROR(__xludf.DUMMYFUNCTION("""COMPUTED_VALUE"""),2571970.0)</f>
        <v>2571970</v>
      </c>
    </row>
    <row r="2982">
      <c r="A2982" s="2">
        <f>IFERROR(__xludf.DUMMYFUNCTION("""COMPUTED_VALUE"""),40913.645833333336)</f>
        <v>40913.64583</v>
      </c>
      <c r="B2982" s="1">
        <f>IFERROR(__xludf.DUMMYFUNCTION("""COMPUTED_VALUE"""),394.9)</f>
        <v>394.9</v>
      </c>
      <c r="C2982" s="1">
        <f>IFERROR(__xludf.DUMMYFUNCTION("""COMPUTED_VALUE"""),398.85)</f>
        <v>398.85</v>
      </c>
      <c r="D2982" s="1">
        <f>IFERROR(__xludf.DUMMYFUNCTION("""COMPUTED_VALUE"""),389.25)</f>
        <v>389.25</v>
      </c>
      <c r="E2982" s="1">
        <f>IFERROR(__xludf.DUMMYFUNCTION("""COMPUTED_VALUE"""),393.35)</f>
        <v>393.35</v>
      </c>
      <c r="F2982" s="1">
        <f>IFERROR(__xludf.DUMMYFUNCTION("""COMPUTED_VALUE"""),3679775.0)</f>
        <v>3679775</v>
      </c>
    </row>
    <row r="2983">
      <c r="A2983" s="2">
        <f>IFERROR(__xludf.DUMMYFUNCTION("""COMPUTED_VALUE"""),40914.645833333336)</f>
        <v>40914.64583</v>
      </c>
      <c r="B2983" s="1">
        <f>IFERROR(__xludf.DUMMYFUNCTION("""COMPUTED_VALUE"""),393.75)</f>
        <v>393.75</v>
      </c>
      <c r="C2983" s="1">
        <f>IFERROR(__xludf.DUMMYFUNCTION("""COMPUTED_VALUE"""),399.65)</f>
        <v>399.65</v>
      </c>
      <c r="D2983" s="1">
        <f>IFERROR(__xludf.DUMMYFUNCTION("""COMPUTED_VALUE"""),388.35)</f>
        <v>388.35</v>
      </c>
      <c r="E2983" s="1">
        <f>IFERROR(__xludf.DUMMYFUNCTION("""COMPUTED_VALUE"""),396.8)</f>
        <v>396.8</v>
      </c>
      <c r="F2983" s="1">
        <f>IFERROR(__xludf.DUMMYFUNCTION("""COMPUTED_VALUE"""),1730249.0)</f>
        <v>1730249</v>
      </c>
    </row>
    <row r="2984">
      <c r="A2984" s="2">
        <f>IFERROR(__xludf.DUMMYFUNCTION("""COMPUTED_VALUE"""),40917.645833333336)</f>
        <v>40917.64583</v>
      </c>
      <c r="B2984" s="1">
        <f>IFERROR(__xludf.DUMMYFUNCTION("""COMPUTED_VALUE"""),394.3)</f>
        <v>394.3</v>
      </c>
      <c r="C2984" s="1">
        <f>IFERROR(__xludf.DUMMYFUNCTION("""COMPUTED_VALUE"""),395.85)</f>
        <v>395.85</v>
      </c>
      <c r="D2984" s="1">
        <f>IFERROR(__xludf.DUMMYFUNCTION("""COMPUTED_VALUE"""),390.5)</f>
        <v>390.5</v>
      </c>
      <c r="E2984" s="1">
        <f>IFERROR(__xludf.DUMMYFUNCTION("""COMPUTED_VALUE"""),393.45)</f>
        <v>393.45</v>
      </c>
      <c r="F2984" s="1">
        <f>IFERROR(__xludf.DUMMYFUNCTION("""COMPUTED_VALUE"""),1662954.0)</f>
        <v>1662954</v>
      </c>
    </row>
    <row r="2985">
      <c r="A2985" s="2">
        <f>IFERROR(__xludf.DUMMYFUNCTION("""COMPUTED_VALUE"""),40918.645833333336)</f>
        <v>40918.64583</v>
      </c>
      <c r="B2985" s="1">
        <f>IFERROR(__xludf.DUMMYFUNCTION("""COMPUTED_VALUE"""),393.5)</f>
        <v>393.5</v>
      </c>
      <c r="C2985" s="1">
        <f>IFERROR(__xludf.DUMMYFUNCTION("""COMPUTED_VALUE"""),399.0)</f>
        <v>399</v>
      </c>
      <c r="D2985" s="1">
        <f>IFERROR(__xludf.DUMMYFUNCTION("""COMPUTED_VALUE"""),391.7)</f>
        <v>391.7</v>
      </c>
      <c r="E2985" s="1">
        <f>IFERROR(__xludf.DUMMYFUNCTION("""COMPUTED_VALUE"""),395.45)</f>
        <v>395.45</v>
      </c>
      <c r="F2985" s="1">
        <f>IFERROR(__xludf.DUMMYFUNCTION("""COMPUTED_VALUE"""),1818282.0)</f>
        <v>1818282</v>
      </c>
    </row>
    <row r="2986">
      <c r="A2986" s="2">
        <f>IFERROR(__xludf.DUMMYFUNCTION("""COMPUTED_VALUE"""),40919.645833333336)</f>
        <v>40919.64583</v>
      </c>
      <c r="B2986" s="1">
        <f>IFERROR(__xludf.DUMMYFUNCTION("""COMPUTED_VALUE"""),396.85)</f>
        <v>396.85</v>
      </c>
      <c r="C2986" s="1">
        <f>IFERROR(__xludf.DUMMYFUNCTION("""COMPUTED_VALUE"""),398.7)</f>
        <v>398.7</v>
      </c>
      <c r="D2986" s="1">
        <f>IFERROR(__xludf.DUMMYFUNCTION("""COMPUTED_VALUE"""),391.35)</f>
        <v>391.35</v>
      </c>
      <c r="E2986" s="1">
        <f>IFERROR(__xludf.DUMMYFUNCTION("""COMPUTED_VALUE"""),392.5)</f>
        <v>392.5</v>
      </c>
      <c r="F2986" s="1">
        <f>IFERROR(__xludf.DUMMYFUNCTION("""COMPUTED_VALUE"""),1313159.0)</f>
        <v>1313159</v>
      </c>
    </row>
    <row r="2987">
      <c r="A2987" s="2">
        <f>IFERROR(__xludf.DUMMYFUNCTION("""COMPUTED_VALUE"""),40920.645833333336)</f>
        <v>40920.64583</v>
      </c>
      <c r="B2987" s="1">
        <f>IFERROR(__xludf.DUMMYFUNCTION("""COMPUTED_VALUE"""),393.75)</f>
        <v>393.75</v>
      </c>
      <c r="C2987" s="1">
        <f>IFERROR(__xludf.DUMMYFUNCTION("""COMPUTED_VALUE"""),397.1)</f>
        <v>397.1</v>
      </c>
      <c r="D2987" s="1">
        <f>IFERROR(__xludf.DUMMYFUNCTION("""COMPUTED_VALUE"""),388.5)</f>
        <v>388.5</v>
      </c>
      <c r="E2987" s="1">
        <f>IFERROR(__xludf.DUMMYFUNCTION("""COMPUTED_VALUE"""),394.05)</f>
        <v>394.05</v>
      </c>
      <c r="F2987" s="1">
        <f>IFERROR(__xludf.DUMMYFUNCTION("""COMPUTED_VALUE"""),2145254.0)</f>
        <v>2145254</v>
      </c>
    </row>
    <row r="2988">
      <c r="A2988" s="2">
        <f>IFERROR(__xludf.DUMMYFUNCTION("""COMPUTED_VALUE"""),40921.645833333336)</f>
        <v>40921.64583</v>
      </c>
      <c r="B2988" s="1">
        <f>IFERROR(__xludf.DUMMYFUNCTION("""COMPUTED_VALUE"""),393.9)</f>
        <v>393.9</v>
      </c>
      <c r="C2988" s="1">
        <f>IFERROR(__xludf.DUMMYFUNCTION("""COMPUTED_VALUE"""),394.6)</f>
        <v>394.6</v>
      </c>
      <c r="D2988" s="1">
        <f>IFERROR(__xludf.DUMMYFUNCTION("""COMPUTED_VALUE"""),390.2)</f>
        <v>390.2</v>
      </c>
      <c r="E2988" s="1">
        <f>IFERROR(__xludf.DUMMYFUNCTION("""COMPUTED_VALUE"""),391.65)</f>
        <v>391.65</v>
      </c>
      <c r="F2988" s="1">
        <f>IFERROR(__xludf.DUMMYFUNCTION("""COMPUTED_VALUE"""),2414816.0)</f>
        <v>2414816</v>
      </c>
    </row>
    <row r="2989">
      <c r="A2989" s="2">
        <f>IFERROR(__xludf.DUMMYFUNCTION("""COMPUTED_VALUE"""),40924.645833333336)</f>
        <v>40924.64583</v>
      </c>
      <c r="B2989" s="1">
        <f>IFERROR(__xludf.DUMMYFUNCTION("""COMPUTED_VALUE"""),391.0)</f>
        <v>391</v>
      </c>
      <c r="C2989" s="1">
        <f>IFERROR(__xludf.DUMMYFUNCTION("""COMPUTED_VALUE"""),391.0)</f>
        <v>391</v>
      </c>
      <c r="D2989" s="1">
        <f>IFERROR(__xludf.DUMMYFUNCTION("""COMPUTED_VALUE"""),385.0)</f>
        <v>385</v>
      </c>
      <c r="E2989" s="1">
        <f>IFERROR(__xludf.DUMMYFUNCTION("""COMPUTED_VALUE"""),386.35)</f>
        <v>386.35</v>
      </c>
      <c r="F2989" s="1">
        <f>IFERROR(__xludf.DUMMYFUNCTION("""COMPUTED_VALUE"""),2898804.0)</f>
        <v>2898804</v>
      </c>
    </row>
    <row r="2990">
      <c r="A2990" s="2">
        <f>IFERROR(__xludf.DUMMYFUNCTION("""COMPUTED_VALUE"""),40925.645833333336)</f>
        <v>40925.64583</v>
      </c>
      <c r="B2990" s="1">
        <f>IFERROR(__xludf.DUMMYFUNCTION("""COMPUTED_VALUE"""),387.6)</f>
        <v>387.6</v>
      </c>
      <c r="C2990" s="1">
        <f>IFERROR(__xludf.DUMMYFUNCTION("""COMPUTED_VALUE"""),399.0)</f>
        <v>399</v>
      </c>
      <c r="D2990" s="1">
        <f>IFERROR(__xludf.DUMMYFUNCTION("""COMPUTED_VALUE"""),385.7)</f>
        <v>385.7</v>
      </c>
      <c r="E2990" s="1">
        <f>IFERROR(__xludf.DUMMYFUNCTION("""COMPUTED_VALUE"""),397.6)</f>
        <v>397.6</v>
      </c>
      <c r="F2990" s="1">
        <f>IFERROR(__xludf.DUMMYFUNCTION("""COMPUTED_VALUE"""),3985373.0)</f>
        <v>3985373</v>
      </c>
    </row>
    <row r="2991">
      <c r="A2991" s="2">
        <f>IFERROR(__xludf.DUMMYFUNCTION("""COMPUTED_VALUE"""),40926.645833333336)</f>
        <v>40926.64583</v>
      </c>
      <c r="B2991" s="1">
        <f>IFERROR(__xludf.DUMMYFUNCTION("""COMPUTED_VALUE"""),399.5)</f>
        <v>399.5</v>
      </c>
      <c r="C2991" s="1">
        <f>IFERROR(__xludf.DUMMYFUNCTION("""COMPUTED_VALUE"""),399.5)</f>
        <v>399.5</v>
      </c>
      <c r="D2991" s="1">
        <f>IFERROR(__xludf.DUMMYFUNCTION("""COMPUTED_VALUE"""),388.5)</f>
        <v>388.5</v>
      </c>
      <c r="E2991" s="1">
        <f>IFERROR(__xludf.DUMMYFUNCTION("""COMPUTED_VALUE"""),392.25)</f>
        <v>392.25</v>
      </c>
      <c r="F2991" s="1">
        <f>IFERROR(__xludf.DUMMYFUNCTION("""COMPUTED_VALUE"""),1875310.0)</f>
        <v>1875310</v>
      </c>
    </row>
    <row r="2992">
      <c r="A2992" s="2">
        <f>IFERROR(__xludf.DUMMYFUNCTION("""COMPUTED_VALUE"""),40927.645833333336)</f>
        <v>40927.64583</v>
      </c>
      <c r="B2992" s="1">
        <f>IFERROR(__xludf.DUMMYFUNCTION("""COMPUTED_VALUE"""),394.0)</f>
        <v>394</v>
      </c>
      <c r="C2992" s="1">
        <f>IFERROR(__xludf.DUMMYFUNCTION("""COMPUTED_VALUE"""),395.3)</f>
        <v>395.3</v>
      </c>
      <c r="D2992" s="1">
        <f>IFERROR(__xludf.DUMMYFUNCTION("""COMPUTED_VALUE"""),388.0)</f>
        <v>388</v>
      </c>
      <c r="E2992" s="1">
        <f>IFERROR(__xludf.DUMMYFUNCTION("""COMPUTED_VALUE"""),391.4)</f>
        <v>391.4</v>
      </c>
      <c r="F2992" s="1">
        <f>IFERROR(__xludf.DUMMYFUNCTION("""COMPUTED_VALUE"""),1924205.0)</f>
        <v>1924205</v>
      </c>
    </row>
    <row r="2993">
      <c r="A2993" s="2">
        <f>IFERROR(__xludf.DUMMYFUNCTION("""COMPUTED_VALUE"""),40928.645833333336)</f>
        <v>40928.64583</v>
      </c>
      <c r="B2993" s="1">
        <f>IFERROR(__xludf.DUMMYFUNCTION("""COMPUTED_VALUE"""),392.0)</f>
        <v>392</v>
      </c>
      <c r="C2993" s="1">
        <f>IFERROR(__xludf.DUMMYFUNCTION("""COMPUTED_VALUE"""),393.65)</f>
        <v>393.65</v>
      </c>
      <c r="D2993" s="1">
        <f>IFERROR(__xludf.DUMMYFUNCTION("""COMPUTED_VALUE"""),389.35)</f>
        <v>389.35</v>
      </c>
      <c r="E2993" s="1">
        <f>IFERROR(__xludf.DUMMYFUNCTION("""COMPUTED_VALUE"""),391.15)</f>
        <v>391.15</v>
      </c>
      <c r="F2993" s="1">
        <f>IFERROR(__xludf.DUMMYFUNCTION("""COMPUTED_VALUE"""),1944382.0)</f>
        <v>1944382</v>
      </c>
    </row>
    <row r="2994">
      <c r="A2994" s="2">
        <f>IFERROR(__xludf.DUMMYFUNCTION("""COMPUTED_VALUE"""),40931.645833333336)</f>
        <v>40931.64583</v>
      </c>
      <c r="B2994" s="1">
        <f>IFERROR(__xludf.DUMMYFUNCTION("""COMPUTED_VALUE"""),391.15)</f>
        <v>391.15</v>
      </c>
      <c r="C2994" s="1">
        <f>IFERROR(__xludf.DUMMYFUNCTION("""COMPUTED_VALUE"""),402.65)</f>
        <v>402.65</v>
      </c>
      <c r="D2994" s="1">
        <f>IFERROR(__xludf.DUMMYFUNCTION("""COMPUTED_VALUE"""),388.7)</f>
        <v>388.7</v>
      </c>
      <c r="E2994" s="1">
        <f>IFERROR(__xludf.DUMMYFUNCTION("""COMPUTED_VALUE"""),395.65)</f>
        <v>395.65</v>
      </c>
      <c r="F2994" s="1">
        <f>IFERROR(__xludf.DUMMYFUNCTION("""COMPUTED_VALUE"""),2009356.0)</f>
        <v>2009356</v>
      </c>
    </row>
    <row r="2995">
      <c r="A2995" s="2">
        <f>IFERROR(__xludf.DUMMYFUNCTION("""COMPUTED_VALUE"""),40932.645833333336)</f>
        <v>40932.64583</v>
      </c>
      <c r="B2995" s="1">
        <f>IFERROR(__xludf.DUMMYFUNCTION("""COMPUTED_VALUE"""),399.4)</f>
        <v>399.4</v>
      </c>
      <c r="C2995" s="1">
        <f>IFERROR(__xludf.DUMMYFUNCTION("""COMPUTED_VALUE"""),399.45)</f>
        <v>399.45</v>
      </c>
      <c r="D2995" s="1">
        <f>IFERROR(__xludf.DUMMYFUNCTION("""COMPUTED_VALUE"""),392.0)</f>
        <v>392</v>
      </c>
      <c r="E2995" s="1">
        <f>IFERROR(__xludf.DUMMYFUNCTION("""COMPUTED_VALUE"""),393.1)</f>
        <v>393.1</v>
      </c>
      <c r="F2995" s="1">
        <f>IFERROR(__xludf.DUMMYFUNCTION("""COMPUTED_VALUE"""),1785375.0)</f>
        <v>1785375</v>
      </c>
    </row>
    <row r="2996">
      <c r="A2996" s="2">
        <f>IFERROR(__xludf.DUMMYFUNCTION("""COMPUTED_VALUE"""),40933.645833333336)</f>
        <v>40933.64583</v>
      </c>
      <c r="B2996" s="1">
        <f>IFERROR(__xludf.DUMMYFUNCTION("""COMPUTED_VALUE"""),393.5)</f>
        <v>393.5</v>
      </c>
      <c r="C2996" s="1">
        <f>IFERROR(__xludf.DUMMYFUNCTION("""COMPUTED_VALUE"""),399.1)</f>
        <v>399.1</v>
      </c>
      <c r="D2996" s="1">
        <f>IFERROR(__xludf.DUMMYFUNCTION("""COMPUTED_VALUE"""),389.25)</f>
        <v>389.25</v>
      </c>
      <c r="E2996" s="1">
        <f>IFERROR(__xludf.DUMMYFUNCTION("""COMPUTED_VALUE"""),393.55)</f>
        <v>393.55</v>
      </c>
      <c r="F2996" s="1">
        <f>IFERROR(__xludf.DUMMYFUNCTION("""COMPUTED_VALUE"""),3214760.0)</f>
        <v>3214760</v>
      </c>
    </row>
    <row r="2997">
      <c r="A2997" s="2">
        <f>IFERROR(__xludf.DUMMYFUNCTION("""COMPUTED_VALUE"""),40935.645833333336)</f>
        <v>40935.64583</v>
      </c>
      <c r="B2997" s="1">
        <f>IFERROR(__xludf.DUMMYFUNCTION("""COMPUTED_VALUE"""),399.95)</f>
        <v>399.95</v>
      </c>
      <c r="C2997" s="1">
        <f>IFERROR(__xludf.DUMMYFUNCTION("""COMPUTED_VALUE"""),399.95)</f>
        <v>399.95</v>
      </c>
      <c r="D2997" s="1">
        <f>IFERROR(__xludf.DUMMYFUNCTION("""COMPUTED_VALUE"""),384.1)</f>
        <v>384.1</v>
      </c>
      <c r="E2997" s="1">
        <f>IFERROR(__xludf.DUMMYFUNCTION("""COMPUTED_VALUE"""),389.95)</f>
        <v>389.95</v>
      </c>
      <c r="F2997" s="1">
        <f>IFERROR(__xludf.DUMMYFUNCTION("""COMPUTED_VALUE"""),3014531.0)</f>
        <v>3014531</v>
      </c>
    </row>
    <row r="2998">
      <c r="A2998" s="2">
        <f>IFERROR(__xludf.DUMMYFUNCTION("""COMPUTED_VALUE"""),40938.645833333336)</f>
        <v>40938.64583</v>
      </c>
      <c r="B2998" s="1">
        <f>IFERROR(__xludf.DUMMYFUNCTION("""COMPUTED_VALUE"""),388.0)</f>
        <v>388</v>
      </c>
      <c r="C2998" s="1">
        <f>IFERROR(__xludf.DUMMYFUNCTION("""COMPUTED_VALUE"""),390.9)</f>
        <v>390.9</v>
      </c>
      <c r="D2998" s="1">
        <f>IFERROR(__xludf.DUMMYFUNCTION("""COMPUTED_VALUE"""),380.0)</f>
        <v>380</v>
      </c>
      <c r="E2998" s="1">
        <f>IFERROR(__xludf.DUMMYFUNCTION("""COMPUTED_VALUE"""),382.35)</f>
        <v>382.35</v>
      </c>
      <c r="F2998" s="1">
        <f>IFERROR(__xludf.DUMMYFUNCTION("""COMPUTED_VALUE"""),3357821.0)</f>
        <v>3357821</v>
      </c>
    </row>
    <row r="2999">
      <c r="A2999" s="2">
        <f>IFERROR(__xludf.DUMMYFUNCTION("""COMPUTED_VALUE"""),40939.645833333336)</f>
        <v>40939.64583</v>
      </c>
      <c r="B2999" s="1">
        <f>IFERROR(__xludf.DUMMYFUNCTION("""COMPUTED_VALUE"""),384.0)</f>
        <v>384</v>
      </c>
      <c r="C2999" s="1">
        <f>IFERROR(__xludf.DUMMYFUNCTION("""COMPUTED_VALUE"""),384.0)</f>
        <v>384</v>
      </c>
      <c r="D2999" s="1">
        <f>IFERROR(__xludf.DUMMYFUNCTION("""COMPUTED_VALUE"""),374.35)</f>
        <v>374.35</v>
      </c>
      <c r="E2999" s="1">
        <f>IFERROR(__xludf.DUMMYFUNCTION("""COMPUTED_VALUE"""),378.95)</f>
        <v>378.95</v>
      </c>
      <c r="F2999" s="1">
        <f>IFERROR(__xludf.DUMMYFUNCTION("""COMPUTED_VALUE"""),5410046.0)</f>
        <v>5410046</v>
      </c>
    </row>
    <row r="3000">
      <c r="A3000" s="2">
        <f>IFERROR(__xludf.DUMMYFUNCTION("""COMPUTED_VALUE"""),40940.645833333336)</f>
        <v>40940.64583</v>
      </c>
      <c r="B3000" s="1">
        <f>IFERROR(__xludf.DUMMYFUNCTION("""COMPUTED_VALUE"""),379.75)</f>
        <v>379.75</v>
      </c>
      <c r="C3000" s="1">
        <f>IFERROR(__xludf.DUMMYFUNCTION("""COMPUTED_VALUE"""),386.35)</f>
        <v>386.35</v>
      </c>
      <c r="D3000" s="1">
        <f>IFERROR(__xludf.DUMMYFUNCTION("""COMPUTED_VALUE"""),377.15)</f>
        <v>377.15</v>
      </c>
      <c r="E3000" s="1">
        <f>IFERROR(__xludf.DUMMYFUNCTION("""COMPUTED_VALUE"""),384.75)</f>
        <v>384.75</v>
      </c>
      <c r="F3000" s="1">
        <f>IFERROR(__xludf.DUMMYFUNCTION("""COMPUTED_VALUE"""),3629907.0)</f>
        <v>3629907</v>
      </c>
    </row>
    <row r="3001">
      <c r="A3001" s="2">
        <f>IFERROR(__xludf.DUMMYFUNCTION("""COMPUTED_VALUE"""),40941.645833333336)</f>
        <v>40941.64583</v>
      </c>
      <c r="B3001" s="1">
        <f>IFERROR(__xludf.DUMMYFUNCTION("""COMPUTED_VALUE"""),386.0)</f>
        <v>386</v>
      </c>
      <c r="C3001" s="1">
        <f>IFERROR(__xludf.DUMMYFUNCTION("""COMPUTED_VALUE"""),393.45)</f>
        <v>393.45</v>
      </c>
      <c r="D3001" s="1">
        <f>IFERROR(__xludf.DUMMYFUNCTION("""COMPUTED_VALUE"""),385.2)</f>
        <v>385.2</v>
      </c>
      <c r="E3001" s="1">
        <f>IFERROR(__xludf.DUMMYFUNCTION("""COMPUTED_VALUE"""),390.7)</f>
        <v>390.7</v>
      </c>
      <c r="F3001" s="1">
        <f>IFERROR(__xludf.DUMMYFUNCTION("""COMPUTED_VALUE"""),3401946.0)</f>
        <v>3401946</v>
      </c>
    </row>
    <row r="3002">
      <c r="A3002" s="2">
        <f>IFERROR(__xludf.DUMMYFUNCTION("""COMPUTED_VALUE"""),40942.645833333336)</f>
        <v>40942.64583</v>
      </c>
      <c r="B3002" s="1">
        <f>IFERROR(__xludf.DUMMYFUNCTION("""COMPUTED_VALUE"""),392.25)</f>
        <v>392.25</v>
      </c>
      <c r="C3002" s="1">
        <f>IFERROR(__xludf.DUMMYFUNCTION("""COMPUTED_VALUE"""),403.95)</f>
        <v>403.95</v>
      </c>
      <c r="D3002" s="1">
        <f>IFERROR(__xludf.DUMMYFUNCTION("""COMPUTED_VALUE"""),391.05)</f>
        <v>391.05</v>
      </c>
      <c r="E3002" s="1">
        <f>IFERROR(__xludf.DUMMYFUNCTION("""COMPUTED_VALUE"""),401.4)</f>
        <v>401.4</v>
      </c>
      <c r="F3002" s="1">
        <f>IFERROR(__xludf.DUMMYFUNCTION("""COMPUTED_VALUE"""),3661767.0)</f>
        <v>3661767</v>
      </c>
    </row>
    <row r="3003">
      <c r="A3003" s="2">
        <f>IFERROR(__xludf.DUMMYFUNCTION("""COMPUTED_VALUE"""),40945.645833333336)</f>
        <v>40945.64583</v>
      </c>
      <c r="B3003" s="1">
        <f>IFERROR(__xludf.DUMMYFUNCTION("""COMPUTED_VALUE"""),405.9)</f>
        <v>405.9</v>
      </c>
      <c r="C3003" s="1">
        <f>IFERROR(__xludf.DUMMYFUNCTION("""COMPUTED_VALUE"""),410.9)</f>
        <v>410.9</v>
      </c>
      <c r="D3003" s="1">
        <f>IFERROR(__xludf.DUMMYFUNCTION("""COMPUTED_VALUE"""),384.6)</f>
        <v>384.6</v>
      </c>
      <c r="E3003" s="1">
        <f>IFERROR(__xludf.DUMMYFUNCTION("""COMPUTED_VALUE"""),387.05)</f>
        <v>387.05</v>
      </c>
      <c r="F3003" s="1">
        <f>IFERROR(__xludf.DUMMYFUNCTION("""COMPUTED_VALUE"""),8152556.0)</f>
        <v>8152556</v>
      </c>
    </row>
    <row r="3004">
      <c r="A3004" s="2">
        <f>IFERROR(__xludf.DUMMYFUNCTION("""COMPUTED_VALUE"""),40946.645833333336)</f>
        <v>40946.64583</v>
      </c>
      <c r="B3004" s="1">
        <f>IFERROR(__xludf.DUMMYFUNCTION("""COMPUTED_VALUE"""),388.0)</f>
        <v>388</v>
      </c>
      <c r="C3004" s="1">
        <f>IFERROR(__xludf.DUMMYFUNCTION("""COMPUTED_VALUE"""),388.0)</f>
        <v>388</v>
      </c>
      <c r="D3004" s="1">
        <f>IFERROR(__xludf.DUMMYFUNCTION("""COMPUTED_VALUE"""),378.0)</f>
        <v>378</v>
      </c>
      <c r="E3004" s="1">
        <f>IFERROR(__xludf.DUMMYFUNCTION("""COMPUTED_VALUE"""),382.15)</f>
        <v>382.15</v>
      </c>
      <c r="F3004" s="1">
        <f>IFERROR(__xludf.DUMMYFUNCTION("""COMPUTED_VALUE"""),6607892.0)</f>
        <v>6607892</v>
      </c>
    </row>
    <row r="3005">
      <c r="A3005" s="2">
        <f>IFERROR(__xludf.DUMMYFUNCTION("""COMPUTED_VALUE"""),40947.645833333336)</f>
        <v>40947.64583</v>
      </c>
      <c r="B3005" s="1">
        <f>IFERROR(__xludf.DUMMYFUNCTION("""COMPUTED_VALUE"""),383.0)</f>
        <v>383</v>
      </c>
      <c r="C3005" s="1">
        <f>IFERROR(__xludf.DUMMYFUNCTION("""COMPUTED_VALUE"""),389.9)</f>
        <v>389.9</v>
      </c>
      <c r="D3005" s="1">
        <f>IFERROR(__xludf.DUMMYFUNCTION("""COMPUTED_VALUE"""),382.5)</f>
        <v>382.5</v>
      </c>
      <c r="E3005" s="1">
        <f>IFERROR(__xludf.DUMMYFUNCTION("""COMPUTED_VALUE"""),388.55)</f>
        <v>388.55</v>
      </c>
      <c r="F3005" s="1">
        <f>IFERROR(__xludf.DUMMYFUNCTION("""COMPUTED_VALUE"""),2952882.0)</f>
        <v>2952882</v>
      </c>
    </row>
    <row r="3006">
      <c r="A3006" s="2">
        <f>IFERROR(__xludf.DUMMYFUNCTION("""COMPUTED_VALUE"""),40948.645833333336)</f>
        <v>40948.64583</v>
      </c>
      <c r="B3006" s="1">
        <f>IFERROR(__xludf.DUMMYFUNCTION("""COMPUTED_VALUE"""),385.3)</f>
        <v>385.3</v>
      </c>
      <c r="C3006" s="1">
        <f>IFERROR(__xludf.DUMMYFUNCTION("""COMPUTED_VALUE"""),394.7)</f>
        <v>394.7</v>
      </c>
      <c r="D3006" s="1">
        <f>IFERROR(__xludf.DUMMYFUNCTION("""COMPUTED_VALUE"""),385.3)</f>
        <v>385.3</v>
      </c>
      <c r="E3006" s="1">
        <f>IFERROR(__xludf.DUMMYFUNCTION("""COMPUTED_VALUE"""),393.35)</f>
        <v>393.35</v>
      </c>
      <c r="F3006" s="1">
        <f>IFERROR(__xludf.DUMMYFUNCTION("""COMPUTED_VALUE"""),1611262.0)</f>
        <v>1611262</v>
      </c>
    </row>
    <row r="3007">
      <c r="A3007" s="2">
        <f>IFERROR(__xludf.DUMMYFUNCTION("""COMPUTED_VALUE"""),40949.645833333336)</f>
        <v>40949.64583</v>
      </c>
      <c r="B3007" s="1">
        <f>IFERROR(__xludf.DUMMYFUNCTION("""COMPUTED_VALUE"""),393.0)</f>
        <v>393</v>
      </c>
      <c r="C3007" s="1">
        <f>IFERROR(__xludf.DUMMYFUNCTION("""COMPUTED_VALUE"""),395.0)</f>
        <v>395</v>
      </c>
      <c r="D3007" s="1">
        <f>IFERROR(__xludf.DUMMYFUNCTION("""COMPUTED_VALUE"""),385.75)</f>
        <v>385.75</v>
      </c>
      <c r="E3007" s="1">
        <f>IFERROR(__xludf.DUMMYFUNCTION("""COMPUTED_VALUE"""),387.4)</f>
        <v>387.4</v>
      </c>
      <c r="F3007" s="1">
        <f>IFERROR(__xludf.DUMMYFUNCTION("""COMPUTED_VALUE"""),1192722.0)</f>
        <v>1192722</v>
      </c>
    </row>
    <row r="3008">
      <c r="A3008" s="2">
        <f>IFERROR(__xludf.DUMMYFUNCTION("""COMPUTED_VALUE"""),40952.645833333336)</f>
        <v>40952.64583</v>
      </c>
      <c r="B3008" s="1">
        <f>IFERROR(__xludf.DUMMYFUNCTION("""COMPUTED_VALUE"""),388.4)</f>
        <v>388.4</v>
      </c>
      <c r="C3008" s="1">
        <f>IFERROR(__xludf.DUMMYFUNCTION("""COMPUTED_VALUE"""),393.7)</f>
        <v>393.7</v>
      </c>
      <c r="D3008" s="1">
        <f>IFERROR(__xludf.DUMMYFUNCTION("""COMPUTED_VALUE"""),387.1)</f>
        <v>387.1</v>
      </c>
      <c r="E3008" s="1">
        <f>IFERROR(__xludf.DUMMYFUNCTION("""COMPUTED_VALUE"""),391.75)</f>
        <v>391.75</v>
      </c>
      <c r="F3008" s="1">
        <f>IFERROR(__xludf.DUMMYFUNCTION("""COMPUTED_VALUE"""),1329643.0)</f>
        <v>1329643</v>
      </c>
    </row>
    <row r="3009">
      <c r="A3009" s="2">
        <f>IFERROR(__xludf.DUMMYFUNCTION("""COMPUTED_VALUE"""),40953.645833333336)</f>
        <v>40953.64583</v>
      </c>
      <c r="B3009" s="1">
        <f>IFERROR(__xludf.DUMMYFUNCTION("""COMPUTED_VALUE"""),391.2)</f>
        <v>391.2</v>
      </c>
      <c r="C3009" s="1">
        <f>IFERROR(__xludf.DUMMYFUNCTION("""COMPUTED_VALUE"""),393.0)</f>
        <v>393</v>
      </c>
      <c r="D3009" s="1">
        <f>IFERROR(__xludf.DUMMYFUNCTION("""COMPUTED_VALUE"""),388.5)</f>
        <v>388.5</v>
      </c>
      <c r="E3009" s="1">
        <f>IFERROR(__xludf.DUMMYFUNCTION("""COMPUTED_VALUE"""),391.85)</f>
        <v>391.85</v>
      </c>
      <c r="F3009" s="1">
        <f>IFERROR(__xludf.DUMMYFUNCTION("""COMPUTED_VALUE"""),1096306.0)</f>
        <v>1096306</v>
      </c>
    </row>
    <row r="3010">
      <c r="A3010" s="2">
        <f>IFERROR(__xludf.DUMMYFUNCTION("""COMPUTED_VALUE"""),40954.645833333336)</f>
        <v>40954.64583</v>
      </c>
      <c r="B3010" s="1">
        <f>IFERROR(__xludf.DUMMYFUNCTION("""COMPUTED_VALUE"""),393.75)</f>
        <v>393.75</v>
      </c>
      <c r="C3010" s="1">
        <f>IFERROR(__xludf.DUMMYFUNCTION("""COMPUTED_VALUE"""),393.75)</f>
        <v>393.75</v>
      </c>
      <c r="D3010" s="1">
        <f>IFERROR(__xludf.DUMMYFUNCTION("""COMPUTED_VALUE"""),385.0)</f>
        <v>385</v>
      </c>
      <c r="E3010" s="1">
        <f>IFERROR(__xludf.DUMMYFUNCTION("""COMPUTED_VALUE"""),388.5)</f>
        <v>388.5</v>
      </c>
      <c r="F3010" s="1">
        <f>IFERROR(__xludf.DUMMYFUNCTION("""COMPUTED_VALUE"""),2772667.0)</f>
        <v>2772667</v>
      </c>
    </row>
    <row r="3011">
      <c r="A3011" s="2">
        <f>IFERROR(__xludf.DUMMYFUNCTION("""COMPUTED_VALUE"""),40955.645833333336)</f>
        <v>40955.64583</v>
      </c>
      <c r="B3011" s="1">
        <f>IFERROR(__xludf.DUMMYFUNCTION("""COMPUTED_VALUE"""),389.0)</f>
        <v>389</v>
      </c>
      <c r="C3011" s="1">
        <f>IFERROR(__xludf.DUMMYFUNCTION("""COMPUTED_VALUE"""),389.0)</f>
        <v>389</v>
      </c>
      <c r="D3011" s="1">
        <f>IFERROR(__xludf.DUMMYFUNCTION("""COMPUTED_VALUE"""),383.1)</f>
        <v>383.1</v>
      </c>
      <c r="E3011" s="1">
        <f>IFERROR(__xludf.DUMMYFUNCTION("""COMPUTED_VALUE"""),384.05)</f>
        <v>384.05</v>
      </c>
      <c r="F3011" s="1">
        <f>IFERROR(__xludf.DUMMYFUNCTION("""COMPUTED_VALUE"""),1472742.0)</f>
        <v>1472742</v>
      </c>
    </row>
    <row r="3012">
      <c r="A3012" s="2">
        <f>IFERROR(__xludf.DUMMYFUNCTION("""COMPUTED_VALUE"""),40956.645833333336)</f>
        <v>40956.64583</v>
      </c>
      <c r="B3012" s="1">
        <f>IFERROR(__xludf.DUMMYFUNCTION("""COMPUTED_VALUE"""),385.55)</f>
        <v>385.55</v>
      </c>
      <c r="C3012" s="1">
        <f>IFERROR(__xludf.DUMMYFUNCTION("""COMPUTED_VALUE"""),388.0)</f>
        <v>388</v>
      </c>
      <c r="D3012" s="1">
        <f>IFERROR(__xludf.DUMMYFUNCTION("""COMPUTED_VALUE"""),381.2)</f>
        <v>381.2</v>
      </c>
      <c r="E3012" s="1">
        <f>IFERROR(__xludf.DUMMYFUNCTION("""COMPUTED_VALUE"""),385.1)</f>
        <v>385.1</v>
      </c>
      <c r="F3012" s="1">
        <f>IFERROR(__xludf.DUMMYFUNCTION("""COMPUTED_VALUE"""),3128005.0)</f>
        <v>3128005</v>
      </c>
    </row>
    <row r="3013">
      <c r="A3013" s="2">
        <f>IFERROR(__xludf.DUMMYFUNCTION("""COMPUTED_VALUE"""),40960.645833333336)</f>
        <v>40960.64583</v>
      </c>
      <c r="B3013" s="1">
        <f>IFERROR(__xludf.DUMMYFUNCTION("""COMPUTED_VALUE"""),386.8)</f>
        <v>386.8</v>
      </c>
      <c r="C3013" s="1">
        <f>IFERROR(__xludf.DUMMYFUNCTION("""COMPUTED_VALUE"""),388.4)</f>
        <v>388.4</v>
      </c>
      <c r="D3013" s="1">
        <f>IFERROR(__xludf.DUMMYFUNCTION("""COMPUTED_VALUE"""),381.05)</f>
        <v>381.05</v>
      </c>
      <c r="E3013" s="1">
        <f>IFERROR(__xludf.DUMMYFUNCTION("""COMPUTED_VALUE"""),381.95)</f>
        <v>381.95</v>
      </c>
      <c r="F3013" s="1">
        <f>IFERROR(__xludf.DUMMYFUNCTION("""COMPUTED_VALUE"""),2314496.0)</f>
        <v>2314496</v>
      </c>
    </row>
    <row r="3014">
      <c r="A3014" s="2">
        <f>IFERROR(__xludf.DUMMYFUNCTION("""COMPUTED_VALUE"""),40961.645833333336)</f>
        <v>40961.64583</v>
      </c>
      <c r="B3014" s="1">
        <f>IFERROR(__xludf.DUMMYFUNCTION("""COMPUTED_VALUE"""),381.0)</f>
        <v>381</v>
      </c>
      <c r="C3014" s="1">
        <f>IFERROR(__xludf.DUMMYFUNCTION("""COMPUTED_VALUE"""),383.5)</f>
        <v>383.5</v>
      </c>
      <c r="D3014" s="1">
        <f>IFERROR(__xludf.DUMMYFUNCTION("""COMPUTED_VALUE"""),376.1)</f>
        <v>376.1</v>
      </c>
      <c r="E3014" s="1">
        <f>IFERROR(__xludf.DUMMYFUNCTION("""COMPUTED_VALUE"""),378.5)</f>
        <v>378.5</v>
      </c>
      <c r="F3014" s="1">
        <f>IFERROR(__xludf.DUMMYFUNCTION("""COMPUTED_VALUE"""),2030557.0)</f>
        <v>2030557</v>
      </c>
    </row>
    <row r="3015">
      <c r="A3015" s="2">
        <f>IFERROR(__xludf.DUMMYFUNCTION("""COMPUTED_VALUE"""),40962.645833333336)</f>
        <v>40962.64583</v>
      </c>
      <c r="B3015" s="1">
        <f>IFERROR(__xludf.DUMMYFUNCTION("""COMPUTED_VALUE"""),377.15)</f>
        <v>377.15</v>
      </c>
      <c r="C3015" s="1">
        <f>IFERROR(__xludf.DUMMYFUNCTION("""COMPUTED_VALUE"""),389.45)</f>
        <v>389.45</v>
      </c>
      <c r="D3015" s="1">
        <f>IFERROR(__xludf.DUMMYFUNCTION("""COMPUTED_VALUE"""),377.15)</f>
        <v>377.15</v>
      </c>
      <c r="E3015" s="1">
        <f>IFERROR(__xludf.DUMMYFUNCTION("""COMPUTED_VALUE"""),388.2)</f>
        <v>388.2</v>
      </c>
      <c r="F3015" s="1">
        <f>IFERROR(__xludf.DUMMYFUNCTION("""COMPUTED_VALUE"""),2728135.0)</f>
        <v>2728135</v>
      </c>
    </row>
    <row r="3016">
      <c r="A3016" s="2">
        <f>IFERROR(__xludf.DUMMYFUNCTION("""COMPUTED_VALUE"""),40963.645833333336)</f>
        <v>40963.64583</v>
      </c>
      <c r="B3016" s="1">
        <f>IFERROR(__xludf.DUMMYFUNCTION("""COMPUTED_VALUE"""),389.75)</f>
        <v>389.75</v>
      </c>
      <c r="C3016" s="1">
        <f>IFERROR(__xludf.DUMMYFUNCTION("""COMPUTED_VALUE"""),390.4)</f>
        <v>390.4</v>
      </c>
      <c r="D3016" s="1">
        <f>IFERROR(__xludf.DUMMYFUNCTION("""COMPUTED_VALUE"""),383.55)</f>
        <v>383.55</v>
      </c>
      <c r="E3016" s="1">
        <f>IFERROR(__xludf.DUMMYFUNCTION("""COMPUTED_VALUE"""),385.9)</f>
        <v>385.9</v>
      </c>
      <c r="F3016" s="1">
        <f>IFERROR(__xludf.DUMMYFUNCTION("""COMPUTED_VALUE"""),1728472.0)</f>
        <v>1728472</v>
      </c>
    </row>
    <row r="3017">
      <c r="A3017" s="2">
        <f>IFERROR(__xludf.DUMMYFUNCTION("""COMPUTED_VALUE"""),40966.645833333336)</f>
        <v>40966.64583</v>
      </c>
      <c r="B3017" s="1">
        <f>IFERROR(__xludf.DUMMYFUNCTION("""COMPUTED_VALUE"""),388.85)</f>
        <v>388.85</v>
      </c>
      <c r="C3017" s="1">
        <f>IFERROR(__xludf.DUMMYFUNCTION("""COMPUTED_VALUE"""),390.8)</f>
        <v>390.8</v>
      </c>
      <c r="D3017" s="1">
        <f>IFERROR(__xludf.DUMMYFUNCTION("""COMPUTED_VALUE"""),377.6)</f>
        <v>377.6</v>
      </c>
      <c r="E3017" s="1">
        <f>IFERROR(__xludf.DUMMYFUNCTION("""COMPUTED_VALUE"""),380.05)</f>
        <v>380.05</v>
      </c>
      <c r="F3017" s="1">
        <f>IFERROR(__xludf.DUMMYFUNCTION("""COMPUTED_VALUE"""),2232300.0)</f>
        <v>2232300</v>
      </c>
    </row>
    <row r="3018">
      <c r="A3018" s="2">
        <f>IFERROR(__xludf.DUMMYFUNCTION("""COMPUTED_VALUE"""),40967.645833333336)</f>
        <v>40967.64583</v>
      </c>
      <c r="B3018" s="1">
        <f>IFERROR(__xludf.DUMMYFUNCTION("""COMPUTED_VALUE"""),380.65)</f>
        <v>380.65</v>
      </c>
      <c r="C3018" s="1">
        <f>IFERROR(__xludf.DUMMYFUNCTION("""COMPUTED_VALUE"""),384.0)</f>
        <v>384</v>
      </c>
      <c r="D3018" s="1">
        <f>IFERROR(__xludf.DUMMYFUNCTION("""COMPUTED_VALUE"""),380.05)</f>
        <v>380.05</v>
      </c>
      <c r="E3018" s="1">
        <f>IFERROR(__xludf.DUMMYFUNCTION("""COMPUTED_VALUE"""),381.25)</f>
        <v>381.25</v>
      </c>
      <c r="F3018" s="1">
        <f>IFERROR(__xludf.DUMMYFUNCTION("""COMPUTED_VALUE"""),2574086.0)</f>
        <v>2574086</v>
      </c>
    </row>
    <row r="3019">
      <c r="A3019" s="2">
        <f>IFERROR(__xludf.DUMMYFUNCTION("""COMPUTED_VALUE"""),40968.645833333336)</f>
        <v>40968.64583</v>
      </c>
      <c r="B3019" s="1">
        <f>IFERROR(__xludf.DUMMYFUNCTION("""COMPUTED_VALUE"""),382.15)</f>
        <v>382.15</v>
      </c>
      <c r="C3019" s="1">
        <f>IFERROR(__xludf.DUMMYFUNCTION("""COMPUTED_VALUE"""),386.85)</f>
        <v>386.85</v>
      </c>
      <c r="D3019" s="1">
        <f>IFERROR(__xludf.DUMMYFUNCTION("""COMPUTED_VALUE"""),378.85)</f>
        <v>378.85</v>
      </c>
      <c r="E3019" s="1">
        <f>IFERROR(__xludf.DUMMYFUNCTION("""COMPUTED_VALUE"""),380.2)</f>
        <v>380.2</v>
      </c>
      <c r="F3019" s="1">
        <f>IFERROR(__xludf.DUMMYFUNCTION("""COMPUTED_VALUE"""),4159331.0)</f>
        <v>4159331</v>
      </c>
    </row>
    <row r="3020">
      <c r="A3020" s="2">
        <f>IFERROR(__xludf.DUMMYFUNCTION("""COMPUTED_VALUE"""),40969.645833333336)</f>
        <v>40969.64583</v>
      </c>
      <c r="B3020" s="1">
        <f>IFERROR(__xludf.DUMMYFUNCTION("""COMPUTED_VALUE"""),379.5)</f>
        <v>379.5</v>
      </c>
      <c r="C3020" s="1">
        <f>IFERROR(__xludf.DUMMYFUNCTION("""COMPUTED_VALUE"""),382.9)</f>
        <v>382.9</v>
      </c>
      <c r="D3020" s="1">
        <f>IFERROR(__xludf.DUMMYFUNCTION("""COMPUTED_VALUE"""),377.3)</f>
        <v>377.3</v>
      </c>
      <c r="E3020" s="1">
        <f>IFERROR(__xludf.DUMMYFUNCTION("""COMPUTED_VALUE"""),380.35)</f>
        <v>380.35</v>
      </c>
      <c r="F3020" s="1">
        <f>IFERROR(__xludf.DUMMYFUNCTION("""COMPUTED_VALUE"""),1603552.0)</f>
        <v>1603552</v>
      </c>
    </row>
    <row r="3021">
      <c r="A3021" s="2">
        <f>IFERROR(__xludf.DUMMYFUNCTION("""COMPUTED_VALUE"""),40970.645833333336)</f>
        <v>40970.64583</v>
      </c>
      <c r="B3021" s="1">
        <f>IFERROR(__xludf.DUMMYFUNCTION("""COMPUTED_VALUE"""),379.65)</f>
        <v>379.65</v>
      </c>
      <c r="C3021" s="1">
        <f>IFERROR(__xludf.DUMMYFUNCTION("""COMPUTED_VALUE"""),383.65)</f>
        <v>383.65</v>
      </c>
      <c r="D3021" s="1">
        <f>IFERROR(__xludf.DUMMYFUNCTION("""COMPUTED_VALUE"""),376.5)</f>
        <v>376.5</v>
      </c>
      <c r="E3021" s="1">
        <f>IFERROR(__xludf.DUMMYFUNCTION("""COMPUTED_VALUE"""),382.85)</f>
        <v>382.85</v>
      </c>
      <c r="F3021" s="1">
        <f>IFERROR(__xludf.DUMMYFUNCTION("""COMPUTED_VALUE"""),1316617.0)</f>
        <v>1316617</v>
      </c>
    </row>
    <row r="3022">
      <c r="A3022" s="2">
        <f>IFERROR(__xludf.DUMMYFUNCTION("""COMPUTED_VALUE"""),40973.645833333336)</f>
        <v>40973.64583</v>
      </c>
      <c r="B3022" s="1">
        <f>IFERROR(__xludf.DUMMYFUNCTION("""COMPUTED_VALUE"""),380.0)</f>
        <v>380</v>
      </c>
      <c r="C3022" s="1">
        <f>IFERROR(__xludf.DUMMYFUNCTION("""COMPUTED_VALUE"""),383.25)</f>
        <v>383.25</v>
      </c>
      <c r="D3022" s="1">
        <f>IFERROR(__xludf.DUMMYFUNCTION("""COMPUTED_VALUE"""),377.2)</f>
        <v>377.2</v>
      </c>
      <c r="E3022" s="1">
        <f>IFERROR(__xludf.DUMMYFUNCTION("""COMPUTED_VALUE"""),382.55)</f>
        <v>382.55</v>
      </c>
      <c r="F3022" s="1">
        <f>IFERROR(__xludf.DUMMYFUNCTION("""COMPUTED_VALUE"""),765991.0)</f>
        <v>765991</v>
      </c>
    </row>
    <row r="3023">
      <c r="A3023" s="2">
        <f>IFERROR(__xludf.DUMMYFUNCTION("""COMPUTED_VALUE"""),40974.645833333336)</f>
        <v>40974.64583</v>
      </c>
      <c r="B3023" s="1">
        <f>IFERROR(__xludf.DUMMYFUNCTION("""COMPUTED_VALUE"""),380.1)</f>
        <v>380.1</v>
      </c>
      <c r="C3023" s="1">
        <f>IFERROR(__xludf.DUMMYFUNCTION("""COMPUTED_VALUE"""),386.4)</f>
        <v>386.4</v>
      </c>
      <c r="D3023" s="1">
        <f>IFERROR(__xludf.DUMMYFUNCTION("""COMPUTED_VALUE"""),378.1)</f>
        <v>378.1</v>
      </c>
      <c r="E3023" s="1">
        <f>IFERROR(__xludf.DUMMYFUNCTION("""COMPUTED_VALUE"""),380.2)</f>
        <v>380.2</v>
      </c>
      <c r="F3023" s="1">
        <f>IFERROR(__xludf.DUMMYFUNCTION("""COMPUTED_VALUE"""),1464049.0)</f>
        <v>1464049</v>
      </c>
    </row>
    <row r="3024">
      <c r="A3024" s="2">
        <f>IFERROR(__xludf.DUMMYFUNCTION("""COMPUTED_VALUE"""),40975.645833333336)</f>
        <v>40975.64583</v>
      </c>
      <c r="B3024" s="1">
        <f>IFERROR(__xludf.DUMMYFUNCTION("""COMPUTED_VALUE"""),381.25)</f>
        <v>381.25</v>
      </c>
      <c r="C3024" s="1">
        <f>IFERROR(__xludf.DUMMYFUNCTION("""COMPUTED_VALUE"""),386.0)</f>
        <v>386</v>
      </c>
      <c r="D3024" s="1">
        <f>IFERROR(__xludf.DUMMYFUNCTION("""COMPUTED_VALUE"""),378.3)</f>
        <v>378.3</v>
      </c>
      <c r="E3024" s="1">
        <f>IFERROR(__xludf.DUMMYFUNCTION("""COMPUTED_VALUE"""),385.0)</f>
        <v>385</v>
      </c>
      <c r="F3024" s="1">
        <f>IFERROR(__xludf.DUMMYFUNCTION("""COMPUTED_VALUE"""),1118547.0)</f>
        <v>1118547</v>
      </c>
    </row>
    <row r="3025">
      <c r="A3025" s="2">
        <f>IFERROR(__xludf.DUMMYFUNCTION("""COMPUTED_VALUE"""),40977.645833333336)</f>
        <v>40977.64583</v>
      </c>
      <c r="B3025" s="1">
        <f>IFERROR(__xludf.DUMMYFUNCTION("""COMPUTED_VALUE"""),387.85)</f>
        <v>387.85</v>
      </c>
      <c r="C3025" s="1">
        <f>IFERROR(__xludf.DUMMYFUNCTION("""COMPUTED_VALUE"""),388.1)</f>
        <v>388.1</v>
      </c>
      <c r="D3025" s="1">
        <f>IFERROR(__xludf.DUMMYFUNCTION("""COMPUTED_VALUE"""),381.0)</f>
        <v>381</v>
      </c>
      <c r="E3025" s="1">
        <f>IFERROR(__xludf.DUMMYFUNCTION("""COMPUTED_VALUE"""),382.25)</f>
        <v>382.25</v>
      </c>
      <c r="F3025" s="1">
        <f>IFERROR(__xludf.DUMMYFUNCTION("""COMPUTED_VALUE"""),1401098.0)</f>
        <v>1401098</v>
      </c>
    </row>
    <row r="3026">
      <c r="A3026" s="2">
        <f>IFERROR(__xludf.DUMMYFUNCTION("""COMPUTED_VALUE"""),40980.645833333336)</f>
        <v>40980.64583</v>
      </c>
      <c r="B3026" s="1">
        <f>IFERROR(__xludf.DUMMYFUNCTION("""COMPUTED_VALUE"""),383.5)</f>
        <v>383.5</v>
      </c>
      <c r="C3026" s="1">
        <f>IFERROR(__xludf.DUMMYFUNCTION("""COMPUTED_VALUE"""),385.0)</f>
        <v>385</v>
      </c>
      <c r="D3026" s="1">
        <f>IFERROR(__xludf.DUMMYFUNCTION("""COMPUTED_VALUE"""),380.0)</f>
        <v>380</v>
      </c>
      <c r="E3026" s="1">
        <f>IFERROR(__xludf.DUMMYFUNCTION("""COMPUTED_VALUE"""),380.55)</f>
        <v>380.55</v>
      </c>
      <c r="F3026" s="1">
        <f>IFERROR(__xludf.DUMMYFUNCTION("""COMPUTED_VALUE"""),766487.0)</f>
        <v>766487</v>
      </c>
    </row>
    <row r="3027">
      <c r="A3027" s="2">
        <f>IFERROR(__xludf.DUMMYFUNCTION("""COMPUTED_VALUE"""),40981.645833333336)</f>
        <v>40981.64583</v>
      </c>
      <c r="B3027" s="1">
        <f>IFERROR(__xludf.DUMMYFUNCTION("""COMPUTED_VALUE"""),381.0)</f>
        <v>381</v>
      </c>
      <c r="C3027" s="1">
        <f>IFERROR(__xludf.DUMMYFUNCTION("""COMPUTED_VALUE"""),385.8)</f>
        <v>385.8</v>
      </c>
      <c r="D3027" s="1">
        <f>IFERROR(__xludf.DUMMYFUNCTION("""COMPUTED_VALUE"""),380.6)</f>
        <v>380.6</v>
      </c>
      <c r="E3027" s="1">
        <f>IFERROR(__xludf.DUMMYFUNCTION("""COMPUTED_VALUE"""),381.8)</f>
        <v>381.8</v>
      </c>
      <c r="F3027" s="1">
        <f>IFERROR(__xludf.DUMMYFUNCTION("""COMPUTED_VALUE"""),890947.0)</f>
        <v>890947</v>
      </c>
    </row>
    <row r="3028">
      <c r="A3028" s="2">
        <f>IFERROR(__xludf.DUMMYFUNCTION("""COMPUTED_VALUE"""),40982.645833333336)</f>
        <v>40982.64583</v>
      </c>
      <c r="B3028" s="1">
        <f>IFERROR(__xludf.DUMMYFUNCTION("""COMPUTED_VALUE"""),384.8)</f>
        <v>384.8</v>
      </c>
      <c r="C3028" s="1">
        <f>IFERROR(__xludf.DUMMYFUNCTION("""COMPUTED_VALUE"""),386.0)</f>
        <v>386</v>
      </c>
      <c r="D3028" s="1">
        <f>IFERROR(__xludf.DUMMYFUNCTION("""COMPUTED_VALUE"""),380.6)</f>
        <v>380.6</v>
      </c>
      <c r="E3028" s="1">
        <f>IFERROR(__xludf.DUMMYFUNCTION("""COMPUTED_VALUE"""),381.55)</f>
        <v>381.55</v>
      </c>
      <c r="F3028" s="1">
        <f>IFERROR(__xludf.DUMMYFUNCTION("""COMPUTED_VALUE"""),1316660.0)</f>
        <v>1316660</v>
      </c>
    </row>
    <row r="3029">
      <c r="A3029" s="2">
        <f>IFERROR(__xludf.DUMMYFUNCTION("""COMPUTED_VALUE"""),40983.645833333336)</f>
        <v>40983.64583</v>
      </c>
      <c r="B3029" s="1">
        <f>IFERROR(__xludf.DUMMYFUNCTION("""COMPUTED_VALUE"""),383.7)</f>
        <v>383.7</v>
      </c>
      <c r="C3029" s="1">
        <f>IFERROR(__xludf.DUMMYFUNCTION("""COMPUTED_VALUE"""),390.0)</f>
        <v>390</v>
      </c>
      <c r="D3029" s="1">
        <f>IFERROR(__xludf.DUMMYFUNCTION("""COMPUTED_VALUE"""),382.1)</f>
        <v>382.1</v>
      </c>
      <c r="E3029" s="1">
        <f>IFERROR(__xludf.DUMMYFUNCTION("""COMPUTED_VALUE"""),388.1)</f>
        <v>388.1</v>
      </c>
      <c r="F3029" s="1">
        <f>IFERROR(__xludf.DUMMYFUNCTION("""COMPUTED_VALUE"""),2310912.0)</f>
        <v>2310912</v>
      </c>
    </row>
    <row r="3030">
      <c r="A3030" s="2">
        <f>IFERROR(__xludf.DUMMYFUNCTION("""COMPUTED_VALUE"""),40984.645833333336)</f>
        <v>40984.64583</v>
      </c>
      <c r="B3030" s="1">
        <f>IFERROR(__xludf.DUMMYFUNCTION("""COMPUTED_VALUE"""),389.9)</f>
        <v>389.9</v>
      </c>
      <c r="C3030" s="1">
        <f>IFERROR(__xludf.DUMMYFUNCTION("""COMPUTED_VALUE"""),391.95)</f>
        <v>391.95</v>
      </c>
      <c r="D3030" s="1">
        <f>IFERROR(__xludf.DUMMYFUNCTION("""COMPUTED_VALUE"""),383.15)</f>
        <v>383.15</v>
      </c>
      <c r="E3030" s="1">
        <f>IFERROR(__xludf.DUMMYFUNCTION("""COMPUTED_VALUE"""),390.2)</f>
        <v>390.2</v>
      </c>
      <c r="F3030" s="1">
        <f>IFERROR(__xludf.DUMMYFUNCTION("""COMPUTED_VALUE"""),2672919.0)</f>
        <v>2672919</v>
      </c>
    </row>
    <row r="3031">
      <c r="A3031" s="2">
        <f>IFERROR(__xludf.DUMMYFUNCTION("""COMPUTED_VALUE"""),40987.645833333336)</f>
        <v>40987.64583</v>
      </c>
      <c r="B3031" s="1">
        <f>IFERROR(__xludf.DUMMYFUNCTION("""COMPUTED_VALUE"""),391.0)</f>
        <v>391</v>
      </c>
      <c r="C3031" s="1">
        <f>IFERROR(__xludf.DUMMYFUNCTION("""COMPUTED_VALUE"""),399.7)</f>
        <v>399.7</v>
      </c>
      <c r="D3031" s="1">
        <f>IFERROR(__xludf.DUMMYFUNCTION("""COMPUTED_VALUE"""),387.75)</f>
        <v>387.75</v>
      </c>
      <c r="E3031" s="1">
        <f>IFERROR(__xludf.DUMMYFUNCTION("""COMPUTED_VALUE"""),393.85)</f>
        <v>393.85</v>
      </c>
      <c r="F3031" s="1">
        <f>IFERROR(__xludf.DUMMYFUNCTION("""COMPUTED_VALUE"""),2963461.0)</f>
        <v>2963461</v>
      </c>
    </row>
    <row r="3032">
      <c r="A3032" s="2">
        <f>IFERROR(__xludf.DUMMYFUNCTION("""COMPUTED_VALUE"""),40988.645833333336)</f>
        <v>40988.64583</v>
      </c>
      <c r="B3032" s="1">
        <f>IFERROR(__xludf.DUMMYFUNCTION("""COMPUTED_VALUE"""),395.1)</f>
        <v>395.1</v>
      </c>
      <c r="C3032" s="1">
        <f>IFERROR(__xludf.DUMMYFUNCTION("""COMPUTED_VALUE"""),398.9)</f>
        <v>398.9</v>
      </c>
      <c r="D3032" s="1">
        <f>IFERROR(__xludf.DUMMYFUNCTION("""COMPUTED_VALUE"""),392.65)</f>
        <v>392.65</v>
      </c>
      <c r="E3032" s="1">
        <f>IFERROR(__xludf.DUMMYFUNCTION("""COMPUTED_VALUE"""),395.4)</f>
        <v>395.4</v>
      </c>
      <c r="F3032" s="1">
        <f>IFERROR(__xludf.DUMMYFUNCTION("""COMPUTED_VALUE"""),2100522.0)</f>
        <v>2100522</v>
      </c>
    </row>
    <row r="3033">
      <c r="A3033" s="2">
        <f>IFERROR(__xludf.DUMMYFUNCTION("""COMPUTED_VALUE"""),40989.645833333336)</f>
        <v>40989.64583</v>
      </c>
      <c r="B3033" s="1">
        <f>IFERROR(__xludf.DUMMYFUNCTION("""COMPUTED_VALUE"""),395.2)</f>
        <v>395.2</v>
      </c>
      <c r="C3033" s="1">
        <f>IFERROR(__xludf.DUMMYFUNCTION("""COMPUTED_VALUE"""),404.5)</f>
        <v>404.5</v>
      </c>
      <c r="D3033" s="1">
        <f>IFERROR(__xludf.DUMMYFUNCTION("""COMPUTED_VALUE"""),395.1)</f>
        <v>395.1</v>
      </c>
      <c r="E3033" s="1">
        <f>IFERROR(__xludf.DUMMYFUNCTION("""COMPUTED_VALUE"""),403.2)</f>
        <v>403.2</v>
      </c>
      <c r="F3033" s="1">
        <f>IFERROR(__xludf.DUMMYFUNCTION("""COMPUTED_VALUE"""),3610315.0)</f>
        <v>3610315</v>
      </c>
    </row>
    <row r="3034">
      <c r="A3034" s="2">
        <f>IFERROR(__xludf.DUMMYFUNCTION("""COMPUTED_VALUE"""),40990.645833333336)</f>
        <v>40990.64583</v>
      </c>
      <c r="B3034" s="1">
        <f>IFERROR(__xludf.DUMMYFUNCTION("""COMPUTED_VALUE"""),404.0)</f>
        <v>404</v>
      </c>
      <c r="C3034" s="1">
        <f>IFERROR(__xludf.DUMMYFUNCTION("""COMPUTED_VALUE"""),406.35)</f>
        <v>406.35</v>
      </c>
      <c r="D3034" s="1">
        <f>IFERROR(__xludf.DUMMYFUNCTION("""COMPUTED_VALUE"""),392.8)</f>
        <v>392.8</v>
      </c>
      <c r="E3034" s="1">
        <f>IFERROR(__xludf.DUMMYFUNCTION("""COMPUTED_VALUE"""),395.85)</f>
        <v>395.85</v>
      </c>
      <c r="F3034" s="1">
        <f>IFERROR(__xludf.DUMMYFUNCTION("""COMPUTED_VALUE"""),2497386.0)</f>
        <v>2497386</v>
      </c>
    </row>
    <row r="3035">
      <c r="A3035" s="2">
        <f>IFERROR(__xludf.DUMMYFUNCTION("""COMPUTED_VALUE"""),40991.645833333336)</f>
        <v>40991.64583</v>
      </c>
      <c r="B3035" s="1">
        <f>IFERROR(__xludf.DUMMYFUNCTION("""COMPUTED_VALUE"""),396.5)</f>
        <v>396.5</v>
      </c>
      <c r="C3035" s="1">
        <f>IFERROR(__xludf.DUMMYFUNCTION("""COMPUTED_VALUE"""),407.0)</f>
        <v>407</v>
      </c>
      <c r="D3035" s="1">
        <f>IFERROR(__xludf.DUMMYFUNCTION("""COMPUTED_VALUE"""),396.5)</f>
        <v>396.5</v>
      </c>
      <c r="E3035" s="1">
        <f>IFERROR(__xludf.DUMMYFUNCTION("""COMPUTED_VALUE"""),403.1)</f>
        <v>403.1</v>
      </c>
      <c r="F3035" s="1">
        <f>IFERROR(__xludf.DUMMYFUNCTION("""COMPUTED_VALUE"""),3300855.0)</f>
        <v>3300855</v>
      </c>
    </row>
    <row r="3036">
      <c r="A3036" s="2">
        <f>IFERROR(__xludf.DUMMYFUNCTION("""COMPUTED_VALUE"""),40994.645833333336)</f>
        <v>40994.64583</v>
      </c>
      <c r="B3036" s="1">
        <f>IFERROR(__xludf.DUMMYFUNCTION("""COMPUTED_VALUE"""),403.0)</f>
        <v>403</v>
      </c>
      <c r="C3036" s="1">
        <f>IFERROR(__xludf.DUMMYFUNCTION("""COMPUTED_VALUE"""),405.45)</f>
        <v>405.45</v>
      </c>
      <c r="D3036" s="1">
        <f>IFERROR(__xludf.DUMMYFUNCTION("""COMPUTED_VALUE"""),396.55)</f>
        <v>396.55</v>
      </c>
      <c r="E3036" s="1">
        <f>IFERROR(__xludf.DUMMYFUNCTION("""COMPUTED_VALUE"""),403.35)</f>
        <v>403.35</v>
      </c>
      <c r="F3036" s="1">
        <f>IFERROR(__xludf.DUMMYFUNCTION("""COMPUTED_VALUE"""),1925706.0)</f>
        <v>1925706</v>
      </c>
    </row>
    <row r="3037">
      <c r="A3037" s="2">
        <f>IFERROR(__xludf.DUMMYFUNCTION("""COMPUTED_VALUE"""),40995.645833333336)</f>
        <v>40995.64583</v>
      </c>
      <c r="B3037" s="1">
        <f>IFERROR(__xludf.DUMMYFUNCTION("""COMPUTED_VALUE"""),404.8)</f>
        <v>404.8</v>
      </c>
      <c r="C3037" s="1">
        <f>IFERROR(__xludf.DUMMYFUNCTION("""COMPUTED_VALUE"""),417.7)</f>
        <v>417.7</v>
      </c>
      <c r="D3037" s="1">
        <f>IFERROR(__xludf.DUMMYFUNCTION("""COMPUTED_VALUE"""),403.0)</f>
        <v>403</v>
      </c>
      <c r="E3037" s="1">
        <f>IFERROR(__xludf.DUMMYFUNCTION("""COMPUTED_VALUE"""),416.05)</f>
        <v>416.05</v>
      </c>
      <c r="F3037" s="1">
        <f>IFERROR(__xludf.DUMMYFUNCTION("""COMPUTED_VALUE"""),4279621.0)</f>
        <v>4279621</v>
      </c>
    </row>
    <row r="3038">
      <c r="A3038" s="2">
        <f>IFERROR(__xludf.DUMMYFUNCTION("""COMPUTED_VALUE"""),40996.645833333336)</f>
        <v>40996.64583</v>
      </c>
      <c r="B3038" s="1">
        <f>IFERROR(__xludf.DUMMYFUNCTION("""COMPUTED_VALUE"""),415.55)</f>
        <v>415.55</v>
      </c>
      <c r="C3038" s="1">
        <f>IFERROR(__xludf.DUMMYFUNCTION("""COMPUTED_VALUE"""),418.55)</f>
        <v>418.55</v>
      </c>
      <c r="D3038" s="1">
        <f>IFERROR(__xludf.DUMMYFUNCTION("""COMPUTED_VALUE"""),411.0)</f>
        <v>411</v>
      </c>
      <c r="E3038" s="1">
        <f>IFERROR(__xludf.DUMMYFUNCTION("""COMPUTED_VALUE"""),412.5)</f>
        <v>412.5</v>
      </c>
      <c r="F3038" s="1">
        <f>IFERROR(__xludf.DUMMYFUNCTION("""COMPUTED_VALUE"""),1830505.0)</f>
        <v>1830505</v>
      </c>
    </row>
    <row r="3039">
      <c r="A3039" s="2">
        <f>IFERROR(__xludf.DUMMYFUNCTION("""COMPUTED_VALUE"""),40997.645833333336)</f>
        <v>40997.64583</v>
      </c>
      <c r="B3039" s="1">
        <f>IFERROR(__xludf.DUMMYFUNCTION("""COMPUTED_VALUE"""),411.0)</f>
        <v>411</v>
      </c>
      <c r="C3039" s="1">
        <f>IFERROR(__xludf.DUMMYFUNCTION("""COMPUTED_VALUE"""),414.55)</f>
        <v>414.55</v>
      </c>
      <c r="D3039" s="1">
        <f>IFERROR(__xludf.DUMMYFUNCTION("""COMPUTED_VALUE"""),406.2)</f>
        <v>406.2</v>
      </c>
      <c r="E3039" s="1">
        <f>IFERROR(__xludf.DUMMYFUNCTION("""COMPUTED_VALUE"""),408.35)</f>
        <v>408.35</v>
      </c>
      <c r="F3039" s="1">
        <f>IFERROR(__xludf.DUMMYFUNCTION("""COMPUTED_VALUE"""),2403473.0)</f>
        <v>2403473</v>
      </c>
    </row>
    <row r="3040">
      <c r="A3040" s="2">
        <f>IFERROR(__xludf.DUMMYFUNCTION("""COMPUTED_VALUE"""),40998.645833333336)</f>
        <v>40998.64583</v>
      </c>
      <c r="B3040" s="1">
        <f>IFERROR(__xludf.DUMMYFUNCTION("""COMPUTED_VALUE"""),409.2)</f>
        <v>409.2</v>
      </c>
      <c r="C3040" s="1">
        <f>IFERROR(__xludf.DUMMYFUNCTION("""COMPUTED_VALUE"""),414.45)</f>
        <v>414.45</v>
      </c>
      <c r="D3040" s="1">
        <f>IFERROR(__xludf.DUMMYFUNCTION("""COMPUTED_VALUE"""),406.3)</f>
        <v>406.3</v>
      </c>
      <c r="E3040" s="1">
        <f>IFERROR(__xludf.DUMMYFUNCTION("""COMPUTED_VALUE"""),410.05)</f>
        <v>410.05</v>
      </c>
      <c r="F3040" s="1">
        <f>IFERROR(__xludf.DUMMYFUNCTION("""COMPUTED_VALUE"""),1963767.0)</f>
        <v>1963767</v>
      </c>
    </row>
    <row r="3041">
      <c r="A3041" s="2">
        <f>IFERROR(__xludf.DUMMYFUNCTION("""COMPUTED_VALUE"""),41001.645833333336)</f>
        <v>41001.64583</v>
      </c>
      <c r="B3041" s="1">
        <f>IFERROR(__xludf.DUMMYFUNCTION("""COMPUTED_VALUE"""),408.2)</f>
        <v>408.2</v>
      </c>
      <c r="C3041" s="1">
        <f>IFERROR(__xludf.DUMMYFUNCTION("""COMPUTED_VALUE"""),408.95)</f>
        <v>408.95</v>
      </c>
      <c r="D3041" s="1">
        <f>IFERROR(__xludf.DUMMYFUNCTION("""COMPUTED_VALUE"""),404.1)</f>
        <v>404.1</v>
      </c>
      <c r="E3041" s="1">
        <f>IFERROR(__xludf.DUMMYFUNCTION("""COMPUTED_VALUE"""),405.65)</f>
        <v>405.65</v>
      </c>
      <c r="F3041" s="1">
        <f>IFERROR(__xludf.DUMMYFUNCTION("""COMPUTED_VALUE"""),1539502.0)</f>
        <v>1539502</v>
      </c>
    </row>
    <row r="3042">
      <c r="A3042" s="2">
        <f>IFERROR(__xludf.DUMMYFUNCTION("""COMPUTED_VALUE"""),41002.645833333336)</f>
        <v>41002.64583</v>
      </c>
      <c r="B3042" s="1">
        <f>IFERROR(__xludf.DUMMYFUNCTION("""COMPUTED_VALUE"""),407.8)</f>
        <v>407.8</v>
      </c>
      <c r="C3042" s="1">
        <f>IFERROR(__xludf.DUMMYFUNCTION("""COMPUTED_VALUE"""),409.65)</f>
        <v>409.65</v>
      </c>
      <c r="D3042" s="1">
        <f>IFERROR(__xludf.DUMMYFUNCTION("""COMPUTED_VALUE"""),402.75)</f>
        <v>402.75</v>
      </c>
      <c r="E3042" s="1">
        <f>IFERROR(__xludf.DUMMYFUNCTION("""COMPUTED_VALUE"""),403.75)</f>
        <v>403.75</v>
      </c>
      <c r="F3042" s="1">
        <f>IFERROR(__xludf.DUMMYFUNCTION("""COMPUTED_VALUE"""),1308869.0)</f>
        <v>1308869</v>
      </c>
    </row>
    <row r="3043">
      <c r="A3043" s="2">
        <f>IFERROR(__xludf.DUMMYFUNCTION("""COMPUTED_VALUE"""),41003.645833333336)</f>
        <v>41003.64583</v>
      </c>
      <c r="B3043" s="1">
        <f>IFERROR(__xludf.DUMMYFUNCTION("""COMPUTED_VALUE"""),404.0)</f>
        <v>404</v>
      </c>
      <c r="C3043" s="1">
        <f>IFERROR(__xludf.DUMMYFUNCTION("""COMPUTED_VALUE"""),404.3)</f>
        <v>404.3</v>
      </c>
      <c r="D3043" s="1">
        <f>IFERROR(__xludf.DUMMYFUNCTION("""COMPUTED_VALUE"""),398.0)</f>
        <v>398</v>
      </c>
      <c r="E3043" s="1">
        <f>IFERROR(__xludf.DUMMYFUNCTION("""COMPUTED_VALUE"""),399.2)</f>
        <v>399.2</v>
      </c>
      <c r="F3043" s="1">
        <f>IFERROR(__xludf.DUMMYFUNCTION("""COMPUTED_VALUE"""),1285156.0)</f>
        <v>1285156</v>
      </c>
    </row>
    <row r="3044">
      <c r="A3044" s="2">
        <f>IFERROR(__xludf.DUMMYFUNCTION("""COMPUTED_VALUE"""),41008.645833333336)</f>
        <v>41008.64583</v>
      </c>
      <c r="B3044" s="1">
        <f>IFERROR(__xludf.DUMMYFUNCTION("""COMPUTED_VALUE"""),401.3)</f>
        <v>401.3</v>
      </c>
      <c r="C3044" s="1">
        <f>IFERROR(__xludf.DUMMYFUNCTION("""COMPUTED_VALUE"""),406.2)</f>
        <v>406.2</v>
      </c>
      <c r="D3044" s="1">
        <f>IFERROR(__xludf.DUMMYFUNCTION("""COMPUTED_VALUE"""),400.0)</f>
        <v>400</v>
      </c>
      <c r="E3044" s="1">
        <f>IFERROR(__xludf.DUMMYFUNCTION("""COMPUTED_VALUE"""),404.5)</f>
        <v>404.5</v>
      </c>
      <c r="F3044" s="1">
        <f>IFERROR(__xludf.DUMMYFUNCTION("""COMPUTED_VALUE"""),1463760.0)</f>
        <v>1463760</v>
      </c>
    </row>
    <row r="3045">
      <c r="A3045" s="2">
        <f>IFERROR(__xludf.DUMMYFUNCTION("""COMPUTED_VALUE"""),41009.645833333336)</f>
        <v>41009.64583</v>
      </c>
      <c r="B3045" s="1">
        <f>IFERROR(__xludf.DUMMYFUNCTION("""COMPUTED_VALUE"""),405.0)</f>
        <v>405</v>
      </c>
      <c r="C3045" s="1">
        <f>IFERROR(__xludf.DUMMYFUNCTION("""COMPUTED_VALUE"""),417.5)</f>
        <v>417.5</v>
      </c>
      <c r="D3045" s="1">
        <f>IFERROR(__xludf.DUMMYFUNCTION("""COMPUTED_VALUE"""),404.85)</f>
        <v>404.85</v>
      </c>
      <c r="E3045" s="1">
        <f>IFERROR(__xludf.DUMMYFUNCTION("""COMPUTED_VALUE"""),414.95)</f>
        <v>414.95</v>
      </c>
      <c r="F3045" s="1">
        <f>IFERROR(__xludf.DUMMYFUNCTION("""COMPUTED_VALUE"""),2726003.0)</f>
        <v>2726003</v>
      </c>
    </row>
    <row r="3046">
      <c r="A3046" s="2">
        <f>IFERROR(__xludf.DUMMYFUNCTION("""COMPUTED_VALUE"""),41010.645833333336)</f>
        <v>41010.64583</v>
      </c>
      <c r="B3046" s="1">
        <f>IFERROR(__xludf.DUMMYFUNCTION("""COMPUTED_VALUE"""),413.25)</f>
        <v>413.25</v>
      </c>
      <c r="C3046" s="1">
        <f>IFERROR(__xludf.DUMMYFUNCTION("""COMPUTED_VALUE"""),420.85)</f>
        <v>420.85</v>
      </c>
      <c r="D3046" s="1">
        <f>IFERROR(__xludf.DUMMYFUNCTION("""COMPUTED_VALUE"""),410.1)</f>
        <v>410.1</v>
      </c>
      <c r="E3046" s="1">
        <f>IFERROR(__xludf.DUMMYFUNCTION("""COMPUTED_VALUE"""),416.6)</f>
        <v>416.6</v>
      </c>
      <c r="F3046" s="1">
        <f>IFERROR(__xludf.DUMMYFUNCTION("""COMPUTED_VALUE"""),1747310.0)</f>
        <v>1747310</v>
      </c>
    </row>
    <row r="3047">
      <c r="A3047" s="2">
        <f>IFERROR(__xludf.DUMMYFUNCTION("""COMPUTED_VALUE"""),41011.645833333336)</f>
        <v>41011.64583</v>
      </c>
      <c r="B3047" s="1">
        <f>IFERROR(__xludf.DUMMYFUNCTION("""COMPUTED_VALUE"""),416.25)</f>
        <v>416.25</v>
      </c>
      <c r="C3047" s="1">
        <f>IFERROR(__xludf.DUMMYFUNCTION("""COMPUTED_VALUE"""),422.0)</f>
        <v>422</v>
      </c>
      <c r="D3047" s="1">
        <f>IFERROR(__xludf.DUMMYFUNCTION("""COMPUTED_VALUE"""),414.6)</f>
        <v>414.6</v>
      </c>
      <c r="E3047" s="1">
        <f>IFERROR(__xludf.DUMMYFUNCTION("""COMPUTED_VALUE"""),421.2)</f>
        <v>421.2</v>
      </c>
      <c r="F3047" s="1">
        <f>IFERROR(__xludf.DUMMYFUNCTION("""COMPUTED_VALUE"""),1678795.0)</f>
        <v>1678795</v>
      </c>
    </row>
    <row r="3048">
      <c r="A3048" s="2">
        <f>IFERROR(__xludf.DUMMYFUNCTION("""COMPUTED_VALUE"""),41012.645833333336)</f>
        <v>41012.64583</v>
      </c>
      <c r="B3048" s="1">
        <f>IFERROR(__xludf.DUMMYFUNCTION("""COMPUTED_VALUE"""),424.0)</f>
        <v>424</v>
      </c>
      <c r="C3048" s="1">
        <f>IFERROR(__xludf.DUMMYFUNCTION("""COMPUTED_VALUE"""),428.4)</f>
        <v>428.4</v>
      </c>
      <c r="D3048" s="1">
        <f>IFERROR(__xludf.DUMMYFUNCTION("""COMPUTED_VALUE"""),422.9)</f>
        <v>422.9</v>
      </c>
      <c r="E3048" s="1">
        <f>IFERROR(__xludf.DUMMYFUNCTION("""COMPUTED_VALUE"""),425.15)</f>
        <v>425.15</v>
      </c>
      <c r="F3048" s="1">
        <f>IFERROR(__xludf.DUMMYFUNCTION("""COMPUTED_VALUE"""),891169.0)</f>
        <v>891169</v>
      </c>
    </row>
    <row r="3049">
      <c r="A3049" s="2">
        <f>IFERROR(__xludf.DUMMYFUNCTION("""COMPUTED_VALUE"""),41015.645833333336)</f>
        <v>41015.64583</v>
      </c>
      <c r="B3049" s="1">
        <f>IFERROR(__xludf.DUMMYFUNCTION("""COMPUTED_VALUE"""),424.75)</f>
        <v>424.75</v>
      </c>
      <c r="C3049" s="1">
        <f>IFERROR(__xludf.DUMMYFUNCTION("""COMPUTED_VALUE"""),425.9)</f>
        <v>425.9</v>
      </c>
      <c r="D3049" s="1">
        <f>IFERROR(__xludf.DUMMYFUNCTION("""COMPUTED_VALUE"""),420.35)</f>
        <v>420.35</v>
      </c>
      <c r="E3049" s="1">
        <f>IFERROR(__xludf.DUMMYFUNCTION("""COMPUTED_VALUE"""),421.25)</f>
        <v>421.25</v>
      </c>
      <c r="F3049" s="1">
        <f>IFERROR(__xludf.DUMMYFUNCTION("""COMPUTED_VALUE"""),722676.0)</f>
        <v>722676</v>
      </c>
    </row>
    <row r="3050">
      <c r="A3050" s="2">
        <f>IFERROR(__xludf.DUMMYFUNCTION("""COMPUTED_VALUE"""),41016.645833333336)</f>
        <v>41016.64583</v>
      </c>
      <c r="B3050" s="1">
        <f>IFERROR(__xludf.DUMMYFUNCTION("""COMPUTED_VALUE"""),421.0)</f>
        <v>421</v>
      </c>
      <c r="C3050" s="1">
        <f>IFERROR(__xludf.DUMMYFUNCTION("""COMPUTED_VALUE"""),425.45)</f>
        <v>425.45</v>
      </c>
      <c r="D3050" s="1">
        <f>IFERROR(__xludf.DUMMYFUNCTION("""COMPUTED_VALUE"""),419.35)</f>
        <v>419.35</v>
      </c>
      <c r="E3050" s="1">
        <f>IFERROR(__xludf.DUMMYFUNCTION("""COMPUTED_VALUE"""),422.2)</f>
        <v>422.2</v>
      </c>
      <c r="F3050" s="1">
        <f>IFERROR(__xludf.DUMMYFUNCTION("""COMPUTED_VALUE"""),1470364.0)</f>
        <v>1470364</v>
      </c>
    </row>
    <row r="3051">
      <c r="A3051" s="2">
        <f>IFERROR(__xludf.DUMMYFUNCTION("""COMPUTED_VALUE"""),41017.645833333336)</f>
        <v>41017.64583</v>
      </c>
      <c r="B3051" s="1">
        <f>IFERROR(__xludf.DUMMYFUNCTION("""COMPUTED_VALUE"""),423.0)</f>
        <v>423</v>
      </c>
      <c r="C3051" s="1">
        <f>IFERROR(__xludf.DUMMYFUNCTION("""COMPUTED_VALUE"""),424.1)</f>
        <v>424.1</v>
      </c>
      <c r="D3051" s="1">
        <f>IFERROR(__xludf.DUMMYFUNCTION("""COMPUTED_VALUE"""),420.25)</f>
        <v>420.25</v>
      </c>
      <c r="E3051" s="1">
        <f>IFERROR(__xludf.DUMMYFUNCTION("""COMPUTED_VALUE"""),422.85)</f>
        <v>422.85</v>
      </c>
      <c r="F3051" s="1">
        <f>IFERROR(__xludf.DUMMYFUNCTION("""COMPUTED_VALUE"""),1749037.0)</f>
        <v>1749037</v>
      </c>
    </row>
    <row r="3052">
      <c r="A3052" s="2">
        <f>IFERROR(__xludf.DUMMYFUNCTION("""COMPUTED_VALUE"""),41018.645833333336)</f>
        <v>41018.64583</v>
      </c>
      <c r="B3052" s="1">
        <f>IFERROR(__xludf.DUMMYFUNCTION("""COMPUTED_VALUE"""),423.5)</f>
        <v>423.5</v>
      </c>
      <c r="C3052" s="1">
        <f>IFERROR(__xludf.DUMMYFUNCTION("""COMPUTED_VALUE"""),430.5)</f>
        <v>430.5</v>
      </c>
      <c r="D3052" s="1">
        <f>IFERROR(__xludf.DUMMYFUNCTION("""COMPUTED_VALUE"""),420.6)</f>
        <v>420.6</v>
      </c>
      <c r="E3052" s="1">
        <f>IFERROR(__xludf.DUMMYFUNCTION("""COMPUTED_VALUE"""),425.5)</f>
        <v>425.5</v>
      </c>
      <c r="F3052" s="1">
        <f>IFERROR(__xludf.DUMMYFUNCTION("""COMPUTED_VALUE"""),2363011.0)</f>
        <v>2363011</v>
      </c>
    </row>
    <row r="3053">
      <c r="A3053" s="2">
        <f>IFERROR(__xludf.DUMMYFUNCTION("""COMPUTED_VALUE"""),41019.645833333336)</f>
        <v>41019.64583</v>
      </c>
      <c r="B3053" s="1">
        <f>IFERROR(__xludf.DUMMYFUNCTION("""COMPUTED_VALUE"""),426.0)</f>
        <v>426</v>
      </c>
      <c r="C3053" s="1">
        <f>IFERROR(__xludf.DUMMYFUNCTION("""COMPUTED_VALUE"""),426.0)</f>
        <v>426</v>
      </c>
      <c r="D3053" s="1">
        <f>IFERROR(__xludf.DUMMYFUNCTION("""COMPUTED_VALUE"""),416.4)</f>
        <v>416.4</v>
      </c>
      <c r="E3053" s="1">
        <f>IFERROR(__xludf.DUMMYFUNCTION("""COMPUTED_VALUE"""),423.0)</f>
        <v>423</v>
      </c>
      <c r="F3053" s="1">
        <f>IFERROR(__xludf.DUMMYFUNCTION("""COMPUTED_VALUE"""),1990448.0)</f>
        <v>1990448</v>
      </c>
    </row>
    <row r="3054">
      <c r="A3054" s="2">
        <f>IFERROR(__xludf.DUMMYFUNCTION("""COMPUTED_VALUE"""),41022.645833333336)</f>
        <v>41022.64583</v>
      </c>
      <c r="B3054" s="1">
        <f>IFERROR(__xludf.DUMMYFUNCTION("""COMPUTED_VALUE"""),422.35)</f>
        <v>422.35</v>
      </c>
      <c r="C3054" s="1">
        <f>IFERROR(__xludf.DUMMYFUNCTION("""COMPUTED_VALUE"""),424.35)</f>
        <v>424.35</v>
      </c>
      <c r="D3054" s="1">
        <f>IFERROR(__xludf.DUMMYFUNCTION("""COMPUTED_VALUE"""),416.0)</f>
        <v>416</v>
      </c>
      <c r="E3054" s="1">
        <f>IFERROR(__xludf.DUMMYFUNCTION("""COMPUTED_VALUE"""),417.1)</f>
        <v>417.1</v>
      </c>
      <c r="F3054" s="1">
        <f>IFERROR(__xludf.DUMMYFUNCTION("""COMPUTED_VALUE"""),498101.0)</f>
        <v>498101</v>
      </c>
    </row>
    <row r="3055">
      <c r="A3055" s="2">
        <f>IFERROR(__xludf.DUMMYFUNCTION("""COMPUTED_VALUE"""),41023.645833333336)</f>
        <v>41023.64583</v>
      </c>
      <c r="B3055" s="1">
        <f>IFERROR(__xludf.DUMMYFUNCTION("""COMPUTED_VALUE"""),417.9)</f>
        <v>417.9</v>
      </c>
      <c r="C3055" s="1">
        <f>IFERROR(__xludf.DUMMYFUNCTION("""COMPUTED_VALUE"""),423.35)</f>
        <v>423.35</v>
      </c>
      <c r="D3055" s="1">
        <f>IFERROR(__xludf.DUMMYFUNCTION("""COMPUTED_VALUE"""),416.35)</f>
        <v>416.35</v>
      </c>
      <c r="E3055" s="1">
        <f>IFERROR(__xludf.DUMMYFUNCTION("""COMPUTED_VALUE"""),420.5)</f>
        <v>420.5</v>
      </c>
      <c r="F3055" s="1">
        <f>IFERROR(__xludf.DUMMYFUNCTION("""COMPUTED_VALUE"""),1386044.0)</f>
        <v>1386044</v>
      </c>
    </row>
    <row r="3056">
      <c r="A3056" s="2">
        <f>IFERROR(__xludf.DUMMYFUNCTION("""COMPUTED_VALUE"""),41024.645833333336)</f>
        <v>41024.64583</v>
      </c>
      <c r="B3056" s="1">
        <f>IFERROR(__xludf.DUMMYFUNCTION("""COMPUTED_VALUE"""),419.35)</f>
        <v>419.35</v>
      </c>
      <c r="C3056" s="1">
        <f>IFERROR(__xludf.DUMMYFUNCTION("""COMPUTED_VALUE"""),422.0)</f>
        <v>422</v>
      </c>
      <c r="D3056" s="1">
        <f>IFERROR(__xludf.DUMMYFUNCTION("""COMPUTED_VALUE"""),416.4)</f>
        <v>416.4</v>
      </c>
      <c r="E3056" s="1">
        <f>IFERROR(__xludf.DUMMYFUNCTION("""COMPUTED_VALUE"""),419.1)</f>
        <v>419.1</v>
      </c>
      <c r="F3056" s="1">
        <f>IFERROR(__xludf.DUMMYFUNCTION("""COMPUTED_VALUE"""),1021535.0)</f>
        <v>1021535</v>
      </c>
    </row>
    <row r="3057">
      <c r="A3057" s="2">
        <f>IFERROR(__xludf.DUMMYFUNCTION("""COMPUTED_VALUE"""),41025.645833333336)</f>
        <v>41025.64583</v>
      </c>
      <c r="B3057" s="1">
        <f>IFERROR(__xludf.DUMMYFUNCTION("""COMPUTED_VALUE"""),418.1)</f>
        <v>418.1</v>
      </c>
      <c r="C3057" s="1">
        <f>IFERROR(__xludf.DUMMYFUNCTION("""COMPUTED_VALUE"""),419.85)</f>
        <v>419.85</v>
      </c>
      <c r="D3057" s="1">
        <f>IFERROR(__xludf.DUMMYFUNCTION("""COMPUTED_VALUE"""),412.25)</f>
        <v>412.25</v>
      </c>
      <c r="E3057" s="1">
        <f>IFERROR(__xludf.DUMMYFUNCTION("""COMPUTED_VALUE"""),414.7)</f>
        <v>414.7</v>
      </c>
      <c r="F3057" s="1">
        <f>IFERROR(__xludf.DUMMYFUNCTION("""COMPUTED_VALUE"""),2175667.0)</f>
        <v>2175667</v>
      </c>
    </row>
    <row r="3058">
      <c r="A3058" s="2">
        <f>IFERROR(__xludf.DUMMYFUNCTION("""COMPUTED_VALUE"""),41026.645833333336)</f>
        <v>41026.64583</v>
      </c>
      <c r="B3058" s="1">
        <f>IFERROR(__xludf.DUMMYFUNCTION("""COMPUTED_VALUE"""),414.0)</f>
        <v>414</v>
      </c>
      <c r="C3058" s="1">
        <f>IFERROR(__xludf.DUMMYFUNCTION("""COMPUTED_VALUE"""),418.3)</f>
        <v>418.3</v>
      </c>
      <c r="D3058" s="1">
        <f>IFERROR(__xludf.DUMMYFUNCTION("""COMPUTED_VALUE"""),412.55)</f>
        <v>412.55</v>
      </c>
      <c r="E3058" s="1">
        <f>IFERROR(__xludf.DUMMYFUNCTION("""COMPUTED_VALUE"""),415.4)</f>
        <v>415.4</v>
      </c>
      <c r="F3058" s="1">
        <f>IFERROR(__xludf.DUMMYFUNCTION("""COMPUTED_VALUE"""),2408519.0)</f>
        <v>2408519</v>
      </c>
    </row>
    <row r="3059">
      <c r="A3059" s="2">
        <f>IFERROR(__xludf.DUMMYFUNCTION("""COMPUTED_VALUE"""),41029.645833333336)</f>
        <v>41029.64583</v>
      </c>
      <c r="B3059" s="1">
        <f>IFERROR(__xludf.DUMMYFUNCTION("""COMPUTED_VALUE"""),417.65)</f>
        <v>417.65</v>
      </c>
      <c r="C3059" s="1">
        <f>IFERROR(__xludf.DUMMYFUNCTION("""COMPUTED_VALUE"""),421.4)</f>
        <v>421.4</v>
      </c>
      <c r="D3059" s="1">
        <f>IFERROR(__xludf.DUMMYFUNCTION("""COMPUTED_VALUE"""),414.35)</f>
        <v>414.35</v>
      </c>
      <c r="E3059" s="1">
        <f>IFERROR(__xludf.DUMMYFUNCTION("""COMPUTED_VALUE"""),417.6)</f>
        <v>417.6</v>
      </c>
      <c r="F3059" s="1">
        <f>IFERROR(__xludf.DUMMYFUNCTION("""COMPUTED_VALUE"""),2701937.0)</f>
        <v>2701937</v>
      </c>
    </row>
    <row r="3060">
      <c r="A3060" s="2">
        <f>IFERROR(__xludf.DUMMYFUNCTION("""COMPUTED_VALUE"""),41031.645833333336)</f>
        <v>41031.64583</v>
      </c>
      <c r="B3060" s="1">
        <f>IFERROR(__xludf.DUMMYFUNCTION("""COMPUTED_VALUE"""),430.0)</f>
        <v>430</v>
      </c>
      <c r="C3060" s="1">
        <f>IFERROR(__xludf.DUMMYFUNCTION("""COMPUTED_VALUE"""),433.8)</f>
        <v>433.8</v>
      </c>
      <c r="D3060" s="1">
        <f>IFERROR(__xludf.DUMMYFUNCTION("""COMPUTED_VALUE"""),423.6)</f>
        <v>423.6</v>
      </c>
      <c r="E3060" s="1">
        <f>IFERROR(__xludf.DUMMYFUNCTION("""COMPUTED_VALUE"""),425.0)</f>
        <v>425</v>
      </c>
      <c r="F3060" s="1">
        <f>IFERROR(__xludf.DUMMYFUNCTION("""COMPUTED_VALUE"""),4465721.0)</f>
        <v>4465721</v>
      </c>
    </row>
    <row r="3061">
      <c r="A3061" s="2">
        <f>IFERROR(__xludf.DUMMYFUNCTION("""COMPUTED_VALUE"""),41032.645833333336)</f>
        <v>41032.64583</v>
      </c>
      <c r="B3061" s="1">
        <f>IFERROR(__xludf.DUMMYFUNCTION("""COMPUTED_VALUE"""),422.5)</f>
        <v>422.5</v>
      </c>
      <c r="C3061" s="1">
        <f>IFERROR(__xludf.DUMMYFUNCTION("""COMPUTED_VALUE"""),435.5)</f>
        <v>435.5</v>
      </c>
      <c r="D3061" s="1">
        <f>IFERROR(__xludf.DUMMYFUNCTION("""COMPUTED_VALUE"""),422.5)</f>
        <v>422.5</v>
      </c>
      <c r="E3061" s="1">
        <f>IFERROR(__xludf.DUMMYFUNCTION("""COMPUTED_VALUE"""),434.75)</f>
        <v>434.75</v>
      </c>
      <c r="F3061" s="1">
        <f>IFERROR(__xludf.DUMMYFUNCTION("""COMPUTED_VALUE"""),6817254.0)</f>
        <v>6817254</v>
      </c>
    </row>
    <row r="3062">
      <c r="A3062" s="2">
        <f>IFERROR(__xludf.DUMMYFUNCTION("""COMPUTED_VALUE"""),41033.645833333336)</f>
        <v>41033.64583</v>
      </c>
      <c r="B3062" s="1">
        <f>IFERROR(__xludf.DUMMYFUNCTION("""COMPUTED_VALUE"""),432.5)</f>
        <v>432.5</v>
      </c>
      <c r="C3062" s="1">
        <f>IFERROR(__xludf.DUMMYFUNCTION("""COMPUTED_VALUE"""),437.75)</f>
        <v>437.75</v>
      </c>
      <c r="D3062" s="1">
        <f>IFERROR(__xludf.DUMMYFUNCTION("""COMPUTED_VALUE"""),431.15)</f>
        <v>431.15</v>
      </c>
      <c r="E3062" s="1">
        <f>IFERROR(__xludf.DUMMYFUNCTION("""COMPUTED_VALUE"""),434.9)</f>
        <v>434.9</v>
      </c>
      <c r="F3062" s="1">
        <f>IFERROR(__xludf.DUMMYFUNCTION("""COMPUTED_VALUE"""),1828561.0)</f>
        <v>1828561</v>
      </c>
    </row>
    <row r="3063">
      <c r="A3063" s="2">
        <f>IFERROR(__xludf.DUMMYFUNCTION("""COMPUTED_VALUE"""),41036.645833333336)</f>
        <v>41036.64583</v>
      </c>
      <c r="B3063" s="1">
        <f>IFERROR(__xludf.DUMMYFUNCTION("""COMPUTED_VALUE"""),429.55)</f>
        <v>429.55</v>
      </c>
      <c r="C3063" s="1">
        <f>IFERROR(__xludf.DUMMYFUNCTION("""COMPUTED_VALUE"""),434.0)</f>
        <v>434</v>
      </c>
      <c r="D3063" s="1">
        <f>IFERROR(__xludf.DUMMYFUNCTION("""COMPUTED_VALUE"""),425.0)</f>
        <v>425</v>
      </c>
      <c r="E3063" s="1">
        <f>IFERROR(__xludf.DUMMYFUNCTION("""COMPUTED_VALUE"""),429.95)</f>
        <v>429.95</v>
      </c>
      <c r="F3063" s="1">
        <f>IFERROR(__xludf.DUMMYFUNCTION("""COMPUTED_VALUE"""),1165490.0)</f>
        <v>1165490</v>
      </c>
    </row>
    <row r="3064">
      <c r="A3064" s="2">
        <f>IFERROR(__xludf.DUMMYFUNCTION("""COMPUTED_VALUE"""),41037.645833333336)</f>
        <v>41037.64583</v>
      </c>
      <c r="B3064" s="1">
        <f>IFERROR(__xludf.DUMMYFUNCTION("""COMPUTED_VALUE"""),430.0)</f>
        <v>430</v>
      </c>
      <c r="C3064" s="1">
        <f>IFERROR(__xludf.DUMMYFUNCTION("""COMPUTED_VALUE"""),436.3)</f>
        <v>436.3</v>
      </c>
      <c r="D3064" s="1">
        <f>IFERROR(__xludf.DUMMYFUNCTION("""COMPUTED_VALUE"""),429.6)</f>
        <v>429.6</v>
      </c>
      <c r="E3064" s="1">
        <f>IFERROR(__xludf.DUMMYFUNCTION("""COMPUTED_VALUE"""),430.85)</f>
        <v>430.85</v>
      </c>
      <c r="F3064" s="1">
        <f>IFERROR(__xludf.DUMMYFUNCTION("""COMPUTED_VALUE"""),1505249.0)</f>
        <v>1505249</v>
      </c>
    </row>
    <row r="3065">
      <c r="A3065" s="2">
        <f>IFERROR(__xludf.DUMMYFUNCTION("""COMPUTED_VALUE"""),41038.645833333336)</f>
        <v>41038.64583</v>
      </c>
      <c r="B3065" s="1">
        <f>IFERROR(__xludf.DUMMYFUNCTION("""COMPUTED_VALUE"""),430.5)</f>
        <v>430.5</v>
      </c>
      <c r="C3065" s="1">
        <f>IFERROR(__xludf.DUMMYFUNCTION("""COMPUTED_VALUE"""),435.7)</f>
        <v>435.7</v>
      </c>
      <c r="D3065" s="1">
        <f>IFERROR(__xludf.DUMMYFUNCTION("""COMPUTED_VALUE"""),426.6)</f>
        <v>426.6</v>
      </c>
      <c r="E3065" s="1">
        <f>IFERROR(__xludf.DUMMYFUNCTION("""COMPUTED_VALUE"""),432.55)</f>
        <v>432.55</v>
      </c>
      <c r="F3065" s="1">
        <f>IFERROR(__xludf.DUMMYFUNCTION("""COMPUTED_VALUE"""),1656021.0)</f>
        <v>1656021</v>
      </c>
    </row>
    <row r="3066">
      <c r="A3066" s="2">
        <f>IFERROR(__xludf.DUMMYFUNCTION("""COMPUTED_VALUE"""),41039.645833333336)</f>
        <v>41039.64583</v>
      </c>
      <c r="B3066" s="1">
        <f>IFERROR(__xludf.DUMMYFUNCTION("""COMPUTED_VALUE"""),431.1)</f>
        <v>431.1</v>
      </c>
      <c r="C3066" s="1">
        <f>IFERROR(__xludf.DUMMYFUNCTION("""COMPUTED_VALUE"""),440.0)</f>
        <v>440</v>
      </c>
      <c r="D3066" s="1">
        <f>IFERROR(__xludf.DUMMYFUNCTION("""COMPUTED_VALUE"""),431.1)</f>
        <v>431.1</v>
      </c>
      <c r="E3066" s="1">
        <f>IFERROR(__xludf.DUMMYFUNCTION("""COMPUTED_VALUE"""),433.25)</f>
        <v>433.25</v>
      </c>
      <c r="F3066" s="1">
        <f>IFERROR(__xludf.DUMMYFUNCTION("""COMPUTED_VALUE"""),1652017.0)</f>
        <v>1652017</v>
      </c>
    </row>
    <row r="3067">
      <c r="A3067" s="2">
        <f>IFERROR(__xludf.DUMMYFUNCTION("""COMPUTED_VALUE"""),41040.645833333336)</f>
        <v>41040.64583</v>
      </c>
      <c r="B3067" s="1">
        <f>IFERROR(__xludf.DUMMYFUNCTION("""COMPUTED_VALUE"""),435.0)</f>
        <v>435</v>
      </c>
      <c r="C3067" s="1">
        <f>IFERROR(__xludf.DUMMYFUNCTION("""COMPUTED_VALUE"""),435.0)</f>
        <v>435</v>
      </c>
      <c r="D3067" s="1">
        <f>IFERROR(__xludf.DUMMYFUNCTION("""COMPUTED_VALUE"""),431.4)</f>
        <v>431.4</v>
      </c>
      <c r="E3067" s="1">
        <f>IFERROR(__xludf.DUMMYFUNCTION("""COMPUTED_VALUE"""),432.05)</f>
        <v>432.05</v>
      </c>
      <c r="F3067" s="1">
        <f>IFERROR(__xludf.DUMMYFUNCTION("""COMPUTED_VALUE"""),1811513.0)</f>
        <v>1811513</v>
      </c>
    </row>
    <row r="3068">
      <c r="A3068" s="2">
        <f>IFERROR(__xludf.DUMMYFUNCTION("""COMPUTED_VALUE"""),41043.645833333336)</f>
        <v>41043.64583</v>
      </c>
      <c r="B3068" s="1">
        <f>IFERROR(__xludf.DUMMYFUNCTION("""COMPUTED_VALUE"""),433.95)</f>
        <v>433.95</v>
      </c>
      <c r="C3068" s="1">
        <f>IFERROR(__xludf.DUMMYFUNCTION("""COMPUTED_VALUE"""),435.0)</f>
        <v>435</v>
      </c>
      <c r="D3068" s="1">
        <f>IFERROR(__xludf.DUMMYFUNCTION("""COMPUTED_VALUE"""),430.45)</f>
        <v>430.45</v>
      </c>
      <c r="E3068" s="1">
        <f>IFERROR(__xludf.DUMMYFUNCTION("""COMPUTED_VALUE"""),433.85)</f>
        <v>433.85</v>
      </c>
      <c r="F3068" s="1">
        <f>IFERROR(__xludf.DUMMYFUNCTION("""COMPUTED_VALUE"""),1208457.0)</f>
        <v>1208457</v>
      </c>
    </row>
    <row r="3069">
      <c r="A3069" s="2">
        <f>IFERROR(__xludf.DUMMYFUNCTION("""COMPUTED_VALUE"""),41044.645833333336)</f>
        <v>41044.64583</v>
      </c>
      <c r="B3069" s="1">
        <f>IFERROR(__xludf.DUMMYFUNCTION("""COMPUTED_VALUE"""),432.0)</f>
        <v>432</v>
      </c>
      <c r="C3069" s="1">
        <f>IFERROR(__xludf.DUMMYFUNCTION("""COMPUTED_VALUE"""),433.8)</f>
        <v>433.8</v>
      </c>
      <c r="D3069" s="1">
        <f>IFERROR(__xludf.DUMMYFUNCTION("""COMPUTED_VALUE"""),431.55)</f>
        <v>431.55</v>
      </c>
      <c r="E3069" s="1">
        <f>IFERROR(__xludf.DUMMYFUNCTION("""COMPUTED_VALUE"""),432.45)</f>
        <v>432.45</v>
      </c>
      <c r="F3069" s="1">
        <f>IFERROR(__xludf.DUMMYFUNCTION("""COMPUTED_VALUE"""),1454395.0)</f>
        <v>1454395</v>
      </c>
    </row>
    <row r="3070">
      <c r="A3070" s="2">
        <f>IFERROR(__xludf.DUMMYFUNCTION("""COMPUTED_VALUE"""),41045.645833333336)</f>
        <v>41045.64583</v>
      </c>
      <c r="B3070" s="1">
        <f>IFERROR(__xludf.DUMMYFUNCTION("""COMPUTED_VALUE"""),430.0)</f>
        <v>430</v>
      </c>
      <c r="C3070" s="1">
        <f>IFERROR(__xludf.DUMMYFUNCTION("""COMPUTED_VALUE"""),433.0)</f>
        <v>433</v>
      </c>
      <c r="D3070" s="1">
        <f>IFERROR(__xludf.DUMMYFUNCTION("""COMPUTED_VALUE"""),426.75)</f>
        <v>426.75</v>
      </c>
      <c r="E3070" s="1">
        <f>IFERROR(__xludf.DUMMYFUNCTION("""COMPUTED_VALUE"""),427.75)</f>
        <v>427.75</v>
      </c>
      <c r="F3070" s="1">
        <f>IFERROR(__xludf.DUMMYFUNCTION("""COMPUTED_VALUE"""),2094109.0)</f>
        <v>2094109</v>
      </c>
    </row>
    <row r="3071">
      <c r="A3071" s="2">
        <f>IFERROR(__xludf.DUMMYFUNCTION("""COMPUTED_VALUE"""),41046.645833333336)</f>
        <v>41046.64583</v>
      </c>
      <c r="B3071" s="1">
        <f>IFERROR(__xludf.DUMMYFUNCTION("""COMPUTED_VALUE"""),428.7)</f>
        <v>428.7</v>
      </c>
      <c r="C3071" s="1">
        <f>IFERROR(__xludf.DUMMYFUNCTION("""COMPUTED_VALUE"""),435.3)</f>
        <v>435.3</v>
      </c>
      <c r="D3071" s="1">
        <f>IFERROR(__xludf.DUMMYFUNCTION("""COMPUTED_VALUE"""),426.2)</f>
        <v>426.2</v>
      </c>
      <c r="E3071" s="1">
        <f>IFERROR(__xludf.DUMMYFUNCTION("""COMPUTED_VALUE"""),429.95)</f>
        <v>429.95</v>
      </c>
      <c r="F3071" s="1">
        <f>IFERROR(__xludf.DUMMYFUNCTION("""COMPUTED_VALUE"""),2518722.0)</f>
        <v>2518722</v>
      </c>
    </row>
    <row r="3072">
      <c r="A3072" s="2">
        <f>IFERROR(__xludf.DUMMYFUNCTION("""COMPUTED_VALUE"""),41047.645833333336)</f>
        <v>41047.64583</v>
      </c>
      <c r="B3072" s="1">
        <f>IFERROR(__xludf.DUMMYFUNCTION("""COMPUTED_VALUE"""),426.15)</f>
        <v>426.15</v>
      </c>
      <c r="C3072" s="1">
        <f>IFERROR(__xludf.DUMMYFUNCTION("""COMPUTED_VALUE"""),437.0)</f>
        <v>437</v>
      </c>
      <c r="D3072" s="1">
        <f>IFERROR(__xludf.DUMMYFUNCTION("""COMPUTED_VALUE"""),426.15)</f>
        <v>426.15</v>
      </c>
      <c r="E3072" s="1">
        <f>IFERROR(__xludf.DUMMYFUNCTION("""COMPUTED_VALUE"""),432.05)</f>
        <v>432.05</v>
      </c>
      <c r="F3072" s="1">
        <f>IFERROR(__xludf.DUMMYFUNCTION("""COMPUTED_VALUE"""),2121717.0)</f>
        <v>2121717</v>
      </c>
    </row>
    <row r="3073">
      <c r="A3073" s="2">
        <f>IFERROR(__xludf.DUMMYFUNCTION("""COMPUTED_VALUE"""),41050.645833333336)</f>
        <v>41050.64583</v>
      </c>
      <c r="B3073" s="1">
        <f>IFERROR(__xludf.DUMMYFUNCTION("""COMPUTED_VALUE"""),431.2)</f>
        <v>431.2</v>
      </c>
      <c r="C3073" s="1">
        <f>IFERROR(__xludf.DUMMYFUNCTION("""COMPUTED_VALUE"""),433.95)</f>
        <v>433.95</v>
      </c>
      <c r="D3073" s="1">
        <f>IFERROR(__xludf.DUMMYFUNCTION("""COMPUTED_VALUE"""),425.0)</f>
        <v>425</v>
      </c>
      <c r="E3073" s="1">
        <f>IFERROR(__xludf.DUMMYFUNCTION("""COMPUTED_VALUE"""),426.2)</f>
        <v>426.2</v>
      </c>
      <c r="F3073" s="1">
        <f>IFERROR(__xludf.DUMMYFUNCTION("""COMPUTED_VALUE"""),914515.0)</f>
        <v>914515</v>
      </c>
    </row>
    <row r="3074">
      <c r="A3074" s="2">
        <f>IFERROR(__xludf.DUMMYFUNCTION("""COMPUTED_VALUE"""),41051.645833333336)</f>
        <v>41051.64583</v>
      </c>
      <c r="B3074" s="1">
        <f>IFERROR(__xludf.DUMMYFUNCTION("""COMPUTED_VALUE"""),428.4)</f>
        <v>428.4</v>
      </c>
      <c r="C3074" s="1">
        <f>IFERROR(__xludf.DUMMYFUNCTION("""COMPUTED_VALUE"""),429.4)</f>
        <v>429.4</v>
      </c>
      <c r="D3074" s="1">
        <f>IFERROR(__xludf.DUMMYFUNCTION("""COMPUTED_VALUE"""),422.35)</f>
        <v>422.35</v>
      </c>
      <c r="E3074" s="1">
        <f>IFERROR(__xludf.DUMMYFUNCTION("""COMPUTED_VALUE"""),423.85)</f>
        <v>423.85</v>
      </c>
      <c r="F3074" s="1">
        <f>IFERROR(__xludf.DUMMYFUNCTION("""COMPUTED_VALUE"""),1318747.0)</f>
        <v>1318747</v>
      </c>
    </row>
    <row r="3075">
      <c r="A3075" s="2">
        <f>IFERROR(__xludf.DUMMYFUNCTION("""COMPUTED_VALUE"""),41052.645833333336)</f>
        <v>41052.64583</v>
      </c>
      <c r="B3075" s="1">
        <f>IFERROR(__xludf.DUMMYFUNCTION("""COMPUTED_VALUE"""),422.9)</f>
        <v>422.9</v>
      </c>
      <c r="C3075" s="1">
        <f>IFERROR(__xludf.DUMMYFUNCTION("""COMPUTED_VALUE"""),429.0)</f>
        <v>429</v>
      </c>
      <c r="D3075" s="1">
        <f>IFERROR(__xludf.DUMMYFUNCTION("""COMPUTED_VALUE"""),419.2)</f>
        <v>419.2</v>
      </c>
      <c r="E3075" s="1">
        <f>IFERROR(__xludf.DUMMYFUNCTION("""COMPUTED_VALUE"""),427.0)</f>
        <v>427</v>
      </c>
      <c r="F3075" s="1">
        <f>IFERROR(__xludf.DUMMYFUNCTION("""COMPUTED_VALUE"""),1594562.0)</f>
        <v>1594562</v>
      </c>
    </row>
    <row r="3076">
      <c r="A3076" s="2">
        <f>IFERROR(__xludf.DUMMYFUNCTION("""COMPUTED_VALUE"""),41053.645833333336)</f>
        <v>41053.64583</v>
      </c>
      <c r="B3076" s="1">
        <f>IFERROR(__xludf.DUMMYFUNCTION("""COMPUTED_VALUE"""),428.0)</f>
        <v>428</v>
      </c>
      <c r="C3076" s="1">
        <f>IFERROR(__xludf.DUMMYFUNCTION("""COMPUTED_VALUE"""),428.0)</f>
        <v>428</v>
      </c>
      <c r="D3076" s="1">
        <f>IFERROR(__xludf.DUMMYFUNCTION("""COMPUTED_VALUE"""),420.8)</f>
        <v>420.8</v>
      </c>
      <c r="E3076" s="1">
        <f>IFERROR(__xludf.DUMMYFUNCTION("""COMPUTED_VALUE"""),424.7)</f>
        <v>424.7</v>
      </c>
      <c r="F3076" s="1">
        <f>IFERROR(__xludf.DUMMYFUNCTION("""COMPUTED_VALUE"""),1065218.0)</f>
        <v>1065218</v>
      </c>
    </row>
    <row r="3077">
      <c r="A3077" s="2">
        <f>IFERROR(__xludf.DUMMYFUNCTION("""COMPUTED_VALUE"""),41054.645833333336)</f>
        <v>41054.64583</v>
      </c>
      <c r="B3077" s="1">
        <f>IFERROR(__xludf.DUMMYFUNCTION("""COMPUTED_VALUE"""),423.0)</f>
        <v>423</v>
      </c>
      <c r="C3077" s="1">
        <f>IFERROR(__xludf.DUMMYFUNCTION("""COMPUTED_VALUE"""),425.9)</f>
        <v>425.9</v>
      </c>
      <c r="D3077" s="1">
        <f>IFERROR(__xludf.DUMMYFUNCTION("""COMPUTED_VALUE"""),419.0)</f>
        <v>419</v>
      </c>
      <c r="E3077" s="1">
        <f>IFERROR(__xludf.DUMMYFUNCTION("""COMPUTED_VALUE"""),420.85)</f>
        <v>420.85</v>
      </c>
      <c r="F3077" s="1">
        <f>IFERROR(__xludf.DUMMYFUNCTION("""COMPUTED_VALUE"""),1174995.0)</f>
        <v>1174995</v>
      </c>
    </row>
    <row r="3078">
      <c r="A3078" s="2">
        <f>IFERROR(__xludf.DUMMYFUNCTION("""COMPUTED_VALUE"""),41057.645833333336)</f>
        <v>41057.64583</v>
      </c>
      <c r="B3078" s="1">
        <f>IFERROR(__xludf.DUMMYFUNCTION("""COMPUTED_VALUE"""),420.5)</f>
        <v>420.5</v>
      </c>
      <c r="C3078" s="1">
        <f>IFERROR(__xludf.DUMMYFUNCTION("""COMPUTED_VALUE"""),421.45)</f>
        <v>421.45</v>
      </c>
      <c r="D3078" s="1">
        <f>IFERROR(__xludf.DUMMYFUNCTION("""COMPUTED_VALUE"""),413.2)</f>
        <v>413.2</v>
      </c>
      <c r="E3078" s="1">
        <f>IFERROR(__xludf.DUMMYFUNCTION("""COMPUTED_VALUE"""),417.45)</f>
        <v>417.45</v>
      </c>
      <c r="F3078" s="1">
        <f>IFERROR(__xludf.DUMMYFUNCTION("""COMPUTED_VALUE"""),1259996.0)</f>
        <v>1259996</v>
      </c>
    </row>
    <row r="3079">
      <c r="A3079" s="2">
        <f>IFERROR(__xludf.DUMMYFUNCTION("""COMPUTED_VALUE"""),41058.645833333336)</f>
        <v>41058.64583</v>
      </c>
      <c r="B3079" s="1">
        <f>IFERROR(__xludf.DUMMYFUNCTION("""COMPUTED_VALUE"""),418.0)</f>
        <v>418</v>
      </c>
      <c r="C3079" s="1">
        <f>IFERROR(__xludf.DUMMYFUNCTION("""COMPUTED_VALUE"""),419.55)</f>
        <v>419.55</v>
      </c>
      <c r="D3079" s="1">
        <f>IFERROR(__xludf.DUMMYFUNCTION("""COMPUTED_VALUE"""),414.0)</f>
        <v>414</v>
      </c>
      <c r="E3079" s="1">
        <f>IFERROR(__xludf.DUMMYFUNCTION("""COMPUTED_VALUE"""),416.25)</f>
        <v>416.25</v>
      </c>
      <c r="F3079" s="1">
        <f>IFERROR(__xludf.DUMMYFUNCTION("""COMPUTED_VALUE"""),1147219.0)</f>
        <v>1147219</v>
      </c>
    </row>
    <row r="3080">
      <c r="A3080" s="2">
        <f>IFERROR(__xludf.DUMMYFUNCTION("""COMPUTED_VALUE"""),41059.645833333336)</f>
        <v>41059.64583</v>
      </c>
      <c r="B3080" s="1">
        <f>IFERROR(__xludf.DUMMYFUNCTION("""COMPUTED_VALUE"""),416.0)</f>
        <v>416</v>
      </c>
      <c r="C3080" s="1">
        <f>IFERROR(__xludf.DUMMYFUNCTION("""COMPUTED_VALUE"""),423.4)</f>
        <v>423.4</v>
      </c>
      <c r="D3080" s="1">
        <f>IFERROR(__xludf.DUMMYFUNCTION("""COMPUTED_VALUE"""),414.05)</f>
        <v>414.05</v>
      </c>
      <c r="E3080" s="1">
        <f>IFERROR(__xludf.DUMMYFUNCTION("""COMPUTED_VALUE"""),422.45)</f>
        <v>422.45</v>
      </c>
      <c r="F3080" s="1">
        <f>IFERROR(__xludf.DUMMYFUNCTION("""COMPUTED_VALUE"""),1459824.0)</f>
        <v>1459824</v>
      </c>
    </row>
    <row r="3081">
      <c r="A3081" s="2">
        <f>IFERROR(__xludf.DUMMYFUNCTION("""COMPUTED_VALUE"""),41060.645833333336)</f>
        <v>41060.64583</v>
      </c>
      <c r="B3081" s="1">
        <f>IFERROR(__xludf.DUMMYFUNCTION("""COMPUTED_VALUE"""),418.75)</f>
        <v>418.75</v>
      </c>
      <c r="C3081" s="1">
        <f>IFERROR(__xludf.DUMMYFUNCTION("""COMPUTED_VALUE"""),430.8)</f>
        <v>430.8</v>
      </c>
      <c r="D3081" s="1">
        <f>IFERROR(__xludf.DUMMYFUNCTION("""COMPUTED_VALUE"""),417.65)</f>
        <v>417.65</v>
      </c>
      <c r="E3081" s="1">
        <f>IFERROR(__xludf.DUMMYFUNCTION("""COMPUTED_VALUE"""),428.0)</f>
        <v>428</v>
      </c>
      <c r="F3081" s="1">
        <f>IFERROR(__xludf.DUMMYFUNCTION("""COMPUTED_VALUE"""),3840908.0)</f>
        <v>3840908</v>
      </c>
    </row>
    <row r="3082">
      <c r="A3082" s="2">
        <f>IFERROR(__xludf.DUMMYFUNCTION("""COMPUTED_VALUE"""),41061.645833333336)</f>
        <v>41061.64583</v>
      </c>
      <c r="B3082" s="1">
        <f>IFERROR(__xludf.DUMMYFUNCTION("""COMPUTED_VALUE"""),428.4)</f>
        <v>428.4</v>
      </c>
      <c r="C3082" s="1">
        <f>IFERROR(__xludf.DUMMYFUNCTION("""COMPUTED_VALUE"""),433.0)</f>
        <v>433</v>
      </c>
      <c r="D3082" s="1">
        <f>IFERROR(__xludf.DUMMYFUNCTION("""COMPUTED_VALUE"""),417.9)</f>
        <v>417.9</v>
      </c>
      <c r="E3082" s="1">
        <f>IFERROR(__xludf.DUMMYFUNCTION("""COMPUTED_VALUE"""),419.5)</f>
        <v>419.5</v>
      </c>
      <c r="F3082" s="1">
        <f>IFERROR(__xludf.DUMMYFUNCTION("""COMPUTED_VALUE"""),1198654.0)</f>
        <v>1198654</v>
      </c>
    </row>
    <row r="3083">
      <c r="A3083" s="2">
        <f>IFERROR(__xludf.DUMMYFUNCTION("""COMPUTED_VALUE"""),41064.645833333336)</f>
        <v>41064.64583</v>
      </c>
      <c r="B3083" s="1">
        <f>IFERROR(__xludf.DUMMYFUNCTION("""COMPUTED_VALUE"""),417.4)</f>
        <v>417.4</v>
      </c>
      <c r="C3083" s="1">
        <f>IFERROR(__xludf.DUMMYFUNCTION("""COMPUTED_VALUE"""),419.6)</f>
        <v>419.6</v>
      </c>
      <c r="D3083" s="1">
        <f>IFERROR(__xludf.DUMMYFUNCTION("""COMPUTED_VALUE"""),408.8)</f>
        <v>408.8</v>
      </c>
      <c r="E3083" s="1">
        <f>IFERROR(__xludf.DUMMYFUNCTION("""COMPUTED_VALUE"""),412.4)</f>
        <v>412.4</v>
      </c>
      <c r="F3083" s="1">
        <f>IFERROR(__xludf.DUMMYFUNCTION("""COMPUTED_VALUE"""),1053519.0)</f>
        <v>1053519</v>
      </c>
    </row>
    <row r="3084">
      <c r="A3084" s="2">
        <f>IFERROR(__xludf.DUMMYFUNCTION("""COMPUTED_VALUE"""),41065.645833333336)</f>
        <v>41065.64583</v>
      </c>
      <c r="B3084" s="1">
        <f>IFERROR(__xludf.DUMMYFUNCTION("""COMPUTED_VALUE"""),414.5)</f>
        <v>414.5</v>
      </c>
      <c r="C3084" s="1">
        <f>IFERROR(__xludf.DUMMYFUNCTION("""COMPUTED_VALUE"""),415.95)</f>
        <v>415.95</v>
      </c>
      <c r="D3084" s="1">
        <f>IFERROR(__xludf.DUMMYFUNCTION("""COMPUTED_VALUE"""),406.1)</f>
        <v>406.1</v>
      </c>
      <c r="E3084" s="1">
        <f>IFERROR(__xludf.DUMMYFUNCTION("""COMPUTED_VALUE"""),407.3)</f>
        <v>407.3</v>
      </c>
      <c r="F3084" s="1">
        <f>IFERROR(__xludf.DUMMYFUNCTION("""COMPUTED_VALUE"""),1596568.0)</f>
        <v>1596568</v>
      </c>
    </row>
    <row r="3085">
      <c r="A3085" s="2">
        <f>IFERROR(__xludf.DUMMYFUNCTION("""COMPUTED_VALUE"""),41066.645833333336)</f>
        <v>41066.64583</v>
      </c>
      <c r="B3085" s="1">
        <f>IFERROR(__xludf.DUMMYFUNCTION("""COMPUTED_VALUE"""),409.15)</f>
        <v>409.15</v>
      </c>
      <c r="C3085" s="1">
        <f>IFERROR(__xludf.DUMMYFUNCTION("""COMPUTED_VALUE"""),425.6)</f>
        <v>425.6</v>
      </c>
      <c r="D3085" s="1">
        <f>IFERROR(__xludf.DUMMYFUNCTION("""COMPUTED_VALUE"""),409.15)</f>
        <v>409.15</v>
      </c>
      <c r="E3085" s="1">
        <f>IFERROR(__xludf.DUMMYFUNCTION("""COMPUTED_VALUE"""),420.05)</f>
        <v>420.05</v>
      </c>
      <c r="F3085" s="1">
        <f>IFERROR(__xludf.DUMMYFUNCTION("""COMPUTED_VALUE"""),5031386.0)</f>
        <v>5031386</v>
      </c>
    </row>
    <row r="3086">
      <c r="A3086" s="2">
        <f>IFERROR(__xludf.DUMMYFUNCTION("""COMPUTED_VALUE"""),41067.645833333336)</f>
        <v>41067.64583</v>
      </c>
      <c r="B3086" s="1">
        <f>IFERROR(__xludf.DUMMYFUNCTION("""COMPUTED_VALUE"""),423.5)</f>
        <v>423.5</v>
      </c>
      <c r="C3086" s="1">
        <f>IFERROR(__xludf.DUMMYFUNCTION("""COMPUTED_VALUE"""),425.0)</f>
        <v>425</v>
      </c>
      <c r="D3086" s="1">
        <f>IFERROR(__xludf.DUMMYFUNCTION("""COMPUTED_VALUE"""),421.65)</f>
        <v>421.65</v>
      </c>
      <c r="E3086" s="1">
        <f>IFERROR(__xludf.DUMMYFUNCTION("""COMPUTED_VALUE"""),423.75)</f>
        <v>423.75</v>
      </c>
      <c r="F3086" s="1">
        <f>IFERROR(__xludf.DUMMYFUNCTION("""COMPUTED_VALUE"""),2861606.0)</f>
        <v>2861606</v>
      </c>
    </row>
    <row r="3087">
      <c r="A3087" s="2">
        <f>IFERROR(__xludf.DUMMYFUNCTION("""COMPUTED_VALUE"""),41068.645833333336)</f>
        <v>41068.64583</v>
      </c>
      <c r="B3087" s="1">
        <f>IFERROR(__xludf.DUMMYFUNCTION("""COMPUTED_VALUE"""),422.55)</f>
        <v>422.55</v>
      </c>
      <c r="C3087" s="1">
        <f>IFERROR(__xludf.DUMMYFUNCTION("""COMPUTED_VALUE"""),431.25)</f>
        <v>431.25</v>
      </c>
      <c r="D3087" s="1">
        <f>IFERROR(__xludf.DUMMYFUNCTION("""COMPUTED_VALUE"""),422.3)</f>
        <v>422.3</v>
      </c>
      <c r="E3087" s="1">
        <f>IFERROR(__xludf.DUMMYFUNCTION("""COMPUTED_VALUE"""),429.3)</f>
        <v>429.3</v>
      </c>
      <c r="F3087" s="1">
        <f>IFERROR(__xludf.DUMMYFUNCTION("""COMPUTED_VALUE"""),2762193.0)</f>
        <v>2762193</v>
      </c>
    </row>
    <row r="3088">
      <c r="A3088" s="2">
        <f>IFERROR(__xludf.DUMMYFUNCTION("""COMPUTED_VALUE"""),41071.645833333336)</f>
        <v>41071.64583</v>
      </c>
      <c r="B3088" s="1">
        <f>IFERROR(__xludf.DUMMYFUNCTION("""COMPUTED_VALUE"""),430.25)</f>
        <v>430.25</v>
      </c>
      <c r="C3088" s="1">
        <f>IFERROR(__xludf.DUMMYFUNCTION("""COMPUTED_VALUE"""),437.65)</f>
        <v>437.65</v>
      </c>
      <c r="D3088" s="1">
        <f>IFERROR(__xludf.DUMMYFUNCTION("""COMPUTED_VALUE"""),429.3)</f>
        <v>429.3</v>
      </c>
      <c r="E3088" s="1">
        <f>IFERROR(__xludf.DUMMYFUNCTION("""COMPUTED_VALUE"""),436.15)</f>
        <v>436.15</v>
      </c>
      <c r="F3088" s="1">
        <f>IFERROR(__xludf.DUMMYFUNCTION("""COMPUTED_VALUE"""),1765844.0)</f>
        <v>1765844</v>
      </c>
    </row>
    <row r="3089">
      <c r="A3089" s="2">
        <f>IFERROR(__xludf.DUMMYFUNCTION("""COMPUTED_VALUE"""),41072.645833333336)</f>
        <v>41072.64583</v>
      </c>
      <c r="B3089" s="1">
        <f>IFERROR(__xludf.DUMMYFUNCTION("""COMPUTED_VALUE"""),434.95)</f>
        <v>434.95</v>
      </c>
      <c r="C3089" s="1">
        <f>IFERROR(__xludf.DUMMYFUNCTION("""COMPUTED_VALUE"""),435.5)</f>
        <v>435.5</v>
      </c>
      <c r="D3089" s="1">
        <f>IFERROR(__xludf.DUMMYFUNCTION("""COMPUTED_VALUE"""),430.25)</f>
        <v>430.25</v>
      </c>
      <c r="E3089" s="1">
        <f>IFERROR(__xludf.DUMMYFUNCTION("""COMPUTED_VALUE"""),432.55)</f>
        <v>432.55</v>
      </c>
      <c r="F3089" s="1">
        <f>IFERROR(__xludf.DUMMYFUNCTION("""COMPUTED_VALUE"""),2128965.0)</f>
        <v>2128965</v>
      </c>
    </row>
    <row r="3090">
      <c r="A3090" s="2">
        <f>IFERROR(__xludf.DUMMYFUNCTION("""COMPUTED_VALUE"""),41073.645833333336)</f>
        <v>41073.64583</v>
      </c>
      <c r="B3090" s="1">
        <f>IFERROR(__xludf.DUMMYFUNCTION("""COMPUTED_VALUE"""),432.25)</f>
        <v>432.25</v>
      </c>
      <c r="C3090" s="1">
        <f>IFERROR(__xludf.DUMMYFUNCTION("""COMPUTED_VALUE"""),448.5)</f>
        <v>448.5</v>
      </c>
      <c r="D3090" s="1">
        <f>IFERROR(__xludf.DUMMYFUNCTION("""COMPUTED_VALUE"""),432.2)</f>
        <v>432.2</v>
      </c>
      <c r="E3090" s="1">
        <f>IFERROR(__xludf.DUMMYFUNCTION("""COMPUTED_VALUE"""),447.55)</f>
        <v>447.55</v>
      </c>
      <c r="F3090" s="1">
        <f>IFERROR(__xludf.DUMMYFUNCTION("""COMPUTED_VALUE"""),3034493.0)</f>
        <v>3034493</v>
      </c>
    </row>
    <row r="3091">
      <c r="A3091" s="2">
        <f>IFERROR(__xludf.DUMMYFUNCTION("""COMPUTED_VALUE"""),41074.645833333336)</f>
        <v>41074.64583</v>
      </c>
      <c r="B3091" s="1">
        <f>IFERROR(__xludf.DUMMYFUNCTION("""COMPUTED_VALUE"""),446.0)</f>
        <v>446</v>
      </c>
      <c r="C3091" s="1">
        <f>IFERROR(__xludf.DUMMYFUNCTION("""COMPUTED_VALUE"""),449.7)</f>
        <v>449.7</v>
      </c>
      <c r="D3091" s="1">
        <f>IFERROR(__xludf.DUMMYFUNCTION("""COMPUTED_VALUE"""),440.05)</f>
        <v>440.05</v>
      </c>
      <c r="E3091" s="1">
        <f>IFERROR(__xludf.DUMMYFUNCTION("""COMPUTED_VALUE"""),440.8)</f>
        <v>440.8</v>
      </c>
      <c r="F3091" s="1">
        <f>IFERROR(__xludf.DUMMYFUNCTION("""COMPUTED_VALUE"""),1950641.0)</f>
        <v>1950641</v>
      </c>
    </row>
    <row r="3092">
      <c r="A3092" s="2">
        <f>IFERROR(__xludf.DUMMYFUNCTION("""COMPUTED_VALUE"""),41075.645833333336)</f>
        <v>41075.64583</v>
      </c>
      <c r="B3092" s="1">
        <f>IFERROR(__xludf.DUMMYFUNCTION("""COMPUTED_VALUE"""),443.0)</f>
        <v>443</v>
      </c>
      <c r="C3092" s="1">
        <f>IFERROR(__xludf.DUMMYFUNCTION("""COMPUTED_VALUE"""),451.95)</f>
        <v>451.95</v>
      </c>
      <c r="D3092" s="1">
        <f>IFERROR(__xludf.DUMMYFUNCTION("""COMPUTED_VALUE"""),441.55)</f>
        <v>441.55</v>
      </c>
      <c r="E3092" s="1">
        <f>IFERROR(__xludf.DUMMYFUNCTION("""COMPUTED_VALUE"""),449.45)</f>
        <v>449.45</v>
      </c>
      <c r="F3092" s="1">
        <f>IFERROR(__xludf.DUMMYFUNCTION("""COMPUTED_VALUE"""),2487629.0)</f>
        <v>2487629</v>
      </c>
    </row>
    <row r="3093">
      <c r="A3093" s="2">
        <f>IFERROR(__xludf.DUMMYFUNCTION("""COMPUTED_VALUE"""),41078.645833333336)</f>
        <v>41078.64583</v>
      </c>
      <c r="B3093" s="1">
        <f>IFERROR(__xludf.DUMMYFUNCTION("""COMPUTED_VALUE"""),450.0)</f>
        <v>450</v>
      </c>
      <c r="C3093" s="1">
        <f>IFERROR(__xludf.DUMMYFUNCTION("""COMPUTED_VALUE"""),453.8)</f>
        <v>453.8</v>
      </c>
      <c r="D3093" s="1">
        <f>IFERROR(__xludf.DUMMYFUNCTION("""COMPUTED_VALUE"""),443.75)</f>
        <v>443.75</v>
      </c>
      <c r="E3093" s="1">
        <f>IFERROR(__xludf.DUMMYFUNCTION("""COMPUTED_VALUE"""),446.45)</f>
        <v>446.45</v>
      </c>
      <c r="F3093" s="1">
        <f>IFERROR(__xludf.DUMMYFUNCTION("""COMPUTED_VALUE"""),1868135.0)</f>
        <v>1868135</v>
      </c>
    </row>
    <row r="3094">
      <c r="A3094" s="2">
        <f>IFERROR(__xludf.DUMMYFUNCTION("""COMPUTED_VALUE"""),41079.645833333336)</f>
        <v>41079.64583</v>
      </c>
      <c r="B3094" s="1">
        <f>IFERROR(__xludf.DUMMYFUNCTION("""COMPUTED_VALUE"""),445.0)</f>
        <v>445</v>
      </c>
      <c r="C3094" s="1">
        <f>IFERROR(__xludf.DUMMYFUNCTION("""COMPUTED_VALUE"""),452.95)</f>
        <v>452.95</v>
      </c>
      <c r="D3094" s="1">
        <f>IFERROR(__xludf.DUMMYFUNCTION("""COMPUTED_VALUE"""),445.0)</f>
        <v>445</v>
      </c>
      <c r="E3094" s="1">
        <f>IFERROR(__xludf.DUMMYFUNCTION("""COMPUTED_VALUE"""),449.2)</f>
        <v>449.2</v>
      </c>
      <c r="F3094" s="1">
        <f>IFERROR(__xludf.DUMMYFUNCTION("""COMPUTED_VALUE"""),1865944.0)</f>
        <v>1865944</v>
      </c>
    </row>
    <row r="3095">
      <c r="A3095" s="2">
        <f>IFERROR(__xludf.DUMMYFUNCTION("""COMPUTED_VALUE"""),41080.645833333336)</f>
        <v>41080.64583</v>
      </c>
      <c r="B3095" s="1">
        <f>IFERROR(__xludf.DUMMYFUNCTION("""COMPUTED_VALUE"""),449.0)</f>
        <v>449</v>
      </c>
      <c r="C3095" s="1">
        <f>IFERROR(__xludf.DUMMYFUNCTION("""COMPUTED_VALUE"""),458.0)</f>
        <v>458</v>
      </c>
      <c r="D3095" s="1">
        <f>IFERROR(__xludf.DUMMYFUNCTION("""COMPUTED_VALUE"""),448.2)</f>
        <v>448.2</v>
      </c>
      <c r="E3095" s="1">
        <f>IFERROR(__xludf.DUMMYFUNCTION("""COMPUTED_VALUE"""),455.6)</f>
        <v>455.6</v>
      </c>
      <c r="F3095" s="1">
        <f>IFERROR(__xludf.DUMMYFUNCTION("""COMPUTED_VALUE"""),2265526.0)</f>
        <v>2265526</v>
      </c>
    </row>
    <row r="3096">
      <c r="A3096" s="2">
        <f>IFERROR(__xludf.DUMMYFUNCTION("""COMPUTED_VALUE"""),41081.645833333336)</f>
        <v>41081.64583</v>
      </c>
      <c r="B3096" s="1">
        <f>IFERROR(__xludf.DUMMYFUNCTION("""COMPUTED_VALUE"""),453.05)</f>
        <v>453.05</v>
      </c>
      <c r="C3096" s="1">
        <f>IFERROR(__xludf.DUMMYFUNCTION("""COMPUTED_VALUE"""),464.7)</f>
        <v>464.7</v>
      </c>
      <c r="D3096" s="1">
        <f>IFERROR(__xludf.DUMMYFUNCTION("""COMPUTED_VALUE"""),452.75)</f>
        <v>452.75</v>
      </c>
      <c r="E3096" s="1">
        <f>IFERROR(__xludf.DUMMYFUNCTION("""COMPUTED_VALUE"""),460.15)</f>
        <v>460.15</v>
      </c>
      <c r="F3096" s="1">
        <f>IFERROR(__xludf.DUMMYFUNCTION("""COMPUTED_VALUE"""),1908311.0)</f>
        <v>1908311</v>
      </c>
    </row>
    <row r="3097">
      <c r="A3097" s="2">
        <f>IFERROR(__xludf.DUMMYFUNCTION("""COMPUTED_VALUE"""),41082.645833333336)</f>
        <v>41082.64583</v>
      </c>
      <c r="B3097" s="1">
        <f>IFERROR(__xludf.DUMMYFUNCTION("""COMPUTED_VALUE"""),458.6)</f>
        <v>458.6</v>
      </c>
      <c r="C3097" s="1">
        <f>IFERROR(__xludf.DUMMYFUNCTION("""COMPUTED_VALUE"""),464.2)</f>
        <v>464.2</v>
      </c>
      <c r="D3097" s="1">
        <f>IFERROR(__xludf.DUMMYFUNCTION("""COMPUTED_VALUE"""),458.2)</f>
        <v>458.2</v>
      </c>
      <c r="E3097" s="1">
        <f>IFERROR(__xludf.DUMMYFUNCTION("""COMPUTED_VALUE"""),460.3)</f>
        <v>460.3</v>
      </c>
      <c r="F3097" s="1">
        <f>IFERROR(__xludf.DUMMYFUNCTION("""COMPUTED_VALUE"""),1112693.0)</f>
        <v>1112693</v>
      </c>
    </row>
    <row r="3098">
      <c r="A3098" s="2">
        <f>IFERROR(__xludf.DUMMYFUNCTION("""COMPUTED_VALUE"""),41085.645833333336)</f>
        <v>41085.64583</v>
      </c>
      <c r="B3098" s="1">
        <f>IFERROR(__xludf.DUMMYFUNCTION("""COMPUTED_VALUE"""),460.0)</f>
        <v>460</v>
      </c>
      <c r="C3098" s="1">
        <f>IFERROR(__xludf.DUMMYFUNCTION("""COMPUTED_VALUE"""),463.8)</f>
        <v>463.8</v>
      </c>
      <c r="D3098" s="1">
        <f>IFERROR(__xludf.DUMMYFUNCTION("""COMPUTED_VALUE"""),459.2)</f>
        <v>459.2</v>
      </c>
      <c r="E3098" s="1">
        <f>IFERROR(__xludf.DUMMYFUNCTION("""COMPUTED_VALUE"""),460.05)</f>
        <v>460.05</v>
      </c>
      <c r="F3098" s="1">
        <f>IFERROR(__xludf.DUMMYFUNCTION("""COMPUTED_VALUE"""),1042431.0)</f>
        <v>1042431</v>
      </c>
    </row>
    <row r="3099">
      <c r="A3099" s="2">
        <f>IFERROR(__xludf.DUMMYFUNCTION("""COMPUTED_VALUE"""),41086.645833333336)</f>
        <v>41086.64583</v>
      </c>
      <c r="B3099" s="1">
        <f>IFERROR(__xludf.DUMMYFUNCTION("""COMPUTED_VALUE"""),458.25)</f>
        <v>458.25</v>
      </c>
      <c r="C3099" s="1">
        <f>IFERROR(__xludf.DUMMYFUNCTION("""COMPUTED_VALUE"""),458.7)</f>
        <v>458.7</v>
      </c>
      <c r="D3099" s="1">
        <f>IFERROR(__xludf.DUMMYFUNCTION("""COMPUTED_VALUE"""),448.1)</f>
        <v>448.1</v>
      </c>
      <c r="E3099" s="1">
        <f>IFERROR(__xludf.DUMMYFUNCTION("""COMPUTED_VALUE"""),450.7)</f>
        <v>450.7</v>
      </c>
      <c r="F3099" s="1">
        <f>IFERROR(__xludf.DUMMYFUNCTION("""COMPUTED_VALUE"""),2391622.0)</f>
        <v>2391622</v>
      </c>
    </row>
    <row r="3100">
      <c r="A3100" s="2">
        <f>IFERROR(__xludf.DUMMYFUNCTION("""COMPUTED_VALUE"""),41087.645833333336)</f>
        <v>41087.64583</v>
      </c>
      <c r="B3100" s="1">
        <f>IFERROR(__xludf.DUMMYFUNCTION("""COMPUTED_VALUE"""),451.8)</f>
        <v>451.8</v>
      </c>
      <c r="C3100" s="1">
        <f>IFERROR(__xludf.DUMMYFUNCTION("""COMPUTED_VALUE"""),454.9)</f>
        <v>454.9</v>
      </c>
      <c r="D3100" s="1">
        <f>IFERROR(__xludf.DUMMYFUNCTION("""COMPUTED_VALUE"""),449.05)</f>
        <v>449.05</v>
      </c>
      <c r="E3100" s="1">
        <f>IFERROR(__xludf.DUMMYFUNCTION("""COMPUTED_VALUE"""),452.45)</f>
        <v>452.45</v>
      </c>
      <c r="F3100" s="1">
        <f>IFERROR(__xludf.DUMMYFUNCTION("""COMPUTED_VALUE"""),1547735.0)</f>
        <v>1547735</v>
      </c>
    </row>
    <row r="3101">
      <c r="A3101" s="2">
        <f>IFERROR(__xludf.DUMMYFUNCTION("""COMPUTED_VALUE"""),41088.645833333336)</f>
        <v>41088.64583</v>
      </c>
      <c r="B3101" s="1">
        <f>IFERROR(__xludf.DUMMYFUNCTION("""COMPUTED_VALUE"""),452.5)</f>
        <v>452.5</v>
      </c>
      <c r="C3101" s="1">
        <f>IFERROR(__xludf.DUMMYFUNCTION("""COMPUTED_VALUE"""),454.7)</f>
        <v>454.7</v>
      </c>
      <c r="D3101" s="1">
        <f>IFERROR(__xludf.DUMMYFUNCTION("""COMPUTED_VALUE"""),449.55)</f>
        <v>449.55</v>
      </c>
      <c r="E3101" s="1">
        <f>IFERROR(__xludf.DUMMYFUNCTION("""COMPUTED_VALUE"""),451.65)</f>
        <v>451.65</v>
      </c>
      <c r="F3101" s="1">
        <f>IFERROR(__xludf.DUMMYFUNCTION("""COMPUTED_VALUE"""),2047672.0)</f>
        <v>2047672</v>
      </c>
    </row>
    <row r="3102">
      <c r="A3102" s="2">
        <f>IFERROR(__xludf.DUMMYFUNCTION("""COMPUTED_VALUE"""),41089.645833333336)</f>
        <v>41089.64583</v>
      </c>
      <c r="B3102" s="1">
        <f>IFERROR(__xludf.DUMMYFUNCTION("""COMPUTED_VALUE"""),458.7)</f>
        <v>458.7</v>
      </c>
      <c r="C3102" s="1">
        <f>IFERROR(__xludf.DUMMYFUNCTION("""COMPUTED_VALUE"""),463.3)</f>
        <v>463.3</v>
      </c>
      <c r="D3102" s="1">
        <f>IFERROR(__xludf.DUMMYFUNCTION("""COMPUTED_VALUE"""),453.35)</f>
        <v>453.35</v>
      </c>
      <c r="E3102" s="1">
        <f>IFERROR(__xludf.DUMMYFUNCTION("""COMPUTED_VALUE"""),454.5)</f>
        <v>454.5</v>
      </c>
      <c r="F3102" s="1">
        <f>IFERROR(__xludf.DUMMYFUNCTION("""COMPUTED_VALUE"""),4480357.0)</f>
        <v>4480357</v>
      </c>
    </row>
    <row r="3103">
      <c r="A3103" s="2">
        <f>IFERROR(__xludf.DUMMYFUNCTION("""COMPUTED_VALUE"""),41092.645833333336)</f>
        <v>41092.64583</v>
      </c>
      <c r="B3103" s="1">
        <f>IFERROR(__xludf.DUMMYFUNCTION("""COMPUTED_VALUE"""),453.25)</f>
        <v>453.25</v>
      </c>
      <c r="C3103" s="1">
        <f>IFERROR(__xludf.DUMMYFUNCTION("""COMPUTED_VALUE"""),456.6)</f>
        <v>456.6</v>
      </c>
      <c r="D3103" s="1">
        <f>IFERROR(__xludf.DUMMYFUNCTION("""COMPUTED_VALUE"""),445.55)</f>
        <v>445.55</v>
      </c>
      <c r="E3103" s="1">
        <f>IFERROR(__xludf.DUMMYFUNCTION("""COMPUTED_VALUE"""),446.6)</f>
        <v>446.6</v>
      </c>
      <c r="F3103" s="1">
        <f>IFERROR(__xludf.DUMMYFUNCTION("""COMPUTED_VALUE"""),1476506.0)</f>
        <v>1476506</v>
      </c>
    </row>
    <row r="3104">
      <c r="A3104" s="2">
        <f>IFERROR(__xludf.DUMMYFUNCTION("""COMPUTED_VALUE"""),41093.645833333336)</f>
        <v>41093.64583</v>
      </c>
      <c r="B3104" s="1">
        <f>IFERROR(__xludf.DUMMYFUNCTION("""COMPUTED_VALUE"""),446.5)</f>
        <v>446.5</v>
      </c>
      <c r="C3104" s="1">
        <f>IFERROR(__xludf.DUMMYFUNCTION("""COMPUTED_VALUE"""),451.0)</f>
        <v>451</v>
      </c>
      <c r="D3104" s="1">
        <f>IFERROR(__xludf.DUMMYFUNCTION("""COMPUTED_VALUE"""),438.6)</f>
        <v>438.6</v>
      </c>
      <c r="E3104" s="1">
        <f>IFERROR(__xludf.DUMMYFUNCTION("""COMPUTED_VALUE"""),441.35)</f>
        <v>441.35</v>
      </c>
      <c r="F3104" s="1">
        <f>IFERROR(__xludf.DUMMYFUNCTION("""COMPUTED_VALUE"""),2158825.0)</f>
        <v>2158825</v>
      </c>
    </row>
    <row r="3105">
      <c r="A3105" s="2">
        <f>IFERROR(__xludf.DUMMYFUNCTION("""COMPUTED_VALUE"""),41094.645833333336)</f>
        <v>41094.64583</v>
      </c>
      <c r="B3105" s="1">
        <f>IFERROR(__xludf.DUMMYFUNCTION("""COMPUTED_VALUE"""),439.85)</f>
        <v>439.85</v>
      </c>
      <c r="C3105" s="1">
        <f>IFERROR(__xludf.DUMMYFUNCTION("""COMPUTED_VALUE"""),441.0)</f>
        <v>441</v>
      </c>
      <c r="D3105" s="1">
        <f>IFERROR(__xludf.DUMMYFUNCTION("""COMPUTED_VALUE"""),434.7)</f>
        <v>434.7</v>
      </c>
      <c r="E3105" s="1">
        <f>IFERROR(__xludf.DUMMYFUNCTION("""COMPUTED_VALUE"""),437.95)</f>
        <v>437.95</v>
      </c>
      <c r="F3105" s="1">
        <f>IFERROR(__xludf.DUMMYFUNCTION("""COMPUTED_VALUE"""),1243347.0)</f>
        <v>1243347</v>
      </c>
    </row>
    <row r="3106">
      <c r="A3106" s="2">
        <f>IFERROR(__xludf.DUMMYFUNCTION("""COMPUTED_VALUE"""),41095.645833333336)</f>
        <v>41095.64583</v>
      </c>
      <c r="B3106" s="1">
        <f>IFERROR(__xludf.DUMMYFUNCTION("""COMPUTED_VALUE"""),438.0)</f>
        <v>438</v>
      </c>
      <c r="C3106" s="1">
        <f>IFERROR(__xludf.DUMMYFUNCTION("""COMPUTED_VALUE"""),445.0)</f>
        <v>445</v>
      </c>
      <c r="D3106" s="1">
        <f>IFERROR(__xludf.DUMMYFUNCTION("""COMPUTED_VALUE"""),438.0)</f>
        <v>438</v>
      </c>
      <c r="E3106" s="1">
        <f>IFERROR(__xludf.DUMMYFUNCTION("""COMPUTED_VALUE"""),440.85)</f>
        <v>440.85</v>
      </c>
      <c r="F3106" s="1">
        <f>IFERROR(__xludf.DUMMYFUNCTION("""COMPUTED_VALUE"""),1228702.0)</f>
        <v>1228702</v>
      </c>
    </row>
    <row r="3107">
      <c r="A3107" s="2">
        <f>IFERROR(__xludf.DUMMYFUNCTION("""COMPUTED_VALUE"""),41096.645833333336)</f>
        <v>41096.64583</v>
      </c>
      <c r="B3107" s="1">
        <f>IFERROR(__xludf.DUMMYFUNCTION("""COMPUTED_VALUE"""),441.0)</f>
        <v>441</v>
      </c>
      <c r="C3107" s="1">
        <f>IFERROR(__xludf.DUMMYFUNCTION("""COMPUTED_VALUE"""),448.0)</f>
        <v>448</v>
      </c>
      <c r="D3107" s="1">
        <f>IFERROR(__xludf.DUMMYFUNCTION("""COMPUTED_VALUE"""),441.0)</f>
        <v>441</v>
      </c>
      <c r="E3107" s="1">
        <f>IFERROR(__xludf.DUMMYFUNCTION("""COMPUTED_VALUE"""),446.05)</f>
        <v>446.05</v>
      </c>
      <c r="F3107" s="1">
        <f>IFERROR(__xludf.DUMMYFUNCTION("""COMPUTED_VALUE"""),1942688.0)</f>
        <v>1942688</v>
      </c>
    </row>
    <row r="3108">
      <c r="A3108" s="2">
        <f>IFERROR(__xludf.DUMMYFUNCTION("""COMPUTED_VALUE"""),41099.645833333336)</f>
        <v>41099.64583</v>
      </c>
      <c r="B3108" s="1">
        <f>IFERROR(__xludf.DUMMYFUNCTION("""COMPUTED_VALUE"""),446.4)</f>
        <v>446.4</v>
      </c>
      <c r="C3108" s="1">
        <f>IFERROR(__xludf.DUMMYFUNCTION("""COMPUTED_VALUE"""),446.95)</f>
        <v>446.95</v>
      </c>
      <c r="D3108" s="1">
        <f>IFERROR(__xludf.DUMMYFUNCTION("""COMPUTED_VALUE"""),443.1)</f>
        <v>443.1</v>
      </c>
      <c r="E3108" s="1">
        <f>IFERROR(__xludf.DUMMYFUNCTION("""COMPUTED_VALUE"""),443.95)</f>
        <v>443.95</v>
      </c>
      <c r="F3108" s="1">
        <f>IFERROR(__xludf.DUMMYFUNCTION("""COMPUTED_VALUE"""),1006094.0)</f>
        <v>1006094</v>
      </c>
    </row>
    <row r="3109">
      <c r="A3109" s="2">
        <f>IFERROR(__xludf.DUMMYFUNCTION("""COMPUTED_VALUE"""),41100.645833333336)</f>
        <v>41100.64583</v>
      </c>
      <c r="B3109" s="1">
        <f>IFERROR(__xludf.DUMMYFUNCTION("""COMPUTED_VALUE"""),445.6)</f>
        <v>445.6</v>
      </c>
      <c r="C3109" s="1">
        <f>IFERROR(__xludf.DUMMYFUNCTION("""COMPUTED_VALUE"""),448.5)</f>
        <v>448.5</v>
      </c>
      <c r="D3109" s="1">
        <f>IFERROR(__xludf.DUMMYFUNCTION("""COMPUTED_VALUE"""),440.3)</f>
        <v>440.3</v>
      </c>
      <c r="E3109" s="1">
        <f>IFERROR(__xludf.DUMMYFUNCTION("""COMPUTED_VALUE"""),446.4)</f>
        <v>446.4</v>
      </c>
      <c r="F3109" s="1">
        <f>IFERROR(__xludf.DUMMYFUNCTION("""COMPUTED_VALUE"""),2182734.0)</f>
        <v>2182734</v>
      </c>
    </row>
    <row r="3110">
      <c r="A3110" s="2">
        <f>IFERROR(__xludf.DUMMYFUNCTION("""COMPUTED_VALUE"""),41101.645833333336)</f>
        <v>41101.64583</v>
      </c>
      <c r="B3110" s="1">
        <f>IFERROR(__xludf.DUMMYFUNCTION("""COMPUTED_VALUE"""),446.0)</f>
        <v>446</v>
      </c>
      <c r="C3110" s="1">
        <f>IFERROR(__xludf.DUMMYFUNCTION("""COMPUTED_VALUE"""),446.55)</f>
        <v>446.55</v>
      </c>
      <c r="D3110" s="1">
        <f>IFERROR(__xludf.DUMMYFUNCTION("""COMPUTED_VALUE"""),438.35)</f>
        <v>438.35</v>
      </c>
      <c r="E3110" s="1">
        <f>IFERROR(__xludf.DUMMYFUNCTION("""COMPUTED_VALUE"""),441.4)</f>
        <v>441.4</v>
      </c>
      <c r="F3110" s="1">
        <f>IFERROR(__xludf.DUMMYFUNCTION("""COMPUTED_VALUE"""),2486849.0)</f>
        <v>2486849</v>
      </c>
    </row>
    <row r="3111">
      <c r="A3111" s="2">
        <f>IFERROR(__xludf.DUMMYFUNCTION("""COMPUTED_VALUE"""),41102.645833333336)</f>
        <v>41102.64583</v>
      </c>
      <c r="B3111" s="1">
        <f>IFERROR(__xludf.DUMMYFUNCTION("""COMPUTED_VALUE"""),440.0)</f>
        <v>440</v>
      </c>
      <c r="C3111" s="1">
        <f>IFERROR(__xludf.DUMMYFUNCTION("""COMPUTED_VALUE"""),447.9)</f>
        <v>447.9</v>
      </c>
      <c r="D3111" s="1">
        <f>IFERROR(__xludf.DUMMYFUNCTION("""COMPUTED_VALUE"""),439.35)</f>
        <v>439.35</v>
      </c>
      <c r="E3111" s="1">
        <f>IFERROR(__xludf.DUMMYFUNCTION("""COMPUTED_VALUE"""),442.95)</f>
        <v>442.95</v>
      </c>
      <c r="F3111" s="1">
        <f>IFERROR(__xludf.DUMMYFUNCTION("""COMPUTED_VALUE"""),1698747.0)</f>
        <v>1698747</v>
      </c>
    </row>
    <row r="3112">
      <c r="A3112" s="2">
        <f>IFERROR(__xludf.DUMMYFUNCTION("""COMPUTED_VALUE"""),41103.645833333336)</f>
        <v>41103.64583</v>
      </c>
      <c r="B3112" s="1">
        <f>IFERROR(__xludf.DUMMYFUNCTION("""COMPUTED_VALUE"""),442.6)</f>
        <v>442.6</v>
      </c>
      <c r="C3112" s="1">
        <f>IFERROR(__xludf.DUMMYFUNCTION("""COMPUTED_VALUE"""),445.3)</f>
        <v>445.3</v>
      </c>
      <c r="D3112" s="1">
        <f>IFERROR(__xludf.DUMMYFUNCTION("""COMPUTED_VALUE"""),440.5)</f>
        <v>440.5</v>
      </c>
      <c r="E3112" s="1">
        <f>IFERROR(__xludf.DUMMYFUNCTION("""COMPUTED_VALUE"""),441.1)</f>
        <v>441.1</v>
      </c>
      <c r="F3112" s="1">
        <f>IFERROR(__xludf.DUMMYFUNCTION("""COMPUTED_VALUE"""),823610.0)</f>
        <v>823610</v>
      </c>
    </row>
    <row r="3113">
      <c r="A3113" s="2">
        <f>IFERROR(__xludf.DUMMYFUNCTION("""COMPUTED_VALUE"""),41106.645833333336)</f>
        <v>41106.64583</v>
      </c>
      <c r="B3113" s="1">
        <f>IFERROR(__xludf.DUMMYFUNCTION("""COMPUTED_VALUE"""),442.0)</f>
        <v>442</v>
      </c>
      <c r="C3113" s="1">
        <f>IFERROR(__xludf.DUMMYFUNCTION("""COMPUTED_VALUE"""),445.6)</f>
        <v>445.6</v>
      </c>
      <c r="D3113" s="1">
        <f>IFERROR(__xludf.DUMMYFUNCTION("""COMPUTED_VALUE"""),439.35)</f>
        <v>439.35</v>
      </c>
      <c r="E3113" s="1">
        <f>IFERROR(__xludf.DUMMYFUNCTION("""COMPUTED_VALUE"""),441.15)</f>
        <v>441.15</v>
      </c>
      <c r="F3113" s="1">
        <f>IFERROR(__xludf.DUMMYFUNCTION("""COMPUTED_VALUE"""),1047284.0)</f>
        <v>1047284</v>
      </c>
    </row>
    <row r="3114">
      <c r="A3114" s="2">
        <f>IFERROR(__xludf.DUMMYFUNCTION("""COMPUTED_VALUE"""),41107.645833333336)</f>
        <v>41107.64583</v>
      </c>
      <c r="B3114" s="1">
        <f>IFERROR(__xludf.DUMMYFUNCTION("""COMPUTED_VALUE"""),441.25)</f>
        <v>441.25</v>
      </c>
      <c r="C3114" s="1">
        <f>IFERROR(__xludf.DUMMYFUNCTION("""COMPUTED_VALUE"""),445.7)</f>
        <v>445.7</v>
      </c>
      <c r="D3114" s="1">
        <f>IFERROR(__xludf.DUMMYFUNCTION("""COMPUTED_VALUE"""),441.25)</f>
        <v>441.25</v>
      </c>
      <c r="E3114" s="1">
        <f>IFERROR(__xludf.DUMMYFUNCTION("""COMPUTED_VALUE"""),444.15)</f>
        <v>444.15</v>
      </c>
      <c r="F3114" s="1">
        <f>IFERROR(__xludf.DUMMYFUNCTION("""COMPUTED_VALUE"""),1194197.0)</f>
        <v>1194197</v>
      </c>
    </row>
    <row r="3115">
      <c r="A3115" s="2">
        <f>IFERROR(__xludf.DUMMYFUNCTION("""COMPUTED_VALUE"""),41108.645833333336)</f>
        <v>41108.64583</v>
      </c>
      <c r="B3115" s="1">
        <f>IFERROR(__xludf.DUMMYFUNCTION("""COMPUTED_VALUE"""),445.85)</f>
        <v>445.85</v>
      </c>
      <c r="C3115" s="1">
        <f>IFERROR(__xludf.DUMMYFUNCTION("""COMPUTED_VALUE"""),447.4)</f>
        <v>447.4</v>
      </c>
      <c r="D3115" s="1">
        <f>IFERROR(__xludf.DUMMYFUNCTION("""COMPUTED_VALUE"""),443.05)</f>
        <v>443.05</v>
      </c>
      <c r="E3115" s="1">
        <f>IFERROR(__xludf.DUMMYFUNCTION("""COMPUTED_VALUE"""),446.3)</f>
        <v>446.3</v>
      </c>
      <c r="F3115" s="1">
        <f>IFERROR(__xludf.DUMMYFUNCTION("""COMPUTED_VALUE"""),1934268.0)</f>
        <v>1934268</v>
      </c>
    </row>
    <row r="3116">
      <c r="A3116" s="2">
        <f>IFERROR(__xludf.DUMMYFUNCTION("""COMPUTED_VALUE"""),41109.645833333336)</f>
        <v>41109.64583</v>
      </c>
      <c r="B3116" s="1">
        <f>IFERROR(__xludf.DUMMYFUNCTION("""COMPUTED_VALUE"""),448.8)</f>
        <v>448.8</v>
      </c>
      <c r="C3116" s="1">
        <f>IFERROR(__xludf.DUMMYFUNCTION("""COMPUTED_VALUE"""),449.0)</f>
        <v>449</v>
      </c>
      <c r="D3116" s="1">
        <f>IFERROR(__xludf.DUMMYFUNCTION("""COMPUTED_VALUE"""),444.2)</f>
        <v>444.2</v>
      </c>
      <c r="E3116" s="1">
        <f>IFERROR(__xludf.DUMMYFUNCTION("""COMPUTED_VALUE"""),446.65)</f>
        <v>446.65</v>
      </c>
      <c r="F3116" s="1">
        <f>IFERROR(__xludf.DUMMYFUNCTION("""COMPUTED_VALUE"""),1153087.0)</f>
        <v>1153087</v>
      </c>
    </row>
    <row r="3117">
      <c r="A3117" s="2">
        <f>IFERROR(__xludf.DUMMYFUNCTION("""COMPUTED_VALUE"""),41110.645833333336)</f>
        <v>41110.64583</v>
      </c>
      <c r="B3117" s="1">
        <f>IFERROR(__xludf.DUMMYFUNCTION("""COMPUTED_VALUE"""),446.7)</f>
        <v>446.7</v>
      </c>
      <c r="C3117" s="1">
        <f>IFERROR(__xludf.DUMMYFUNCTION("""COMPUTED_VALUE"""),449.4)</f>
        <v>449.4</v>
      </c>
      <c r="D3117" s="1">
        <f>IFERROR(__xludf.DUMMYFUNCTION("""COMPUTED_VALUE"""),445.15)</f>
        <v>445.15</v>
      </c>
      <c r="E3117" s="1">
        <f>IFERROR(__xludf.DUMMYFUNCTION("""COMPUTED_VALUE"""),446.05)</f>
        <v>446.05</v>
      </c>
      <c r="F3117" s="1">
        <f>IFERROR(__xludf.DUMMYFUNCTION("""COMPUTED_VALUE"""),1922480.0)</f>
        <v>1922480</v>
      </c>
    </row>
    <row r="3118">
      <c r="A3118" s="2">
        <f>IFERROR(__xludf.DUMMYFUNCTION("""COMPUTED_VALUE"""),41113.645833333336)</f>
        <v>41113.64583</v>
      </c>
      <c r="B3118" s="1">
        <f>IFERROR(__xludf.DUMMYFUNCTION("""COMPUTED_VALUE"""),445.5)</f>
        <v>445.5</v>
      </c>
      <c r="C3118" s="1">
        <f>IFERROR(__xludf.DUMMYFUNCTION("""COMPUTED_VALUE"""),446.0)</f>
        <v>446</v>
      </c>
      <c r="D3118" s="1">
        <f>IFERROR(__xludf.DUMMYFUNCTION("""COMPUTED_VALUE"""),441.45)</f>
        <v>441.45</v>
      </c>
      <c r="E3118" s="1">
        <f>IFERROR(__xludf.DUMMYFUNCTION("""COMPUTED_VALUE"""),442.95)</f>
        <v>442.95</v>
      </c>
      <c r="F3118" s="1">
        <f>IFERROR(__xludf.DUMMYFUNCTION("""COMPUTED_VALUE"""),1981053.0)</f>
        <v>1981053</v>
      </c>
    </row>
    <row r="3119">
      <c r="A3119" s="2">
        <f>IFERROR(__xludf.DUMMYFUNCTION("""COMPUTED_VALUE"""),41114.645833333336)</f>
        <v>41114.64583</v>
      </c>
      <c r="B3119" s="1">
        <f>IFERROR(__xludf.DUMMYFUNCTION("""COMPUTED_VALUE"""),452.8)</f>
        <v>452.8</v>
      </c>
      <c r="C3119" s="1">
        <f>IFERROR(__xludf.DUMMYFUNCTION("""COMPUTED_VALUE"""),477.75)</f>
        <v>477.75</v>
      </c>
      <c r="D3119" s="1">
        <f>IFERROR(__xludf.DUMMYFUNCTION("""COMPUTED_VALUE"""),450.35)</f>
        <v>450.35</v>
      </c>
      <c r="E3119" s="1">
        <f>IFERROR(__xludf.DUMMYFUNCTION("""COMPUTED_VALUE"""),476.2)</f>
        <v>476.2</v>
      </c>
      <c r="F3119" s="1">
        <f>IFERROR(__xludf.DUMMYFUNCTION("""COMPUTED_VALUE"""),1.2434286E7)</f>
        <v>12434286</v>
      </c>
    </row>
    <row r="3120">
      <c r="A3120" s="2">
        <f>IFERROR(__xludf.DUMMYFUNCTION("""COMPUTED_VALUE"""),41115.645833333336)</f>
        <v>41115.64583</v>
      </c>
      <c r="B3120" s="1">
        <f>IFERROR(__xludf.DUMMYFUNCTION("""COMPUTED_VALUE"""),473.65)</f>
        <v>473.65</v>
      </c>
      <c r="C3120" s="1">
        <f>IFERROR(__xludf.DUMMYFUNCTION("""COMPUTED_VALUE"""),474.75)</f>
        <v>474.75</v>
      </c>
      <c r="D3120" s="1">
        <f>IFERROR(__xludf.DUMMYFUNCTION("""COMPUTED_VALUE"""),463.6)</f>
        <v>463.6</v>
      </c>
      <c r="E3120" s="1">
        <f>IFERROR(__xludf.DUMMYFUNCTION("""COMPUTED_VALUE"""),464.45)</f>
        <v>464.45</v>
      </c>
      <c r="F3120" s="1">
        <f>IFERROR(__xludf.DUMMYFUNCTION("""COMPUTED_VALUE"""),3588427.0)</f>
        <v>3588427</v>
      </c>
    </row>
    <row r="3121">
      <c r="A3121" s="2">
        <f>IFERROR(__xludf.DUMMYFUNCTION("""COMPUTED_VALUE"""),41116.645833333336)</f>
        <v>41116.64583</v>
      </c>
      <c r="B3121" s="1">
        <f>IFERROR(__xludf.DUMMYFUNCTION("""COMPUTED_VALUE"""),465.0)</f>
        <v>465</v>
      </c>
      <c r="C3121" s="1">
        <f>IFERROR(__xludf.DUMMYFUNCTION("""COMPUTED_VALUE"""),466.4)</f>
        <v>466.4</v>
      </c>
      <c r="D3121" s="1">
        <f>IFERROR(__xludf.DUMMYFUNCTION("""COMPUTED_VALUE"""),460.8)</f>
        <v>460.8</v>
      </c>
      <c r="E3121" s="1">
        <f>IFERROR(__xludf.DUMMYFUNCTION("""COMPUTED_VALUE"""),461.85)</f>
        <v>461.85</v>
      </c>
      <c r="F3121" s="1">
        <f>IFERROR(__xludf.DUMMYFUNCTION("""COMPUTED_VALUE"""),2844026.0)</f>
        <v>2844026</v>
      </c>
    </row>
    <row r="3122">
      <c r="A3122" s="2">
        <f>IFERROR(__xludf.DUMMYFUNCTION("""COMPUTED_VALUE"""),41117.645833333336)</f>
        <v>41117.64583</v>
      </c>
      <c r="B3122" s="1">
        <f>IFERROR(__xludf.DUMMYFUNCTION("""COMPUTED_VALUE"""),464.0)</f>
        <v>464</v>
      </c>
      <c r="C3122" s="1">
        <f>IFERROR(__xludf.DUMMYFUNCTION("""COMPUTED_VALUE"""),468.5)</f>
        <v>468.5</v>
      </c>
      <c r="D3122" s="1">
        <f>IFERROR(__xludf.DUMMYFUNCTION("""COMPUTED_VALUE"""),463.1)</f>
        <v>463.1</v>
      </c>
      <c r="E3122" s="1">
        <f>IFERROR(__xludf.DUMMYFUNCTION("""COMPUTED_VALUE"""),464.6)</f>
        <v>464.6</v>
      </c>
      <c r="F3122" s="1">
        <f>IFERROR(__xludf.DUMMYFUNCTION("""COMPUTED_VALUE"""),3973735.0)</f>
        <v>3973735</v>
      </c>
    </row>
    <row r="3123">
      <c r="A3123" s="2">
        <f>IFERROR(__xludf.DUMMYFUNCTION("""COMPUTED_VALUE"""),41120.645833333336)</f>
        <v>41120.64583</v>
      </c>
      <c r="B3123" s="1">
        <f>IFERROR(__xludf.DUMMYFUNCTION("""COMPUTED_VALUE"""),467.9)</f>
        <v>467.9</v>
      </c>
      <c r="C3123" s="1">
        <f>IFERROR(__xludf.DUMMYFUNCTION("""COMPUTED_VALUE"""),469.0)</f>
        <v>469</v>
      </c>
      <c r="D3123" s="1">
        <f>IFERROR(__xludf.DUMMYFUNCTION("""COMPUTED_VALUE"""),461.55)</f>
        <v>461.55</v>
      </c>
      <c r="E3123" s="1">
        <f>IFERROR(__xludf.DUMMYFUNCTION("""COMPUTED_VALUE"""),465.75)</f>
        <v>465.75</v>
      </c>
      <c r="F3123" s="1">
        <f>IFERROR(__xludf.DUMMYFUNCTION("""COMPUTED_VALUE"""),3988589.0)</f>
        <v>3988589</v>
      </c>
    </row>
    <row r="3124">
      <c r="A3124" s="2">
        <f>IFERROR(__xludf.DUMMYFUNCTION("""COMPUTED_VALUE"""),41121.645833333336)</f>
        <v>41121.64583</v>
      </c>
      <c r="B3124" s="1">
        <f>IFERROR(__xludf.DUMMYFUNCTION("""COMPUTED_VALUE"""),465.15)</f>
        <v>465.15</v>
      </c>
      <c r="C3124" s="1">
        <f>IFERROR(__xludf.DUMMYFUNCTION("""COMPUTED_VALUE"""),469.7)</f>
        <v>469.7</v>
      </c>
      <c r="D3124" s="1">
        <f>IFERROR(__xludf.DUMMYFUNCTION("""COMPUTED_VALUE"""),464.95)</f>
        <v>464.95</v>
      </c>
      <c r="E3124" s="1">
        <f>IFERROR(__xludf.DUMMYFUNCTION("""COMPUTED_VALUE"""),467.35)</f>
        <v>467.35</v>
      </c>
      <c r="F3124" s="1">
        <f>IFERROR(__xludf.DUMMYFUNCTION("""COMPUTED_VALUE"""),5639186.0)</f>
        <v>5639186</v>
      </c>
    </row>
    <row r="3125">
      <c r="A3125" s="2">
        <f>IFERROR(__xludf.DUMMYFUNCTION("""COMPUTED_VALUE"""),41122.645833333336)</f>
        <v>41122.64583</v>
      </c>
      <c r="B3125" s="1">
        <f>IFERROR(__xludf.DUMMYFUNCTION("""COMPUTED_VALUE"""),465.95)</f>
        <v>465.95</v>
      </c>
      <c r="C3125" s="1">
        <f>IFERROR(__xludf.DUMMYFUNCTION("""COMPUTED_VALUE"""),473.8)</f>
        <v>473.8</v>
      </c>
      <c r="D3125" s="1">
        <f>IFERROR(__xludf.DUMMYFUNCTION("""COMPUTED_VALUE"""),465.0)</f>
        <v>465</v>
      </c>
      <c r="E3125" s="1">
        <f>IFERROR(__xludf.DUMMYFUNCTION("""COMPUTED_VALUE"""),470.15)</f>
        <v>470.15</v>
      </c>
      <c r="F3125" s="1">
        <f>IFERROR(__xludf.DUMMYFUNCTION("""COMPUTED_VALUE"""),1493360.0)</f>
        <v>1493360</v>
      </c>
    </row>
    <row r="3126">
      <c r="A3126" s="2">
        <f>IFERROR(__xludf.DUMMYFUNCTION("""COMPUTED_VALUE"""),41123.645833333336)</f>
        <v>41123.64583</v>
      </c>
      <c r="B3126" s="1">
        <f>IFERROR(__xludf.DUMMYFUNCTION("""COMPUTED_VALUE"""),470.35)</f>
        <v>470.35</v>
      </c>
      <c r="C3126" s="1">
        <f>IFERROR(__xludf.DUMMYFUNCTION("""COMPUTED_VALUE"""),473.8)</f>
        <v>473.8</v>
      </c>
      <c r="D3126" s="1">
        <f>IFERROR(__xludf.DUMMYFUNCTION("""COMPUTED_VALUE"""),466.65)</f>
        <v>466.65</v>
      </c>
      <c r="E3126" s="1">
        <f>IFERROR(__xludf.DUMMYFUNCTION("""COMPUTED_VALUE"""),468.45)</f>
        <v>468.45</v>
      </c>
      <c r="F3126" s="1">
        <f>IFERROR(__xludf.DUMMYFUNCTION("""COMPUTED_VALUE"""),1552143.0)</f>
        <v>1552143</v>
      </c>
    </row>
    <row r="3127">
      <c r="A3127" s="2">
        <f>IFERROR(__xludf.DUMMYFUNCTION("""COMPUTED_VALUE"""),41124.645833333336)</f>
        <v>41124.64583</v>
      </c>
      <c r="B3127" s="1">
        <f>IFERROR(__xludf.DUMMYFUNCTION("""COMPUTED_VALUE"""),466.3)</f>
        <v>466.3</v>
      </c>
      <c r="C3127" s="1">
        <f>IFERROR(__xludf.DUMMYFUNCTION("""COMPUTED_VALUE"""),469.85)</f>
        <v>469.85</v>
      </c>
      <c r="D3127" s="1">
        <f>IFERROR(__xludf.DUMMYFUNCTION("""COMPUTED_VALUE"""),465.5)</f>
        <v>465.5</v>
      </c>
      <c r="E3127" s="1">
        <f>IFERROR(__xludf.DUMMYFUNCTION("""COMPUTED_VALUE"""),466.6)</f>
        <v>466.6</v>
      </c>
      <c r="F3127" s="1">
        <f>IFERROR(__xludf.DUMMYFUNCTION("""COMPUTED_VALUE"""),1784528.0)</f>
        <v>1784528</v>
      </c>
    </row>
    <row r="3128">
      <c r="A3128" s="2">
        <f>IFERROR(__xludf.DUMMYFUNCTION("""COMPUTED_VALUE"""),41127.645833333336)</f>
        <v>41127.64583</v>
      </c>
      <c r="B3128" s="1">
        <f>IFERROR(__xludf.DUMMYFUNCTION("""COMPUTED_VALUE"""),468.25)</f>
        <v>468.25</v>
      </c>
      <c r="C3128" s="1">
        <f>IFERROR(__xludf.DUMMYFUNCTION("""COMPUTED_VALUE"""),470.0)</f>
        <v>470</v>
      </c>
      <c r="D3128" s="1">
        <f>IFERROR(__xludf.DUMMYFUNCTION("""COMPUTED_VALUE"""),465.5)</f>
        <v>465.5</v>
      </c>
      <c r="E3128" s="1">
        <f>IFERROR(__xludf.DUMMYFUNCTION("""COMPUTED_VALUE"""),467.35)</f>
        <v>467.35</v>
      </c>
      <c r="F3128" s="1">
        <f>IFERROR(__xludf.DUMMYFUNCTION("""COMPUTED_VALUE"""),988874.0)</f>
        <v>988874</v>
      </c>
    </row>
    <row r="3129">
      <c r="A3129" s="2">
        <f>IFERROR(__xludf.DUMMYFUNCTION("""COMPUTED_VALUE"""),41128.645833333336)</f>
        <v>41128.64583</v>
      </c>
      <c r="B3129" s="1">
        <f>IFERROR(__xludf.DUMMYFUNCTION("""COMPUTED_VALUE"""),468.1)</f>
        <v>468.1</v>
      </c>
      <c r="C3129" s="1">
        <f>IFERROR(__xludf.DUMMYFUNCTION("""COMPUTED_VALUE"""),472.5)</f>
        <v>472.5</v>
      </c>
      <c r="D3129" s="1">
        <f>IFERROR(__xludf.DUMMYFUNCTION("""COMPUTED_VALUE"""),466.4)</f>
        <v>466.4</v>
      </c>
      <c r="E3129" s="1">
        <f>IFERROR(__xludf.DUMMYFUNCTION("""COMPUTED_VALUE"""),469.9)</f>
        <v>469.9</v>
      </c>
      <c r="F3129" s="1">
        <f>IFERROR(__xludf.DUMMYFUNCTION("""COMPUTED_VALUE"""),1946016.0)</f>
        <v>1946016</v>
      </c>
    </row>
    <row r="3130">
      <c r="A3130" s="2">
        <f>IFERROR(__xludf.DUMMYFUNCTION("""COMPUTED_VALUE"""),41129.645833333336)</f>
        <v>41129.64583</v>
      </c>
      <c r="B3130" s="1">
        <f>IFERROR(__xludf.DUMMYFUNCTION("""COMPUTED_VALUE"""),470.0)</f>
        <v>470</v>
      </c>
      <c r="C3130" s="1">
        <f>IFERROR(__xludf.DUMMYFUNCTION("""COMPUTED_VALUE"""),478.95)</f>
        <v>478.95</v>
      </c>
      <c r="D3130" s="1">
        <f>IFERROR(__xludf.DUMMYFUNCTION("""COMPUTED_VALUE"""),469.3)</f>
        <v>469.3</v>
      </c>
      <c r="E3130" s="1">
        <f>IFERROR(__xludf.DUMMYFUNCTION("""COMPUTED_VALUE"""),477.15)</f>
        <v>477.15</v>
      </c>
      <c r="F3130" s="1">
        <f>IFERROR(__xludf.DUMMYFUNCTION("""COMPUTED_VALUE"""),1835156.0)</f>
        <v>1835156</v>
      </c>
    </row>
    <row r="3131">
      <c r="A3131" s="2">
        <f>IFERROR(__xludf.DUMMYFUNCTION("""COMPUTED_VALUE"""),41130.645833333336)</f>
        <v>41130.64583</v>
      </c>
      <c r="B3131" s="1">
        <f>IFERROR(__xludf.DUMMYFUNCTION("""COMPUTED_VALUE"""),477.25)</f>
        <v>477.25</v>
      </c>
      <c r="C3131" s="1">
        <f>IFERROR(__xludf.DUMMYFUNCTION("""COMPUTED_VALUE"""),489.85)</f>
        <v>489.85</v>
      </c>
      <c r="D3131" s="1">
        <f>IFERROR(__xludf.DUMMYFUNCTION("""COMPUTED_VALUE"""),477.25)</f>
        <v>477.25</v>
      </c>
      <c r="E3131" s="1">
        <f>IFERROR(__xludf.DUMMYFUNCTION("""COMPUTED_VALUE"""),488.25)</f>
        <v>488.25</v>
      </c>
      <c r="F3131" s="1">
        <f>IFERROR(__xludf.DUMMYFUNCTION("""COMPUTED_VALUE"""),1705222.0)</f>
        <v>1705222</v>
      </c>
    </row>
    <row r="3132">
      <c r="A3132" s="2">
        <f>IFERROR(__xludf.DUMMYFUNCTION("""COMPUTED_VALUE"""),41131.645833333336)</f>
        <v>41131.64583</v>
      </c>
      <c r="B3132" s="1">
        <f>IFERROR(__xludf.DUMMYFUNCTION("""COMPUTED_VALUE"""),486.05)</f>
        <v>486.05</v>
      </c>
      <c r="C3132" s="1">
        <f>IFERROR(__xludf.DUMMYFUNCTION("""COMPUTED_VALUE"""),498.5)</f>
        <v>498.5</v>
      </c>
      <c r="D3132" s="1">
        <f>IFERROR(__xludf.DUMMYFUNCTION("""COMPUTED_VALUE"""),485.95)</f>
        <v>485.95</v>
      </c>
      <c r="E3132" s="1">
        <f>IFERROR(__xludf.DUMMYFUNCTION("""COMPUTED_VALUE"""),497.7)</f>
        <v>497.7</v>
      </c>
      <c r="F3132" s="1">
        <f>IFERROR(__xludf.DUMMYFUNCTION("""COMPUTED_VALUE"""),1706786.0)</f>
        <v>1706786</v>
      </c>
    </row>
    <row r="3133">
      <c r="A3133" s="2">
        <f>IFERROR(__xludf.DUMMYFUNCTION("""COMPUTED_VALUE"""),41134.645833333336)</f>
        <v>41134.64583</v>
      </c>
      <c r="B3133" s="1">
        <f>IFERROR(__xludf.DUMMYFUNCTION("""COMPUTED_VALUE"""),494.7)</f>
        <v>494.7</v>
      </c>
      <c r="C3133" s="1">
        <f>IFERROR(__xludf.DUMMYFUNCTION("""COMPUTED_VALUE"""),499.0)</f>
        <v>499</v>
      </c>
      <c r="D3133" s="1">
        <f>IFERROR(__xludf.DUMMYFUNCTION("""COMPUTED_VALUE"""),487.4)</f>
        <v>487.4</v>
      </c>
      <c r="E3133" s="1">
        <f>IFERROR(__xludf.DUMMYFUNCTION("""COMPUTED_VALUE"""),490.3)</f>
        <v>490.3</v>
      </c>
      <c r="F3133" s="1">
        <f>IFERROR(__xludf.DUMMYFUNCTION("""COMPUTED_VALUE"""),1442959.0)</f>
        <v>1442959</v>
      </c>
    </row>
    <row r="3134">
      <c r="A3134" s="2">
        <f>IFERROR(__xludf.DUMMYFUNCTION("""COMPUTED_VALUE"""),41135.645833333336)</f>
        <v>41135.64583</v>
      </c>
      <c r="B3134" s="1">
        <f>IFERROR(__xludf.DUMMYFUNCTION("""COMPUTED_VALUE"""),492.0)</f>
        <v>492</v>
      </c>
      <c r="C3134" s="1">
        <f>IFERROR(__xludf.DUMMYFUNCTION("""COMPUTED_VALUE"""),497.15)</f>
        <v>497.15</v>
      </c>
      <c r="D3134" s="1">
        <f>IFERROR(__xludf.DUMMYFUNCTION("""COMPUTED_VALUE"""),488.6)</f>
        <v>488.6</v>
      </c>
      <c r="E3134" s="1">
        <f>IFERROR(__xludf.DUMMYFUNCTION("""COMPUTED_VALUE"""),495.9)</f>
        <v>495.9</v>
      </c>
      <c r="F3134" s="1">
        <f>IFERROR(__xludf.DUMMYFUNCTION("""COMPUTED_VALUE"""),646462.0)</f>
        <v>646462</v>
      </c>
    </row>
    <row r="3135">
      <c r="A3135" s="2">
        <f>IFERROR(__xludf.DUMMYFUNCTION("""COMPUTED_VALUE"""),41137.645833333336)</f>
        <v>41137.64583</v>
      </c>
      <c r="B3135" s="1">
        <f>IFERROR(__xludf.DUMMYFUNCTION("""COMPUTED_VALUE"""),494.25)</f>
        <v>494.25</v>
      </c>
      <c r="C3135" s="1">
        <f>IFERROR(__xludf.DUMMYFUNCTION("""COMPUTED_VALUE"""),496.45)</f>
        <v>496.45</v>
      </c>
      <c r="D3135" s="1">
        <f>IFERROR(__xludf.DUMMYFUNCTION("""COMPUTED_VALUE"""),490.0)</f>
        <v>490</v>
      </c>
      <c r="E3135" s="1">
        <f>IFERROR(__xludf.DUMMYFUNCTION("""COMPUTED_VALUE"""),494.75)</f>
        <v>494.75</v>
      </c>
      <c r="F3135" s="1">
        <f>IFERROR(__xludf.DUMMYFUNCTION("""COMPUTED_VALUE"""),1459688.0)</f>
        <v>1459688</v>
      </c>
    </row>
    <row r="3136">
      <c r="A3136" s="2">
        <f>IFERROR(__xludf.DUMMYFUNCTION("""COMPUTED_VALUE"""),41138.645833333336)</f>
        <v>41138.64583</v>
      </c>
      <c r="B3136" s="1">
        <f>IFERROR(__xludf.DUMMYFUNCTION("""COMPUTED_VALUE"""),494.95)</f>
        <v>494.95</v>
      </c>
      <c r="C3136" s="1">
        <f>IFERROR(__xludf.DUMMYFUNCTION("""COMPUTED_VALUE"""),505.45)</f>
        <v>505.45</v>
      </c>
      <c r="D3136" s="1">
        <f>IFERROR(__xludf.DUMMYFUNCTION("""COMPUTED_VALUE"""),493.55)</f>
        <v>493.55</v>
      </c>
      <c r="E3136" s="1">
        <f>IFERROR(__xludf.DUMMYFUNCTION("""COMPUTED_VALUE"""),503.4)</f>
        <v>503.4</v>
      </c>
      <c r="F3136" s="1">
        <f>IFERROR(__xludf.DUMMYFUNCTION("""COMPUTED_VALUE"""),2565741.0)</f>
        <v>2565741</v>
      </c>
    </row>
    <row r="3137">
      <c r="A3137" s="2">
        <f>IFERROR(__xludf.DUMMYFUNCTION("""COMPUTED_VALUE"""),41142.645833333336)</f>
        <v>41142.64583</v>
      </c>
      <c r="B3137" s="1">
        <f>IFERROR(__xludf.DUMMYFUNCTION("""COMPUTED_VALUE"""),502.9)</f>
        <v>502.9</v>
      </c>
      <c r="C3137" s="1">
        <f>IFERROR(__xludf.DUMMYFUNCTION("""COMPUTED_VALUE"""),514.8)</f>
        <v>514.8</v>
      </c>
      <c r="D3137" s="1">
        <f>IFERROR(__xludf.DUMMYFUNCTION("""COMPUTED_VALUE"""),500.7)</f>
        <v>500.7</v>
      </c>
      <c r="E3137" s="1">
        <f>IFERROR(__xludf.DUMMYFUNCTION("""COMPUTED_VALUE"""),513.6)</f>
        <v>513.6</v>
      </c>
      <c r="F3137" s="1">
        <f>IFERROR(__xludf.DUMMYFUNCTION("""COMPUTED_VALUE"""),2584115.0)</f>
        <v>2584115</v>
      </c>
    </row>
    <row r="3138">
      <c r="A3138" s="2">
        <f>IFERROR(__xludf.DUMMYFUNCTION("""COMPUTED_VALUE"""),41143.645833333336)</f>
        <v>41143.64583</v>
      </c>
      <c r="B3138" s="1">
        <f>IFERROR(__xludf.DUMMYFUNCTION("""COMPUTED_VALUE"""),512.0)</f>
        <v>512</v>
      </c>
      <c r="C3138" s="1">
        <f>IFERROR(__xludf.DUMMYFUNCTION("""COMPUTED_VALUE"""),515.0)</f>
        <v>515</v>
      </c>
      <c r="D3138" s="1">
        <f>IFERROR(__xludf.DUMMYFUNCTION("""COMPUTED_VALUE"""),510.1)</f>
        <v>510.1</v>
      </c>
      <c r="E3138" s="1">
        <f>IFERROR(__xludf.DUMMYFUNCTION("""COMPUTED_VALUE"""),512.85)</f>
        <v>512.85</v>
      </c>
      <c r="F3138" s="1">
        <f>IFERROR(__xludf.DUMMYFUNCTION("""COMPUTED_VALUE"""),1602330.0)</f>
        <v>1602330</v>
      </c>
    </row>
    <row r="3139">
      <c r="A3139" s="2">
        <f>IFERROR(__xludf.DUMMYFUNCTION("""COMPUTED_VALUE"""),41144.645833333336)</f>
        <v>41144.64583</v>
      </c>
      <c r="B3139" s="1">
        <f>IFERROR(__xludf.DUMMYFUNCTION("""COMPUTED_VALUE"""),512.25)</f>
        <v>512.25</v>
      </c>
      <c r="C3139" s="1">
        <f>IFERROR(__xludf.DUMMYFUNCTION("""COMPUTED_VALUE"""),524.5)</f>
        <v>524.5</v>
      </c>
      <c r="D3139" s="1">
        <f>IFERROR(__xludf.DUMMYFUNCTION("""COMPUTED_VALUE"""),512.1)</f>
        <v>512.1</v>
      </c>
      <c r="E3139" s="1">
        <f>IFERROR(__xludf.DUMMYFUNCTION("""COMPUTED_VALUE"""),520.4)</f>
        <v>520.4</v>
      </c>
      <c r="F3139" s="1">
        <f>IFERROR(__xludf.DUMMYFUNCTION("""COMPUTED_VALUE"""),2546219.0)</f>
        <v>2546219</v>
      </c>
    </row>
    <row r="3140">
      <c r="A3140" s="2">
        <f>IFERROR(__xludf.DUMMYFUNCTION("""COMPUTED_VALUE"""),41145.645833333336)</f>
        <v>41145.64583</v>
      </c>
      <c r="B3140" s="1">
        <f>IFERROR(__xludf.DUMMYFUNCTION("""COMPUTED_VALUE"""),519.95)</f>
        <v>519.95</v>
      </c>
      <c r="C3140" s="1">
        <f>IFERROR(__xludf.DUMMYFUNCTION("""COMPUTED_VALUE"""),528.0)</f>
        <v>528</v>
      </c>
      <c r="D3140" s="1">
        <f>IFERROR(__xludf.DUMMYFUNCTION("""COMPUTED_VALUE"""),516.35)</f>
        <v>516.35</v>
      </c>
      <c r="E3140" s="1">
        <f>IFERROR(__xludf.DUMMYFUNCTION("""COMPUTED_VALUE"""),517.95)</f>
        <v>517.95</v>
      </c>
      <c r="F3140" s="1">
        <f>IFERROR(__xludf.DUMMYFUNCTION("""COMPUTED_VALUE"""),3544251.0)</f>
        <v>3544251</v>
      </c>
    </row>
    <row r="3141">
      <c r="A3141" s="2">
        <f>IFERROR(__xludf.DUMMYFUNCTION("""COMPUTED_VALUE"""),41148.645833333336)</f>
        <v>41148.64583</v>
      </c>
      <c r="B3141" s="1">
        <f>IFERROR(__xludf.DUMMYFUNCTION("""COMPUTED_VALUE"""),520.0)</f>
        <v>520</v>
      </c>
      <c r="C3141" s="1">
        <f>IFERROR(__xludf.DUMMYFUNCTION("""COMPUTED_VALUE"""),525.95)</f>
        <v>525.95</v>
      </c>
      <c r="D3141" s="1">
        <f>IFERROR(__xludf.DUMMYFUNCTION("""COMPUTED_VALUE"""),518.6)</f>
        <v>518.6</v>
      </c>
      <c r="E3141" s="1">
        <f>IFERROR(__xludf.DUMMYFUNCTION("""COMPUTED_VALUE"""),521.05)</f>
        <v>521.05</v>
      </c>
      <c r="F3141" s="1">
        <f>IFERROR(__xludf.DUMMYFUNCTION("""COMPUTED_VALUE"""),1680007.0)</f>
        <v>1680007</v>
      </c>
    </row>
    <row r="3142">
      <c r="A3142" s="2">
        <f>IFERROR(__xludf.DUMMYFUNCTION("""COMPUTED_VALUE"""),41149.645833333336)</f>
        <v>41149.64583</v>
      </c>
      <c r="B3142" s="1">
        <f>IFERROR(__xludf.DUMMYFUNCTION("""COMPUTED_VALUE"""),521.0)</f>
        <v>521</v>
      </c>
      <c r="C3142" s="1">
        <f>IFERROR(__xludf.DUMMYFUNCTION("""COMPUTED_VALUE"""),525.7)</f>
        <v>525.7</v>
      </c>
      <c r="D3142" s="1">
        <f>IFERROR(__xludf.DUMMYFUNCTION("""COMPUTED_VALUE"""),519.3)</f>
        <v>519.3</v>
      </c>
      <c r="E3142" s="1">
        <f>IFERROR(__xludf.DUMMYFUNCTION("""COMPUTED_VALUE"""),524.1)</f>
        <v>524.1</v>
      </c>
      <c r="F3142" s="1">
        <f>IFERROR(__xludf.DUMMYFUNCTION("""COMPUTED_VALUE"""),1484882.0)</f>
        <v>1484882</v>
      </c>
    </row>
    <row r="3143">
      <c r="A3143" s="2">
        <f>IFERROR(__xludf.DUMMYFUNCTION("""COMPUTED_VALUE"""),41150.645833333336)</f>
        <v>41150.64583</v>
      </c>
      <c r="B3143" s="1">
        <f>IFERROR(__xludf.DUMMYFUNCTION("""COMPUTED_VALUE"""),522.35)</f>
        <v>522.35</v>
      </c>
      <c r="C3143" s="1">
        <f>IFERROR(__xludf.DUMMYFUNCTION("""COMPUTED_VALUE"""),524.8)</f>
        <v>524.8</v>
      </c>
      <c r="D3143" s="1">
        <f>IFERROR(__xludf.DUMMYFUNCTION("""COMPUTED_VALUE"""),518.8)</f>
        <v>518.8</v>
      </c>
      <c r="E3143" s="1">
        <f>IFERROR(__xludf.DUMMYFUNCTION("""COMPUTED_VALUE"""),522.55)</f>
        <v>522.55</v>
      </c>
      <c r="F3143" s="1">
        <f>IFERROR(__xludf.DUMMYFUNCTION("""COMPUTED_VALUE"""),1550960.0)</f>
        <v>1550960</v>
      </c>
    </row>
    <row r="3144">
      <c r="A3144" s="2">
        <f>IFERROR(__xludf.DUMMYFUNCTION("""COMPUTED_VALUE"""),41151.645833333336)</f>
        <v>41151.64583</v>
      </c>
      <c r="B3144" s="1">
        <f>IFERROR(__xludf.DUMMYFUNCTION("""COMPUTED_VALUE"""),519.05)</f>
        <v>519.05</v>
      </c>
      <c r="C3144" s="1">
        <f>IFERROR(__xludf.DUMMYFUNCTION("""COMPUTED_VALUE"""),550.85)</f>
        <v>550.85</v>
      </c>
      <c r="D3144" s="1">
        <f>IFERROR(__xludf.DUMMYFUNCTION("""COMPUTED_VALUE"""),519.05)</f>
        <v>519.05</v>
      </c>
      <c r="E3144" s="1">
        <f>IFERROR(__xludf.DUMMYFUNCTION("""COMPUTED_VALUE"""),528.7)</f>
        <v>528.7</v>
      </c>
      <c r="F3144" s="1">
        <f>IFERROR(__xludf.DUMMYFUNCTION("""COMPUTED_VALUE"""),3526927.0)</f>
        <v>3526927</v>
      </c>
    </row>
    <row r="3145">
      <c r="A3145" s="2">
        <f>IFERROR(__xludf.DUMMYFUNCTION("""COMPUTED_VALUE"""),41152.645833333336)</f>
        <v>41152.64583</v>
      </c>
      <c r="B3145" s="1">
        <f>IFERROR(__xludf.DUMMYFUNCTION("""COMPUTED_VALUE"""),527.9)</f>
        <v>527.9</v>
      </c>
      <c r="C3145" s="1">
        <f>IFERROR(__xludf.DUMMYFUNCTION("""COMPUTED_VALUE"""),529.45)</f>
        <v>529.45</v>
      </c>
      <c r="D3145" s="1">
        <f>IFERROR(__xludf.DUMMYFUNCTION("""COMPUTED_VALUE"""),514.05)</f>
        <v>514.05</v>
      </c>
      <c r="E3145" s="1">
        <f>IFERROR(__xludf.DUMMYFUNCTION("""COMPUTED_VALUE"""),515.1)</f>
        <v>515.1</v>
      </c>
      <c r="F3145" s="1">
        <f>IFERROR(__xludf.DUMMYFUNCTION("""COMPUTED_VALUE"""),3416287.0)</f>
        <v>3416287</v>
      </c>
    </row>
    <row r="3146">
      <c r="A3146" s="2">
        <f>IFERROR(__xludf.DUMMYFUNCTION("""COMPUTED_VALUE"""),41155.645833333336)</f>
        <v>41155.64583</v>
      </c>
      <c r="B3146" s="1">
        <f>IFERROR(__xludf.DUMMYFUNCTION("""COMPUTED_VALUE"""),517.95)</f>
        <v>517.95</v>
      </c>
      <c r="C3146" s="1">
        <f>IFERROR(__xludf.DUMMYFUNCTION("""COMPUTED_VALUE"""),518.9)</f>
        <v>518.9</v>
      </c>
      <c r="D3146" s="1">
        <f>IFERROR(__xludf.DUMMYFUNCTION("""COMPUTED_VALUE"""),511.2)</f>
        <v>511.2</v>
      </c>
      <c r="E3146" s="1">
        <f>IFERROR(__xludf.DUMMYFUNCTION("""COMPUTED_VALUE"""),515.1)</f>
        <v>515.1</v>
      </c>
      <c r="F3146" s="1">
        <f>IFERROR(__xludf.DUMMYFUNCTION("""COMPUTED_VALUE"""),1740309.0)</f>
        <v>1740309</v>
      </c>
    </row>
    <row r="3147">
      <c r="A3147" s="2">
        <f>IFERROR(__xludf.DUMMYFUNCTION("""COMPUTED_VALUE"""),41156.645833333336)</f>
        <v>41156.64583</v>
      </c>
      <c r="B3147" s="1">
        <f>IFERROR(__xludf.DUMMYFUNCTION("""COMPUTED_VALUE"""),514.05)</f>
        <v>514.05</v>
      </c>
      <c r="C3147" s="1">
        <f>IFERROR(__xludf.DUMMYFUNCTION("""COMPUTED_VALUE"""),522.45)</f>
        <v>522.45</v>
      </c>
      <c r="D3147" s="1">
        <f>IFERROR(__xludf.DUMMYFUNCTION("""COMPUTED_VALUE"""),514.05)</f>
        <v>514.05</v>
      </c>
      <c r="E3147" s="1">
        <f>IFERROR(__xludf.DUMMYFUNCTION("""COMPUTED_VALUE"""),521.05)</f>
        <v>521.05</v>
      </c>
      <c r="F3147" s="1">
        <f>IFERROR(__xludf.DUMMYFUNCTION("""COMPUTED_VALUE"""),1312288.0)</f>
        <v>1312288</v>
      </c>
    </row>
    <row r="3148">
      <c r="A3148" s="2">
        <f>IFERROR(__xludf.DUMMYFUNCTION("""COMPUTED_VALUE"""),41157.645833333336)</f>
        <v>41157.64583</v>
      </c>
      <c r="B3148" s="1">
        <f>IFERROR(__xludf.DUMMYFUNCTION("""COMPUTED_VALUE"""),518.05)</f>
        <v>518.05</v>
      </c>
      <c r="C3148" s="1">
        <f>IFERROR(__xludf.DUMMYFUNCTION("""COMPUTED_VALUE"""),532.45)</f>
        <v>532.45</v>
      </c>
      <c r="D3148" s="1">
        <f>IFERROR(__xludf.DUMMYFUNCTION("""COMPUTED_VALUE"""),518.05)</f>
        <v>518.05</v>
      </c>
      <c r="E3148" s="1">
        <f>IFERROR(__xludf.DUMMYFUNCTION("""COMPUTED_VALUE"""),531.2)</f>
        <v>531.2</v>
      </c>
      <c r="F3148" s="1">
        <f>IFERROR(__xludf.DUMMYFUNCTION("""COMPUTED_VALUE"""),2837160.0)</f>
        <v>2837160</v>
      </c>
    </row>
    <row r="3149">
      <c r="A3149" s="2">
        <f>IFERROR(__xludf.DUMMYFUNCTION("""COMPUTED_VALUE"""),41158.645833333336)</f>
        <v>41158.64583</v>
      </c>
      <c r="B3149" s="1">
        <f>IFERROR(__xludf.DUMMYFUNCTION("""COMPUTED_VALUE"""),531.1)</f>
        <v>531.1</v>
      </c>
      <c r="C3149" s="1">
        <f>IFERROR(__xludf.DUMMYFUNCTION("""COMPUTED_VALUE"""),533.5)</f>
        <v>533.5</v>
      </c>
      <c r="D3149" s="1">
        <f>IFERROR(__xludf.DUMMYFUNCTION("""COMPUTED_VALUE"""),523.6)</f>
        <v>523.6</v>
      </c>
      <c r="E3149" s="1">
        <f>IFERROR(__xludf.DUMMYFUNCTION("""COMPUTED_VALUE"""),526.45)</f>
        <v>526.45</v>
      </c>
      <c r="F3149" s="1">
        <f>IFERROR(__xludf.DUMMYFUNCTION("""COMPUTED_VALUE"""),1744174.0)</f>
        <v>1744174</v>
      </c>
    </row>
    <row r="3150">
      <c r="A3150" s="2">
        <f>IFERROR(__xludf.DUMMYFUNCTION("""COMPUTED_VALUE"""),41159.645833333336)</f>
        <v>41159.64583</v>
      </c>
      <c r="B3150" s="1">
        <f>IFERROR(__xludf.DUMMYFUNCTION("""COMPUTED_VALUE"""),531.0)</f>
        <v>531</v>
      </c>
      <c r="C3150" s="1">
        <f>IFERROR(__xludf.DUMMYFUNCTION("""COMPUTED_VALUE"""),539.5)</f>
        <v>539.5</v>
      </c>
      <c r="D3150" s="1">
        <f>IFERROR(__xludf.DUMMYFUNCTION("""COMPUTED_VALUE"""),526.9)</f>
        <v>526.9</v>
      </c>
      <c r="E3150" s="1">
        <f>IFERROR(__xludf.DUMMYFUNCTION("""COMPUTED_VALUE"""),538.95)</f>
        <v>538.95</v>
      </c>
      <c r="F3150" s="1">
        <f>IFERROR(__xludf.DUMMYFUNCTION("""COMPUTED_VALUE"""),2340778.0)</f>
        <v>2340778</v>
      </c>
    </row>
    <row r="3151">
      <c r="A3151" s="2">
        <f>IFERROR(__xludf.DUMMYFUNCTION("""COMPUTED_VALUE"""),41162.645833333336)</f>
        <v>41162.64583</v>
      </c>
      <c r="B3151" s="1">
        <f>IFERROR(__xludf.DUMMYFUNCTION("""COMPUTED_VALUE"""),542.0)</f>
        <v>542</v>
      </c>
      <c r="C3151" s="1">
        <f>IFERROR(__xludf.DUMMYFUNCTION("""COMPUTED_VALUE"""),542.3)</f>
        <v>542.3</v>
      </c>
      <c r="D3151" s="1">
        <f>IFERROR(__xludf.DUMMYFUNCTION("""COMPUTED_VALUE"""),533.4)</f>
        <v>533.4</v>
      </c>
      <c r="E3151" s="1">
        <f>IFERROR(__xludf.DUMMYFUNCTION("""COMPUTED_VALUE"""),535.15)</f>
        <v>535.15</v>
      </c>
      <c r="F3151" s="1">
        <f>IFERROR(__xludf.DUMMYFUNCTION("""COMPUTED_VALUE"""),1855860.0)</f>
        <v>1855860</v>
      </c>
    </row>
    <row r="3152">
      <c r="A3152" s="2">
        <f>IFERROR(__xludf.DUMMYFUNCTION("""COMPUTED_VALUE"""),41163.645833333336)</f>
        <v>41163.64583</v>
      </c>
      <c r="B3152" s="1">
        <f>IFERROR(__xludf.DUMMYFUNCTION("""COMPUTED_VALUE"""),534.4)</f>
        <v>534.4</v>
      </c>
      <c r="C3152" s="1">
        <f>IFERROR(__xludf.DUMMYFUNCTION("""COMPUTED_VALUE"""),539.05)</f>
        <v>539.05</v>
      </c>
      <c r="D3152" s="1">
        <f>IFERROR(__xludf.DUMMYFUNCTION("""COMPUTED_VALUE"""),530.1)</f>
        <v>530.1</v>
      </c>
      <c r="E3152" s="1">
        <f>IFERROR(__xludf.DUMMYFUNCTION("""COMPUTED_VALUE"""),531.85)</f>
        <v>531.85</v>
      </c>
      <c r="F3152" s="1">
        <f>IFERROR(__xludf.DUMMYFUNCTION("""COMPUTED_VALUE"""),1168093.0)</f>
        <v>1168093</v>
      </c>
    </row>
    <row r="3153">
      <c r="A3153" s="2">
        <f>IFERROR(__xludf.DUMMYFUNCTION("""COMPUTED_VALUE"""),41164.645833333336)</f>
        <v>41164.64583</v>
      </c>
      <c r="B3153" s="1">
        <f>IFERROR(__xludf.DUMMYFUNCTION("""COMPUTED_VALUE"""),534.0)</f>
        <v>534</v>
      </c>
      <c r="C3153" s="1">
        <f>IFERROR(__xludf.DUMMYFUNCTION("""COMPUTED_VALUE"""),542.5)</f>
        <v>542.5</v>
      </c>
      <c r="D3153" s="1">
        <f>IFERROR(__xludf.DUMMYFUNCTION("""COMPUTED_VALUE"""),533.0)</f>
        <v>533</v>
      </c>
      <c r="E3153" s="1">
        <f>IFERROR(__xludf.DUMMYFUNCTION("""COMPUTED_VALUE"""),541.0)</f>
        <v>541</v>
      </c>
      <c r="F3153" s="1">
        <f>IFERROR(__xludf.DUMMYFUNCTION("""COMPUTED_VALUE"""),1763051.0)</f>
        <v>1763051</v>
      </c>
    </row>
    <row r="3154">
      <c r="A3154" s="2">
        <f>IFERROR(__xludf.DUMMYFUNCTION("""COMPUTED_VALUE"""),41165.645833333336)</f>
        <v>41165.64583</v>
      </c>
      <c r="B3154" s="1">
        <f>IFERROR(__xludf.DUMMYFUNCTION("""COMPUTED_VALUE"""),540.0)</f>
        <v>540</v>
      </c>
      <c r="C3154" s="1">
        <f>IFERROR(__xludf.DUMMYFUNCTION("""COMPUTED_VALUE"""),548.0)</f>
        <v>548</v>
      </c>
      <c r="D3154" s="1">
        <f>IFERROR(__xludf.DUMMYFUNCTION("""COMPUTED_VALUE"""),539.05)</f>
        <v>539.05</v>
      </c>
      <c r="E3154" s="1">
        <f>IFERROR(__xludf.DUMMYFUNCTION("""COMPUTED_VALUE"""),547.05)</f>
        <v>547.05</v>
      </c>
      <c r="F3154" s="1">
        <f>IFERROR(__xludf.DUMMYFUNCTION("""COMPUTED_VALUE"""),1786501.0)</f>
        <v>1786501</v>
      </c>
    </row>
    <row r="3155">
      <c r="A3155" s="2">
        <f>IFERROR(__xludf.DUMMYFUNCTION("""COMPUTED_VALUE"""),41166.645833333336)</f>
        <v>41166.64583</v>
      </c>
      <c r="B3155" s="1">
        <f>IFERROR(__xludf.DUMMYFUNCTION("""COMPUTED_VALUE"""),552.0)</f>
        <v>552</v>
      </c>
      <c r="C3155" s="1">
        <f>IFERROR(__xludf.DUMMYFUNCTION("""COMPUTED_VALUE"""),554.7)</f>
        <v>554.7</v>
      </c>
      <c r="D3155" s="1">
        <f>IFERROR(__xludf.DUMMYFUNCTION("""COMPUTED_VALUE"""),545.55)</f>
        <v>545.55</v>
      </c>
      <c r="E3155" s="1">
        <f>IFERROR(__xludf.DUMMYFUNCTION("""COMPUTED_VALUE"""),548.05)</f>
        <v>548.05</v>
      </c>
      <c r="F3155" s="1">
        <f>IFERROR(__xludf.DUMMYFUNCTION("""COMPUTED_VALUE"""),3526275.0)</f>
        <v>3526275</v>
      </c>
    </row>
    <row r="3156">
      <c r="A3156" s="2">
        <f>IFERROR(__xludf.DUMMYFUNCTION("""COMPUTED_VALUE"""),41169.645833333336)</f>
        <v>41169.64583</v>
      </c>
      <c r="B3156" s="1">
        <f>IFERROR(__xludf.DUMMYFUNCTION("""COMPUTED_VALUE"""),554.0)</f>
        <v>554</v>
      </c>
      <c r="C3156" s="1">
        <f>IFERROR(__xludf.DUMMYFUNCTION("""COMPUTED_VALUE"""),554.05)</f>
        <v>554.05</v>
      </c>
      <c r="D3156" s="1">
        <f>IFERROR(__xludf.DUMMYFUNCTION("""COMPUTED_VALUE"""),529.15)</f>
        <v>529.15</v>
      </c>
      <c r="E3156" s="1">
        <f>IFERROR(__xludf.DUMMYFUNCTION("""COMPUTED_VALUE"""),531.85)</f>
        <v>531.85</v>
      </c>
      <c r="F3156" s="1">
        <f>IFERROR(__xludf.DUMMYFUNCTION("""COMPUTED_VALUE"""),4246948.0)</f>
        <v>4246948</v>
      </c>
    </row>
    <row r="3157">
      <c r="A3157" s="2">
        <f>IFERROR(__xludf.DUMMYFUNCTION("""COMPUTED_VALUE"""),41170.645833333336)</f>
        <v>41170.64583</v>
      </c>
      <c r="B3157" s="1">
        <f>IFERROR(__xludf.DUMMYFUNCTION("""COMPUTED_VALUE"""),531.0)</f>
        <v>531</v>
      </c>
      <c r="C3157" s="1">
        <f>IFERROR(__xludf.DUMMYFUNCTION("""COMPUTED_VALUE"""),537.9)</f>
        <v>537.9</v>
      </c>
      <c r="D3157" s="1">
        <f>IFERROR(__xludf.DUMMYFUNCTION("""COMPUTED_VALUE"""),528.2)</f>
        <v>528.2</v>
      </c>
      <c r="E3157" s="1">
        <f>IFERROR(__xludf.DUMMYFUNCTION("""COMPUTED_VALUE"""),532.4)</f>
        <v>532.4</v>
      </c>
      <c r="F3157" s="1">
        <f>IFERROR(__xludf.DUMMYFUNCTION("""COMPUTED_VALUE"""),3898228.0)</f>
        <v>3898228</v>
      </c>
    </row>
    <row r="3158">
      <c r="A3158" s="2">
        <f>IFERROR(__xludf.DUMMYFUNCTION("""COMPUTED_VALUE"""),41172.645833333336)</f>
        <v>41172.64583</v>
      </c>
      <c r="B3158" s="1">
        <f>IFERROR(__xludf.DUMMYFUNCTION("""COMPUTED_VALUE"""),525.5)</f>
        <v>525.5</v>
      </c>
      <c r="C3158" s="1">
        <f>IFERROR(__xludf.DUMMYFUNCTION("""COMPUTED_VALUE"""),540.95)</f>
        <v>540.95</v>
      </c>
      <c r="D3158" s="1">
        <f>IFERROR(__xludf.DUMMYFUNCTION("""COMPUTED_VALUE"""),525.5)</f>
        <v>525.5</v>
      </c>
      <c r="E3158" s="1">
        <f>IFERROR(__xludf.DUMMYFUNCTION("""COMPUTED_VALUE"""),527.5)</f>
        <v>527.5</v>
      </c>
      <c r="F3158" s="1">
        <f>IFERROR(__xludf.DUMMYFUNCTION("""COMPUTED_VALUE"""),3448015.0)</f>
        <v>3448015</v>
      </c>
    </row>
    <row r="3159">
      <c r="A3159" s="2">
        <f>IFERROR(__xludf.DUMMYFUNCTION("""COMPUTED_VALUE"""),41173.645833333336)</f>
        <v>41173.64583</v>
      </c>
      <c r="B3159" s="1">
        <f>IFERROR(__xludf.DUMMYFUNCTION("""COMPUTED_VALUE"""),531.2)</f>
        <v>531.2</v>
      </c>
      <c r="C3159" s="1">
        <f>IFERROR(__xludf.DUMMYFUNCTION("""COMPUTED_VALUE"""),536.8)</f>
        <v>536.8</v>
      </c>
      <c r="D3159" s="1">
        <f>IFERROR(__xludf.DUMMYFUNCTION("""COMPUTED_VALUE"""),528.3)</f>
        <v>528.3</v>
      </c>
      <c r="E3159" s="1">
        <f>IFERROR(__xludf.DUMMYFUNCTION("""COMPUTED_VALUE"""),529.7)</f>
        <v>529.7</v>
      </c>
      <c r="F3159" s="1">
        <f>IFERROR(__xludf.DUMMYFUNCTION("""COMPUTED_VALUE"""),3416021.0)</f>
        <v>3416021</v>
      </c>
    </row>
    <row r="3160">
      <c r="A3160" s="2">
        <f>IFERROR(__xludf.DUMMYFUNCTION("""COMPUTED_VALUE"""),41176.645833333336)</f>
        <v>41176.64583</v>
      </c>
      <c r="B3160" s="1">
        <f>IFERROR(__xludf.DUMMYFUNCTION("""COMPUTED_VALUE"""),530.0)</f>
        <v>530</v>
      </c>
      <c r="C3160" s="1">
        <f>IFERROR(__xludf.DUMMYFUNCTION("""COMPUTED_VALUE"""),531.05)</f>
        <v>531.05</v>
      </c>
      <c r="D3160" s="1">
        <f>IFERROR(__xludf.DUMMYFUNCTION("""COMPUTED_VALUE"""),508.7)</f>
        <v>508.7</v>
      </c>
      <c r="E3160" s="1">
        <f>IFERROR(__xludf.DUMMYFUNCTION("""COMPUTED_VALUE"""),518.05)</f>
        <v>518.05</v>
      </c>
      <c r="F3160" s="1">
        <f>IFERROR(__xludf.DUMMYFUNCTION("""COMPUTED_VALUE"""),4620998.0)</f>
        <v>4620998</v>
      </c>
    </row>
    <row r="3161">
      <c r="A3161" s="2">
        <f>IFERROR(__xludf.DUMMYFUNCTION("""COMPUTED_VALUE"""),41177.645833333336)</f>
        <v>41177.64583</v>
      </c>
      <c r="B3161" s="1">
        <f>IFERROR(__xludf.DUMMYFUNCTION("""COMPUTED_VALUE"""),518.0)</f>
        <v>518</v>
      </c>
      <c r="C3161" s="1">
        <f>IFERROR(__xludf.DUMMYFUNCTION("""COMPUTED_VALUE"""),530.1)</f>
        <v>530.1</v>
      </c>
      <c r="D3161" s="1">
        <f>IFERROR(__xludf.DUMMYFUNCTION("""COMPUTED_VALUE"""),511.4)</f>
        <v>511.4</v>
      </c>
      <c r="E3161" s="1">
        <f>IFERROR(__xludf.DUMMYFUNCTION("""COMPUTED_VALUE"""),528.4)</f>
        <v>528.4</v>
      </c>
      <c r="F3161" s="1">
        <f>IFERROR(__xludf.DUMMYFUNCTION("""COMPUTED_VALUE"""),2698327.0)</f>
        <v>2698327</v>
      </c>
    </row>
    <row r="3162">
      <c r="A3162" s="2">
        <f>IFERROR(__xludf.DUMMYFUNCTION("""COMPUTED_VALUE"""),41178.645833333336)</f>
        <v>41178.64583</v>
      </c>
      <c r="B3162" s="1">
        <f>IFERROR(__xludf.DUMMYFUNCTION("""COMPUTED_VALUE"""),527.9)</f>
        <v>527.9</v>
      </c>
      <c r="C3162" s="1">
        <f>IFERROR(__xludf.DUMMYFUNCTION("""COMPUTED_VALUE"""),535.9)</f>
        <v>535.9</v>
      </c>
      <c r="D3162" s="1">
        <f>IFERROR(__xludf.DUMMYFUNCTION("""COMPUTED_VALUE"""),524.4)</f>
        <v>524.4</v>
      </c>
      <c r="E3162" s="1">
        <f>IFERROR(__xludf.DUMMYFUNCTION("""COMPUTED_VALUE"""),526.85)</f>
        <v>526.85</v>
      </c>
      <c r="F3162" s="1">
        <f>IFERROR(__xludf.DUMMYFUNCTION("""COMPUTED_VALUE"""),1743114.0)</f>
        <v>1743114</v>
      </c>
    </row>
    <row r="3163">
      <c r="A3163" s="2">
        <f>IFERROR(__xludf.DUMMYFUNCTION("""COMPUTED_VALUE"""),41179.645833333336)</f>
        <v>41179.64583</v>
      </c>
      <c r="B3163" s="1">
        <f>IFERROR(__xludf.DUMMYFUNCTION("""COMPUTED_VALUE"""),529.9)</f>
        <v>529.9</v>
      </c>
      <c r="C3163" s="1">
        <f>IFERROR(__xludf.DUMMYFUNCTION("""COMPUTED_VALUE"""),540.0)</f>
        <v>540</v>
      </c>
      <c r="D3163" s="1">
        <f>IFERROR(__xludf.DUMMYFUNCTION("""COMPUTED_VALUE"""),527.65)</f>
        <v>527.65</v>
      </c>
      <c r="E3163" s="1">
        <f>IFERROR(__xludf.DUMMYFUNCTION("""COMPUTED_VALUE"""),537.75)</f>
        <v>537.75</v>
      </c>
      <c r="F3163" s="1">
        <f>IFERROR(__xludf.DUMMYFUNCTION("""COMPUTED_VALUE"""),2452894.0)</f>
        <v>2452894</v>
      </c>
    </row>
    <row r="3164">
      <c r="A3164" s="2">
        <f>IFERROR(__xludf.DUMMYFUNCTION("""COMPUTED_VALUE"""),41180.645833333336)</f>
        <v>41180.64583</v>
      </c>
      <c r="B3164" s="1">
        <f>IFERROR(__xludf.DUMMYFUNCTION("""COMPUTED_VALUE"""),538.25)</f>
        <v>538.25</v>
      </c>
      <c r="C3164" s="1">
        <f>IFERROR(__xludf.DUMMYFUNCTION("""COMPUTED_VALUE"""),549.0)</f>
        <v>549</v>
      </c>
      <c r="D3164" s="1">
        <f>IFERROR(__xludf.DUMMYFUNCTION("""COMPUTED_VALUE"""),536.55)</f>
        <v>536.55</v>
      </c>
      <c r="E3164" s="1">
        <f>IFERROR(__xludf.DUMMYFUNCTION("""COMPUTED_VALUE"""),545.85)</f>
        <v>545.85</v>
      </c>
      <c r="F3164" s="1">
        <f>IFERROR(__xludf.DUMMYFUNCTION("""COMPUTED_VALUE"""),2379138.0)</f>
        <v>2379138</v>
      </c>
    </row>
    <row r="3165">
      <c r="A3165" s="2">
        <f>IFERROR(__xludf.DUMMYFUNCTION("""COMPUTED_VALUE"""),41183.645833333336)</f>
        <v>41183.64583</v>
      </c>
      <c r="B3165" s="1">
        <f>IFERROR(__xludf.DUMMYFUNCTION("""COMPUTED_VALUE"""),543.0)</f>
        <v>543</v>
      </c>
      <c r="C3165" s="1">
        <f>IFERROR(__xludf.DUMMYFUNCTION("""COMPUTED_VALUE"""),546.2)</f>
        <v>546.2</v>
      </c>
      <c r="D3165" s="1">
        <f>IFERROR(__xludf.DUMMYFUNCTION("""COMPUTED_VALUE"""),541.55)</f>
        <v>541.55</v>
      </c>
      <c r="E3165" s="1">
        <f>IFERROR(__xludf.DUMMYFUNCTION("""COMPUTED_VALUE"""),542.85)</f>
        <v>542.85</v>
      </c>
      <c r="F3165" s="1">
        <f>IFERROR(__xludf.DUMMYFUNCTION("""COMPUTED_VALUE"""),726130.0)</f>
        <v>726130</v>
      </c>
    </row>
    <row r="3166">
      <c r="A3166" s="2">
        <f>IFERROR(__xludf.DUMMYFUNCTION("""COMPUTED_VALUE"""),41185.645833333336)</f>
        <v>41185.64583</v>
      </c>
      <c r="B3166" s="1">
        <f>IFERROR(__xludf.DUMMYFUNCTION("""COMPUTED_VALUE"""),542.25)</f>
        <v>542.25</v>
      </c>
      <c r="C3166" s="1">
        <f>IFERROR(__xludf.DUMMYFUNCTION("""COMPUTED_VALUE"""),557.7)</f>
        <v>557.7</v>
      </c>
      <c r="D3166" s="1">
        <f>IFERROR(__xludf.DUMMYFUNCTION("""COMPUTED_VALUE"""),542.25)</f>
        <v>542.25</v>
      </c>
      <c r="E3166" s="1">
        <f>IFERROR(__xludf.DUMMYFUNCTION("""COMPUTED_VALUE"""),555.5)</f>
        <v>555.5</v>
      </c>
      <c r="F3166" s="1">
        <f>IFERROR(__xludf.DUMMYFUNCTION("""COMPUTED_VALUE"""),1781389.0)</f>
        <v>1781389</v>
      </c>
    </row>
    <row r="3167">
      <c r="A3167" s="2">
        <f>IFERROR(__xludf.DUMMYFUNCTION("""COMPUTED_VALUE"""),41186.645833333336)</f>
        <v>41186.64583</v>
      </c>
      <c r="B3167" s="1">
        <f>IFERROR(__xludf.DUMMYFUNCTION("""COMPUTED_VALUE"""),556.5)</f>
        <v>556.5</v>
      </c>
      <c r="C3167" s="1">
        <f>IFERROR(__xludf.DUMMYFUNCTION("""COMPUTED_VALUE"""),561.9)</f>
        <v>561.9</v>
      </c>
      <c r="D3167" s="1">
        <f>IFERROR(__xludf.DUMMYFUNCTION("""COMPUTED_VALUE"""),554.5)</f>
        <v>554.5</v>
      </c>
      <c r="E3167" s="1">
        <f>IFERROR(__xludf.DUMMYFUNCTION("""COMPUTED_VALUE"""),555.5)</f>
        <v>555.5</v>
      </c>
      <c r="F3167" s="1">
        <f>IFERROR(__xludf.DUMMYFUNCTION("""COMPUTED_VALUE"""),2203993.0)</f>
        <v>2203993</v>
      </c>
    </row>
    <row r="3168">
      <c r="A3168" s="2">
        <f>IFERROR(__xludf.DUMMYFUNCTION("""COMPUTED_VALUE"""),41187.645833333336)</f>
        <v>41187.64583</v>
      </c>
      <c r="B3168" s="1">
        <f>IFERROR(__xludf.DUMMYFUNCTION("""COMPUTED_VALUE"""),559.0)</f>
        <v>559</v>
      </c>
      <c r="C3168" s="1">
        <f>IFERROR(__xludf.DUMMYFUNCTION("""COMPUTED_VALUE"""),568.7)</f>
        <v>568.7</v>
      </c>
      <c r="D3168" s="1">
        <f>IFERROR(__xludf.DUMMYFUNCTION("""COMPUTED_VALUE"""),444.45)</f>
        <v>444.45</v>
      </c>
      <c r="E3168" s="1">
        <f>IFERROR(__xludf.DUMMYFUNCTION("""COMPUTED_VALUE"""),565.4)</f>
        <v>565.4</v>
      </c>
      <c r="F3168" s="1">
        <f>IFERROR(__xludf.DUMMYFUNCTION("""COMPUTED_VALUE"""),3291190.0)</f>
        <v>3291190</v>
      </c>
    </row>
    <row r="3169">
      <c r="A3169" s="2">
        <f>IFERROR(__xludf.DUMMYFUNCTION("""COMPUTED_VALUE"""),41190.645833333336)</f>
        <v>41190.64583</v>
      </c>
      <c r="B3169" s="1">
        <f>IFERROR(__xludf.DUMMYFUNCTION("""COMPUTED_VALUE"""),563.05)</f>
        <v>563.05</v>
      </c>
      <c r="C3169" s="1">
        <f>IFERROR(__xludf.DUMMYFUNCTION("""COMPUTED_VALUE"""),564.9)</f>
        <v>564.9</v>
      </c>
      <c r="D3169" s="1">
        <f>IFERROR(__xludf.DUMMYFUNCTION("""COMPUTED_VALUE"""),557.55)</f>
        <v>557.55</v>
      </c>
      <c r="E3169" s="1">
        <f>IFERROR(__xludf.DUMMYFUNCTION("""COMPUTED_VALUE"""),560.05)</f>
        <v>560.05</v>
      </c>
      <c r="F3169" s="1">
        <f>IFERROR(__xludf.DUMMYFUNCTION("""COMPUTED_VALUE"""),1027242.0)</f>
        <v>1027242</v>
      </c>
    </row>
    <row r="3170">
      <c r="A3170" s="2">
        <f>IFERROR(__xludf.DUMMYFUNCTION("""COMPUTED_VALUE"""),41191.645833333336)</f>
        <v>41191.64583</v>
      </c>
      <c r="B3170" s="1">
        <f>IFERROR(__xludf.DUMMYFUNCTION("""COMPUTED_VALUE"""),561.25)</f>
        <v>561.25</v>
      </c>
      <c r="C3170" s="1">
        <f>IFERROR(__xludf.DUMMYFUNCTION("""COMPUTED_VALUE"""),570.6)</f>
        <v>570.6</v>
      </c>
      <c r="D3170" s="1">
        <f>IFERROR(__xludf.DUMMYFUNCTION("""COMPUTED_VALUE"""),561.25)</f>
        <v>561.25</v>
      </c>
      <c r="E3170" s="1">
        <f>IFERROR(__xludf.DUMMYFUNCTION("""COMPUTED_VALUE"""),568.85)</f>
        <v>568.85</v>
      </c>
      <c r="F3170" s="1">
        <f>IFERROR(__xludf.DUMMYFUNCTION("""COMPUTED_VALUE"""),1351313.0)</f>
        <v>1351313</v>
      </c>
    </row>
    <row r="3171">
      <c r="A3171" s="2">
        <f>IFERROR(__xludf.DUMMYFUNCTION("""COMPUTED_VALUE"""),41192.645833333336)</f>
        <v>41192.64583</v>
      </c>
      <c r="B3171" s="1">
        <f>IFERROR(__xludf.DUMMYFUNCTION("""COMPUTED_VALUE"""),567.0)</f>
        <v>567</v>
      </c>
      <c r="C3171" s="1">
        <f>IFERROR(__xludf.DUMMYFUNCTION("""COMPUTED_VALUE"""),568.75)</f>
        <v>568.75</v>
      </c>
      <c r="D3171" s="1">
        <f>IFERROR(__xludf.DUMMYFUNCTION("""COMPUTED_VALUE"""),562.85)</f>
        <v>562.85</v>
      </c>
      <c r="E3171" s="1">
        <f>IFERROR(__xludf.DUMMYFUNCTION("""COMPUTED_VALUE"""),563.9)</f>
        <v>563.9</v>
      </c>
      <c r="F3171" s="1">
        <f>IFERROR(__xludf.DUMMYFUNCTION("""COMPUTED_VALUE"""),1058543.0)</f>
        <v>1058543</v>
      </c>
    </row>
    <row r="3172">
      <c r="A3172" s="2">
        <f>IFERROR(__xludf.DUMMYFUNCTION("""COMPUTED_VALUE"""),41193.645833333336)</f>
        <v>41193.64583</v>
      </c>
      <c r="B3172" s="1">
        <f>IFERROR(__xludf.DUMMYFUNCTION("""COMPUTED_VALUE"""),566.75)</f>
        <v>566.75</v>
      </c>
      <c r="C3172" s="1">
        <f>IFERROR(__xludf.DUMMYFUNCTION("""COMPUTED_VALUE"""),572.95)</f>
        <v>572.95</v>
      </c>
      <c r="D3172" s="1">
        <f>IFERROR(__xludf.DUMMYFUNCTION("""COMPUTED_VALUE"""),558.75)</f>
        <v>558.75</v>
      </c>
      <c r="E3172" s="1">
        <f>IFERROR(__xludf.DUMMYFUNCTION("""COMPUTED_VALUE"""),571.35)</f>
        <v>571.35</v>
      </c>
      <c r="F3172" s="1">
        <f>IFERROR(__xludf.DUMMYFUNCTION("""COMPUTED_VALUE"""),1409055.0)</f>
        <v>1409055</v>
      </c>
    </row>
    <row r="3173">
      <c r="A3173" s="2">
        <f>IFERROR(__xludf.DUMMYFUNCTION("""COMPUTED_VALUE"""),41194.645833333336)</f>
        <v>41194.64583</v>
      </c>
      <c r="B3173" s="1">
        <f>IFERROR(__xludf.DUMMYFUNCTION("""COMPUTED_VALUE"""),573.95)</f>
        <v>573.95</v>
      </c>
      <c r="C3173" s="1">
        <f>IFERROR(__xludf.DUMMYFUNCTION("""COMPUTED_VALUE"""),576.25)</f>
        <v>576.25</v>
      </c>
      <c r="D3173" s="1">
        <f>IFERROR(__xludf.DUMMYFUNCTION("""COMPUTED_VALUE"""),570.25)</f>
        <v>570.25</v>
      </c>
      <c r="E3173" s="1">
        <f>IFERROR(__xludf.DUMMYFUNCTION("""COMPUTED_VALUE"""),575.05)</f>
        <v>575.05</v>
      </c>
      <c r="F3173" s="1">
        <f>IFERROR(__xludf.DUMMYFUNCTION("""COMPUTED_VALUE"""),1314242.0)</f>
        <v>1314242</v>
      </c>
    </row>
    <row r="3174">
      <c r="A3174" s="2">
        <f>IFERROR(__xludf.DUMMYFUNCTION("""COMPUTED_VALUE"""),41197.645833333336)</f>
        <v>41197.64583</v>
      </c>
      <c r="B3174" s="1">
        <f>IFERROR(__xludf.DUMMYFUNCTION("""COMPUTED_VALUE"""),575.0)</f>
        <v>575</v>
      </c>
      <c r="C3174" s="1">
        <f>IFERROR(__xludf.DUMMYFUNCTION("""COMPUTED_VALUE"""),579.9)</f>
        <v>579.9</v>
      </c>
      <c r="D3174" s="1">
        <f>IFERROR(__xludf.DUMMYFUNCTION("""COMPUTED_VALUE"""),569.2)</f>
        <v>569.2</v>
      </c>
      <c r="E3174" s="1">
        <f>IFERROR(__xludf.DUMMYFUNCTION("""COMPUTED_VALUE"""),578.55)</f>
        <v>578.55</v>
      </c>
      <c r="F3174" s="1">
        <f>IFERROR(__xludf.DUMMYFUNCTION("""COMPUTED_VALUE"""),1092761.0)</f>
        <v>1092761</v>
      </c>
    </row>
    <row r="3175">
      <c r="A3175" s="2">
        <f>IFERROR(__xludf.DUMMYFUNCTION("""COMPUTED_VALUE"""),41198.645833333336)</f>
        <v>41198.64583</v>
      </c>
      <c r="B3175" s="1">
        <f>IFERROR(__xludf.DUMMYFUNCTION("""COMPUTED_VALUE"""),578.5)</f>
        <v>578.5</v>
      </c>
      <c r="C3175" s="1">
        <f>IFERROR(__xludf.DUMMYFUNCTION("""COMPUTED_VALUE"""),580.45)</f>
        <v>580.45</v>
      </c>
      <c r="D3175" s="1">
        <f>IFERROR(__xludf.DUMMYFUNCTION("""COMPUTED_VALUE"""),568.65)</f>
        <v>568.65</v>
      </c>
      <c r="E3175" s="1">
        <f>IFERROR(__xludf.DUMMYFUNCTION("""COMPUTED_VALUE"""),574.25)</f>
        <v>574.25</v>
      </c>
      <c r="F3175" s="1">
        <f>IFERROR(__xludf.DUMMYFUNCTION("""COMPUTED_VALUE"""),1456748.0)</f>
        <v>1456748</v>
      </c>
    </row>
    <row r="3176">
      <c r="A3176" s="2">
        <f>IFERROR(__xludf.DUMMYFUNCTION("""COMPUTED_VALUE"""),41199.645833333336)</f>
        <v>41199.64583</v>
      </c>
      <c r="B3176" s="1">
        <f>IFERROR(__xludf.DUMMYFUNCTION("""COMPUTED_VALUE"""),575.05)</f>
        <v>575.05</v>
      </c>
      <c r="C3176" s="1">
        <f>IFERROR(__xludf.DUMMYFUNCTION("""COMPUTED_VALUE"""),575.9)</f>
        <v>575.9</v>
      </c>
      <c r="D3176" s="1">
        <f>IFERROR(__xludf.DUMMYFUNCTION("""COMPUTED_VALUE"""),569.25)</f>
        <v>569.25</v>
      </c>
      <c r="E3176" s="1">
        <f>IFERROR(__xludf.DUMMYFUNCTION("""COMPUTED_VALUE"""),573.05)</f>
        <v>573.05</v>
      </c>
      <c r="F3176" s="1">
        <f>IFERROR(__xludf.DUMMYFUNCTION("""COMPUTED_VALUE"""),904193.0)</f>
        <v>904193</v>
      </c>
    </row>
    <row r="3177">
      <c r="A3177" s="2">
        <f>IFERROR(__xludf.DUMMYFUNCTION("""COMPUTED_VALUE"""),41200.645833333336)</f>
        <v>41200.64583</v>
      </c>
      <c r="B3177" s="1">
        <f>IFERROR(__xludf.DUMMYFUNCTION("""COMPUTED_VALUE"""),573.3)</f>
        <v>573.3</v>
      </c>
      <c r="C3177" s="1">
        <f>IFERROR(__xludf.DUMMYFUNCTION("""COMPUTED_VALUE"""),580.0)</f>
        <v>580</v>
      </c>
      <c r="D3177" s="1">
        <f>IFERROR(__xludf.DUMMYFUNCTION("""COMPUTED_VALUE"""),571.0)</f>
        <v>571</v>
      </c>
      <c r="E3177" s="1">
        <f>IFERROR(__xludf.DUMMYFUNCTION("""COMPUTED_VALUE"""),575.6)</f>
        <v>575.6</v>
      </c>
      <c r="F3177" s="1">
        <f>IFERROR(__xludf.DUMMYFUNCTION("""COMPUTED_VALUE"""),979652.0)</f>
        <v>979652</v>
      </c>
    </row>
    <row r="3178">
      <c r="A3178" s="2">
        <f>IFERROR(__xludf.DUMMYFUNCTION("""COMPUTED_VALUE"""),41201.645833333336)</f>
        <v>41201.64583</v>
      </c>
      <c r="B3178" s="1">
        <f>IFERROR(__xludf.DUMMYFUNCTION("""COMPUTED_VALUE"""),574.0)</f>
        <v>574</v>
      </c>
      <c r="C3178" s="1">
        <f>IFERROR(__xludf.DUMMYFUNCTION("""COMPUTED_VALUE"""),574.05)</f>
        <v>574.05</v>
      </c>
      <c r="D3178" s="1">
        <f>IFERROR(__xludf.DUMMYFUNCTION("""COMPUTED_VALUE"""),564.65)</f>
        <v>564.65</v>
      </c>
      <c r="E3178" s="1">
        <f>IFERROR(__xludf.DUMMYFUNCTION("""COMPUTED_VALUE"""),566.55)</f>
        <v>566.55</v>
      </c>
      <c r="F3178" s="1">
        <f>IFERROR(__xludf.DUMMYFUNCTION("""COMPUTED_VALUE"""),2057309.0)</f>
        <v>2057309</v>
      </c>
    </row>
    <row r="3179">
      <c r="A3179" s="2">
        <f>IFERROR(__xludf.DUMMYFUNCTION("""COMPUTED_VALUE"""),41204.645833333336)</f>
        <v>41204.64583</v>
      </c>
      <c r="B3179" s="1">
        <f>IFERROR(__xludf.DUMMYFUNCTION("""COMPUTED_VALUE"""),566.65)</f>
        <v>566.65</v>
      </c>
      <c r="C3179" s="1">
        <f>IFERROR(__xludf.DUMMYFUNCTION("""COMPUTED_VALUE"""),572.0)</f>
        <v>572</v>
      </c>
      <c r="D3179" s="1">
        <f>IFERROR(__xludf.DUMMYFUNCTION("""COMPUTED_VALUE"""),565.25)</f>
        <v>565.25</v>
      </c>
      <c r="E3179" s="1">
        <f>IFERROR(__xludf.DUMMYFUNCTION("""COMPUTED_VALUE"""),569.45)</f>
        <v>569.45</v>
      </c>
      <c r="F3179" s="1">
        <f>IFERROR(__xludf.DUMMYFUNCTION("""COMPUTED_VALUE"""),1019679.0)</f>
        <v>1019679</v>
      </c>
    </row>
    <row r="3180">
      <c r="A3180" s="2">
        <f>IFERROR(__xludf.DUMMYFUNCTION("""COMPUTED_VALUE"""),41205.645833333336)</f>
        <v>41205.64583</v>
      </c>
      <c r="B3180" s="1">
        <f>IFERROR(__xludf.DUMMYFUNCTION("""COMPUTED_VALUE"""),569.9)</f>
        <v>569.9</v>
      </c>
      <c r="C3180" s="1">
        <f>IFERROR(__xludf.DUMMYFUNCTION("""COMPUTED_VALUE"""),573.15)</f>
        <v>573.15</v>
      </c>
      <c r="D3180" s="1">
        <f>IFERROR(__xludf.DUMMYFUNCTION("""COMPUTED_VALUE"""),567.0)</f>
        <v>567</v>
      </c>
      <c r="E3180" s="1">
        <f>IFERROR(__xludf.DUMMYFUNCTION("""COMPUTED_VALUE"""),570.35)</f>
        <v>570.35</v>
      </c>
      <c r="F3180" s="1">
        <f>IFERROR(__xludf.DUMMYFUNCTION("""COMPUTED_VALUE"""),781659.0)</f>
        <v>781659</v>
      </c>
    </row>
    <row r="3181">
      <c r="A3181" s="2">
        <f>IFERROR(__xludf.DUMMYFUNCTION("""COMPUTED_VALUE"""),41207.645833333336)</f>
        <v>41207.64583</v>
      </c>
      <c r="B3181" s="1">
        <f>IFERROR(__xludf.DUMMYFUNCTION("""COMPUTED_VALUE"""),570.95)</f>
        <v>570.95</v>
      </c>
      <c r="C3181" s="1">
        <f>IFERROR(__xludf.DUMMYFUNCTION("""COMPUTED_VALUE"""),570.95)</f>
        <v>570.95</v>
      </c>
      <c r="D3181" s="1">
        <f>IFERROR(__xludf.DUMMYFUNCTION("""COMPUTED_VALUE"""),559.85)</f>
        <v>559.85</v>
      </c>
      <c r="E3181" s="1">
        <f>IFERROR(__xludf.DUMMYFUNCTION("""COMPUTED_VALUE"""),563.95)</f>
        <v>563.95</v>
      </c>
      <c r="F3181" s="1">
        <f>IFERROR(__xludf.DUMMYFUNCTION("""COMPUTED_VALUE"""),3283093.0)</f>
        <v>3283093</v>
      </c>
    </row>
    <row r="3182">
      <c r="A3182" s="2">
        <f>IFERROR(__xludf.DUMMYFUNCTION("""COMPUTED_VALUE"""),41208.645833333336)</f>
        <v>41208.64583</v>
      </c>
      <c r="B3182" s="1">
        <f>IFERROR(__xludf.DUMMYFUNCTION("""COMPUTED_VALUE"""),564.7)</f>
        <v>564.7</v>
      </c>
      <c r="C3182" s="1">
        <f>IFERROR(__xludf.DUMMYFUNCTION("""COMPUTED_VALUE"""),569.0)</f>
        <v>569</v>
      </c>
      <c r="D3182" s="1">
        <f>IFERROR(__xludf.DUMMYFUNCTION("""COMPUTED_VALUE"""),547.75)</f>
        <v>547.75</v>
      </c>
      <c r="E3182" s="1">
        <f>IFERROR(__xludf.DUMMYFUNCTION("""COMPUTED_VALUE"""),552.2)</f>
        <v>552.2</v>
      </c>
      <c r="F3182" s="1">
        <f>IFERROR(__xludf.DUMMYFUNCTION("""COMPUTED_VALUE"""),6148192.0)</f>
        <v>6148192</v>
      </c>
    </row>
    <row r="3183">
      <c r="A3183" s="2">
        <f>IFERROR(__xludf.DUMMYFUNCTION("""COMPUTED_VALUE"""),41211.645833333336)</f>
        <v>41211.64583</v>
      </c>
      <c r="B3183" s="1">
        <f>IFERROR(__xludf.DUMMYFUNCTION("""COMPUTED_VALUE"""),550.0)</f>
        <v>550</v>
      </c>
      <c r="C3183" s="1">
        <f>IFERROR(__xludf.DUMMYFUNCTION("""COMPUTED_VALUE"""),551.75)</f>
        <v>551.75</v>
      </c>
      <c r="D3183" s="1">
        <f>IFERROR(__xludf.DUMMYFUNCTION("""COMPUTED_VALUE"""),541.05)</f>
        <v>541.05</v>
      </c>
      <c r="E3183" s="1">
        <f>IFERROR(__xludf.DUMMYFUNCTION("""COMPUTED_VALUE"""),546.05)</f>
        <v>546.05</v>
      </c>
      <c r="F3183" s="1">
        <f>IFERROR(__xludf.DUMMYFUNCTION("""COMPUTED_VALUE"""),2311782.0)</f>
        <v>2311782</v>
      </c>
    </row>
    <row r="3184">
      <c r="A3184" s="2">
        <f>IFERROR(__xludf.DUMMYFUNCTION("""COMPUTED_VALUE"""),41212.645833333336)</f>
        <v>41212.64583</v>
      </c>
      <c r="B3184" s="1">
        <f>IFERROR(__xludf.DUMMYFUNCTION("""COMPUTED_VALUE"""),545.7)</f>
        <v>545.7</v>
      </c>
      <c r="C3184" s="1">
        <f>IFERROR(__xludf.DUMMYFUNCTION("""COMPUTED_VALUE"""),554.2)</f>
        <v>554.2</v>
      </c>
      <c r="D3184" s="1">
        <f>IFERROR(__xludf.DUMMYFUNCTION("""COMPUTED_VALUE"""),543.35)</f>
        <v>543.35</v>
      </c>
      <c r="E3184" s="1">
        <f>IFERROR(__xludf.DUMMYFUNCTION("""COMPUTED_VALUE"""),550.6)</f>
        <v>550.6</v>
      </c>
      <c r="F3184" s="1">
        <f>IFERROR(__xludf.DUMMYFUNCTION("""COMPUTED_VALUE"""),1615935.0)</f>
        <v>1615935</v>
      </c>
    </row>
    <row r="3185">
      <c r="A3185" s="2">
        <f>IFERROR(__xludf.DUMMYFUNCTION("""COMPUTED_VALUE"""),41213.645833333336)</f>
        <v>41213.64583</v>
      </c>
      <c r="B3185" s="1">
        <f>IFERROR(__xludf.DUMMYFUNCTION("""COMPUTED_VALUE"""),550.2)</f>
        <v>550.2</v>
      </c>
      <c r="C3185" s="1">
        <f>IFERROR(__xludf.DUMMYFUNCTION("""COMPUTED_VALUE"""),551.05)</f>
        <v>551.05</v>
      </c>
      <c r="D3185" s="1">
        <f>IFERROR(__xludf.DUMMYFUNCTION("""COMPUTED_VALUE"""),541.5)</f>
        <v>541.5</v>
      </c>
      <c r="E3185" s="1">
        <f>IFERROR(__xludf.DUMMYFUNCTION("""COMPUTED_VALUE"""),546.6)</f>
        <v>546.6</v>
      </c>
      <c r="F3185" s="1">
        <f>IFERROR(__xludf.DUMMYFUNCTION("""COMPUTED_VALUE"""),2000378.0)</f>
        <v>2000378</v>
      </c>
    </row>
    <row r="3186">
      <c r="A3186" s="2">
        <f>IFERROR(__xludf.DUMMYFUNCTION("""COMPUTED_VALUE"""),41214.645833333336)</f>
        <v>41214.64583</v>
      </c>
      <c r="B3186" s="1">
        <f>IFERROR(__xludf.DUMMYFUNCTION("""COMPUTED_VALUE"""),537.4)</f>
        <v>537.4</v>
      </c>
      <c r="C3186" s="1">
        <f>IFERROR(__xludf.DUMMYFUNCTION("""COMPUTED_VALUE"""),540.6)</f>
        <v>540.6</v>
      </c>
      <c r="D3186" s="1">
        <f>IFERROR(__xludf.DUMMYFUNCTION("""COMPUTED_VALUE"""),531.0)</f>
        <v>531</v>
      </c>
      <c r="E3186" s="1">
        <f>IFERROR(__xludf.DUMMYFUNCTION("""COMPUTED_VALUE"""),537.45)</f>
        <v>537.45</v>
      </c>
      <c r="F3186" s="1">
        <f>IFERROR(__xludf.DUMMYFUNCTION("""COMPUTED_VALUE"""),1843023.0)</f>
        <v>1843023</v>
      </c>
    </row>
    <row r="3187">
      <c r="A3187" s="2">
        <f>IFERROR(__xludf.DUMMYFUNCTION("""COMPUTED_VALUE"""),41215.645833333336)</f>
        <v>41215.64583</v>
      </c>
      <c r="B3187" s="1">
        <f>IFERROR(__xludf.DUMMYFUNCTION("""COMPUTED_VALUE"""),541.45)</f>
        <v>541.45</v>
      </c>
      <c r="C3187" s="1">
        <f>IFERROR(__xludf.DUMMYFUNCTION("""COMPUTED_VALUE"""),541.45)</f>
        <v>541.45</v>
      </c>
      <c r="D3187" s="1">
        <f>IFERROR(__xludf.DUMMYFUNCTION("""COMPUTED_VALUE"""),532.2)</f>
        <v>532.2</v>
      </c>
      <c r="E3187" s="1">
        <f>IFERROR(__xludf.DUMMYFUNCTION("""COMPUTED_VALUE"""),533.0)</f>
        <v>533</v>
      </c>
      <c r="F3187" s="1">
        <f>IFERROR(__xludf.DUMMYFUNCTION("""COMPUTED_VALUE"""),2005259.0)</f>
        <v>2005259</v>
      </c>
    </row>
    <row r="3188">
      <c r="A3188" s="2">
        <f>IFERROR(__xludf.DUMMYFUNCTION("""COMPUTED_VALUE"""),41218.645833333336)</f>
        <v>41218.64583</v>
      </c>
      <c r="B3188" s="1">
        <f>IFERROR(__xludf.DUMMYFUNCTION("""COMPUTED_VALUE"""),536.4)</f>
        <v>536.4</v>
      </c>
      <c r="C3188" s="1">
        <f>IFERROR(__xludf.DUMMYFUNCTION("""COMPUTED_VALUE"""),537.25)</f>
        <v>537.25</v>
      </c>
      <c r="D3188" s="1">
        <f>IFERROR(__xludf.DUMMYFUNCTION("""COMPUTED_VALUE"""),530.35)</f>
        <v>530.35</v>
      </c>
      <c r="E3188" s="1">
        <f>IFERROR(__xludf.DUMMYFUNCTION("""COMPUTED_VALUE"""),533.0)</f>
        <v>533</v>
      </c>
      <c r="F3188" s="1">
        <f>IFERROR(__xludf.DUMMYFUNCTION("""COMPUTED_VALUE"""),1500512.0)</f>
        <v>1500512</v>
      </c>
    </row>
    <row r="3189">
      <c r="A3189" s="2">
        <f>IFERROR(__xludf.DUMMYFUNCTION("""COMPUTED_VALUE"""),41219.645833333336)</f>
        <v>41219.64583</v>
      </c>
      <c r="B3189" s="1">
        <f>IFERROR(__xludf.DUMMYFUNCTION("""COMPUTED_VALUE"""),530.5)</f>
        <v>530.5</v>
      </c>
      <c r="C3189" s="1">
        <f>IFERROR(__xludf.DUMMYFUNCTION("""COMPUTED_VALUE"""),535.0)</f>
        <v>535</v>
      </c>
      <c r="D3189" s="1">
        <f>IFERROR(__xludf.DUMMYFUNCTION("""COMPUTED_VALUE"""),526.6)</f>
        <v>526.6</v>
      </c>
      <c r="E3189" s="1">
        <f>IFERROR(__xludf.DUMMYFUNCTION("""COMPUTED_VALUE"""),532.85)</f>
        <v>532.85</v>
      </c>
      <c r="F3189" s="1">
        <f>IFERROR(__xludf.DUMMYFUNCTION("""COMPUTED_VALUE"""),1590975.0)</f>
        <v>1590975</v>
      </c>
    </row>
    <row r="3190">
      <c r="A3190" s="2">
        <f>IFERROR(__xludf.DUMMYFUNCTION("""COMPUTED_VALUE"""),41220.645833333336)</f>
        <v>41220.64583</v>
      </c>
      <c r="B3190" s="1">
        <f>IFERROR(__xludf.DUMMYFUNCTION("""COMPUTED_VALUE"""),532.1)</f>
        <v>532.1</v>
      </c>
      <c r="C3190" s="1">
        <f>IFERROR(__xludf.DUMMYFUNCTION("""COMPUTED_VALUE"""),536.3)</f>
        <v>536.3</v>
      </c>
      <c r="D3190" s="1">
        <f>IFERROR(__xludf.DUMMYFUNCTION("""COMPUTED_VALUE"""),527.1)</f>
        <v>527.1</v>
      </c>
      <c r="E3190" s="1">
        <f>IFERROR(__xludf.DUMMYFUNCTION("""COMPUTED_VALUE"""),534.55)</f>
        <v>534.55</v>
      </c>
      <c r="F3190" s="1">
        <f>IFERROR(__xludf.DUMMYFUNCTION("""COMPUTED_VALUE"""),1835616.0)</f>
        <v>1835616</v>
      </c>
    </row>
    <row r="3191">
      <c r="A3191" s="2">
        <f>IFERROR(__xludf.DUMMYFUNCTION("""COMPUTED_VALUE"""),41221.645833333336)</f>
        <v>41221.64583</v>
      </c>
      <c r="B3191" s="1">
        <f>IFERROR(__xludf.DUMMYFUNCTION("""COMPUTED_VALUE"""),532.25)</f>
        <v>532.25</v>
      </c>
      <c r="C3191" s="1">
        <f>IFERROR(__xludf.DUMMYFUNCTION("""COMPUTED_VALUE"""),536.9)</f>
        <v>536.9</v>
      </c>
      <c r="D3191" s="1">
        <f>IFERROR(__xludf.DUMMYFUNCTION("""COMPUTED_VALUE"""),530.6)</f>
        <v>530.6</v>
      </c>
      <c r="E3191" s="1">
        <f>IFERROR(__xludf.DUMMYFUNCTION("""COMPUTED_VALUE"""),533.35)</f>
        <v>533.35</v>
      </c>
      <c r="F3191" s="1">
        <f>IFERROR(__xludf.DUMMYFUNCTION("""COMPUTED_VALUE"""),1192259.0)</f>
        <v>1192259</v>
      </c>
    </row>
    <row r="3192">
      <c r="A3192" s="2">
        <f>IFERROR(__xludf.DUMMYFUNCTION("""COMPUTED_VALUE"""),41222.645833333336)</f>
        <v>41222.64583</v>
      </c>
      <c r="B3192" s="1">
        <f>IFERROR(__xludf.DUMMYFUNCTION("""COMPUTED_VALUE"""),532.35)</f>
        <v>532.35</v>
      </c>
      <c r="C3192" s="1">
        <f>IFERROR(__xludf.DUMMYFUNCTION("""COMPUTED_VALUE"""),536.4)</f>
        <v>536.4</v>
      </c>
      <c r="D3192" s="1">
        <f>IFERROR(__xludf.DUMMYFUNCTION("""COMPUTED_VALUE"""),525.8)</f>
        <v>525.8</v>
      </c>
      <c r="E3192" s="1">
        <f>IFERROR(__xludf.DUMMYFUNCTION("""COMPUTED_VALUE"""),529.15)</f>
        <v>529.15</v>
      </c>
      <c r="F3192" s="1">
        <f>IFERROR(__xludf.DUMMYFUNCTION("""COMPUTED_VALUE"""),1541504.0)</f>
        <v>1541504</v>
      </c>
    </row>
    <row r="3193">
      <c r="A3193" s="2">
        <f>IFERROR(__xludf.DUMMYFUNCTION("""COMPUTED_VALUE"""),41225.645833333336)</f>
        <v>41225.64583</v>
      </c>
      <c r="B3193" s="1">
        <f>IFERROR(__xludf.DUMMYFUNCTION("""COMPUTED_VALUE"""),528.05)</f>
        <v>528.05</v>
      </c>
      <c r="C3193" s="1">
        <f>IFERROR(__xludf.DUMMYFUNCTION("""COMPUTED_VALUE"""),533.1)</f>
        <v>533.1</v>
      </c>
      <c r="D3193" s="1">
        <f>IFERROR(__xludf.DUMMYFUNCTION("""COMPUTED_VALUE"""),528.0)</f>
        <v>528</v>
      </c>
      <c r="E3193" s="1">
        <f>IFERROR(__xludf.DUMMYFUNCTION("""COMPUTED_VALUE"""),529.8)</f>
        <v>529.8</v>
      </c>
      <c r="F3193" s="1">
        <f>IFERROR(__xludf.DUMMYFUNCTION("""COMPUTED_VALUE"""),1292637.0)</f>
        <v>1292637</v>
      </c>
    </row>
    <row r="3194">
      <c r="A3194" s="2">
        <f>IFERROR(__xludf.DUMMYFUNCTION("""COMPUTED_VALUE"""),41226.645833333336)</f>
        <v>41226.64583</v>
      </c>
      <c r="B3194" s="1">
        <f>IFERROR(__xludf.DUMMYFUNCTION("""COMPUTED_VALUE"""),530.0)</f>
        <v>530</v>
      </c>
      <c r="C3194" s="1">
        <f>IFERROR(__xludf.DUMMYFUNCTION("""COMPUTED_VALUE"""),531.5)</f>
        <v>531.5</v>
      </c>
      <c r="D3194" s="1">
        <f>IFERROR(__xludf.DUMMYFUNCTION("""COMPUTED_VALUE"""),527.5)</f>
        <v>527.5</v>
      </c>
      <c r="E3194" s="1">
        <f>IFERROR(__xludf.DUMMYFUNCTION("""COMPUTED_VALUE"""),529.0)</f>
        <v>529</v>
      </c>
      <c r="F3194" s="1">
        <f>IFERROR(__xludf.DUMMYFUNCTION("""COMPUTED_VALUE"""),109568.0)</f>
        <v>109568</v>
      </c>
    </row>
    <row r="3195">
      <c r="A3195" s="2">
        <f>IFERROR(__xludf.DUMMYFUNCTION("""COMPUTED_VALUE"""),41228.645833333336)</f>
        <v>41228.64583</v>
      </c>
      <c r="B3195" s="1">
        <f>IFERROR(__xludf.DUMMYFUNCTION("""COMPUTED_VALUE"""),531.5)</f>
        <v>531.5</v>
      </c>
      <c r="C3195" s="1">
        <f>IFERROR(__xludf.DUMMYFUNCTION("""COMPUTED_VALUE"""),535.95)</f>
        <v>535.95</v>
      </c>
      <c r="D3195" s="1">
        <f>IFERROR(__xludf.DUMMYFUNCTION("""COMPUTED_VALUE"""),528.65)</f>
        <v>528.65</v>
      </c>
      <c r="E3195" s="1">
        <f>IFERROR(__xludf.DUMMYFUNCTION("""COMPUTED_VALUE"""),533.8)</f>
        <v>533.8</v>
      </c>
      <c r="F3195" s="1">
        <f>IFERROR(__xludf.DUMMYFUNCTION("""COMPUTED_VALUE"""),2065869.0)</f>
        <v>2065869</v>
      </c>
    </row>
    <row r="3196">
      <c r="A3196" s="2">
        <f>IFERROR(__xludf.DUMMYFUNCTION("""COMPUTED_VALUE"""),41229.645833333336)</f>
        <v>41229.64583</v>
      </c>
      <c r="B3196" s="1">
        <f>IFERROR(__xludf.DUMMYFUNCTION("""COMPUTED_VALUE"""),532.45)</f>
        <v>532.45</v>
      </c>
      <c r="C3196" s="1">
        <f>IFERROR(__xludf.DUMMYFUNCTION("""COMPUTED_VALUE"""),533.9)</f>
        <v>533.9</v>
      </c>
      <c r="D3196" s="1">
        <f>IFERROR(__xludf.DUMMYFUNCTION("""COMPUTED_VALUE"""),516.6)</f>
        <v>516.6</v>
      </c>
      <c r="E3196" s="1">
        <f>IFERROR(__xludf.DUMMYFUNCTION("""COMPUTED_VALUE"""),521.0)</f>
        <v>521</v>
      </c>
      <c r="F3196" s="1">
        <f>IFERROR(__xludf.DUMMYFUNCTION("""COMPUTED_VALUE"""),1544605.0)</f>
        <v>1544605</v>
      </c>
    </row>
    <row r="3197">
      <c r="A3197" s="2">
        <f>IFERROR(__xludf.DUMMYFUNCTION("""COMPUTED_VALUE"""),41232.645833333336)</f>
        <v>41232.64583</v>
      </c>
      <c r="B3197" s="1">
        <f>IFERROR(__xludf.DUMMYFUNCTION("""COMPUTED_VALUE"""),521.0)</f>
        <v>521</v>
      </c>
      <c r="C3197" s="1">
        <f>IFERROR(__xludf.DUMMYFUNCTION("""COMPUTED_VALUE"""),521.0)</f>
        <v>521</v>
      </c>
      <c r="D3197" s="1">
        <f>IFERROR(__xludf.DUMMYFUNCTION("""COMPUTED_VALUE"""),512.1)</f>
        <v>512.1</v>
      </c>
      <c r="E3197" s="1">
        <f>IFERROR(__xludf.DUMMYFUNCTION("""COMPUTED_VALUE"""),516.65)</f>
        <v>516.65</v>
      </c>
      <c r="F3197" s="1">
        <f>IFERROR(__xludf.DUMMYFUNCTION("""COMPUTED_VALUE"""),1503306.0)</f>
        <v>1503306</v>
      </c>
    </row>
    <row r="3198">
      <c r="A3198" s="2">
        <f>IFERROR(__xludf.DUMMYFUNCTION("""COMPUTED_VALUE"""),41233.645833333336)</f>
        <v>41233.64583</v>
      </c>
      <c r="B3198" s="1">
        <f>IFERROR(__xludf.DUMMYFUNCTION("""COMPUTED_VALUE"""),517.85)</f>
        <v>517.85</v>
      </c>
      <c r="C3198" s="1">
        <f>IFERROR(__xludf.DUMMYFUNCTION("""COMPUTED_VALUE"""),522.9)</f>
        <v>522.9</v>
      </c>
      <c r="D3198" s="1">
        <f>IFERROR(__xludf.DUMMYFUNCTION("""COMPUTED_VALUE"""),514.5)</f>
        <v>514.5</v>
      </c>
      <c r="E3198" s="1">
        <f>IFERROR(__xludf.DUMMYFUNCTION("""COMPUTED_VALUE"""),520.2)</f>
        <v>520.2</v>
      </c>
      <c r="F3198" s="1">
        <f>IFERROR(__xludf.DUMMYFUNCTION("""COMPUTED_VALUE"""),1387806.0)</f>
        <v>1387806</v>
      </c>
    </row>
    <row r="3199">
      <c r="A3199" s="2">
        <f>IFERROR(__xludf.DUMMYFUNCTION("""COMPUTED_VALUE"""),41234.645833333336)</f>
        <v>41234.64583</v>
      </c>
      <c r="B3199" s="1">
        <f>IFERROR(__xludf.DUMMYFUNCTION("""COMPUTED_VALUE"""),518.6)</f>
        <v>518.6</v>
      </c>
      <c r="C3199" s="1">
        <f>IFERROR(__xludf.DUMMYFUNCTION("""COMPUTED_VALUE"""),526.15)</f>
        <v>526.15</v>
      </c>
      <c r="D3199" s="1">
        <f>IFERROR(__xludf.DUMMYFUNCTION("""COMPUTED_VALUE"""),517.65)</f>
        <v>517.65</v>
      </c>
      <c r="E3199" s="1">
        <f>IFERROR(__xludf.DUMMYFUNCTION("""COMPUTED_VALUE"""),524.6)</f>
        <v>524.6</v>
      </c>
      <c r="F3199" s="1">
        <f>IFERROR(__xludf.DUMMYFUNCTION("""COMPUTED_VALUE"""),1414178.0)</f>
        <v>1414178</v>
      </c>
    </row>
    <row r="3200">
      <c r="A3200" s="2">
        <f>IFERROR(__xludf.DUMMYFUNCTION("""COMPUTED_VALUE"""),41235.645833333336)</f>
        <v>41235.64583</v>
      </c>
      <c r="B3200" s="1">
        <f>IFERROR(__xludf.DUMMYFUNCTION("""COMPUTED_VALUE"""),524.1)</f>
        <v>524.1</v>
      </c>
      <c r="C3200" s="1">
        <f>IFERROR(__xludf.DUMMYFUNCTION("""COMPUTED_VALUE"""),528.85)</f>
        <v>528.85</v>
      </c>
      <c r="D3200" s="1">
        <f>IFERROR(__xludf.DUMMYFUNCTION("""COMPUTED_VALUE"""),521.75)</f>
        <v>521.75</v>
      </c>
      <c r="E3200" s="1">
        <f>IFERROR(__xludf.DUMMYFUNCTION("""COMPUTED_VALUE"""),524.35)</f>
        <v>524.35</v>
      </c>
      <c r="F3200" s="1">
        <f>IFERROR(__xludf.DUMMYFUNCTION("""COMPUTED_VALUE"""),1068387.0)</f>
        <v>1068387</v>
      </c>
    </row>
    <row r="3201">
      <c r="A3201" s="2">
        <f>IFERROR(__xludf.DUMMYFUNCTION("""COMPUTED_VALUE"""),41236.645833333336)</f>
        <v>41236.64583</v>
      </c>
      <c r="B3201" s="1">
        <f>IFERROR(__xludf.DUMMYFUNCTION("""COMPUTED_VALUE"""),526.5)</f>
        <v>526.5</v>
      </c>
      <c r="C3201" s="1">
        <f>IFERROR(__xludf.DUMMYFUNCTION("""COMPUTED_VALUE"""),532.5)</f>
        <v>532.5</v>
      </c>
      <c r="D3201" s="1">
        <f>IFERROR(__xludf.DUMMYFUNCTION("""COMPUTED_VALUE"""),524.2)</f>
        <v>524.2</v>
      </c>
      <c r="E3201" s="1">
        <f>IFERROR(__xludf.DUMMYFUNCTION("""COMPUTED_VALUE"""),530.2)</f>
        <v>530.2</v>
      </c>
      <c r="F3201" s="1">
        <f>IFERROR(__xludf.DUMMYFUNCTION("""COMPUTED_VALUE"""),1034970.0)</f>
        <v>1034970</v>
      </c>
    </row>
    <row r="3202">
      <c r="A3202" s="2">
        <f>IFERROR(__xludf.DUMMYFUNCTION("""COMPUTED_VALUE"""),41239.645833333336)</f>
        <v>41239.64583</v>
      </c>
      <c r="B3202" s="1">
        <f>IFERROR(__xludf.DUMMYFUNCTION("""COMPUTED_VALUE"""),530.0)</f>
        <v>530</v>
      </c>
      <c r="C3202" s="1">
        <f>IFERROR(__xludf.DUMMYFUNCTION("""COMPUTED_VALUE"""),540.0)</f>
        <v>540</v>
      </c>
      <c r="D3202" s="1">
        <f>IFERROR(__xludf.DUMMYFUNCTION("""COMPUTED_VALUE"""),528.1)</f>
        <v>528.1</v>
      </c>
      <c r="E3202" s="1">
        <f>IFERROR(__xludf.DUMMYFUNCTION("""COMPUTED_VALUE"""),537.4)</f>
        <v>537.4</v>
      </c>
      <c r="F3202" s="1">
        <f>IFERROR(__xludf.DUMMYFUNCTION("""COMPUTED_VALUE"""),1089441.0)</f>
        <v>1089441</v>
      </c>
    </row>
    <row r="3203">
      <c r="A3203" s="2">
        <f>IFERROR(__xludf.DUMMYFUNCTION("""COMPUTED_VALUE"""),41240.645833333336)</f>
        <v>41240.64583</v>
      </c>
      <c r="B3203" s="1">
        <f>IFERROR(__xludf.DUMMYFUNCTION("""COMPUTED_VALUE"""),537.5)</f>
        <v>537.5</v>
      </c>
      <c r="C3203" s="1">
        <f>IFERROR(__xludf.DUMMYFUNCTION("""COMPUTED_VALUE"""),543.9)</f>
        <v>543.9</v>
      </c>
      <c r="D3203" s="1">
        <f>IFERROR(__xludf.DUMMYFUNCTION("""COMPUTED_VALUE"""),537.2)</f>
        <v>537.2</v>
      </c>
      <c r="E3203" s="1">
        <f>IFERROR(__xludf.DUMMYFUNCTION("""COMPUTED_VALUE"""),541.65)</f>
        <v>541.65</v>
      </c>
      <c r="F3203" s="1">
        <f>IFERROR(__xludf.DUMMYFUNCTION("""COMPUTED_VALUE"""),1737783.0)</f>
        <v>1737783</v>
      </c>
    </row>
    <row r="3204">
      <c r="A3204" s="2">
        <f>IFERROR(__xludf.DUMMYFUNCTION("""COMPUTED_VALUE"""),41242.645833333336)</f>
        <v>41242.64583</v>
      </c>
      <c r="B3204" s="1">
        <f>IFERROR(__xludf.DUMMYFUNCTION("""COMPUTED_VALUE"""),540.2)</f>
        <v>540.2</v>
      </c>
      <c r="C3204" s="1">
        <f>IFERROR(__xludf.DUMMYFUNCTION("""COMPUTED_VALUE"""),550.9)</f>
        <v>550.9</v>
      </c>
      <c r="D3204" s="1">
        <f>IFERROR(__xludf.DUMMYFUNCTION("""COMPUTED_VALUE"""),540.2)</f>
        <v>540.2</v>
      </c>
      <c r="E3204" s="1">
        <f>IFERROR(__xludf.DUMMYFUNCTION("""COMPUTED_VALUE"""),548.15)</f>
        <v>548.15</v>
      </c>
      <c r="F3204" s="1">
        <f>IFERROR(__xludf.DUMMYFUNCTION("""COMPUTED_VALUE"""),2396376.0)</f>
        <v>2396376</v>
      </c>
    </row>
    <row r="3205">
      <c r="A3205" s="2">
        <f>IFERROR(__xludf.DUMMYFUNCTION("""COMPUTED_VALUE"""),41243.645833333336)</f>
        <v>41243.64583</v>
      </c>
      <c r="B3205" s="1">
        <f>IFERROR(__xludf.DUMMYFUNCTION("""COMPUTED_VALUE"""),548.0)</f>
        <v>548</v>
      </c>
      <c r="C3205" s="1">
        <f>IFERROR(__xludf.DUMMYFUNCTION("""COMPUTED_VALUE"""),549.7)</f>
        <v>549.7</v>
      </c>
      <c r="D3205" s="1">
        <f>IFERROR(__xludf.DUMMYFUNCTION("""COMPUTED_VALUE"""),536.0)</f>
        <v>536</v>
      </c>
      <c r="E3205" s="1">
        <f>IFERROR(__xludf.DUMMYFUNCTION("""COMPUTED_VALUE"""),538.1)</f>
        <v>538.1</v>
      </c>
      <c r="F3205" s="1">
        <f>IFERROR(__xludf.DUMMYFUNCTION("""COMPUTED_VALUE"""),2283393.0)</f>
        <v>2283393</v>
      </c>
    </row>
    <row r="3206">
      <c r="A3206" s="2">
        <f>IFERROR(__xludf.DUMMYFUNCTION("""COMPUTED_VALUE"""),41246.645833333336)</f>
        <v>41246.64583</v>
      </c>
      <c r="B3206" s="1">
        <f>IFERROR(__xludf.DUMMYFUNCTION("""COMPUTED_VALUE"""),540.8)</f>
        <v>540.8</v>
      </c>
      <c r="C3206" s="1">
        <f>IFERROR(__xludf.DUMMYFUNCTION("""COMPUTED_VALUE"""),542.3)</f>
        <v>542.3</v>
      </c>
      <c r="D3206" s="1">
        <f>IFERROR(__xludf.DUMMYFUNCTION("""COMPUTED_VALUE"""),535.2)</f>
        <v>535.2</v>
      </c>
      <c r="E3206" s="1">
        <f>IFERROR(__xludf.DUMMYFUNCTION("""COMPUTED_VALUE"""),536.5)</f>
        <v>536.5</v>
      </c>
      <c r="F3206" s="1">
        <f>IFERROR(__xludf.DUMMYFUNCTION("""COMPUTED_VALUE"""),1541307.0)</f>
        <v>1541307</v>
      </c>
    </row>
    <row r="3207">
      <c r="A3207" s="2">
        <f>IFERROR(__xludf.DUMMYFUNCTION("""COMPUTED_VALUE"""),41247.645833333336)</f>
        <v>41247.64583</v>
      </c>
      <c r="B3207" s="1">
        <f>IFERROR(__xludf.DUMMYFUNCTION("""COMPUTED_VALUE"""),536.05)</f>
        <v>536.05</v>
      </c>
      <c r="C3207" s="1">
        <f>IFERROR(__xludf.DUMMYFUNCTION("""COMPUTED_VALUE"""),538.1)</f>
        <v>538.1</v>
      </c>
      <c r="D3207" s="1">
        <f>IFERROR(__xludf.DUMMYFUNCTION("""COMPUTED_VALUE"""),532.0)</f>
        <v>532</v>
      </c>
      <c r="E3207" s="1">
        <f>IFERROR(__xludf.DUMMYFUNCTION("""COMPUTED_VALUE"""),533.7)</f>
        <v>533.7</v>
      </c>
      <c r="F3207" s="1">
        <f>IFERROR(__xludf.DUMMYFUNCTION("""COMPUTED_VALUE"""),710732.0)</f>
        <v>710732</v>
      </c>
    </row>
    <row r="3208">
      <c r="A3208" s="2">
        <f>IFERROR(__xludf.DUMMYFUNCTION("""COMPUTED_VALUE"""),41248.645833333336)</f>
        <v>41248.64583</v>
      </c>
      <c r="B3208" s="1">
        <f>IFERROR(__xludf.DUMMYFUNCTION("""COMPUTED_VALUE"""),534.25)</f>
        <v>534.25</v>
      </c>
      <c r="C3208" s="1">
        <f>IFERROR(__xludf.DUMMYFUNCTION("""COMPUTED_VALUE"""),537.8)</f>
        <v>537.8</v>
      </c>
      <c r="D3208" s="1">
        <f>IFERROR(__xludf.DUMMYFUNCTION("""COMPUTED_VALUE"""),530.35)</f>
        <v>530.35</v>
      </c>
      <c r="E3208" s="1">
        <f>IFERROR(__xludf.DUMMYFUNCTION("""COMPUTED_VALUE"""),531.75)</f>
        <v>531.75</v>
      </c>
      <c r="F3208" s="1">
        <f>IFERROR(__xludf.DUMMYFUNCTION("""COMPUTED_VALUE"""),1159578.0)</f>
        <v>1159578</v>
      </c>
    </row>
    <row r="3209">
      <c r="A3209" s="2">
        <f>IFERROR(__xludf.DUMMYFUNCTION("""COMPUTED_VALUE"""),41249.645833333336)</f>
        <v>41249.64583</v>
      </c>
      <c r="B3209" s="1">
        <f>IFERROR(__xludf.DUMMYFUNCTION("""COMPUTED_VALUE"""),533.0)</f>
        <v>533</v>
      </c>
      <c r="C3209" s="1">
        <f>IFERROR(__xludf.DUMMYFUNCTION("""COMPUTED_VALUE"""),537.0)</f>
        <v>537</v>
      </c>
      <c r="D3209" s="1">
        <f>IFERROR(__xludf.DUMMYFUNCTION("""COMPUTED_VALUE"""),522.35)</f>
        <v>522.35</v>
      </c>
      <c r="E3209" s="1">
        <f>IFERROR(__xludf.DUMMYFUNCTION("""COMPUTED_VALUE"""),535.25)</f>
        <v>535.25</v>
      </c>
      <c r="F3209" s="1">
        <f>IFERROR(__xludf.DUMMYFUNCTION("""COMPUTED_VALUE"""),2297890.0)</f>
        <v>2297890</v>
      </c>
    </row>
    <row r="3210">
      <c r="A3210" s="2">
        <f>IFERROR(__xludf.DUMMYFUNCTION("""COMPUTED_VALUE"""),41250.645833333336)</f>
        <v>41250.64583</v>
      </c>
      <c r="B3210" s="1">
        <f>IFERROR(__xludf.DUMMYFUNCTION("""COMPUTED_VALUE"""),533.35)</f>
        <v>533.35</v>
      </c>
      <c r="C3210" s="1">
        <f>IFERROR(__xludf.DUMMYFUNCTION("""COMPUTED_VALUE"""),537.35)</f>
        <v>537.35</v>
      </c>
      <c r="D3210" s="1">
        <f>IFERROR(__xludf.DUMMYFUNCTION("""COMPUTED_VALUE"""),527.3)</f>
        <v>527.3</v>
      </c>
      <c r="E3210" s="1">
        <f>IFERROR(__xludf.DUMMYFUNCTION("""COMPUTED_VALUE"""),530.65)</f>
        <v>530.65</v>
      </c>
      <c r="F3210" s="1">
        <f>IFERROR(__xludf.DUMMYFUNCTION("""COMPUTED_VALUE"""),3273673.0)</f>
        <v>3273673</v>
      </c>
    </row>
    <row r="3211">
      <c r="A3211" s="2">
        <f>IFERROR(__xludf.DUMMYFUNCTION("""COMPUTED_VALUE"""),41253.645833333336)</f>
        <v>41253.64583</v>
      </c>
      <c r="B3211" s="1">
        <f>IFERROR(__xludf.DUMMYFUNCTION("""COMPUTED_VALUE"""),531.1)</f>
        <v>531.1</v>
      </c>
      <c r="C3211" s="1">
        <f>IFERROR(__xludf.DUMMYFUNCTION("""COMPUTED_VALUE"""),536.55)</f>
        <v>536.55</v>
      </c>
      <c r="D3211" s="1">
        <f>IFERROR(__xludf.DUMMYFUNCTION("""COMPUTED_VALUE"""),531.0)</f>
        <v>531</v>
      </c>
      <c r="E3211" s="1">
        <f>IFERROR(__xludf.DUMMYFUNCTION("""COMPUTED_VALUE"""),534.85)</f>
        <v>534.85</v>
      </c>
      <c r="F3211" s="1">
        <f>IFERROR(__xludf.DUMMYFUNCTION("""COMPUTED_VALUE"""),1907839.0)</f>
        <v>1907839</v>
      </c>
    </row>
    <row r="3212">
      <c r="A3212" s="2">
        <f>IFERROR(__xludf.DUMMYFUNCTION("""COMPUTED_VALUE"""),41254.645833333336)</f>
        <v>41254.64583</v>
      </c>
      <c r="B3212" s="1">
        <f>IFERROR(__xludf.DUMMYFUNCTION("""COMPUTED_VALUE"""),534.1)</f>
        <v>534.1</v>
      </c>
      <c r="C3212" s="1">
        <f>IFERROR(__xludf.DUMMYFUNCTION("""COMPUTED_VALUE"""),554.25)</f>
        <v>554.25</v>
      </c>
      <c r="D3212" s="1">
        <f>IFERROR(__xludf.DUMMYFUNCTION("""COMPUTED_VALUE"""),534.1)</f>
        <v>534.1</v>
      </c>
      <c r="E3212" s="1">
        <f>IFERROR(__xludf.DUMMYFUNCTION("""COMPUTED_VALUE"""),544.9)</f>
        <v>544.9</v>
      </c>
      <c r="F3212" s="1">
        <f>IFERROR(__xludf.DUMMYFUNCTION("""COMPUTED_VALUE"""),6021846.0)</f>
        <v>6021846</v>
      </c>
    </row>
    <row r="3213">
      <c r="A3213" s="2">
        <f>IFERROR(__xludf.DUMMYFUNCTION("""COMPUTED_VALUE"""),41255.645833333336)</f>
        <v>41255.64583</v>
      </c>
      <c r="B3213" s="1">
        <f>IFERROR(__xludf.DUMMYFUNCTION("""COMPUTED_VALUE"""),545.6)</f>
        <v>545.6</v>
      </c>
      <c r="C3213" s="1">
        <f>IFERROR(__xludf.DUMMYFUNCTION("""COMPUTED_VALUE"""),546.55)</f>
        <v>546.55</v>
      </c>
      <c r="D3213" s="1">
        <f>IFERROR(__xludf.DUMMYFUNCTION("""COMPUTED_VALUE"""),528.0)</f>
        <v>528</v>
      </c>
      <c r="E3213" s="1">
        <f>IFERROR(__xludf.DUMMYFUNCTION("""COMPUTED_VALUE"""),529.75)</f>
        <v>529.75</v>
      </c>
      <c r="F3213" s="1">
        <f>IFERROR(__xludf.DUMMYFUNCTION("""COMPUTED_VALUE"""),6114128.0)</f>
        <v>6114128</v>
      </c>
    </row>
    <row r="3214">
      <c r="A3214" s="2">
        <f>IFERROR(__xludf.DUMMYFUNCTION("""COMPUTED_VALUE"""),41256.645833333336)</f>
        <v>41256.64583</v>
      </c>
      <c r="B3214" s="1">
        <f>IFERROR(__xludf.DUMMYFUNCTION("""COMPUTED_VALUE"""),528.0)</f>
        <v>528</v>
      </c>
      <c r="C3214" s="1">
        <f>IFERROR(__xludf.DUMMYFUNCTION("""COMPUTED_VALUE"""),531.95)</f>
        <v>531.95</v>
      </c>
      <c r="D3214" s="1">
        <f>IFERROR(__xludf.DUMMYFUNCTION("""COMPUTED_VALUE"""),513.85)</f>
        <v>513.85</v>
      </c>
      <c r="E3214" s="1">
        <f>IFERROR(__xludf.DUMMYFUNCTION("""COMPUTED_VALUE"""),519.75)</f>
        <v>519.75</v>
      </c>
      <c r="F3214" s="1">
        <f>IFERROR(__xludf.DUMMYFUNCTION("""COMPUTED_VALUE"""),6190043.0)</f>
        <v>6190043</v>
      </c>
    </row>
    <row r="3215">
      <c r="A3215" s="2">
        <f>IFERROR(__xludf.DUMMYFUNCTION("""COMPUTED_VALUE"""),41257.645833333336)</f>
        <v>41257.64583</v>
      </c>
      <c r="B3215" s="1">
        <f>IFERROR(__xludf.DUMMYFUNCTION("""COMPUTED_VALUE"""),520.0)</f>
        <v>520</v>
      </c>
      <c r="C3215" s="1">
        <f>IFERROR(__xludf.DUMMYFUNCTION("""COMPUTED_VALUE"""),524.2)</f>
        <v>524.2</v>
      </c>
      <c r="D3215" s="1">
        <f>IFERROR(__xludf.DUMMYFUNCTION("""COMPUTED_VALUE"""),513.6)</f>
        <v>513.6</v>
      </c>
      <c r="E3215" s="1">
        <f>IFERROR(__xludf.DUMMYFUNCTION("""COMPUTED_VALUE"""),516.65)</f>
        <v>516.65</v>
      </c>
      <c r="F3215" s="1">
        <f>IFERROR(__xludf.DUMMYFUNCTION("""COMPUTED_VALUE"""),2918226.0)</f>
        <v>2918226</v>
      </c>
    </row>
    <row r="3216">
      <c r="A3216" s="2">
        <f>IFERROR(__xludf.DUMMYFUNCTION("""COMPUTED_VALUE"""),41260.645833333336)</f>
        <v>41260.64583</v>
      </c>
      <c r="B3216" s="1">
        <f>IFERROR(__xludf.DUMMYFUNCTION("""COMPUTED_VALUE"""),518.0)</f>
        <v>518</v>
      </c>
      <c r="C3216" s="1">
        <f>IFERROR(__xludf.DUMMYFUNCTION("""COMPUTED_VALUE"""),523.55)</f>
        <v>523.55</v>
      </c>
      <c r="D3216" s="1">
        <f>IFERROR(__xludf.DUMMYFUNCTION("""COMPUTED_VALUE"""),515.0)</f>
        <v>515</v>
      </c>
      <c r="E3216" s="1">
        <f>IFERROR(__xludf.DUMMYFUNCTION("""COMPUTED_VALUE"""),522.75)</f>
        <v>522.75</v>
      </c>
      <c r="F3216" s="1">
        <f>IFERROR(__xludf.DUMMYFUNCTION("""COMPUTED_VALUE"""),1515965.0)</f>
        <v>1515965</v>
      </c>
    </row>
    <row r="3217">
      <c r="A3217" s="2">
        <f>IFERROR(__xludf.DUMMYFUNCTION("""COMPUTED_VALUE"""),41261.645833333336)</f>
        <v>41261.64583</v>
      </c>
      <c r="B3217" s="1">
        <f>IFERROR(__xludf.DUMMYFUNCTION("""COMPUTED_VALUE"""),523.7)</f>
        <v>523.7</v>
      </c>
      <c r="C3217" s="1">
        <f>IFERROR(__xludf.DUMMYFUNCTION("""COMPUTED_VALUE"""),525.5)</f>
        <v>525.5</v>
      </c>
      <c r="D3217" s="1">
        <f>IFERROR(__xludf.DUMMYFUNCTION("""COMPUTED_VALUE"""),517.25)</f>
        <v>517.25</v>
      </c>
      <c r="E3217" s="1">
        <f>IFERROR(__xludf.DUMMYFUNCTION("""COMPUTED_VALUE"""),524.75)</f>
        <v>524.75</v>
      </c>
      <c r="F3217" s="1">
        <f>IFERROR(__xludf.DUMMYFUNCTION("""COMPUTED_VALUE"""),1239848.0)</f>
        <v>1239848</v>
      </c>
    </row>
    <row r="3218">
      <c r="A3218" s="2">
        <f>IFERROR(__xludf.DUMMYFUNCTION("""COMPUTED_VALUE"""),41262.645833333336)</f>
        <v>41262.64583</v>
      </c>
      <c r="B3218" s="1">
        <f>IFERROR(__xludf.DUMMYFUNCTION("""COMPUTED_VALUE"""),525.45)</f>
        <v>525.45</v>
      </c>
      <c r="C3218" s="1">
        <f>IFERROR(__xludf.DUMMYFUNCTION("""COMPUTED_VALUE"""),527.0)</f>
        <v>527</v>
      </c>
      <c r="D3218" s="1">
        <f>IFERROR(__xludf.DUMMYFUNCTION("""COMPUTED_VALUE"""),520.65)</f>
        <v>520.65</v>
      </c>
      <c r="E3218" s="1">
        <f>IFERROR(__xludf.DUMMYFUNCTION("""COMPUTED_VALUE"""),522.95)</f>
        <v>522.95</v>
      </c>
      <c r="F3218" s="1">
        <f>IFERROR(__xludf.DUMMYFUNCTION("""COMPUTED_VALUE"""),3281937.0)</f>
        <v>3281937</v>
      </c>
    </row>
    <row r="3219">
      <c r="A3219" s="2">
        <f>IFERROR(__xludf.DUMMYFUNCTION("""COMPUTED_VALUE"""),41263.645833333336)</f>
        <v>41263.64583</v>
      </c>
      <c r="B3219" s="1">
        <f>IFERROR(__xludf.DUMMYFUNCTION("""COMPUTED_VALUE"""),522.05)</f>
        <v>522.05</v>
      </c>
      <c r="C3219" s="1">
        <f>IFERROR(__xludf.DUMMYFUNCTION("""COMPUTED_VALUE"""),534.25)</f>
        <v>534.25</v>
      </c>
      <c r="D3219" s="1">
        <f>IFERROR(__xludf.DUMMYFUNCTION("""COMPUTED_VALUE"""),520.95)</f>
        <v>520.95</v>
      </c>
      <c r="E3219" s="1">
        <f>IFERROR(__xludf.DUMMYFUNCTION("""COMPUTED_VALUE"""),532.7)</f>
        <v>532.7</v>
      </c>
      <c r="F3219" s="1">
        <f>IFERROR(__xludf.DUMMYFUNCTION("""COMPUTED_VALUE"""),2607533.0)</f>
        <v>2607533</v>
      </c>
    </row>
    <row r="3220">
      <c r="A3220" s="2">
        <f>IFERROR(__xludf.DUMMYFUNCTION("""COMPUTED_VALUE"""),41264.645833333336)</f>
        <v>41264.64583</v>
      </c>
      <c r="B3220" s="1">
        <f>IFERROR(__xludf.DUMMYFUNCTION("""COMPUTED_VALUE"""),530.7)</f>
        <v>530.7</v>
      </c>
      <c r="C3220" s="1">
        <f>IFERROR(__xludf.DUMMYFUNCTION("""COMPUTED_VALUE"""),534.5)</f>
        <v>534.5</v>
      </c>
      <c r="D3220" s="1">
        <f>IFERROR(__xludf.DUMMYFUNCTION("""COMPUTED_VALUE"""),525.1)</f>
        <v>525.1</v>
      </c>
      <c r="E3220" s="1">
        <f>IFERROR(__xludf.DUMMYFUNCTION("""COMPUTED_VALUE"""),527.15)</f>
        <v>527.15</v>
      </c>
      <c r="F3220" s="1">
        <f>IFERROR(__xludf.DUMMYFUNCTION("""COMPUTED_VALUE"""),1643260.0)</f>
        <v>1643260</v>
      </c>
    </row>
    <row r="3221">
      <c r="A3221" s="2">
        <f>IFERROR(__xludf.DUMMYFUNCTION("""COMPUTED_VALUE"""),41267.645833333336)</f>
        <v>41267.64583</v>
      </c>
      <c r="B3221" s="1">
        <f>IFERROR(__xludf.DUMMYFUNCTION("""COMPUTED_VALUE"""),528.0)</f>
        <v>528</v>
      </c>
      <c r="C3221" s="1">
        <f>IFERROR(__xludf.DUMMYFUNCTION("""COMPUTED_VALUE"""),536.55)</f>
        <v>536.55</v>
      </c>
      <c r="D3221" s="1">
        <f>IFERROR(__xludf.DUMMYFUNCTION("""COMPUTED_VALUE"""),524.3)</f>
        <v>524.3</v>
      </c>
      <c r="E3221" s="1">
        <f>IFERROR(__xludf.DUMMYFUNCTION("""COMPUTED_VALUE"""),531.7)</f>
        <v>531.7</v>
      </c>
      <c r="F3221" s="1">
        <f>IFERROR(__xludf.DUMMYFUNCTION("""COMPUTED_VALUE"""),974860.0)</f>
        <v>974860</v>
      </c>
    </row>
    <row r="3222">
      <c r="A3222" s="2">
        <f>IFERROR(__xludf.DUMMYFUNCTION("""COMPUTED_VALUE"""),41269.645833333336)</f>
        <v>41269.64583</v>
      </c>
      <c r="B3222" s="1">
        <f>IFERROR(__xludf.DUMMYFUNCTION("""COMPUTED_VALUE"""),529.2)</f>
        <v>529.2</v>
      </c>
      <c r="C3222" s="1">
        <f>IFERROR(__xludf.DUMMYFUNCTION("""COMPUTED_VALUE"""),530.75)</f>
        <v>530.75</v>
      </c>
      <c r="D3222" s="1">
        <f>IFERROR(__xludf.DUMMYFUNCTION("""COMPUTED_VALUE"""),522.3)</f>
        <v>522.3</v>
      </c>
      <c r="E3222" s="1">
        <f>IFERROR(__xludf.DUMMYFUNCTION("""COMPUTED_VALUE"""),523.4)</f>
        <v>523.4</v>
      </c>
      <c r="F3222" s="1">
        <f>IFERROR(__xludf.DUMMYFUNCTION("""COMPUTED_VALUE"""),1066122.0)</f>
        <v>1066122</v>
      </c>
    </row>
    <row r="3223">
      <c r="A3223" s="2">
        <f>IFERROR(__xludf.DUMMYFUNCTION("""COMPUTED_VALUE"""),41270.645833333336)</f>
        <v>41270.64583</v>
      </c>
      <c r="B3223" s="1">
        <f>IFERROR(__xludf.DUMMYFUNCTION("""COMPUTED_VALUE"""),525.0)</f>
        <v>525</v>
      </c>
      <c r="C3223" s="1">
        <f>IFERROR(__xludf.DUMMYFUNCTION("""COMPUTED_VALUE"""),525.0)</f>
        <v>525</v>
      </c>
      <c r="D3223" s="1">
        <f>IFERROR(__xludf.DUMMYFUNCTION("""COMPUTED_VALUE"""),515.75)</f>
        <v>515.75</v>
      </c>
      <c r="E3223" s="1">
        <f>IFERROR(__xludf.DUMMYFUNCTION("""COMPUTED_VALUE"""),518.2)</f>
        <v>518.2</v>
      </c>
      <c r="F3223" s="1">
        <f>IFERROR(__xludf.DUMMYFUNCTION("""COMPUTED_VALUE"""),3096975.0)</f>
        <v>3096975</v>
      </c>
    </row>
    <row r="3224">
      <c r="A3224" s="2">
        <f>IFERROR(__xludf.DUMMYFUNCTION("""COMPUTED_VALUE"""),41271.645833333336)</f>
        <v>41271.64583</v>
      </c>
      <c r="B3224" s="1">
        <f>IFERROR(__xludf.DUMMYFUNCTION("""COMPUTED_VALUE"""),519.8)</f>
        <v>519.8</v>
      </c>
      <c r="C3224" s="1">
        <f>IFERROR(__xludf.DUMMYFUNCTION("""COMPUTED_VALUE"""),523.0)</f>
        <v>523</v>
      </c>
      <c r="D3224" s="1">
        <f>IFERROR(__xludf.DUMMYFUNCTION("""COMPUTED_VALUE"""),516.95)</f>
        <v>516.95</v>
      </c>
      <c r="E3224" s="1">
        <f>IFERROR(__xludf.DUMMYFUNCTION("""COMPUTED_VALUE"""),522.1)</f>
        <v>522.1</v>
      </c>
      <c r="F3224" s="1">
        <f>IFERROR(__xludf.DUMMYFUNCTION("""COMPUTED_VALUE"""),1300009.0)</f>
        <v>1300009</v>
      </c>
    </row>
    <row r="3225">
      <c r="A3225" s="2">
        <f>IFERROR(__xludf.DUMMYFUNCTION("""COMPUTED_VALUE"""),41274.645833333336)</f>
        <v>41274.64583</v>
      </c>
      <c r="B3225" s="1">
        <f>IFERROR(__xludf.DUMMYFUNCTION("""COMPUTED_VALUE"""),522.1)</f>
        <v>522.1</v>
      </c>
      <c r="C3225" s="1">
        <f>IFERROR(__xludf.DUMMYFUNCTION("""COMPUTED_VALUE"""),526.9)</f>
        <v>526.9</v>
      </c>
      <c r="D3225" s="1">
        <f>IFERROR(__xludf.DUMMYFUNCTION("""COMPUTED_VALUE"""),520.05)</f>
        <v>520.05</v>
      </c>
      <c r="E3225" s="1">
        <f>IFERROR(__xludf.DUMMYFUNCTION("""COMPUTED_VALUE"""),524.85)</f>
        <v>524.85</v>
      </c>
      <c r="F3225" s="1">
        <f>IFERROR(__xludf.DUMMYFUNCTION("""COMPUTED_VALUE"""),807948.0)</f>
        <v>807948</v>
      </c>
    </row>
    <row r="3226">
      <c r="A3226" s="2">
        <f>IFERROR(__xludf.DUMMYFUNCTION("""COMPUTED_VALUE"""),41275.645833333336)</f>
        <v>41275.64583</v>
      </c>
      <c r="B3226" s="1">
        <f>IFERROR(__xludf.DUMMYFUNCTION("""COMPUTED_VALUE"""),525.55)</f>
        <v>525.55</v>
      </c>
      <c r="C3226" s="1">
        <f>IFERROR(__xludf.DUMMYFUNCTION("""COMPUTED_VALUE"""),533.5)</f>
        <v>533.5</v>
      </c>
      <c r="D3226" s="1">
        <f>IFERROR(__xludf.DUMMYFUNCTION("""COMPUTED_VALUE"""),525.25)</f>
        <v>525.25</v>
      </c>
      <c r="E3226" s="1">
        <f>IFERROR(__xludf.DUMMYFUNCTION("""COMPUTED_VALUE"""),530.6)</f>
        <v>530.6</v>
      </c>
      <c r="F3226" s="1">
        <f>IFERROR(__xludf.DUMMYFUNCTION("""COMPUTED_VALUE"""),538696.0)</f>
        <v>538696</v>
      </c>
    </row>
    <row r="3227">
      <c r="A3227" s="2">
        <f>IFERROR(__xludf.DUMMYFUNCTION("""COMPUTED_VALUE"""),41276.645833333336)</f>
        <v>41276.64583</v>
      </c>
      <c r="B3227" s="1">
        <f>IFERROR(__xludf.DUMMYFUNCTION("""COMPUTED_VALUE"""),531.1)</f>
        <v>531.1</v>
      </c>
      <c r="C3227" s="1">
        <f>IFERROR(__xludf.DUMMYFUNCTION("""COMPUTED_VALUE"""),534.0)</f>
        <v>534</v>
      </c>
      <c r="D3227" s="1">
        <f>IFERROR(__xludf.DUMMYFUNCTION("""COMPUTED_VALUE"""),528.05)</f>
        <v>528.05</v>
      </c>
      <c r="E3227" s="1">
        <f>IFERROR(__xludf.DUMMYFUNCTION("""COMPUTED_VALUE"""),530.5)</f>
        <v>530.5</v>
      </c>
      <c r="F3227" s="1">
        <f>IFERROR(__xludf.DUMMYFUNCTION("""COMPUTED_VALUE"""),1523020.0)</f>
        <v>1523020</v>
      </c>
    </row>
    <row r="3228">
      <c r="A3228" s="2">
        <f>IFERROR(__xludf.DUMMYFUNCTION("""COMPUTED_VALUE"""),41277.645833333336)</f>
        <v>41277.64583</v>
      </c>
      <c r="B3228" s="1">
        <f>IFERROR(__xludf.DUMMYFUNCTION("""COMPUTED_VALUE"""),532.0)</f>
        <v>532</v>
      </c>
      <c r="C3228" s="1">
        <f>IFERROR(__xludf.DUMMYFUNCTION("""COMPUTED_VALUE"""),533.7)</f>
        <v>533.7</v>
      </c>
      <c r="D3228" s="1">
        <f>IFERROR(__xludf.DUMMYFUNCTION("""COMPUTED_VALUE"""),526.5)</f>
        <v>526.5</v>
      </c>
      <c r="E3228" s="1">
        <f>IFERROR(__xludf.DUMMYFUNCTION("""COMPUTED_VALUE"""),532.35)</f>
        <v>532.35</v>
      </c>
      <c r="F3228" s="1">
        <f>IFERROR(__xludf.DUMMYFUNCTION("""COMPUTED_VALUE"""),1059032.0)</f>
        <v>1059032</v>
      </c>
    </row>
    <row r="3229">
      <c r="A3229" s="2">
        <f>IFERROR(__xludf.DUMMYFUNCTION("""COMPUTED_VALUE"""),41278.645833333336)</f>
        <v>41278.64583</v>
      </c>
      <c r="B3229" s="1">
        <f>IFERROR(__xludf.DUMMYFUNCTION("""COMPUTED_VALUE"""),534.0)</f>
        <v>534</v>
      </c>
      <c r="C3229" s="1">
        <f>IFERROR(__xludf.DUMMYFUNCTION("""COMPUTED_VALUE"""),536.3)</f>
        <v>536.3</v>
      </c>
      <c r="D3229" s="1">
        <f>IFERROR(__xludf.DUMMYFUNCTION("""COMPUTED_VALUE"""),529.1)</f>
        <v>529.1</v>
      </c>
      <c r="E3229" s="1">
        <f>IFERROR(__xludf.DUMMYFUNCTION("""COMPUTED_VALUE"""),534.7)</f>
        <v>534.7</v>
      </c>
      <c r="F3229" s="1">
        <f>IFERROR(__xludf.DUMMYFUNCTION("""COMPUTED_VALUE"""),1159517.0)</f>
        <v>1159517</v>
      </c>
    </row>
    <row r="3230">
      <c r="A3230" s="2">
        <f>IFERROR(__xludf.DUMMYFUNCTION("""COMPUTED_VALUE"""),41281.645833333336)</f>
        <v>41281.64583</v>
      </c>
      <c r="B3230" s="1">
        <f>IFERROR(__xludf.DUMMYFUNCTION("""COMPUTED_VALUE"""),533.65)</f>
        <v>533.65</v>
      </c>
      <c r="C3230" s="1">
        <f>IFERROR(__xludf.DUMMYFUNCTION("""COMPUTED_VALUE"""),534.65)</f>
        <v>534.65</v>
      </c>
      <c r="D3230" s="1">
        <f>IFERROR(__xludf.DUMMYFUNCTION("""COMPUTED_VALUE"""),522.8)</f>
        <v>522.8</v>
      </c>
      <c r="E3230" s="1">
        <f>IFERROR(__xludf.DUMMYFUNCTION("""COMPUTED_VALUE"""),525.4)</f>
        <v>525.4</v>
      </c>
      <c r="F3230" s="1">
        <f>IFERROR(__xludf.DUMMYFUNCTION("""COMPUTED_VALUE"""),2310025.0)</f>
        <v>2310025</v>
      </c>
    </row>
    <row r="3231">
      <c r="A3231" s="2">
        <f>IFERROR(__xludf.DUMMYFUNCTION("""COMPUTED_VALUE"""),41282.645833333336)</f>
        <v>41282.64583</v>
      </c>
      <c r="B3231" s="1">
        <f>IFERROR(__xludf.DUMMYFUNCTION("""COMPUTED_VALUE"""),523.0)</f>
        <v>523</v>
      </c>
      <c r="C3231" s="1">
        <f>IFERROR(__xludf.DUMMYFUNCTION("""COMPUTED_VALUE"""),527.1)</f>
        <v>527.1</v>
      </c>
      <c r="D3231" s="1">
        <f>IFERROR(__xludf.DUMMYFUNCTION("""COMPUTED_VALUE"""),520.0)</f>
        <v>520</v>
      </c>
      <c r="E3231" s="1">
        <f>IFERROR(__xludf.DUMMYFUNCTION("""COMPUTED_VALUE"""),525.5)</f>
        <v>525.5</v>
      </c>
      <c r="F3231" s="1">
        <f>IFERROR(__xludf.DUMMYFUNCTION("""COMPUTED_VALUE"""),1646596.0)</f>
        <v>1646596</v>
      </c>
    </row>
    <row r="3232">
      <c r="A3232" s="2">
        <f>IFERROR(__xludf.DUMMYFUNCTION("""COMPUTED_VALUE"""),41283.645833333336)</f>
        <v>41283.64583</v>
      </c>
      <c r="B3232" s="1">
        <f>IFERROR(__xludf.DUMMYFUNCTION("""COMPUTED_VALUE"""),526.0)</f>
        <v>526</v>
      </c>
      <c r="C3232" s="1">
        <f>IFERROR(__xludf.DUMMYFUNCTION("""COMPUTED_VALUE"""),529.85)</f>
        <v>529.85</v>
      </c>
      <c r="D3232" s="1">
        <f>IFERROR(__xludf.DUMMYFUNCTION("""COMPUTED_VALUE"""),518.2)</f>
        <v>518.2</v>
      </c>
      <c r="E3232" s="1">
        <f>IFERROR(__xludf.DUMMYFUNCTION("""COMPUTED_VALUE"""),519.3)</f>
        <v>519.3</v>
      </c>
      <c r="F3232" s="1">
        <f>IFERROR(__xludf.DUMMYFUNCTION("""COMPUTED_VALUE"""),1566612.0)</f>
        <v>1566612</v>
      </c>
    </row>
    <row r="3233">
      <c r="A3233" s="2">
        <f>IFERROR(__xludf.DUMMYFUNCTION("""COMPUTED_VALUE"""),41284.645833333336)</f>
        <v>41284.64583</v>
      </c>
      <c r="B3233" s="1">
        <f>IFERROR(__xludf.DUMMYFUNCTION("""COMPUTED_VALUE"""),520.0)</f>
        <v>520</v>
      </c>
      <c r="C3233" s="1">
        <f>IFERROR(__xludf.DUMMYFUNCTION("""COMPUTED_VALUE"""),521.9)</f>
        <v>521.9</v>
      </c>
      <c r="D3233" s="1">
        <f>IFERROR(__xludf.DUMMYFUNCTION("""COMPUTED_VALUE"""),513.7)</f>
        <v>513.7</v>
      </c>
      <c r="E3233" s="1">
        <f>IFERROR(__xludf.DUMMYFUNCTION("""COMPUTED_VALUE"""),516.6)</f>
        <v>516.6</v>
      </c>
      <c r="F3233" s="1">
        <f>IFERROR(__xludf.DUMMYFUNCTION("""COMPUTED_VALUE"""),1651086.0)</f>
        <v>1651086</v>
      </c>
    </row>
    <row r="3234">
      <c r="A3234" s="2">
        <f>IFERROR(__xludf.DUMMYFUNCTION("""COMPUTED_VALUE"""),41285.645833333336)</f>
        <v>41285.64583</v>
      </c>
      <c r="B3234" s="1">
        <f>IFERROR(__xludf.DUMMYFUNCTION("""COMPUTED_VALUE"""),517.0)</f>
        <v>517</v>
      </c>
      <c r="C3234" s="1">
        <f>IFERROR(__xludf.DUMMYFUNCTION("""COMPUTED_VALUE"""),518.0)</f>
        <v>518</v>
      </c>
      <c r="D3234" s="1">
        <f>IFERROR(__xludf.DUMMYFUNCTION("""COMPUTED_VALUE"""),495.1)</f>
        <v>495.1</v>
      </c>
      <c r="E3234" s="1">
        <f>IFERROR(__xludf.DUMMYFUNCTION("""COMPUTED_VALUE"""),498.1)</f>
        <v>498.1</v>
      </c>
      <c r="F3234" s="1">
        <f>IFERROR(__xludf.DUMMYFUNCTION("""COMPUTED_VALUE"""),2134714.0)</f>
        <v>2134714</v>
      </c>
    </row>
    <row r="3235">
      <c r="A3235" s="2">
        <f>IFERROR(__xludf.DUMMYFUNCTION("""COMPUTED_VALUE"""),41288.645833333336)</f>
        <v>41288.64583</v>
      </c>
      <c r="B3235" s="1">
        <f>IFERROR(__xludf.DUMMYFUNCTION("""COMPUTED_VALUE"""),500.0)</f>
        <v>500</v>
      </c>
      <c r="C3235" s="1">
        <f>IFERROR(__xludf.DUMMYFUNCTION("""COMPUTED_VALUE"""),508.4)</f>
        <v>508.4</v>
      </c>
      <c r="D3235" s="1">
        <f>IFERROR(__xludf.DUMMYFUNCTION("""COMPUTED_VALUE"""),492.0)</f>
        <v>492</v>
      </c>
      <c r="E3235" s="1">
        <f>IFERROR(__xludf.DUMMYFUNCTION("""COMPUTED_VALUE"""),505.3)</f>
        <v>505.3</v>
      </c>
      <c r="F3235" s="1">
        <f>IFERROR(__xludf.DUMMYFUNCTION("""COMPUTED_VALUE"""),2522332.0)</f>
        <v>2522332</v>
      </c>
    </row>
    <row r="3236">
      <c r="A3236" s="2">
        <f>IFERROR(__xludf.DUMMYFUNCTION("""COMPUTED_VALUE"""),41289.645833333336)</f>
        <v>41289.64583</v>
      </c>
      <c r="B3236" s="1">
        <f>IFERROR(__xludf.DUMMYFUNCTION("""COMPUTED_VALUE"""),504.95)</f>
        <v>504.95</v>
      </c>
      <c r="C3236" s="1">
        <f>IFERROR(__xludf.DUMMYFUNCTION("""COMPUTED_VALUE"""),508.3)</f>
        <v>508.3</v>
      </c>
      <c r="D3236" s="1">
        <f>IFERROR(__xludf.DUMMYFUNCTION("""COMPUTED_VALUE"""),497.6)</f>
        <v>497.6</v>
      </c>
      <c r="E3236" s="1">
        <f>IFERROR(__xludf.DUMMYFUNCTION("""COMPUTED_VALUE"""),503.7)</f>
        <v>503.7</v>
      </c>
      <c r="F3236" s="1">
        <f>IFERROR(__xludf.DUMMYFUNCTION("""COMPUTED_VALUE"""),2537955.0)</f>
        <v>2537955</v>
      </c>
    </row>
    <row r="3237">
      <c r="A3237" s="2">
        <f>IFERROR(__xludf.DUMMYFUNCTION("""COMPUTED_VALUE"""),41290.645833333336)</f>
        <v>41290.64583</v>
      </c>
      <c r="B3237" s="1">
        <f>IFERROR(__xludf.DUMMYFUNCTION("""COMPUTED_VALUE"""),504.45)</f>
        <v>504.45</v>
      </c>
      <c r="C3237" s="1">
        <f>IFERROR(__xludf.DUMMYFUNCTION("""COMPUTED_VALUE"""),505.1)</f>
        <v>505.1</v>
      </c>
      <c r="D3237" s="1">
        <f>IFERROR(__xludf.DUMMYFUNCTION("""COMPUTED_VALUE"""),498.0)</f>
        <v>498</v>
      </c>
      <c r="E3237" s="1">
        <f>IFERROR(__xludf.DUMMYFUNCTION("""COMPUTED_VALUE"""),500.15)</f>
        <v>500.15</v>
      </c>
      <c r="F3237" s="1">
        <f>IFERROR(__xludf.DUMMYFUNCTION("""COMPUTED_VALUE"""),2197579.0)</f>
        <v>2197579</v>
      </c>
    </row>
    <row r="3238">
      <c r="A3238" s="2">
        <f>IFERROR(__xludf.DUMMYFUNCTION("""COMPUTED_VALUE"""),41291.645833333336)</f>
        <v>41291.64583</v>
      </c>
      <c r="B3238" s="1">
        <f>IFERROR(__xludf.DUMMYFUNCTION("""COMPUTED_VALUE"""),498.05)</f>
        <v>498.05</v>
      </c>
      <c r="C3238" s="1">
        <f>IFERROR(__xludf.DUMMYFUNCTION("""COMPUTED_VALUE"""),504.55)</f>
        <v>504.55</v>
      </c>
      <c r="D3238" s="1">
        <f>IFERROR(__xludf.DUMMYFUNCTION("""COMPUTED_VALUE"""),496.6)</f>
        <v>496.6</v>
      </c>
      <c r="E3238" s="1">
        <f>IFERROR(__xludf.DUMMYFUNCTION("""COMPUTED_VALUE"""),500.55)</f>
        <v>500.55</v>
      </c>
      <c r="F3238" s="1">
        <f>IFERROR(__xludf.DUMMYFUNCTION("""COMPUTED_VALUE"""),2527307.0)</f>
        <v>2527307</v>
      </c>
    </row>
    <row r="3239">
      <c r="A3239" s="2">
        <f>IFERROR(__xludf.DUMMYFUNCTION("""COMPUTED_VALUE"""),41292.645833333336)</f>
        <v>41292.64583</v>
      </c>
      <c r="B3239" s="1">
        <f>IFERROR(__xludf.DUMMYFUNCTION("""COMPUTED_VALUE"""),502.0)</f>
        <v>502</v>
      </c>
      <c r="C3239" s="1">
        <f>IFERROR(__xludf.DUMMYFUNCTION("""COMPUTED_VALUE"""),502.8)</f>
        <v>502.8</v>
      </c>
      <c r="D3239" s="1">
        <f>IFERROR(__xludf.DUMMYFUNCTION("""COMPUTED_VALUE"""),488.0)</f>
        <v>488</v>
      </c>
      <c r="E3239" s="1">
        <f>IFERROR(__xludf.DUMMYFUNCTION("""COMPUTED_VALUE"""),490.4)</f>
        <v>490.4</v>
      </c>
      <c r="F3239" s="1">
        <f>IFERROR(__xludf.DUMMYFUNCTION("""COMPUTED_VALUE"""),3953993.0)</f>
        <v>3953993</v>
      </c>
    </row>
    <row r="3240">
      <c r="A3240" s="2">
        <f>IFERROR(__xludf.DUMMYFUNCTION("""COMPUTED_VALUE"""),41295.645833333336)</f>
        <v>41295.64583</v>
      </c>
      <c r="B3240" s="1">
        <f>IFERROR(__xludf.DUMMYFUNCTION("""COMPUTED_VALUE"""),490.05)</f>
        <v>490.05</v>
      </c>
      <c r="C3240" s="1">
        <f>IFERROR(__xludf.DUMMYFUNCTION("""COMPUTED_VALUE"""),499.85)</f>
        <v>499.85</v>
      </c>
      <c r="D3240" s="1">
        <f>IFERROR(__xludf.DUMMYFUNCTION("""COMPUTED_VALUE"""),482.35)</f>
        <v>482.35</v>
      </c>
      <c r="E3240" s="1">
        <f>IFERROR(__xludf.DUMMYFUNCTION("""COMPUTED_VALUE"""),497.25)</f>
        <v>497.25</v>
      </c>
      <c r="F3240" s="1">
        <f>IFERROR(__xludf.DUMMYFUNCTION("""COMPUTED_VALUE"""),4409836.0)</f>
        <v>4409836</v>
      </c>
    </row>
    <row r="3241">
      <c r="A3241" s="2">
        <f>IFERROR(__xludf.DUMMYFUNCTION("""COMPUTED_VALUE"""),41296.645833333336)</f>
        <v>41296.64583</v>
      </c>
      <c r="B3241" s="1">
        <f>IFERROR(__xludf.DUMMYFUNCTION("""COMPUTED_VALUE"""),496.4)</f>
        <v>496.4</v>
      </c>
      <c r="C3241" s="1">
        <f>IFERROR(__xludf.DUMMYFUNCTION("""COMPUTED_VALUE"""),505.5)</f>
        <v>505.5</v>
      </c>
      <c r="D3241" s="1">
        <f>IFERROR(__xludf.DUMMYFUNCTION("""COMPUTED_VALUE"""),463.4)</f>
        <v>463.4</v>
      </c>
      <c r="E3241" s="1">
        <f>IFERROR(__xludf.DUMMYFUNCTION("""COMPUTED_VALUE"""),480.9)</f>
        <v>480.9</v>
      </c>
      <c r="F3241" s="1">
        <f>IFERROR(__xludf.DUMMYFUNCTION("""COMPUTED_VALUE"""),1.3295996E7)</f>
        <v>13295996</v>
      </c>
    </row>
    <row r="3242">
      <c r="A3242" s="2">
        <f>IFERROR(__xludf.DUMMYFUNCTION("""COMPUTED_VALUE"""),41297.645833333336)</f>
        <v>41297.64583</v>
      </c>
      <c r="B3242" s="1">
        <f>IFERROR(__xludf.DUMMYFUNCTION("""COMPUTED_VALUE"""),451.2)</f>
        <v>451.2</v>
      </c>
      <c r="C3242" s="1">
        <f>IFERROR(__xludf.DUMMYFUNCTION("""COMPUTED_VALUE"""),463.6)</f>
        <v>463.6</v>
      </c>
      <c r="D3242" s="1">
        <f>IFERROR(__xludf.DUMMYFUNCTION("""COMPUTED_VALUE"""),447.85)</f>
        <v>447.85</v>
      </c>
      <c r="E3242" s="1">
        <f>IFERROR(__xludf.DUMMYFUNCTION("""COMPUTED_VALUE"""),460.05)</f>
        <v>460.05</v>
      </c>
      <c r="F3242" s="1">
        <f>IFERROR(__xludf.DUMMYFUNCTION("""COMPUTED_VALUE"""),1.835364E7)</f>
        <v>18353640</v>
      </c>
    </row>
    <row r="3243">
      <c r="A3243" s="2">
        <f>IFERROR(__xludf.DUMMYFUNCTION("""COMPUTED_VALUE"""),41298.645833333336)</f>
        <v>41298.64583</v>
      </c>
      <c r="B3243" s="1">
        <f>IFERROR(__xludf.DUMMYFUNCTION("""COMPUTED_VALUE"""),458.8)</f>
        <v>458.8</v>
      </c>
      <c r="C3243" s="1">
        <f>IFERROR(__xludf.DUMMYFUNCTION("""COMPUTED_VALUE"""),470.3)</f>
        <v>470.3</v>
      </c>
      <c r="D3243" s="1">
        <f>IFERROR(__xludf.DUMMYFUNCTION("""COMPUTED_VALUE"""),457.65)</f>
        <v>457.65</v>
      </c>
      <c r="E3243" s="1">
        <f>IFERROR(__xludf.DUMMYFUNCTION("""COMPUTED_VALUE"""),468.8)</f>
        <v>468.8</v>
      </c>
      <c r="F3243" s="1">
        <f>IFERROR(__xludf.DUMMYFUNCTION("""COMPUTED_VALUE"""),2986749.0)</f>
        <v>2986749</v>
      </c>
    </row>
    <row r="3244">
      <c r="A3244" s="2">
        <f>IFERROR(__xludf.DUMMYFUNCTION("""COMPUTED_VALUE"""),41299.645833333336)</f>
        <v>41299.64583</v>
      </c>
      <c r="B3244" s="1">
        <f>IFERROR(__xludf.DUMMYFUNCTION("""COMPUTED_VALUE"""),468.5)</f>
        <v>468.5</v>
      </c>
      <c r="C3244" s="1">
        <f>IFERROR(__xludf.DUMMYFUNCTION("""COMPUTED_VALUE"""),477.85)</f>
        <v>477.85</v>
      </c>
      <c r="D3244" s="1">
        <f>IFERROR(__xludf.DUMMYFUNCTION("""COMPUTED_VALUE"""),466.45)</f>
        <v>466.45</v>
      </c>
      <c r="E3244" s="1">
        <f>IFERROR(__xludf.DUMMYFUNCTION("""COMPUTED_VALUE"""),476.5)</f>
        <v>476.5</v>
      </c>
      <c r="F3244" s="1">
        <f>IFERROR(__xludf.DUMMYFUNCTION("""COMPUTED_VALUE"""),3193879.0)</f>
        <v>3193879</v>
      </c>
    </row>
    <row r="3245">
      <c r="A3245" s="2">
        <f>IFERROR(__xludf.DUMMYFUNCTION("""COMPUTED_VALUE"""),41302.645833333336)</f>
        <v>41302.64583</v>
      </c>
      <c r="B3245" s="1">
        <f>IFERROR(__xludf.DUMMYFUNCTION("""COMPUTED_VALUE"""),476.0)</f>
        <v>476</v>
      </c>
      <c r="C3245" s="1">
        <f>IFERROR(__xludf.DUMMYFUNCTION("""COMPUTED_VALUE"""),476.95)</f>
        <v>476.95</v>
      </c>
      <c r="D3245" s="1">
        <f>IFERROR(__xludf.DUMMYFUNCTION("""COMPUTED_VALUE"""),466.05)</f>
        <v>466.05</v>
      </c>
      <c r="E3245" s="1">
        <f>IFERROR(__xludf.DUMMYFUNCTION("""COMPUTED_VALUE"""),470.35)</f>
        <v>470.35</v>
      </c>
      <c r="F3245" s="1">
        <f>IFERROR(__xludf.DUMMYFUNCTION("""COMPUTED_VALUE"""),2867126.0)</f>
        <v>2867126</v>
      </c>
    </row>
    <row r="3246">
      <c r="A3246" s="2">
        <f>IFERROR(__xludf.DUMMYFUNCTION("""COMPUTED_VALUE"""),41303.645833333336)</f>
        <v>41303.64583</v>
      </c>
      <c r="B3246" s="1">
        <f>IFERROR(__xludf.DUMMYFUNCTION("""COMPUTED_VALUE"""),468.0)</f>
        <v>468</v>
      </c>
      <c r="C3246" s="1">
        <f>IFERROR(__xludf.DUMMYFUNCTION("""COMPUTED_VALUE"""),471.85)</f>
        <v>471.85</v>
      </c>
      <c r="D3246" s="1">
        <f>IFERROR(__xludf.DUMMYFUNCTION("""COMPUTED_VALUE"""),465.25)</f>
        <v>465.25</v>
      </c>
      <c r="E3246" s="1">
        <f>IFERROR(__xludf.DUMMYFUNCTION("""COMPUTED_VALUE"""),468.55)</f>
        <v>468.55</v>
      </c>
      <c r="F3246" s="1">
        <f>IFERROR(__xludf.DUMMYFUNCTION("""COMPUTED_VALUE"""),2203760.0)</f>
        <v>2203760</v>
      </c>
    </row>
    <row r="3247">
      <c r="A3247" s="2">
        <f>IFERROR(__xludf.DUMMYFUNCTION("""COMPUTED_VALUE"""),41304.645833333336)</f>
        <v>41304.64583</v>
      </c>
      <c r="B3247" s="1">
        <f>IFERROR(__xludf.DUMMYFUNCTION("""COMPUTED_VALUE"""),469.6)</f>
        <v>469.6</v>
      </c>
      <c r="C3247" s="1">
        <f>IFERROR(__xludf.DUMMYFUNCTION("""COMPUTED_VALUE"""),481.8)</f>
        <v>481.8</v>
      </c>
      <c r="D3247" s="1">
        <f>IFERROR(__xludf.DUMMYFUNCTION("""COMPUTED_VALUE"""),469.6)</f>
        <v>469.6</v>
      </c>
      <c r="E3247" s="1">
        <f>IFERROR(__xludf.DUMMYFUNCTION("""COMPUTED_VALUE"""),477.45)</f>
        <v>477.45</v>
      </c>
      <c r="F3247" s="1">
        <f>IFERROR(__xludf.DUMMYFUNCTION("""COMPUTED_VALUE"""),3235887.0)</f>
        <v>3235887</v>
      </c>
    </row>
    <row r="3248">
      <c r="A3248" s="2">
        <f>IFERROR(__xludf.DUMMYFUNCTION("""COMPUTED_VALUE"""),41305.645833333336)</f>
        <v>41305.64583</v>
      </c>
      <c r="B3248" s="1">
        <f>IFERROR(__xludf.DUMMYFUNCTION("""COMPUTED_VALUE"""),473.1)</f>
        <v>473.1</v>
      </c>
      <c r="C3248" s="1">
        <f>IFERROR(__xludf.DUMMYFUNCTION("""COMPUTED_VALUE"""),479.1)</f>
        <v>479.1</v>
      </c>
      <c r="D3248" s="1">
        <f>IFERROR(__xludf.DUMMYFUNCTION("""COMPUTED_VALUE"""),470.0)</f>
        <v>470</v>
      </c>
      <c r="E3248" s="1">
        <f>IFERROR(__xludf.DUMMYFUNCTION("""COMPUTED_VALUE"""),473.95)</f>
        <v>473.95</v>
      </c>
      <c r="F3248" s="1">
        <f>IFERROR(__xludf.DUMMYFUNCTION("""COMPUTED_VALUE"""),2602245.0)</f>
        <v>2602245</v>
      </c>
    </row>
    <row r="3249">
      <c r="A3249" s="2">
        <f>IFERROR(__xludf.DUMMYFUNCTION("""COMPUTED_VALUE"""),41306.645833333336)</f>
        <v>41306.64583</v>
      </c>
      <c r="B3249" s="1">
        <f>IFERROR(__xludf.DUMMYFUNCTION("""COMPUTED_VALUE"""),472.85)</f>
        <v>472.85</v>
      </c>
      <c r="C3249" s="1">
        <f>IFERROR(__xludf.DUMMYFUNCTION("""COMPUTED_VALUE"""),472.85)</f>
        <v>472.85</v>
      </c>
      <c r="D3249" s="1">
        <f>IFERROR(__xludf.DUMMYFUNCTION("""COMPUTED_VALUE"""),463.45)</f>
        <v>463.45</v>
      </c>
      <c r="E3249" s="1">
        <f>IFERROR(__xludf.DUMMYFUNCTION("""COMPUTED_VALUE"""),464.85)</f>
        <v>464.85</v>
      </c>
      <c r="F3249" s="1">
        <f>IFERROR(__xludf.DUMMYFUNCTION("""COMPUTED_VALUE"""),1778094.0)</f>
        <v>1778094</v>
      </c>
    </row>
    <row r="3250">
      <c r="A3250" s="2">
        <f>IFERROR(__xludf.DUMMYFUNCTION("""COMPUTED_VALUE"""),41309.645833333336)</f>
        <v>41309.64583</v>
      </c>
      <c r="B3250" s="1">
        <f>IFERROR(__xludf.DUMMYFUNCTION("""COMPUTED_VALUE"""),466.1)</f>
        <v>466.1</v>
      </c>
      <c r="C3250" s="1">
        <f>IFERROR(__xludf.DUMMYFUNCTION("""COMPUTED_VALUE"""),469.5)</f>
        <v>469.5</v>
      </c>
      <c r="D3250" s="1">
        <f>IFERROR(__xludf.DUMMYFUNCTION("""COMPUTED_VALUE"""),459.6)</f>
        <v>459.6</v>
      </c>
      <c r="E3250" s="1">
        <f>IFERROR(__xludf.DUMMYFUNCTION("""COMPUTED_VALUE"""),467.1)</f>
        <v>467.1</v>
      </c>
      <c r="F3250" s="1">
        <f>IFERROR(__xludf.DUMMYFUNCTION("""COMPUTED_VALUE"""),2333391.0)</f>
        <v>2333391</v>
      </c>
    </row>
    <row r="3251">
      <c r="A3251" s="2">
        <f>IFERROR(__xludf.DUMMYFUNCTION("""COMPUTED_VALUE"""),41310.645833333336)</f>
        <v>41310.64583</v>
      </c>
      <c r="B3251" s="1">
        <f>IFERROR(__xludf.DUMMYFUNCTION("""COMPUTED_VALUE"""),464.7)</f>
        <v>464.7</v>
      </c>
      <c r="C3251" s="1">
        <f>IFERROR(__xludf.DUMMYFUNCTION("""COMPUTED_VALUE"""),468.0)</f>
        <v>468</v>
      </c>
      <c r="D3251" s="1">
        <f>IFERROR(__xludf.DUMMYFUNCTION("""COMPUTED_VALUE"""),459.9)</f>
        <v>459.9</v>
      </c>
      <c r="E3251" s="1">
        <f>IFERROR(__xludf.DUMMYFUNCTION("""COMPUTED_VALUE"""),461.5)</f>
        <v>461.5</v>
      </c>
      <c r="F3251" s="1">
        <f>IFERROR(__xludf.DUMMYFUNCTION("""COMPUTED_VALUE"""),1464418.0)</f>
        <v>1464418</v>
      </c>
    </row>
    <row r="3252">
      <c r="A3252" s="2">
        <f>IFERROR(__xludf.DUMMYFUNCTION("""COMPUTED_VALUE"""),41311.645833333336)</f>
        <v>41311.64583</v>
      </c>
      <c r="B3252" s="1">
        <f>IFERROR(__xludf.DUMMYFUNCTION("""COMPUTED_VALUE"""),462.55)</f>
        <v>462.55</v>
      </c>
      <c r="C3252" s="1">
        <f>IFERROR(__xludf.DUMMYFUNCTION("""COMPUTED_VALUE"""),463.4)</f>
        <v>463.4</v>
      </c>
      <c r="D3252" s="1">
        <f>IFERROR(__xludf.DUMMYFUNCTION("""COMPUTED_VALUE"""),451.15)</f>
        <v>451.15</v>
      </c>
      <c r="E3252" s="1">
        <f>IFERROR(__xludf.DUMMYFUNCTION("""COMPUTED_VALUE"""),454.25)</f>
        <v>454.25</v>
      </c>
      <c r="F3252" s="1">
        <f>IFERROR(__xludf.DUMMYFUNCTION("""COMPUTED_VALUE"""),2398688.0)</f>
        <v>2398688</v>
      </c>
    </row>
    <row r="3253">
      <c r="A3253" s="2">
        <f>IFERROR(__xludf.DUMMYFUNCTION("""COMPUTED_VALUE"""),41312.645833333336)</f>
        <v>41312.64583</v>
      </c>
      <c r="B3253" s="1">
        <f>IFERROR(__xludf.DUMMYFUNCTION("""COMPUTED_VALUE"""),452.0)</f>
        <v>452</v>
      </c>
      <c r="C3253" s="1">
        <f>IFERROR(__xludf.DUMMYFUNCTION("""COMPUTED_VALUE"""),458.3)</f>
        <v>458.3</v>
      </c>
      <c r="D3253" s="1">
        <f>IFERROR(__xludf.DUMMYFUNCTION("""COMPUTED_VALUE"""),452.0)</f>
        <v>452</v>
      </c>
      <c r="E3253" s="1">
        <f>IFERROR(__xludf.DUMMYFUNCTION("""COMPUTED_VALUE"""),456.0)</f>
        <v>456</v>
      </c>
      <c r="F3253" s="1">
        <f>IFERROR(__xludf.DUMMYFUNCTION("""COMPUTED_VALUE"""),1306127.0)</f>
        <v>1306127</v>
      </c>
    </row>
    <row r="3254">
      <c r="A3254" s="2">
        <f>IFERROR(__xludf.DUMMYFUNCTION("""COMPUTED_VALUE"""),41313.645833333336)</f>
        <v>41313.64583</v>
      </c>
      <c r="B3254" s="1">
        <f>IFERROR(__xludf.DUMMYFUNCTION("""COMPUTED_VALUE"""),455.05)</f>
        <v>455.05</v>
      </c>
      <c r="C3254" s="1">
        <f>IFERROR(__xludf.DUMMYFUNCTION("""COMPUTED_VALUE"""),457.5)</f>
        <v>457.5</v>
      </c>
      <c r="D3254" s="1">
        <f>IFERROR(__xludf.DUMMYFUNCTION("""COMPUTED_VALUE"""),449.5)</f>
        <v>449.5</v>
      </c>
      <c r="E3254" s="1">
        <f>IFERROR(__xludf.DUMMYFUNCTION("""COMPUTED_VALUE"""),452.7)</f>
        <v>452.7</v>
      </c>
      <c r="F3254" s="1">
        <f>IFERROR(__xludf.DUMMYFUNCTION("""COMPUTED_VALUE"""),2054421.0)</f>
        <v>2054421</v>
      </c>
    </row>
    <row r="3255">
      <c r="A3255" s="2">
        <f>IFERROR(__xludf.DUMMYFUNCTION("""COMPUTED_VALUE"""),41316.645833333336)</f>
        <v>41316.64583</v>
      </c>
      <c r="B3255" s="1">
        <f>IFERROR(__xludf.DUMMYFUNCTION("""COMPUTED_VALUE"""),455.05)</f>
        <v>455.05</v>
      </c>
      <c r="C3255" s="1">
        <f>IFERROR(__xludf.DUMMYFUNCTION("""COMPUTED_VALUE"""),463.5)</f>
        <v>463.5</v>
      </c>
      <c r="D3255" s="1">
        <f>IFERROR(__xludf.DUMMYFUNCTION("""COMPUTED_VALUE"""),450.1)</f>
        <v>450.1</v>
      </c>
      <c r="E3255" s="1">
        <f>IFERROR(__xludf.DUMMYFUNCTION("""COMPUTED_VALUE"""),460.55)</f>
        <v>460.55</v>
      </c>
      <c r="F3255" s="1">
        <f>IFERROR(__xludf.DUMMYFUNCTION("""COMPUTED_VALUE"""),1687906.0)</f>
        <v>1687906</v>
      </c>
    </row>
    <row r="3256">
      <c r="A3256" s="2">
        <f>IFERROR(__xludf.DUMMYFUNCTION("""COMPUTED_VALUE"""),41317.645833333336)</f>
        <v>41317.64583</v>
      </c>
      <c r="B3256" s="1">
        <f>IFERROR(__xludf.DUMMYFUNCTION("""COMPUTED_VALUE"""),457.5)</f>
        <v>457.5</v>
      </c>
      <c r="C3256" s="1">
        <f>IFERROR(__xludf.DUMMYFUNCTION("""COMPUTED_VALUE"""),464.25)</f>
        <v>464.25</v>
      </c>
      <c r="D3256" s="1">
        <f>IFERROR(__xludf.DUMMYFUNCTION("""COMPUTED_VALUE"""),457.5)</f>
        <v>457.5</v>
      </c>
      <c r="E3256" s="1">
        <f>IFERROR(__xludf.DUMMYFUNCTION("""COMPUTED_VALUE"""),460.0)</f>
        <v>460</v>
      </c>
      <c r="F3256" s="1">
        <f>IFERROR(__xludf.DUMMYFUNCTION("""COMPUTED_VALUE"""),1161048.0)</f>
        <v>1161048</v>
      </c>
    </row>
    <row r="3257">
      <c r="A3257" s="2">
        <f>IFERROR(__xludf.DUMMYFUNCTION("""COMPUTED_VALUE"""),41318.645833333336)</f>
        <v>41318.64583</v>
      </c>
      <c r="B3257" s="1">
        <f>IFERROR(__xludf.DUMMYFUNCTION("""COMPUTED_VALUE"""),460.0)</f>
        <v>460</v>
      </c>
      <c r="C3257" s="1">
        <f>IFERROR(__xludf.DUMMYFUNCTION("""COMPUTED_VALUE"""),460.0)</f>
        <v>460</v>
      </c>
      <c r="D3257" s="1">
        <f>IFERROR(__xludf.DUMMYFUNCTION("""COMPUTED_VALUE"""),453.65)</f>
        <v>453.65</v>
      </c>
      <c r="E3257" s="1">
        <f>IFERROR(__xludf.DUMMYFUNCTION("""COMPUTED_VALUE"""),455.75)</f>
        <v>455.75</v>
      </c>
      <c r="F3257" s="1">
        <f>IFERROR(__xludf.DUMMYFUNCTION("""COMPUTED_VALUE"""),1457944.0)</f>
        <v>1457944</v>
      </c>
    </row>
    <row r="3258">
      <c r="A3258" s="2">
        <f>IFERROR(__xludf.DUMMYFUNCTION("""COMPUTED_VALUE"""),41319.645833333336)</f>
        <v>41319.64583</v>
      </c>
      <c r="B3258" s="1">
        <f>IFERROR(__xludf.DUMMYFUNCTION("""COMPUTED_VALUE"""),454.15)</f>
        <v>454.15</v>
      </c>
      <c r="C3258" s="1">
        <f>IFERROR(__xludf.DUMMYFUNCTION("""COMPUTED_VALUE"""),467.95)</f>
        <v>467.95</v>
      </c>
      <c r="D3258" s="1">
        <f>IFERROR(__xludf.DUMMYFUNCTION("""COMPUTED_VALUE"""),453.6)</f>
        <v>453.6</v>
      </c>
      <c r="E3258" s="1">
        <f>IFERROR(__xludf.DUMMYFUNCTION("""COMPUTED_VALUE"""),464.55)</f>
        <v>464.55</v>
      </c>
      <c r="F3258" s="1">
        <f>IFERROR(__xludf.DUMMYFUNCTION("""COMPUTED_VALUE"""),2698872.0)</f>
        <v>2698872</v>
      </c>
    </row>
    <row r="3259">
      <c r="A3259" s="2">
        <f>IFERROR(__xludf.DUMMYFUNCTION("""COMPUTED_VALUE"""),41320.645833333336)</f>
        <v>41320.64583</v>
      </c>
      <c r="B3259" s="1">
        <f>IFERROR(__xludf.DUMMYFUNCTION("""COMPUTED_VALUE"""),463.6)</f>
        <v>463.6</v>
      </c>
      <c r="C3259" s="1">
        <f>IFERROR(__xludf.DUMMYFUNCTION("""COMPUTED_VALUE"""),467.8)</f>
        <v>467.8</v>
      </c>
      <c r="D3259" s="1">
        <f>IFERROR(__xludf.DUMMYFUNCTION("""COMPUTED_VALUE"""),460.1)</f>
        <v>460.1</v>
      </c>
      <c r="E3259" s="1">
        <f>IFERROR(__xludf.DUMMYFUNCTION("""COMPUTED_VALUE"""),462.1)</f>
        <v>462.1</v>
      </c>
      <c r="F3259" s="1">
        <f>IFERROR(__xludf.DUMMYFUNCTION("""COMPUTED_VALUE"""),1446219.0)</f>
        <v>1446219</v>
      </c>
    </row>
    <row r="3260">
      <c r="A3260" s="2">
        <f>IFERROR(__xludf.DUMMYFUNCTION("""COMPUTED_VALUE"""),41323.645833333336)</f>
        <v>41323.64583</v>
      </c>
      <c r="B3260" s="1">
        <f>IFERROR(__xludf.DUMMYFUNCTION("""COMPUTED_VALUE"""),462.3)</f>
        <v>462.3</v>
      </c>
      <c r="C3260" s="1">
        <f>IFERROR(__xludf.DUMMYFUNCTION("""COMPUTED_VALUE"""),471.75)</f>
        <v>471.75</v>
      </c>
      <c r="D3260" s="1">
        <f>IFERROR(__xludf.DUMMYFUNCTION("""COMPUTED_VALUE"""),462.0)</f>
        <v>462</v>
      </c>
      <c r="E3260" s="1">
        <f>IFERROR(__xludf.DUMMYFUNCTION("""COMPUTED_VALUE"""),470.2)</f>
        <v>470.2</v>
      </c>
      <c r="F3260" s="1">
        <f>IFERROR(__xludf.DUMMYFUNCTION("""COMPUTED_VALUE"""),1116507.0)</f>
        <v>1116507</v>
      </c>
    </row>
    <row r="3261">
      <c r="A3261" s="2">
        <f>IFERROR(__xludf.DUMMYFUNCTION("""COMPUTED_VALUE"""),41324.645833333336)</f>
        <v>41324.64583</v>
      </c>
      <c r="B3261" s="1">
        <f>IFERROR(__xludf.DUMMYFUNCTION("""COMPUTED_VALUE"""),472.0)</f>
        <v>472</v>
      </c>
      <c r="C3261" s="1">
        <f>IFERROR(__xludf.DUMMYFUNCTION("""COMPUTED_VALUE"""),477.85)</f>
        <v>477.85</v>
      </c>
      <c r="D3261" s="1">
        <f>IFERROR(__xludf.DUMMYFUNCTION("""COMPUTED_VALUE"""),469.45)</f>
        <v>469.45</v>
      </c>
      <c r="E3261" s="1">
        <f>IFERROR(__xludf.DUMMYFUNCTION("""COMPUTED_VALUE"""),476.6)</f>
        <v>476.6</v>
      </c>
      <c r="F3261" s="1">
        <f>IFERROR(__xludf.DUMMYFUNCTION("""COMPUTED_VALUE"""),1684526.0)</f>
        <v>1684526</v>
      </c>
    </row>
    <row r="3262">
      <c r="A3262" s="2">
        <f>IFERROR(__xludf.DUMMYFUNCTION("""COMPUTED_VALUE"""),41325.645833333336)</f>
        <v>41325.64583</v>
      </c>
      <c r="B3262" s="1">
        <f>IFERROR(__xludf.DUMMYFUNCTION("""COMPUTED_VALUE"""),477.0)</f>
        <v>477</v>
      </c>
      <c r="C3262" s="1">
        <f>IFERROR(__xludf.DUMMYFUNCTION("""COMPUTED_VALUE"""),478.7)</f>
        <v>478.7</v>
      </c>
      <c r="D3262" s="1">
        <f>IFERROR(__xludf.DUMMYFUNCTION("""COMPUTED_VALUE"""),471.95)</f>
        <v>471.95</v>
      </c>
      <c r="E3262" s="1">
        <f>IFERROR(__xludf.DUMMYFUNCTION("""COMPUTED_VALUE"""),477.15)</f>
        <v>477.15</v>
      </c>
      <c r="F3262" s="1">
        <f>IFERROR(__xludf.DUMMYFUNCTION("""COMPUTED_VALUE"""),1257057.0)</f>
        <v>1257057</v>
      </c>
    </row>
    <row r="3263">
      <c r="A3263" s="2">
        <f>IFERROR(__xludf.DUMMYFUNCTION("""COMPUTED_VALUE"""),41326.645833333336)</f>
        <v>41326.64583</v>
      </c>
      <c r="B3263" s="1">
        <f>IFERROR(__xludf.DUMMYFUNCTION("""COMPUTED_VALUE"""),476.0)</f>
        <v>476</v>
      </c>
      <c r="C3263" s="1">
        <f>IFERROR(__xludf.DUMMYFUNCTION("""COMPUTED_VALUE"""),478.2)</f>
        <v>478.2</v>
      </c>
      <c r="D3263" s="1">
        <f>IFERROR(__xludf.DUMMYFUNCTION("""COMPUTED_VALUE"""),464.15)</f>
        <v>464.15</v>
      </c>
      <c r="E3263" s="1">
        <f>IFERROR(__xludf.DUMMYFUNCTION("""COMPUTED_VALUE"""),468.25)</f>
        <v>468.25</v>
      </c>
      <c r="F3263" s="1">
        <f>IFERROR(__xludf.DUMMYFUNCTION("""COMPUTED_VALUE"""),2049876.0)</f>
        <v>2049876</v>
      </c>
    </row>
    <row r="3264">
      <c r="A3264" s="2">
        <f>IFERROR(__xludf.DUMMYFUNCTION("""COMPUTED_VALUE"""),41327.645833333336)</f>
        <v>41327.64583</v>
      </c>
      <c r="B3264" s="1">
        <f>IFERROR(__xludf.DUMMYFUNCTION("""COMPUTED_VALUE"""),467.0)</f>
        <v>467</v>
      </c>
      <c r="C3264" s="1">
        <f>IFERROR(__xludf.DUMMYFUNCTION("""COMPUTED_VALUE"""),467.15)</f>
        <v>467.15</v>
      </c>
      <c r="D3264" s="1">
        <f>IFERROR(__xludf.DUMMYFUNCTION("""COMPUTED_VALUE"""),454.0)</f>
        <v>454</v>
      </c>
      <c r="E3264" s="1">
        <f>IFERROR(__xludf.DUMMYFUNCTION("""COMPUTED_VALUE"""),455.4)</f>
        <v>455.4</v>
      </c>
      <c r="F3264" s="1">
        <f>IFERROR(__xludf.DUMMYFUNCTION("""COMPUTED_VALUE"""),2420050.0)</f>
        <v>2420050</v>
      </c>
    </row>
    <row r="3265">
      <c r="A3265" s="2">
        <f>IFERROR(__xludf.DUMMYFUNCTION("""COMPUTED_VALUE"""),41330.645833333336)</f>
        <v>41330.64583</v>
      </c>
      <c r="B3265" s="1">
        <f>IFERROR(__xludf.DUMMYFUNCTION("""COMPUTED_VALUE"""),456.05)</f>
        <v>456.05</v>
      </c>
      <c r="C3265" s="1">
        <f>IFERROR(__xludf.DUMMYFUNCTION("""COMPUTED_VALUE"""),457.8)</f>
        <v>457.8</v>
      </c>
      <c r="D3265" s="1">
        <f>IFERROR(__xludf.DUMMYFUNCTION("""COMPUTED_VALUE"""),450.0)</f>
        <v>450</v>
      </c>
      <c r="E3265" s="1">
        <f>IFERROR(__xludf.DUMMYFUNCTION("""COMPUTED_VALUE"""),451.7)</f>
        <v>451.7</v>
      </c>
      <c r="F3265" s="1">
        <f>IFERROR(__xludf.DUMMYFUNCTION("""COMPUTED_VALUE"""),1483568.0)</f>
        <v>1483568</v>
      </c>
    </row>
    <row r="3266">
      <c r="A3266" s="2">
        <f>IFERROR(__xludf.DUMMYFUNCTION("""COMPUTED_VALUE"""),41331.645833333336)</f>
        <v>41331.64583</v>
      </c>
      <c r="B3266" s="1">
        <f>IFERROR(__xludf.DUMMYFUNCTION("""COMPUTED_VALUE"""),451.5)</f>
        <v>451.5</v>
      </c>
      <c r="C3266" s="1">
        <f>IFERROR(__xludf.DUMMYFUNCTION("""COMPUTED_VALUE"""),462.0)</f>
        <v>462</v>
      </c>
      <c r="D3266" s="1">
        <f>IFERROR(__xludf.DUMMYFUNCTION("""COMPUTED_VALUE"""),450.6)</f>
        <v>450.6</v>
      </c>
      <c r="E3266" s="1">
        <f>IFERROR(__xludf.DUMMYFUNCTION("""COMPUTED_VALUE"""),452.1)</f>
        <v>452.1</v>
      </c>
      <c r="F3266" s="1">
        <f>IFERROR(__xludf.DUMMYFUNCTION("""COMPUTED_VALUE"""),1591179.0)</f>
        <v>1591179</v>
      </c>
    </row>
    <row r="3267">
      <c r="A3267" s="2">
        <f>IFERROR(__xludf.DUMMYFUNCTION("""COMPUTED_VALUE"""),41332.645833333336)</f>
        <v>41332.64583</v>
      </c>
      <c r="B3267" s="1">
        <f>IFERROR(__xludf.DUMMYFUNCTION("""COMPUTED_VALUE"""),454.5)</f>
        <v>454.5</v>
      </c>
      <c r="C3267" s="1">
        <f>IFERROR(__xludf.DUMMYFUNCTION("""COMPUTED_VALUE"""),459.8)</f>
        <v>459.8</v>
      </c>
      <c r="D3267" s="1">
        <f>IFERROR(__xludf.DUMMYFUNCTION("""COMPUTED_VALUE"""),452.45)</f>
        <v>452.45</v>
      </c>
      <c r="E3267" s="1">
        <f>IFERROR(__xludf.DUMMYFUNCTION("""COMPUTED_VALUE"""),453.25)</f>
        <v>453.25</v>
      </c>
      <c r="F3267" s="1">
        <f>IFERROR(__xludf.DUMMYFUNCTION("""COMPUTED_VALUE"""),1530865.0)</f>
        <v>1530865</v>
      </c>
    </row>
    <row r="3268">
      <c r="A3268" s="2">
        <f>IFERROR(__xludf.DUMMYFUNCTION("""COMPUTED_VALUE"""),41333.645833333336)</f>
        <v>41333.64583</v>
      </c>
      <c r="B3268" s="1">
        <f>IFERROR(__xludf.DUMMYFUNCTION("""COMPUTED_VALUE"""),455.4)</f>
        <v>455.4</v>
      </c>
      <c r="C3268" s="1">
        <f>IFERROR(__xludf.DUMMYFUNCTION("""COMPUTED_VALUE"""),458.0)</f>
        <v>458</v>
      </c>
      <c r="D3268" s="1">
        <f>IFERROR(__xludf.DUMMYFUNCTION("""COMPUTED_VALUE"""),435.0)</f>
        <v>435</v>
      </c>
      <c r="E3268" s="1">
        <f>IFERROR(__xludf.DUMMYFUNCTION("""COMPUTED_VALUE"""),443.05)</f>
        <v>443.05</v>
      </c>
      <c r="F3268" s="1">
        <f>IFERROR(__xludf.DUMMYFUNCTION("""COMPUTED_VALUE"""),3984567.0)</f>
        <v>3984567</v>
      </c>
    </row>
    <row r="3269">
      <c r="A3269" s="2">
        <f>IFERROR(__xludf.DUMMYFUNCTION("""COMPUTED_VALUE"""),41334.645833333336)</f>
        <v>41334.64583</v>
      </c>
      <c r="B3269" s="1">
        <f>IFERROR(__xludf.DUMMYFUNCTION("""COMPUTED_VALUE"""),447.0)</f>
        <v>447</v>
      </c>
      <c r="C3269" s="1">
        <f>IFERROR(__xludf.DUMMYFUNCTION("""COMPUTED_VALUE"""),456.65)</f>
        <v>456.65</v>
      </c>
      <c r="D3269" s="1">
        <f>IFERROR(__xludf.DUMMYFUNCTION("""COMPUTED_VALUE"""),440.15)</f>
        <v>440.15</v>
      </c>
      <c r="E3269" s="1">
        <f>IFERROR(__xludf.DUMMYFUNCTION("""COMPUTED_VALUE"""),452.8)</f>
        <v>452.8</v>
      </c>
      <c r="F3269" s="1">
        <f>IFERROR(__xludf.DUMMYFUNCTION("""COMPUTED_VALUE"""),1620895.0)</f>
        <v>1620895</v>
      </c>
    </row>
    <row r="3270">
      <c r="A3270" s="2">
        <f>IFERROR(__xludf.DUMMYFUNCTION("""COMPUTED_VALUE"""),41337.645833333336)</f>
        <v>41337.64583</v>
      </c>
      <c r="B3270" s="1">
        <f>IFERROR(__xludf.DUMMYFUNCTION("""COMPUTED_VALUE"""),450.35)</f>
        <v>450.35</v>
      </c>
      <c r="C3270" s="1">
        <f>IFERROR(__xludf.DUMMYFUNCTION("""COMPUTED_VALUE"""),451.95)</f>
        <v>451.95</v>
      </c>
      <c r="D3270" s="1">
        <f>IFERROR(__xludf.DUMMYFUNCTION("""COMPUTED_VALUE"""),440.0)</f>
        <v>440</v>
      </c>
      <c r="E3270" s="1">
        <f>IFERROR(__xludf.DUMMYFUNCTION("""COMPUTED_VALUE"""),440.95)</f>
        <v>440.95</v>
      </c>
      <c r="F3270" s="1">
        <f>IFERROR(__xludf.DUMMYFUNCTION("""COMPUTED_VALUE"""),2112775.0)</f>
        <v>2112775</v>
      </c>
    </row>
    <row r="3271">
      <c r="A3271" s="2">
        <f>IFERROR(__xludf.DUMMYFUNCTION("""COMPUTED_VALUE"""),41338.645833333336)</f>
        <v>41338.64583</v>
      </c>
      <c r="B3271" s="1">
        <f>IFERROR(__xludf.DUMMYFUNCTION("""COMPUTED_VALUE"""),442.75)</f>
        <v>442.75</v>
      </c>
      <c r="C3271" s="1">
        <f>IFERROR(__xludf.DUMMYFUNCTION("""COMPUTED_VALUE"""),451.4)</f>
        <v>451.4</v>
      </c>
      <c r="D3271" s="1">
        <f>IFERROR(__xludf.DUMMYFUNCTION("""COMPUTED_VALUE"""),441.0)</f>
        <v>441</v>
      </c>
      <c r="E3271" s="1">
        <f>IFERROR(__xludf.DUMMYFUNCTION("""COMPUTED_VALUE"""),449.9)</f>
        <v>449.9</v>
      </c>
      <c r="F3271" s="1">
        <f>IFERROR(__xludf.DUMMYFUNCTION("""COMPUTED_VALUE"""),2602130.0)</f>
        <v>2602130</v>
      </c>
    </row>
    <row r="3272">
      <c r="A3272" s="2">
        <f>IFERROR(__xludf.DUMMYFUNCTION("""COMPUTED_VALUE"""),41339.645833333336)</f>
        <v>41339.64583</v>
      </c>
      <c r="B3272" s="1">
        <f>IFERROR(__xludf.DUMMYFUNCTION("""COMPUTED_VALUE"""),450.25)</f>
        <v>450.25</v>
      </c>
      <c r="C3272" s="1">
        <f>IFERROR(__xludf.DUMMYFUNCTION("""COMPUTED_VALUE"""),451.0)</f>
        <v>451</v>
      </c>
      <c r="D3272" s="1">
        <f>IFERROR(__xludf.DUMMYFUNCTION("""COMPUTED_VALUE"""),439.1)</f>
        <v>439.1</v>
      </c>
      <c r="E3272" s="1">
        <f>IFERROR(__xludf.DUMMYFUNCTION("""COMPUTED_VALUE"""),440.5)</f>
        <v>440.5</v>
      </c>
      <c r="F3272" s="1">
        <f>IFERROR(__xludf.DUMMYFUNCTION("""COMPUTED_VALUE"""),3117341.0)</f>
        <v>3117341</v>
      </c>
    </row>
    <row r="3273">
      <c r="A3273" s="2">
        <f>IFERROR(__xludf.DUMMYFUNCTION("""COMPUTED_VALUE"""),41340.645833333336)</f>
        <v>41340.64583</v>
      </c>
      <c r="B3273" s="1">
        <f>IFERROR(__xludf.DUMMYFUNCTION("""COMPUTED_VALUE"""),438.75)</f>
        <v>438.75</v>
      </c>
      <c r="C3273" s="1">
        <f>IFERROR(__xludf.DUMMYFUNCTION("""COMPUTED_VALUE"""),443.0)</f>
        <v>443</v>
      </c>
      <c r="D3273" s="1">
        <f>IFERROR(__xludf.DUMMYFUNCTION("""COMPUTED_VALUE"""),432.15)</f>
        <v>432.15</v>
      </c>
      <c r="E3273" s="1">
        <f>IFERROR(__xludf.DUMMYFUNCTION("""COMPUTED_VALUE"""),433.2)</f>
        <v>433.2</v>
      </c>
      <c r="F3273" s="1">
        <f>IFERROR(__xludf.DUMMYFUNCTION("""COMPUTED_VALUE"""),3510565.0)</f>
        <v>3510565</v>
      </c>
    </row>
    <row r="3274">
      <c r="A3274" s="2">
        <f>IFERROR(__xludf.DUMMYFUNCTION("""COMPUTED_VALUE"""),41341.645833333336)</f>
        <v>41341.64583</v>
      </c>
      <c r="B3274" s="1">
        <f>IFERROR(__xludf.DUMMYFUNCTION("""COMPUTED_VALUE"""),434.75)</f>
        <v>434.75</v>
      </c>
      <c r="C3274" s="1">
        <f>IFERROR(__xludf.DUMMYFUNCTION("""COMPUTED_VALUE"""),439.7)</f>
        <v>439.7</v>
      </c>
      <c r="D3274" s="1">
        <f>IFERROR(__xludf.DUMMYFUNCTION("""COMPUTED_VALUE"""),433.2)</f>
        <v>433.2</v>
      </c>
      <c r="E3274" s="1">
        <f>IFERROR(__xludf.DUMMYFUNCTION("""COMPUTED_VALUE"""),437.8)</f>
        <v>437.8</v>
      </c>
      <c r="F3274" s="1">
        <f>IFERROR(__xludf.DUMMYFUNCTION("""COMPUTED_VALUE"""),3710974.0)</f>
        <v>3710974</v>
      </c>
    </row>
    <row r="3275">
      <c r="A3275" s="2">
        <f>IFERROR(__xludf.DUMMYFUNCTION("""COMPUTED_VALUE"""),41344.645833333336)</f>
        <v>41344.64583</v>
      </c>
      <c r="B3275" s="1">
        <f>IFERROR(__xludf.DUMMYFUNCTION("""COMPUTED_VALUE"""),438.0)</f>
        <v>438</v>
      </c>
      <c r="C3275" s="1">
        <f>IFERROR(__xludf.DUMMYFUNCTION("""COMPUTED_VALUE"""),444.4)</f>
        <v>444.4</v>
      </c>
      <c r="D3275" s="1">
        <f>IFERROR(__xludf.DUMMYFUNCTION("""COMPUTED_VALUE"""),437.5)</f>
        <v>437.5</v>
      </c>
      <c r="E3275" s="1">
        <f>IFERROR(__xludf.DUMMYFUNCTION("""COMPUTED_VALUE"""),439.05)</f>
        <v>439.05</v>
      </c>
      <c r="F3275" s="1">
        <f>IFERROR(__xludf.DUMMYFUNCTION("""COMPUTED_VALUE"""),2172102.0)</f>
        <v>2172102</v>
      </c>
    </row>
    <row r="3276">
      <c r="A3276" s="2">
        <f>IFERROR(__xludf.DUMMYFUNCTION("""COMPUTED_VALUE"""),41345.645833333336)</f>
        <v>41345.64583</v>
      </c>
      <c r="B3276" s="1">
        <f>IFERROR(__xludf.DUMMYFUNCTION("""COMPUTED_VALUE"""),440.0)</f>
        <v>440</v>
      </c>
      <c r="C3276" s="1">
        <f>IFERROR(__xludf.DUMMYFUNCTION("""COMPUTED_VALUE"""),448.5)</f>
        <v>448.5</v>
      </c>
      <c r="D3276" s="1">
        <f>IFERROR(__xludf.DUMMYFUNCTION("""COMPUTED_VALUE"""),439.3)</f>
        <v>439.3</v>
      </c>
      <c r="E3276" s="1">
        <f>IFERROR(__xludf.DUMMYFUNCTION("""COMPUTED_VALUE"""),444.45)</f>
        <v>444.45</v>
      </c>
      <c r="F3276" s="1">
        <f>IFERROR(__xludf.DUMMYFUNCTION("""COMPUTED_VALUE"""),3055791.0)</f>
        <v>3055791</v>
      </c>
    </row>
    <row r="3277">
      <c r="A3277" s="2">
        <f>IFERROR(__xludf.DUMMYFUNCTION("""COMPUTED_VALUE"""),41346.645833333336)</f>
        <v>41346.64583</v>
      </c>
      <c r="B3277" s="1">
        <f>IFERROR(__xludf.DUMMYFUNCTION("""COMPUTED_VALUE"""),444.0)</f>
        <v>444</v>
      </c>
      <c r="C3277" s="1">
        <f>IFERROR(__xludf.DUMMYFUNCTION("""COMPUTED_VALUE"""),450.0)</f>
        <v>450</v>
      </c>
      <c r="D3277" s="1">
        <f>IFERROR(__xludf.DUMMYFUNCTION("""COMPUTED_VALUE"""),443.6)</f>
        <v>443.6</v>
      </c>
      <c r="E3277" s="1">
        <f>IFERROR(__xludf.DUMMYFUNCTION("""COMPUTED_VALUE"""),446.75)</f>
        <v>446.75</v>
      </c>
      <c r="F3277" s="1">
        <f>IFERROR(__xludf.DUMMYFUNCTION("""COMPUTED_VALUE"""),1964447.0)</f>
        <v>1964447</v>
      </c>
    </row>
    <row r="3278">
      <c r="A3278" s="2">
        <f>IFERROR(__xludf.DUMMYFUNCTION("""COMPUTED_VALUE"""),41347.645833333336)</f>
        <v>41347.64583</v>
      </c>
      <c r="B3278" s="1">
        <f>IFERROR(__xludf.DUMMYFUNCTION("""COMPUTED_VALUE"""),446.1)</f>
        <v>446.1</v>
      </c>
      <c r="C3278" s="1">
        <f>IFERROR(__xludf.DUMMYFUNCTION("""COMPUTED_VALUE"""),460.0)</f>
        <v>460</v>
      </c>
      <c r="D3278" s="1">
        <f>IFERROR(__xludf.DUMMYFUNCTION("""COMPUTED_VALUE"""),446.1)</f>
        <v>446.1</v>
      </c>
      <c r="E3278" s="1">
        <f>IFERROR(__xludf.DUMMYFUNCTION("""COMPUTED_VALUE"""),456.05)</f>
        <v>456.05</v>
      </c>
      <c r="F3278" s="1">
        <f>IFERROR(__xludf.DUMMYFUNCTION("""COMPUTED_VALUE"""),4887406.0)</f>
        <v>4887406</v>
      </c>
    </row>
    <row r="3279">
      <c r="A3279" s="2">
        <f>IFERROR(__xludf.DUMMYFUNCTION("""COMPUTED_VALUE"""),41348.645833333336)</f>
        <v>41348.64583</v>
      </c>
      <c r="B3279" s="1">
        <f>IFERROR(__xludf.DUMMYFUNCTION("""COMPUTED_VALUE"""),457.95)</f>
        <v>457.95</v>
      </c>
      <c r="C3279" s="1">
        <f>IFERROR(__xludf.DUMMYFUNCTION("""COMPUTED_VALUE"""),464.0)</f>
        <v>464</v>
      </c>
      <c r="D3279" s="1">
        <f>IFERROR(__xludf.DUMMYFUNCTION("""COMPUTED_VALUE"""),455.55)</f>
        <v>455.55</v>
      </c>
      <c r="E3279" s="1">
        <f>IFERROR(__xludf.DUMMYFUNCTION("""COMPUTED_VALUE"""),458.6)</f>
        <v>458.6</v>
      </c>
      <c r="F3279" s="1">
        <f>IFERROR(__xludf.DUMMYFUNCTION("""COMPUTED_VALUE"""),5763799.0)</f>
        <v>5763799</v>
      </c>
    </row>
    <row r="3280">
      <c r="A3280" s="2">
        <f>IFERROR(__xludf.DUMMYFUNCTION("""COMPUTED_VALUE"""),41351.645833333336)</f>
        <v>41351.64583</v>
      </c>
      <c r="B3280" s="1">
        <f>IFERROR(__xludf.DUMMYFUNCTION("""COMPUTED_VALUE"""),455.0)</f>
        <v>455</v>
      </c>
      <c r="C3280" s="1">
        <f>IFERROR(__xludf.DUMMYFUNCTION("""COMPUTED_VALUE"""),466.5)</f>
        <v>466.5</v>
      </c>
      <c r="D3280" s="1">
        <f>IFERROR(__xludf.DUMMYFUNCTION("""COMPUTED_VALUE"""),455.0)</f>
        <v>455</v>
      </c>
      <c r="E3280" s="1">
        <f>IFERROR(__xludf.DUMMYFUNCTION("""COMPUTED_VALUE"""),463.45)</f>
        <v>463.45</v>
      </c>
      <c r="F3280" s="1">
        <f>IFERROR(__xludf.DUMMYFUNCTION("""COMPUTED_VALUE"""),2315988.0)</f>
        <v>2315988</v>
      </c>
    </row>
    <row r="3281">
      <c r="A3281" s="2">
        <f>IFERROR(__xludf.DUMMYFUNCTION("""COMPUTED_VALUE"""),41352.645833333336)</f>
        <v>41352.64583</v>
      </c>
      <c r="B3281" s="1">
        <f>IFERROR(__xludf.DUMMYFUNCTION("""COMPUTED_VALUE"""),467.05)</f>
        <v>467.05</v>
      </c>
      <c r="C3281" s="1">
        <f>IFERROR(__xludf.DUMMYFUNCTION("""COMPUTED_VALUE"""),467.65)</f>
        <v>467.65</v>
      </c>
      <c r="D3281" s="1">
        <f>IFERROR(__xludf.DUMMYFUNCTION("""COMPUTED_VALUE"""),452.5)</f>
        <v>452.5</v>
      </c>
      <c r="E3281" s="1">
        <f>IFERROR(__xludf.DUMMYFUNCTION("""COMPUTED_VALUE"""),453.5)</f>
        <v>453.5</v>
      </c>
      <c r="F3281" s="1">
        <f>IFERROR(__xludf.DUMMYFUNCTION("""COMPUTED_VALUE"""),3089196.0)</f>
        <v>3089196</v>
      </c>
    </row>
    <row r="3282">
      <c r="A3282" s="2">
        <f>IFERROR(__xludf.DUMMYFUNCTION("""COMPUTED_VALUE"""),41353.645833333336)</f>
        <v>41353.64583</v>
      </c>
      <c r="B3282" s="1">
        <f>IFERROR(__xludf.DUMMYFUNCTION("""COMPUTED_VALUE"""),453.5)</f>
        <v>453.5</v>
      </c>
      <c r="C3282" s="1">
        <f>IFERROR(__xludf.DUMMYFUNCTION("""COMPUTED_VALUE"""),470.35)</f>
        <v>470.35</v>
      </c>
      <c r="D3282" s="1">
        <f>IFERROR(__xludf.DUMMYFUNCTION("""COMPUTED_VALUE"""),450.4)</f>
        <v>450.4</v>
      </c>
      <c r="E3282" s="1">
        <f>IFERROR(__xludf.DUMMYFUNCTION("""COMPUTED_VALUE"""),468.65)</f>
        <v>468.65</v>
      </c>
      <c r="F3282" s="1">
        <f>IFERROR(__xludf.DUMMYFUNCTION("""COMPUTED_VALUE"""),2681146.0)</f>
        <v>2681146</v>
      </c>
    </row>
    <row r="3283">
      <c r="A3283" s="2">
        <f>IFERROR(__xludf.DUMMYFUNCTION("""COMPUTED_VALUE"""),41354.645833333336)</f>
        <v>41354.64583</v>
      </c>
      <c r="B3283" s="1">
        <f>IFERROR(__xludf.DUMMYFUNCTION("""COMPUTED_VALUE"""),468.85)</f>
        <v>468.85</v>
      </c>
      <c r="C3283" s="1">
        <f>IFERROR(__xludf.DUMMYFUNCTION("""COMPUTED_VALUE"""),472.0)</f>
        <v>472</v>
      </c>
      <c r="D3283" s="1">
        <f>IFERROR(__xludf.DUMMYFUNCTION("""COMPUTED_VALUE"""),457.3)</f>
        <v>457.3</v>
      </c>
      <c r="E3283" s="1">
        <f>IFERROR(__xludf.DUMMYFUNCTION("""COMPUTED_VALUE"""),460.8)</f>
        <v>460.8</v>
      </c>
      <c r="F3283" s="1">
        <f>IFERROR(__xludf.DUMMYFUNCTION("""COMPUTED_VALUE"""),3649437.0)</f>
        <v>3649437</v>
      </c>
    </row>
    <row r="3284">
      <c r="A3284" s="2">
        <f>IFERROR(__xludf.DUMMYFUNCTION("""COMPUTED_VALUE"""),41355.645833333336)</f>
        <v>41355.64583</v>
      </c>
      <c r="B3284" s="1">
        <f>IFERROR(__xludf.DUMMYFUNCTION("""COMPUTED_VALUE"""),461.5)</f>
        <v>461.5</v>
      </c>
      <c r="C3284" s="1">
        <f>IFERROR(__xludf.DUMMYFUNCTION("""COMPUTED_VALUE"""),468.7)</f>
        <v>468.7</v>
      </c>
      <c r="D3284" s="1">
        <f>IFERROR(__xludf.DUMMYFUNCTION("""COMPUTED_VALUE"""),456.7)</f>
        <v>456.7</v>
      </c>
      <c r="E3284" s="1">
        <f>IFERROR(__xludf.DUMMYFUNCTION("""COMPUTED_VALUE"""),459.1)</f>
        <v>459.1</v>
      </c>
      <c r="F3284" s="1">
        <f>IFERROR(__xludf.DUMMYFUNCTION("""COMPUTED_VALUE"""),2023676.0)</f>
        <v>2023676</v>
      </c>
    </row>
    <row r="3285">
      <c r="A3285" s="2">
        <f>IFERROR(__xludf.DUMMYFUNCTION("""COMPUTED_VALUE"""),41358.645833333336)</f>
        <v>41358.64583</v>
      </c>
      <c r="B3285" s="1">
        <f>IFERROR(__xludf.DUMMYFUNCTION("""COMPUTED_VALUE"""),463.15)</f>
        <v>463.15</v>
      </c>
      <c r="C3285" s="1">
        <f>IFERROR(__xludf.DUMMYFUNCTION("""COMPUTED_VALUE"""),465.0)</f>
        <v>465</v>
      </c>
      <c r="D3285" s="1">
        <f>IFERROR(__xludf.DUMMYFUNCTION("""COMPUTED_VALUE"""),458.35)</f>
        <v>458.35</v>
      </c>
      <c r="E3285" s="1">
        <f>IFERROR(__xludf.DUMMYFUNCTION("""COMPUTED_VALUE"""),461.3)</f>
        <v>461.3</v>
      </c>
      <c r="F3285" s="1">
        <f>IFERROR(__xludf.DUMMYFUNCTION("""COMPUTED_VALUE"""),1175950.0)</f>
        <v>1175950</v>
      </c>
    </row>
    <row r="3286">
      <c r="A3286" s="2">
        <f>IFERROR(__xludf.DUMMYFUNCTION("""COMPUTED_VALUE"""),41359.645833333336)</f>
        <v>41359.64583</v>
      </c>
      <c r="B3286" s="1">
        <f>IFERROR(__xludf.DUMMYFUNCTION("""COMPUTED_VALUE"""),462.6)</f>
        <v>462.6</v>
      </c>
      <c r="C3286" s="1">
        <f>IFERROR(__xludf.DUMMYFUNCTION("""COMPUTED_VALUE"""),475.8)</f>
        <v>475.8</v>
      </c>
      <c r="D3286" s="1">
        <f>IFERROR(__xludf.DUMMYFUNCTION("""COMPUTED_VALUE"""),462.6)</f>
        <v>462.6</v>
      </c>
      <c r="E3286" s="1">
        <f>IFERROR(__xludf.DUMMYFUNCTION("""COMPUTED_VALUE"""),472.7)</f>
        <v>472.7</v>
      </c>
      <c r="F3286" s="1">
        <f>IFERROR(__xludf.DUMMYFUNCTION("""COMPUTED_VALUE"""),2577126.0)</f>
        <v>2577126</v>
      </c>
    </row>
    <row r="3287">
      <c r="A3287" s="2">
        <f>IFERROR(__xludf.DUMMYFUNCTION("""COMPUTED_VALUE"""),41361.645833333336)</f>
        <v>41361.64583</v>
      </c>
      <c r="B3287" s="1">
        <f>IFERROR(__xludf.DUMMYFUNCTION("""COMPUTED_VALUE"""),471.0)</f>
        <v>471</v>
      </c>
      <c r="C3287" s="1">
        <f>IFERROR(__xludf.DUMMYFUNCTION("""COMPUTED_VALUE"""),472.45)</f>
        <v>472.45</v>
      </c>
      <c r="D3287" s="1">
        <f>IFERROR(__xludf.DUMMYFUNCTION("""COMPUTED_VALUE"""),462.85)</f>
        <v>462.85</v>
      </c>
      <c r="E3287" s="1">
        <f>IFERROR(__xludf.DUMMYFUNCTION("""COMPUTED_VALUE"""),466.95)</f>
        <v>466.95</v>
      </c>
      <c r="F3287" s="1">
        <f>IFERROR(__xludf.DUMMYFUNCTION("""COMPUTED_VALUE"""),5842644.0)</f>
        <v>5842644</v>
      </c>
    </row>
    <row r="3288">
      <c r="A3288" s="2">
        <f>IFERROR(__xludf.DUMMYFUNCTION("""COMPUTED_VALUE"""),41365.645833333336)</f>
        <v>41365.64583</v>
      </c>
      <c r="B3288" s="1">
        <f>IFERROR(__xludf.DUMMYFUNCTION("""COMPUTED_VALUE"""),466.0)</f>
        <v>466</v>
      </c>
      <c r="C3288" s="1">
        <f>IFERROR(__xludf.DUMMYFUNCTION("""COMPUTED_VALUE"""),474.8)</f>
        <v>474.8</v>
      </c>
      <c r="D3288" s="1">
        <f>IFERROR(__xludf.DUMMYFUNCTION("""COMPUTED_VALUE"""),465.1)</f>
        <v>465.1</v>
      </c>
      <c r="E3288" s="1">
        <f>IFERROR(__xludf.DUMMYFUNCTION("""COMPUTED_VALUE"""),471.35)</f>
        <v>471.35</v>
      </c>
      <c r="F3288" s="1">
        <f>IFERROR(__xludf.DUMMYFUNCTION("""COMPUTED_VALUE"""),944417.0)</f>
        <v>944417</v>
      </c>
    </row>
    <row r="3289">
      <c r="A3289" s="2">
        <f>IFERROR(__xludf.DUMMYFUNCTION("""COMPUTED_VALUE"""),41366.645833333336)</f>
        <v>41366.64583</v>
      </c>
      <c r="B3289" s="1">
        <f>IFERROR(__xludf.DUMMYFUNCTION("""COMPUTED_VALUE"""),471.0)</f>
        <v>471</v>
      </c>
      <c r="C3289" s="1">
        <f>IFERROR(__xludf.DUMMYFUNCTION("""COMPUTED_VALUE"""),474.0)</f>
        <v>474</v>
      </c>
      <c r="D3289" s="1">
        <f>IFERROR(__xludf.DUMMYFUNCTION("""COMPUTED_VALUE"""),468.8)</f>
        <v>468.8</v>
      </c>
      <c r="E3289" s="1">
        <f>IFERROR(__xludf.DUMMYFUNCTION("""COMPUTED_VALUE"""),470.9)</f>
        <v>470.9</v>
      </c>
      <c r="F3289" s="1">
        <f>IFERROR(__xludf.DUMMYFUNCTION("""COMPUTED_VALUE"""),855108.0)</f>
        <v>855108</v>
      </c>
    </row>
    <row r="3290">
      <c r="A3290" s="2">
        <f>IFERROR(__xludf.DUMMYFUNCTION("""COMPUTED_VALUE"""),41367.645833333336)</f>
        <v>41367.64583</v>
      </c>
      <c r="B3290" s="1">
        <f>IFERROR(__xludf.DUMMYFUNCTION("""COMPUTED_VALUE"""),467.4)</f>
        <v>467.4</v>
      </c>
      <c r="C3290" s="1">
        <f>IFERROR(__xludf.DUMMYFUNCTION("""COMPUTED_VALUE"""),470.95)</f>
        <v>470.95</v>
      </c>
      <c r="D3290" s="1">
        <f>IFERROR(__xludf.DUMMYFUNCTION("""COMPUTED_VALUE"""),461.1)</f>
        <v>461.1</v>
      </c>
      <c r="E3290" s="1">
        <f>IFERROR(__xludf.DUMMYFUNCTION("""COMPUTED_VALUE"""),462.8)</f>
        <v>462.8</v>
      </c>
      <c r="F3290" s="1">
        <f>IFERROR(__xludf.DUMMYFUNCTION("""COMPUTED_VALUE"""),1700086.0)</f>
        <v>1700086</v>
      </c>
    </row>
    <row r="3291">
      <c r="A3291" s="2">
        <f>IFERROR(__xludf.DUMMYFUNCTION("""COMPUTED_VALUE"""),41368.645833333336)</f>
        <v>41368.64583</v>
      </c>
      <c r="B3291" s="1">
        <f>IFERROR(__xludf.DUMMYFUNCTION("""COMPUTED_VALUE"""),461.55)</f>
        <v>461.55</v>
      </c>
      <c r="C3291" s="1">
        <f>IFERROR(__xludf.DUMMYFUNCTION("""COMPUTED_VALUE"""),471.7)</f>
        <v>471.7</v>
      </c>
      <c r="D3291" s="1">
        <f>IFERROR(__xludf.DUMMYFUNCTION("""COMPUTED_VALUE"""),461.55)</f>
        <v>461.55</v>
      </c>
      <c r="E3291" s="1">
        <f>IFERROR(__xludf.DUMMYFUNCTION("""COMPUTED_VALUE"""),470.05)</f>
        <v>470.05</v>
      </c>
      <c r="F3291" s="1">
        <f>IFERROR(__xludf.DUMMYFUNCTION("""COMPUTED_VALUE"""),1726008.0)</f>
        <v>1726008</v>
      </c>
    </row>
    <row r="3292">
      <c r="A3292" s="2">
        <f>IFERROR(__xludf.DUMMYFUNCTION("""COMPUTED_VALUE"""),41369.645833333336)</f>
        <v>41369.64583</v>
      </c>
      <c r="B3292" s="1">
        <f>IFERROR(__xludf.DUMMYFUNCTION("""COMPUTED_VALUE"""),469.95)</f>
        <v>469.95</v>
      </c>
      <c r="C3292" s="1">
        <f>IFERROR(__xludf.DUMMYFUNCTION("""COMPUTED_VALUE"""),474.4)</f>
        <v>474.4</v>
      </c>
      <c r="D3292" s="1">
        <f>IFERROR(__xludf.DUMMYFUNCTION("""COMPUTED_VALUE"""),468.35)</f>
        <v>468.35</v>
      </c>
      <c r="E3292" s="1">
        <f>IFERROR(__xludf.DUMMYFUNCTION("""COMPUTED_VALUE"""),471.7)</f>
        <v>471.7</v>
      </c>
      <c r="F3292" s="1">
        <f>IFERROR(__xludf.DUMMYFUNCTION("""COMPUTED_VALUE"""),1372376.0)</f>
        <v>1372376</v>
      </c>
    </row>
    <row r="3293">
      <c r="A3293" s="2">
        <f>IFERROR(__xludf.DUMMYFUNCTION("""COMPUTED_VALUE"""),41372.645833333336)</f>
        <v>41372.64583</v>
      </c>
      <c r="B3293" s="1">
        <f>IFERROR(__xludf.DUMMYFUNCTION("""COMPUTED_VALUE"""),471.0)</f>
        <v>471</v>
      </c>
      <c r="C3293" s="1">
        <f>IFERROR(__xludf.DUMMYFUNCTION("""COMPUTED_VALUE"""),479.35)</f>
        <v>479.35</v>
      </c>
      <c r="D3293" s="1">
        <f>IFERROR(__xludf.DUMMYFUNCTION("""COMPUTED_VALUE"""),471.0)</f>
        <v>471</v>
      </c>
      <c r="E3293" s="1">
        <f>IFERROR(__xludf.DUMMYFUNCTION("""COMPUTED_VALUE"""),477.95)</f>
        <v>477.95</v>
      </c>
      <c r="F3293" s="1">
        <f>IFERROR(__xludf.DUMMYFUNCTION("""COMPUTED_VALUE"""),1869019.0)</f>
        <v>1869019</v>
      </c>
    </row>
    <row r="3294">
      <c r="A3294" s="2">
        <f>IFERROR(__xludf.DUMMYFUNCTION("""COMPUTED_VALUE"""),41373.645833333336)</f>
        <v>41373.64583</v>
      </c>
      <c r="B3294" s="1">
        <f>IFERROR(__xludf.DUMMYFUNCTION("""COMPUTED_VALUE"""),479.05)</f>
        <v>479.05</v>
      </c>
      <c r="C3294" s="1">
        <f>IFERROR(__xludf.DUMMYFUNCTION("""COMPUTED_VALUE"""),480.5)</f>
        <v>480.5</v>
      </c>
      <c r="D3294" s="1">
        <f>IFERROR(__xludf.DUMMYFUNCTION("""COMPUTED_VALUE"""),469.15)</f>
        <v>469.15</v>
      </c>
      <c r="E3294" s="1">
        <f>IFERROR(__xludf.DUMMYFUNCTION("""COMPUTED_VALUE"""),472.15)</f>
        <v>472.15</v>
      </c>
      <c r="F3294" s="1">
        <f>IFERROR(__xludf.DUMMYFUNCTION("""COMPUTED_VALUE"""),3098313.0)</f>
        <v>3098313</v>
      </c>
    </row>
    <row r="3295">
      <c r="A3295" s="2">
        <f>IFERROR(__xludf.DUMMYFUNCTION("""COMPUTED_VALUE"""),41374.645833333336)</f>
        <v>41374.64583</v>
      </c>
      <c r="B3295" s="1">
        <f>IFERROR(__xludf.DUMMYFUNCTION("""COMPUTED_VALUE"""),477.0)</f>
        <v>477</v>
      </c>
      <c r="C3295" s="1">
        <f>IFERROR(__xludf.DUMMYFUNCTION("""COMPUTED_VALUE"""),477.0)</f>
        <v>477</v>
      </c>
      <c r="D3295" s="1">
        <f>IFERROR(__xludf.DUMMYFUNCTION("""COMPUTED_VALUE"""),465.2)</f>
        <v>465.2</v>
      </c>
      <c r="E3295" s="1">
        <f>IFERROR(__xludf.DUMMYFUNCTION("""COMPUTED_VALUE"""),467.95)</f>
        <v>467.95</v>
      </c>
      <c r="F3295" s="1">
        <f>IFERROR(__xludf.DUMMYFUNCTION("""COMPUTED_VALUE"""),2033464.0)</f>
        <v>2033464</v>
      </c>
    </row>
    <row r="3296">
      <c r="A3296" s="2">
        <f>IFERROR(__xludf.DUMMYFUNCTION("""COMPUTED_VALUE"""),41375.645833333336)</f>
        <v>41375.64583</v>
      </c>
      <c r="B3296" s="1">
        <f>IFERROR(__xludf.DUMMYFUNCTION("""COMPUTED_VALUE"""),472.8)</f>
        <v>472.8</v>
      </c>
      <c r="C3296" s="1">
        <f>IFERROR(__xludf.DUMMYFUNCTION("""COMPUTED_VALUE"""),474.0)</f>
        <v>474</v>
      </c>
      <c r="D3296" s="1">
        <f>IFERROR(__xludf.DUMMYFUNCTION("""COMPUTED_VALUE"""),465.0)</f>
        <v>465</v>
      </c>
      <c r="E3296" s="1">
        <f>IFERROR(__xludf.DUMMYFUNCTION("""COMPUTED_VALUE"""),471.65)</f>
        <v>471.65</v>
      </c>
      <c r="F3296" s="1">
        <f>IFERROR(__xludf.DUMMYFUNCTION("""COMPUTED_VALUE"""),2194005.0)</f>
        <v>2194005</v>
      </c>
    </row>
    <row r="3297">
      <c r="A3297" s="2">
        <f>IFERROR(__xludf.DUMMYFUNCTION("""COMPUTED_VALUE"""),41376.645833333336)</f>
        <v>41376.64583</v>
      </c>
      <c r="B3297" s="1">
        <f>IFERROR(__xludf.DUMMYFUNCTION("""COMPUTED_VALUE"""),468.1)</f>
        <v>468.1</v>
      </c>
      <c r="C3297" s="1">
        <f>IFERROR(__xludf.DUMMYFUNCTION("""COMPUTED_VALUE"""),480.0)</f>
        <v>480</v>
      </c>
      <c r="D3297" s="1">
        <f>IFERROR(__xludf.DUMMYFUNCTION("""COMPUTED_VALUE"""),468.1)</f>
        <v>468.1</v>
      </c>
      <c r="E3297" s="1">
        <f>IFERROR(__xludf.DUMMYFUNCTION("""COMPUTED_VALUE"""),479.05)</f>
        <v>479.05</v>
      </c>
      <c r="F3297" s="1">
        <f>IFERROR(__xludf.DUMMYFUNCTION("""COMPUTED_VALUE"""),1502206.0)</f>
        <v>1502206</v>
      </c>
    </row>
    <row r="3298">
      <c r="A3298" s="2">
        <f>IFERROR(__xludf.DUMMYFUNCTION("""COMPUTED_VALUE"""),41379.645833333336)</f>
        <v>41379.64583</v>
      </c>
      <c r="B3298" s="1">
        <f>IFERROR(__xludf.DUMMYFUNCTION("""COMPUTED_VALUE"""),479.1)</f>
        <v>479.1</v>
      </c>
      <c r="C3298" s="1">
        <f>IFERROR(__xludf.DUMMYFUNCTION("""COMPUTED_VALUE"""),479.7)</f>
        <v>479.7</v>
      </c>
      <c r="D3298" s="1">
        <f>IFERROR(__xludf.DUMMYFUNCTION("""COMPUTED_VALUE"""),470.6)</f>
        <v>470.6</v>
      </c>
      <c r="E3298" s="1">
        <f>IFERROR(__xludf.DUMMYFUNCTION("""COMPUTED_VALUE"""),475.0)</f>
        <v>475</v>
      </c>
      <c r="F3298" s="1">
        <f>IFERROR(__xludf.DUMMYFUNCTION("""COMPUTED_VALUE"""),1378046.0)</f>
        <v>1378046</v>
      </c>
    </row>
    <row r="3299">
      <c r="A3299" s="2">
        <f>IFERROR(__xludf.DUMMYFUNCTION("""COMPUTED_VALUE"""),41380.645833333336)</f>
        <v>41380.64583</v>
      </c>
      <c r="B3299" s="1">
        <f>IFERROR(__xludf.DUMMYFUNCTION("""COMPUTED_VALUE"""),473.0)</f>
        <v>473</v>
      </c>
      <c r="C3299" s="1">
        <f>IFERROR(__xludf.DUMMYFUNCTION("""COMPUTED_VALUE"""),487.0)</f>
        <v>487</v>
      </c>
      <c r="D3299" s="1">
        <f>IFERROR(__xludf.DUMMYFUNCTION("""COMPUTED_VALUE"""),471.5)</f>
        <v>471.5</v>
      </c>
      <c r="E3299" s="1">
        <f>IFERROR(__xludf.DUMMYFUNCTION("""COMPUTED_VALUE"""),485.8)</f>
        <v>485.8</v>
      </c>
      <c r="F3299" s="1">
        <f>IFERROR(__xludf.DUMMYFUNCTION("""COMPUTED_VALUE"""),1451228.0)</f>
        <v>1451228</v>
      </c>
    </row>
    <row r="3300">
      <c r="A3300" s="2">
        <f>IFERROR(__xludf.DUMMYFUNCTION("""COMPUTED_VALUE"""),41381.645833333336)</f>
        <v>41381.64583</v>
      </c>
      <c r="B3300" s="1">
        <f>IFERROR(__xludf.DUMMYFUNCTION("""COMPUTED_VALUE"""),484.0)</f>
        <v>484</v>
      </c>
      <c r="C3300" s="1">
        <f>IFERROR(__xludf.DUMMYFUNCTION("""COMPUTED_VALUE"""),487.95)</f>
        <v>487.95</v>
      </c>
      <c r="D3300" s="1">
        <f>IFERROR(__xludf.DUMMYFUNCTION("""COMPUTED_VALUE"""),482.05)</f>
        <v>482.05</v>
      </c>
      <c r="E3300" s="1">
        <f>IFERROR(__xludf.DUMMYFUNCTION("""COMPUTED_VALUE"""),483.05)</f>
        <v>483.05</v>
      </c>
      <c r="F3300" s="1">
        <f>IFERROR(__xludf.DUMMYFUNCTION("""COMPUTED_VALUE"""),2711366.0)</f>
        <v>2711366</v>
      </c>
    </row>
    <row r="3301">
      <c r="A3301" s="2">
        <f>IFERROR(__xludf.DUMMYFUNCTION("""COMPUTED_VALUE"""),41382.645833333336)</f>
        <v>41382.64583</v>
      </c>
      <c r="B3301" s="1">
        <f>IFERROR(__xludf.DUMMYFUNCTION("""COMPUTED_VALUE"""),482.35)</f>
        <v>482.35</v>
      </c>
      <c r="C3301" s="1">
        <f>IFERROR(__xludf.DUMMYFUNCTION("""COMPUTED_VALUE"""),487.5)</f>
        <v>487.5</v>
      </c>
      <c r="D3301" s="1">
        <f>IFERROR(__xludf.DUMMYFUNCTION("""COMPUTED_VALUE"""),481.25)</f>
        <v>481.25</v>
      </c>
      <c r="E3301" s="1">
        <f>IFERROR(__xludf.DUMMYFUNCTION("""COMPUTED_VALUE"""),483.2)</f>
        <v>483.2</v>
      </c>
      <c r="F3301" s="1">
        <f>IFERROR(__xludf.DUMMYFUNCTION("""COMPUTED_VALUE"""),2197874.0)</f>
        <v>2197874</v>
      </c>
    </row>
    <row r="3302">
      <c r="A3302" s="2">
        <f>IFERROR(__xludf.DUMMYFUNCTION("""COMPUTED_VALUE"""),41386.645833333336)</f>
        <v>41386.64583</v>
      </c>
      <c r="B3302" s="1">
        <f>IFERROR(__xludf.DUMMYFUNCTION("""COMPUTED_VALUE"""),482.6)</f>
        <v>482.6</v>
      </c>
      <c r="C3302" s="1">
        <f>IFERROR(__xludf.DUMMYFUNCTION("""COMPUTED_VALUE"""),487.0)</f>
        <v>487</v>
      </c>
      <c r="D3302" s="1">
        <f>IFERROR(__xludf.DUMMYFUNCTION("""COMPUTED_VALUE"""),481.15)</f>
        <v>481.15</v>
      </c>
      <c r="E3302" s="1">
        <f>IFERROR(__xludf.DUMMYFUNCTION("""COMPUTED_VALUE"""),482.9)</f>
        <v>482.9</v>
      </c>
      <c r="F3302" s="1">
        <f>IFERROR(__xludf.DUMMYFUNCTION("""COMPUTED_VALUE"""),2283739.0)</f>
        <v>2283739</v>
      </c>
    </row>
    <row r="3303">
      <c r="A3303" s="2">
        <f>IFERROR(__xludf.DUMMYFUNCTION("""COMPUTED_VALUE"""),41387.645833333336)</f>
        <v>41387.64583</v>
      </c>
      <c r="B3303" s="1">
        <f>IFERROR(__xludf.DUMMYFUNCTION("""COMPUTED_VALUE"""),482.0)</f>
        <v>482</v>
      </c>
      <c r="C3303" s="1">
        <f>IFERROR(__xludf.DUMMYFUNCTION("""COMPUTED_VALUE"""),489.5)</f>
        <v>489.5</v>
      </c>
      <c r="D3303" s="1">
        <f>IFERROR(__xludf.DUMMYFUNCTION("""COMPUTED_VALUE"""),477.65)</f>
        <v>477.65</v>
      </c>
      <c r="E3303" s="1">
        <f>IFERROR(__xludf.DUMMYFUNCTION("""COMPUTED_VALUE"""),479.35)</f>
        <v>479.35</v>
      </c>
      <c r="F3303" s="1">
        <f>IFERROR(__xludf.DUMMYFUNCTION("""COMPUTED_VALUE"""),1320840.0)</f>
        <v>1320840</v>
      </c>
    </row>
    <row r="3304">
      <c r="A3304" s="2">
        <f>IFERROR(__xludf.DUMMYFUNCTION("""COMPUTED_VALUE"""),41389.645833333336)</f>
        <v>41389.64583</v>
      </c>
      <c r="B3304" s="1">
        <f>IFERROR(__xludf.DUMMYFUNCTION("""COMPUTED_VALUE"""),480.25)</f>
        <v>480.25</v>
      </c>
      <c r="C3304" s="1">
        <f>IFERROR(__xludf.DUMMYFUNCTION("""COMPUTED_VALUE"""),486.35)</f>
        <v>486.35</v>
      </c>
      <c r="D3304" s="1">
        <f>IFERROR(__xludf.DUMMYFUNCTION("""COMPUTED_VALUE"""),469.1)</f>
        <v>469.1</v>
      </c>
      <c r="E3304" s="1">
        <f>IFERROR(__xludf.DUMMYFUNCTION("""COMPUTED_VALUE"""),478.65)</f>
        <v>478.65</v>
      </c>
      <c r="F3304" s="1">
        <f>IFERROR(__xludf.DUMMYFUNCTION("""COMPUTED_VALUE"""),2833099.0)</f>
        <v>2833099</v>
      </c>
    </row>
    <row r="3305">
      <c r="A3305" s="2">
        <f>IFERROR(__xludf.DUMMYFUNCTION("""COMPUTED_VALUE"""),41390.645833333336)</f>
        <v>41390.64583</v>
      </c>
      <c r="B3305" s="1">
        <f>IFERROR(__xludf.DUMMYFUNCTION("""COMPUTED_VALUE"""),477.35)</f>
        <v>477.35</v>
      </c>
      <c r="C3305" s="1">
        <f>IFERROR(__xludf.DUMMYFUNCTION("""COMPUTED_VALUE"""),477.35)</f>
        <v>477.35</v>
      </c>
      <c r="D3305" s="1">
        <f>IFERROR(__xludf.DUMMYFUNCTION("""COMPUTED_VALUE"""),462.7)</f>
        <v>462.7</v>
      </c>
      <c r="E3305" s="1">
        <f>IFERROR(__xludf.DUMMYFUNCTION("""COMPUTED_VALUE"""),465.05)</f>
        <v>465.05</v>
      </c>
      <c r="F3305" s="1">
        <f>IFERROR(__xludf.DUMMYFUNCTION("""COMPUTED_VALUE"""),2239631.0)</f>
        <v>2239631</v>
      </c>
    </row>
    <row r="3306">
      <c r="A3306" s="2">
        <f>IFERROR(__xludf.DUMMYFUNCTION("""COMPUTED_VALUE"""),41393.645833333336)</f>
        <v>41393.64583</v>
      </c>
      <c r="B3306" s="1">
        <f>IFERROR(__xludf.DUMMYFUNCTION("""COMPUTED_VALUE"""),465.0)</f>
        <v>465</v>
      </c>
      <c r="C3306" s="1">
        <f>IFERROR(__xludf.DUMMYFUNCTION("""COMPUTED_VALUE"""),499.65)</f>
        <v>499.65</v>
      </c>
      <c r="D3306" s="1">
        <f>IFERROR(__xludf.DUMMYFUNCTION("""COMPUTED_VALUE"""),457.6)</f>
        <v>457.6</v>
      </c>
      <c r="E3306" s="1">
        <f>IFERROR(__xludf.DUMMYFUNCTION("""COMPUTED_VALUE"""),497.35)</f>
        <v>497.35</v>
      </c>
      <c r="F3306" s="1">
        <f>IFERROR(__xludf.DUMMYFUNCTION("""COMPUTED_VALUE"""),1.1096404E7)</f>
        <v>11096404</v>
      </c>
    </row>
    <row r="3307">
      <c r="A3307" s="2">
        <f>IFERROR(__xludf.DUMMYFUNCTION("""COMPUTED_VALUE"""),41394.645833333336)</f>
        <v>41394.64583</v>
      </c>
      <c r="B3307" s="1">
        <f>IFERROR(__xludf.DUMMYFUNCTION("""COMPUTED_VALUE"""),547.05)</f>
        <v>547.05</v>
      </c>
      <c r="C3307" s="1">
        <f>IFERROR(__xludf.DUMMYFUNCTION("""COMPUTED_VALUE"""),597.0)</f>
        <v>597</v>
      </c>
      <c r="D3307" s="1">
        <f>IFERROR(__xludf.DUMMYFUNCTION("""COMPUTED_VALUE"""),547.05)</f>
        <v>547.05</v>
      </c>
      <c r="E3307" s="1">
        <f>IFERROR(__xludf.DUMMYFUNCTION("""COMPUTED_VALUE"""),583.8)</f>
        <v>583.8</v>
      </c>
      <c r="F3307" s="1">
        <f>IFERROR(__xludf.DUMMYFUNCTION("""COMPUTED_VALUE"""),1.9185544E7)</f>
        <v>19185544</v>
      </c>
    </row>
    <row r="3308">
      <c r="A3308" s="2">
        <f>IFERROR(__xludf.DUMMYFUNCTION("""COMPUTED_VALUE"""),41396.645833333336)</f>
        <v>41396.64583</v>
      </c>
      <c r="B3308" s="1">
        <f>IFERROR(__xludf.DUMMYFUNCTION("""COMPUTED_VALUE"""),582.85)</f>
        <v>582.85</v>
      </c>
      <c r="C3308" s="1">
        <f>IFERROR(__xludf.DUMMYFUNCTION("""COMPUTED_VALUE"""),582.85)</f>
        <v>582.85</v>
      </c>
      <c r="D3308" s="1">
        <f>IFERROR(__xludf.DUMMYFUNCTION("""COMPUTED_VALUE"""),570.35)</f>
        <v>570.35</v>
      </c>
      <c r="E3308" s="1">
        <f>IFERROR(__xludf.DUMMYFUNCTION("""COMPUTED_VALUE"""),571.85)</f>
        <v>571.85</v>
      </c>
      <c r="F3308" s="1">
        <f>IFERROR(__xludf.DUMMYFUNCTION("""COMPUTED_VALUE"""),7162821.0)</f>
        <v>7162821</v>
      </c>
    </row>
    <row r="3309">
      <c r="A3309" s="2">
        <f>IFERROR(__xludf.DUMMYFUNCTION("""COMPUTED_VALUE"""),41397.645833333336)</f>
        <v>41397.64583</v>
      </c>
      <c r="B3309" s="1">
        <f>IFERROR(__xludf.DUMMYFUNCTION("""COMPUTED_VALUE"""),570.5)</f>
        <v>570.5</v>
      </c>
      <c r="C3309" s="1">
        <f>IFERROR(__xludf.DUMMYFUNCTION("""COMPUTED_VALUE"""),577.5)</f>
        <v>577.5</v>
      </c>
      <c r="D3309" s="1">
        <f>IFERROR(__xludf.DUMMYFUNCTION("""COMPUTED_VALUE"""),570.5)</f>
        <v>570.5</v>
      </c>
      <c r="E3309" s="1">
        <f>IFERROR(__xludf.DUMMYFUNCTION("""COMPUTED_VALUE"""),572.4)</f>
        <v>572.4</v>
      </c>
      <c r="F3309" s="1">
        <f>IFERROR(__xludf.DUMMYFUNCTION("""COMPUTED_VALUE"""),2935748.0)</f>
        <v>2935748</v>
      </c>
    </row>
    <row r="3310">
      <c r="A3310" s="2">
        <f>IFERROR(__xludf.DUMMYFUNCTION("""COMPUTED_VALUE"""),41400.645833333336)</f>
        <v>41400.64583</v>
      </c>
      <c r="B3310" s="1">
        <f>IFERROR(__xludf.DUMMYFUNCTION("""COMPUTED_VALUE"""),572.2)</f>
        <v>572.2</v>
      </c>
      <c r="C3310" s="1">
        <f>IFERROR(__xludf.DUMMYFUNCTION("""COMPUTED_VALUE"""),576.15)</f>
        <v>576.15</v>
      </c>
      <c r="D3310" s="1">
        <f>IFERROR(__xludf.DUMMYFUNCTION("""COMPUTED_VALUE"""),571.1)</f>
        <v>571.1</v>
      </c>
      <c r="E3310" s="1">
        <f>IFERROR(__xludf.DUMMYFUNCTION("""COMPUTED_VALUE"""),573.15)</f>
        <v>573.15</v>
      </c>
      <c r="F3310" s="1">
        <f>IFERROR(__xludf.DUMMYFUNCTION("""COMPUTED_VALUE"""),1541686.0)</f>
        <v>1541686</v>
      </c>
    </row>
    <row r="3311">
      <c r="A3311" s="2">
        <f>IFERROR(__xludf.DUMMYFUNCTION("""COMPUTED_VALUE"""),41401.645833333336)</f>
        <v>41401.64583</v>
      </c>
      <c r="B3311" s="1">
        <f>IFERROR(__xludf.DUMMYFUNCTION("""COMPUTED_VALUE"""),573.0)</f>
        <v>573</v>
      </c>
      <c r="C3311" s="1">
        <f>IFERROR(__xludf.DUMMYFUNCTION("""COMPUTED_VALUE"""),581.4)</f>
        <v>581.4</v>
      </c>
      <c r="D3311" s="1">
        <f>IFERROR(__xludf.DUMMYFUNCTION("""COMPUTED_VALUE"""),572.5)</f>
        <v>572.5</v>
      </c>
      <c r="E3311" s="1">
        <f>IFERROR(__xludf.DUMMYFUNCTION("""COMPUTED_VALUE"""),579.35)</f>
        <v>579.35</v>
      </c>
      <c r="F3311" s="1">
        <f>IFERROR(__xludf.DUMMYFUNCTION("""COMPUTED_VALUE"""),1953522.0)</f>
        <v>1953522</v>
      </c>
    </row>
    <row r="3312">
      <c r="A3312" s="2">
        <f>IFERROR(__xludf.DUMMYFUNCTION("""COMPUTED_VALUE"""),41402.645833333336)</f>
        <v>41402.64583</v>
      </c>
      <c r="B3312" s="1">
        <f>IFERROR(__xludf.DUMMYFUNCTION("""COMPUTED_VALUE"""),578.25)</f>
        <v>578.25</v>
      </c>
      <c r="C3312" s="1">
        <f>IFERROR(__xludf.DUMMYFUNCTION("""COMPUTED_VALUE"""),588.4)</f>
        <v>588.4</v>
      </c>
      <c r="D3312" s="1">
        <f>IFERROR(__xludf.DUMMYFUNCTION("""COMPUTED_VALUE"""),578.25)</f>
        <v>578.25</v>
      </c>
      <c r="E3312" s="1">
        <f>IFERROR(__xludf.DUMMYFUNCTION("""COMPUTED_VALUE"""),587.0)</f>
        <v>587</v>
      </c>
      <c r="F3312" s="1">
        <f>IFERROR(__xludf.DUMMYFUNCTION("""COMPUTED_VALUE"""),2665710.0)</f>
        <v>2665710</v>
      </c>
    </row>
    <row r="3313">
      <c r="A3313" s="2">
        <f>IFERROR(__xludf.DUMMYFUNCTION("""COMPUTED_VALUE"""),41403.645833333336)</f>
        <v>41403.64583</v>
      </c>
      <c r="B3313" s="1">
        <f>IFERROR(__xludf.DUMMYFUNCTION("""COMPUTED_VALUE"""),588.0)</f>
        <v>588</v>
      </c>
      <c r="C3313" s="1">
        <f>IFERROR(__xludf.DUMMYFUNCTION("""COMPUTED_VALUE"""),588.1)</f>
        <v>588.1</v>
      </c>
      <c r="D3313" s="1">
        <f>IFERROR(__xludf.DUMMYFUNCTION("""COMPUTED_VALUE"""),584.0)</f>
        <v>584</v>
      </c>
      <c r="E3313" s="1">
        <f>IFERROR(__xludf.DUMMYFUNCTION("""COMPUTED_VALUE"""),584.85)</f>
        <v>584.85</v>
      </c>
      <c r="F3313" s="1">
        <f>IFERROR(__xludf.DUMMYFUNCTION("""COMPUTED_VALUE"""),1192515.0)</f>
        <v>1192515</v>
      </c>
    </row>
    <row r="3314">
      <c r="A3314" s="2">
        <f>IFERROR(__xludf.DUMMYFUNCTION("""COMPUTED_VALUE"""),41404.645833333336)</f>
        <v>41404.64583</v>
      </c>
      <c r="B3314" s="1">
        <f>IFERROR(__xludf.DUMMYFUNCTION("""COMPUTED_VALUE"""),587.7)</f>
        <v>587.7</v>
      </c>
      <c r="C3314" s="1">
        <f>IFERROR(__xludf.DUMMYFUNCTION("""COMPUTED_VALUE"""),587.75)</f>
        <v>587.75</v>
      </c>
      <c r="D3314" s="1">
        <f>IFERROR(__xludf.DUMMYFUNCTION("""COMPUTED_VALUE"""),583.55)</f>
        <v>583.55</v>
      </c>
      <c r="E3314" s="1">
        <f>IFERROR(__xludf.DUMMYFUNCTION("""COMPUTED_VALUE"""),585.0)</f>
        <v>585</v>
      </c>
      <c r="F3314" s="1">
        <f>IFERROR(__xludf.DUMMYFUNCTION("""COMPUTED_VALUE"""),962470.0)</f>
        <v>962470</v>
      </c>
    </row>
    <row r="3315">
      <c r="A3315" s="2">
        <f>IFERROR(__xludf.DUMMYFUNCTION("""COMPUTED_VALUE"""),41407.645833333336)</f>
        <v>41407.64583</v>
      </c>
      <c r="B3315" s="1">
        <f>IFERROR(__xludf.DUMMYFUNCTION("""COMPUTED_VALUE"""),585.85)</f>
        <v>585.85</v>
      </c>
      <c r="C3315" s="1">
        <f>IFERROR(__xludf.DUMMYFUNCTION("""COMPUTED_VALUE"""),587.0)</f>
        <v>587</v>
      </c>
      <c r="D3315" s="1">
        <f>IFERROR(__xludf.DUMMYFUNCTION("""COMPUTED_VALUE"""),581.25)</f>
        <v>581.25</v>
      </c>
      <c r="E3315" s="1">
        <f>IFERROR(__xludf.DUMMYFUNCTION("""COMPUTED_VALUE"""),582.2)</f>
        <v>582.2</v>
      </c>
      <c r="F3315" s="1">
        <f>IFERROR(__xludf.DUMMYFUNCTION("""COMPUTED_VALUE"""),1858762.0)</f>
        <v>1858762</v>
      </c>
    </row>
    <row r="3316">
      <c r="A3316" s="2">
        <f>IFERROR(__xludf.DUMMYFUNCTION("""COMPUTED_VALUE"""),41408.645833333336)</f>
        <v>41408.64583</v>
      </c>
      <c r="B3316" s="1">
        <f>IFERROR(__xludf.DUMMYFUNCTION("""COMPUTED_VALUE"""),582.45)</f>
        <v>582.45</v>
      </c>
      <c r="C3316" s="1">
        <f>IFERROR(__xludf.DUMMYFUNCTION("""COMPUTED_VALUE"""),585.0)</f>
        <v>585</v>
      </c>
      <c r="D3316" s="1">
        <f>IFERROR(__xludf.DUMMYFUNCTION("""COMPUTED_VALUE"""),581.55)</f>
        <v>581.55</v>
      </c>
      <c r="E3316" s="1">
        <f>IFERROR(__xludf.DUMMYFUNCTION("""COMPUTED_VALUE"""),583.85)</f>
        <v>583.85</v>
      </c>
      <c r="F3316" s="1">
        <f>IFERROR(__xludf.DUMMYFUNCTION("""COMPUTED_VALUE"""),762210.0)</f>
        <v>762210</v>
      </c>
    </row>
    <row r="3317">
      <c r="A3317" s="2">
        <f>IFERROR(__xludf.DUMMYFUNCTION("""COMPUTED_VALUE"""),41409.645833333336)</f>
        <v>41409.64583</v>
      </c>
      <c r="B3317" s="1">
        <f>IFERROR(__xludf.DUMMYFUNCTION("""COMPUTED_VALUE"""),585.7)</f>
        <v>585.7</v>
      </c>
      <c r="C3317" s="1">
        <f>IFERROR(__xludf.DUMMYFUNCTION("""COMPUTED_VALUE"""),587.6)</f>
        <v>587.6</v>
      </c>
      <c r="D3317" s="1">
        <f>IFERROR(__xludf.DUMMYFUNCTION("""COMPUTED_VALUE"""),583.55)</f>
        <v>583.55</v>
      </c>
      <c r="E3317" s="1">
        <f>IFERROR(__xludf.DUMMYFUNCTION("""COMPUTED_VALUE"""),585.5)</f>
        <v>585.5</v>
      </c>
      <c r="F3317" s="1">
        <f>IFERROR(__xludf.DUMMYFUNCTION("""COMPUTED_VALUE"""),1871906.0)</f>
        <v>1871906</v>
      </c>
    </row>
    <row r="3318">
      <c r="A3318" s="2">
        <f>IFERROR(__xludf.DUMMYFUNCTION("""COMPUTED_VALUE"""),41410.645833333336)</f>
        <v>41410.64583</v>
      </c>
      <c r="B3318" s="1">
        <f>IFERROR(__xludf.DUMMYFUNCTION("""COMPUTED_VALUE"""),583.1)</f>
        <v>583.1</v>
      </c>
      <c r="C3318" s="1">
        <f>IFERROR(__xludf.DUMMYFUNCTION("""COMPUTED_VALUE"""),585.85)</f>
        <v>585.85</v>
      </c>
      <c r="D3318" s="1">
        <f>IFERROR(__xludf.DUMMYFUNCTION("""COMPUTED_VALUE"""),582.05)</f>
        <v>582.05</v>
      </c>
      <c r="E3318" s="1">
        <f>IFERROR(__xludf.DUMMYFUNCTION("""COMPUTED_VALUE"""),582.75)</f>
        <v>582.75</v>
      </c>
      <c r="F3318" s="1">
        <f>IFERROR(__xludf.DUMMYFUNCTION("""COMPUTED_VALUE"""),3247546.0)</f>
        <v>3247546</v>
      </c>
    </row>
    <row r="3319">
      <c r="A3319" s="2">
        <f>IFERROR(__xludf.DUMMYFUNCTION("""COMPUTED_VALUE"""),41411.645833333336)</f>
        <v>41411.64583</v>
      </c>
      <c r="B3319" s="1">
        <f>IFERROR(__xludf.DUMMYFUNCTION("""COMPUTED_VALUE"""),582.5)</f>
        <v>582.5</v>
      </c>
      <c r="C3319" s="1">
        <f>IFERROR(__xludf.DUMMYFUNCTION("""COMPUTED_VALUE"""),586.75)</f>
        <v>586.75</v>
      </c>
      <c r="D3319" s="1">
        <f>IFERROR(__xludf.DUMMYFUNCTION("""COMPUTED_VALUE"""),582.5)</f>
        <v>582.5</v>
      </c>
      <c r="E3319" s="1">
        <f>IFERROR(__xludf.DUMMYFUNCTION("""COMPUTED_VALUE"""),586.0)</f>
        <v>586</v>
      </c>
      <c r="F3319" s="1">
        <f>IFERROR(__xludf.DUMMYFUNCTION("""COMPUTED_VALUE"""),1493246.0)</f>
        <v>1493246</v>
      </c>
    </row>
    <row r="3320">
      <c r="A3320" s="2">
        <f>IFERROR(__xludf.DUMMYFUNCTION("""COMPUTED_VALUE"""),41414.645833333336)</f>
        <v>41414.64583</v>
      </c>
      <c r="B3320" s="1">
        <f>IFERROR(__xludf.DUMMYFUNCTION("""COMPUTED_VALUE"""),586.0)</f>
        <v>586</v>
      </c>
      <c r="C3320" s="1">
        <f>IFERROR(__xludf.DUMMYFUNCTION("""COMPUTED_VALUE"""),587.85)</f>
        <v>587.85</v>
      </c>
      <c r="D3320" s="1">
        <f>IFERROR(__xludf.DUMMYFUNCTION("""COMPUTED_VALUE"""),585.05)</f>
        <v>585.05</v>
      </c>
      <c r="E3320" s="1">
        <f>IFERROR(__xludf.DUMMYFUNCTION("""COMPUTED_VALUE"""),586.4)</f>
        <v>586.4</v>
      </c>
      <c r="F3320" s="1">
        <f>IFERROR(__xludf.DUMMYFUNCTION("""COMPUTED_VALUE"""),1476948.0)</f>
        <v>1476948</v>
      </c>
    </row>
    <row r="3321">
      <c r="A3321" s="2">
        <f>IFERROR(__xludf.DUMMYFUNCTION("""COMPUTED_VALUE"""),41415.645833333336)</f>
        <v>41415.64583</v>
      </c>
      <c r="B3321" s="1">
        <f>IFERROR(__xludf.DUMMYFUNCTION("""COMPUTED_VALUE"""),586.0)</f>
        <v>586</v>
      </c>
      <c r="C3321" s="1">
        <f>IFERROR(__xludf.DUMMYFUNCTION("""COMPUTED_VALUE"""),590.0)</f>
        <v>590</v>
      </c>
      <c r="D3321" s="1">
        <f>IFERROR(__xludf.DUMMYFUNCTION("""COMPUTED_VALUE"""),585.25)</f>
        <v>585.25</v>
      </c>
      <c r="E3321" s="1">
        <f>IFERROR(__xludf.DUMMYFUNCTION("""COMPUTED_VALUE"""),585.8)</f>
        <v>585.8</v>
      </c>
      <c r="F3321" s="1">
        <f>IFERROR(__xludf.DUMMYFUNCTION("""COMPUTED_VALUE"""),1565233.0)</f>
        <v>1565233</v>
      </c>
    </row>
    <row r="3322">
      <c r="A3322" s="2">
        <f>IFERROR(__xludf.DUMMYFUNCTION("""COMPUTED_VALUE"""),41416.645833333336)</f>
        <v>41416.64583</v>
      </c>
      <c r="B3322" s="1">
        <f>IFERROR(__xludf.DUMMYFUNCTION("""COMPUTED_VALUE"""),584.1)</f>
        <v>584.1</v>
      </c>
      <c r="C3322" s="1">
        <f>IFERROR(__xludf.DUMMYFUNCTION("""COMPUTED_VALUE"""),585.55)</f>
        <v>585.55</v>
      </c>
      <c r="D3322" s="1">
        <f>IFERROR(__xludf.DUMMYFUNCTION("""COMPUTED_VALUE"""),584.1)</f>
        <v>584.1</v>
      </c>
      <c r="E3322" s="1">
        <f>IFERROR(__xludf.DUMMYFUNCTION("""COMPUTED_VALUE"""),585.1)</f>
        <v>585.1</v>
      </c>
      <c r="F3322" s="1">
        <f>IFERROR(__xludf.DUMMYFUNCTION("""COMPUTED_VALUE"""),1053010.0)</f>
        <v>1053010</v>
      </c>
    </row>
    <row r="3323">
      <c r="A3323" s="2">
        <f>IFERROR(__xludf.DUMMYFUNCTION("""COMPUTED_VALUE"""),41417.645833333336)</f>
        <v>41417.64583</v>
      </c>
      <c r="B3323" s="1">
        <f>IFERROR(__xludf.DUMMYFUNCTION("""COMPUTED_VALUE"""),584.25)</f>
        <v>584.25</v>
      </c>
      <c r="C3323" s="1">
        <f>IFERROR(__xludf.DUMMYFUNCTION("""COMPUTED_VALUE"""),585.9)</f>
        <v>585.9</v>
      </c>
      <c r="D3323" s="1">
        <f>IFERROR(__xludf.DUMMYFUNCTION("""COMPUTED_VALUE"""),584.25)</f>
        <v>584.25</v>
      </c>
      <c r="E3323" s="1">
        <f>IFERROR(__xludf.DUMMYFUNCTION("""COMPUTED_VALUE"""),585.25)</f>
        <v>585.25</v>
      </c>
      <c r="F3323" s="1">
        <f>IFERROR(__xludf.DUMMYFUNCTION("""COMPUTED_VALUE"""),2498040.0)</f>
        <v>2498040</v>
      </c>
    </row>
    <row r="3324">
      <c r="A3324" s="2">
        <f>IFERROR(__xludf.DUMMYFUNCTION("""COMPUTED_VALUE"""),41418.645833333336)</f>
        <v>41418.64583</v>
      </c>
      <c r="B3324" s="1">
        <f>IFERROR(__xludf.DUMMYFUNCTION("""COMPUTED_VALUE"""),586.0)</f>
        <v>586</v>
      </c>
      <c r="C3324" s="1">
        <f>IFERROR(__xludf.DUMMYFUNCTION("""COMPUTED_VALUE"""),587.0)</f>
        <v>587</v>
      </c>
      <c r="D3324" s="1">
        <f>IFERROR(__xludf.DUMMYFUNCTION("""COMPUTED_VALUE"""),585.15)</f>
        <v>585.15</v>
      </c>
      <c r="E3324" s="1">
        <f>IFERROR(__xludf.DUMMYFUNCTION("""COMPUTED_VALUE"""),586.15)</f>
        <v>586.15</v>
      </c>
      <c r="F3324" s="1">
        <f>IFERROR(__xludf.DUMMYFUNCTION("""COMPUTED_VALUE"""),1290939.0)</f>
        <v>1290939</v>
      </c>
    </row>
    <row r="3325">
      <c r="A3325" s="2">
        <f>IFERROR(__xludf.DUMMYFUNCTION("""COMPUTED_VALUE"""),41421.645833333336)</f>
        <v>41421.64583</v>
      </c>
      <c r="B3325" s="1">
        <f>IFERROR(__xludf.DUMMYFUNCTION("""COMPUTED_VALUE"""),586.2)</f>
        <v>586.2</v>
      </c>
      <c r="C3325" s="1">
        <f>IFERROR(__xludf.DUMMYFUNCTION("""COMPUTED_VALUE"""),592.65)</f>
        <v>592.65</v>
      </c>
      <c r="D3325" s="1">
        <f>IFERROR(__xludf.DUMMYFUNCTION("""COMPUTED_VALUE"""),585.2)</f>
        <v>585.2</v>
      </c>
      <c r="E3325" s="1">
        <f>IFERROR(__xludf.DUMMYFUNCTION("""COMPUTED_VALUE"""),591.6)</f>
        <v>591.6</v>
      </c>
      <c r="F3325" s="1">
        <f>IFERROR(__xludf.DUMMYFUNCTION("""COMPUTED_VALUE"""),1185438.0)</f>
        <v>1185438</v>
      </c>
    </row>
    <row r="3326">
      <c r="A3326" s="2">
        <f>IFERROR(__xludf.DUMMYFUNCTION("""COMPUTED_VALUE"""),41422.645833333336)</f>
        <v>41422.64583</v>
      </c>
      <c r="B3326" s="1">
        <f>IFERROR(__xludf.DUMMYFUNCTION("""COMPUTED_VALUE"""),592.0)</f>
        <v>592</v>
      </c>
      <c r="C3326" s="1">
        <f>IFERROR(__xludf.DUMMYFUNCTION("""COMPUTED_VALUE"""),592.3)</f>
        <v>592.3</v>
      </c>
      <c r="D3326" s="1">
        <f>IFERROR(__xludf.DUMMYFUNCTION("""COMPUTED_VALUE"""),589.05)</f>
        <v>589.05</v>
      </c>
      <c r="E3326" s="1">
        <f>IFERROR(__xludf.DUMMYFUNCTION("""COMPUTED_VALUE"""),591.35)</f>
        <v>591.35</v>
      </c>
      <c r="F3326" s="1">
        <f>IFERROR(__xludf.DUMMYFUNCTION("""COMPUTED_VALUE"""),826579.0)</f>
        <v>826579</v>
      </c>
    </row>
    <row r="3327">
      <c r="A3327" s="2">
        <f>IFERROR(__xludf.DUMMYFUNCTION("""COMPUTED_VALUE"""),41423.645833333336)</f>
        <v>41423.64583</v>
      </c>
      <c r="B3327" s="1">
        <f>IFERROR(__xludf.DUMMYFUNCTION("""COMPUTED_VALUE"""),591.6)</f>
        <v>591.6</v>
      </c>
      <c r="C3327" s="1">
        <f>IFERROR(__xludf.DUMMYFUNCTION("""COMPUTED_VALUE"""),594.95)</f>
        <v>594.95</v>
      </c>
      <c r="D3327" s="1">
        <f>IFERROR(__xludf.DUMMYFUNCTION("""COMPUTED_VALUE"""),590.0)</f>
        <v>590</v>
      </c>
      <c r="E3327" s="1">
        <f>IFERROR(__xludf.DUMMYFUNCTION("""COMPUTED_VALUE"""),594.15)</f>
        <v>594.15</v>
      </c>
      <c r="F3327" s="1">
        <f>IFERROR(__xludf.DUMMYFUNCTION("""COMPUTED_VALUE"""),898094.0)</f>
        <v>898094</v>
      </c>
    </row>
    <row r="3328">
      <c r="A3328" s="2">
        <f>IFERROR(__xludf.DUMMYFUNCTION("""COMPUTED_VALUE"""),41424.645833333336)</f>
        <v>41424.64583</v>
      </c>
      <c r="B3328" s="1">
        <f>IFERROR(__xludf.DUMMYFUNCTION("""COMPUTED_VALUE"""),591.1)</f>
        <v>591.1</v>
      </c>
      <c r="C3328" s="1">
        <f>IFERROR(__xludf.DUMMYFUNCTION("""COMPUTED_VALUE"""),596.5)</f>
        <v>596.5</v>
      </c>
      <c r="D3328" s="1">
        <f>IFERROR(__xludf.DUMMYFUNCTION("""COMPUTED_VALUE"""),591.1)</f>
        <v>591.1</v>
      </c>
      <c r="E3328" s="1">
        <f>IFERROR(__xludf.DUMMYFUNCTION("""COMPUTED_VALUE"""),595.55)</f>
        <v>595.55</v>
      </c>
      <c r="F3328" s="1">
        <f>IFERROR(__xludf.DUMMYFUNCTION("""COMPUTED_VALUE"""),2469202.0)</f>
        <v>2469202</v>
      </c>
    </row>
    <row r="3329">
      <c r="A3329" s="2">
        <f>IFERROR(__xludf.DUMMYFUNCTION("""COMPUTED_VALUE"""),41425.645833333336)</f>
        <v>41425.64583</v>
      </c>
      <c r="B3329" s="1">
        <f>IFERROR(__xludf.DUMMYFUNCTION("""COMPUTED_VALUE"""),593.05)</f>
        <v>593.05</v>
      </c>
      <c r="C3329" s="1">
        <f>IFERROR(__xludf.DUMMYFUNCTION("""COMPUTED_VALUE"""),597.85)</f>
        <v>597.85</v>
      </c>
      <c r="D3329" s="1">
        <f>IFERROR(__xludf.DUMMYFUNCTION("""COMPUTED_VALUE"""),591.1)</f>
        <v>591.1</v>
      </c>
      <c r="E3329" s="1">
        <f>IFERROR(__xludf.DUMMYFUNCTION("""COMPUTED_VALUE"""),592.5)</f>
        <v>592.5</v>
      </c>
      <c r="F3329" s="1">
        <f>IFERROR(__xludf.DUMMYFUNCTION("""COMPUTED_VALUE"""),1683995.0)</f>
        <v>1683995</v>
      </c>
    </row>
    <row r="3330">
      <c r="A3330" s="2">
        <f>IFERROR(__xludf.DUMMYFUNCTION("""COMPUTED_VALUE"""),41428.645833333336)</f>
        <v>41428.64583</v>
      </c>
      <c r="B3330" s="1">
        <f>IFERROR(__xludf.DUMMYFUNCTION("""COMPUTED_VALUE"""),588.25)</f>
        <v>588.25</v>
      </c>
      <c r="C3330" s="1">
        <f>IFERROR(__xludf.DUMMYFUNCTION("""COMPUTED_VALUE"""),593.85)</f>
        <v>593.85</v>
      </c>
      <c r="D3330" s="1">
        <f>IFERROR(__xludf.DUMMYFUNCTION("""COMPUTED_VALUE"""),588.25)</f>
        <v>588.25</v>
      </c>
      <c r="E3330" s="1">
        <f>IFERROR(__xludf.DUMMYFUNCTION("""COMPUTED_VALUE"""),592.1)</f>
        <v>592.1</v>
      </c>
      <c r="F3330" s="1">
        <f>IFERROR(__xludf.DUMMYFUNCTION("""COMPUTED_VALUE"""),1389907.0)</f>
        <v>1389907</v>
      </c>
    </row>
    <row r="3331">
      <c r="A3331" s="2">
        <f>IFERROR(__xludf.DUMMYFUNCTION("""COMPUTED_VALUE"""),41429.645833333336)</f>
        <v>41429.64583</v>
      </c>
      <c r="B3331" s="1">
        <f>IFERROR(__xludf.DUMMYFUNCTION("""COMPUTED_VALUE"""),591.0)</f>
        <v>591</v>
      </c>
      <c r="C3331" s="1">
        <f>IFERROR(__xludf.DUMMYFUNCTION("""COMPUTED_VALUE"""),592.95)</f>
        <v>592.95</v>
      </c>
      <c r="D3331" s="1">
        <f>IFERROR(__xludf.DUMMYFUNCTION("""COMPUTED_VALUE"""),590.4)</f>
        <v>590.4</v>
      </c>
      <c r="E3331" s="1">
        <f>IFERROR(__xludf.DUMMYFUNCTION("""COMPUTED_VALUE"""),590.7)</f>
        <v>590.7</v>
      </c>
      <c r="F3331" s="1">
        <f>IFERROR(__xludf.DUMMYFUNCTION("""COMPUTED_VALUE"""),1301781.0)</f>
        <v>1301781</v>
      </c>
    </row>
    <row r="3332">
      <c r="A3332" s="2">
        <f>IFERROR(__xludf.DUMMYFUNCTION("""COMPUTED_VALUE"""),41430.645833333336)</f>
        <v>41430.64583</v>
      </c>
      <c r="B3332" s="1">
        <f>IFERROR(__xludf.DUMMYFUNCTION("""COMPUTED_VALUE"""),590.75)</f>
        <v>590.75</v>
      </c>
      <c r="C3332" s="1">
        <f>IFERROR(__xludf.DUMMYFUNCTION("""COMPUTED_VALUE"""),591.75)</f>
        <v>591.75</v>
      </c>
      <c r="D3332" s="1">
        <f>IFERROR(__xludf.DUMMYFUNCTION("""COMPUTED_VALUE"""),589.6)</f>
        <v>589.6</v>
      </c>
      <c r="E3332" s="1">
        <f>IFERROR(__xludf.DUMMYFUNCTION("""COMPUTED_VALUE"""),590.3)</f>
        <v>590.3</v>
      </c>
      <c r="F3332" s="1">
        <f>IFERROR(__xludf.DUMMYFUNCTION("""COMPUTED_VALUE"""),1881857.0)</f>
        <v>1881857</v>
      </c>
    </row>
    <row r="3333">
      <c r="A3333" s="2">
        <f>IFERROR(__xludf.DUMMYFUNCTION("""COMPUTED_VALUE"""),41431.645833333336)</f>
        <v>41431.64583</v>
      </c>
      <c r="B3333" s="1">
        <f>IFERROR(__xludf.DUMMYFUNCTION("""COMPUTED_VALUE"""),590.3)</f>
        <v>590.3</v>
      </c>
      <c r="C3333" s="1">
        <f>IFERROR(__xludf.DUMMYFUNCTION("""COMPUTED_VALUE"""),591.35)</f>
        <v>591.35</v>
      </c>
      <c r="D3333" s="1">
        <f>IFERROR(__xludf.DUMMYFUNCTION("""COMPUTED_VALUE"""),589.15)</f>
        <v>589.15</v>
      </c>
      <c r="E3333" s="1">
        <f>IFERROR(__xludf.DUMMYFUNCTION("""COMPUTED_VALUE"""),590.85)</f>
        <v>590.85</v>
      </c>
      <c r="F3333" s="1">
        <f>IFERROR(__xludf.DUMMYFUNCTION("""COMPUTED_VALUE"""),2907337.0)</f>
        <v>2907337</v>
      </c>
    </row>
    <row r="3334">
      <c r="A3334" s="2">
        <f>IFERROR(__xludf.DUMMYFUNCTION("""COMPUTED_VALUE"""),41432.645833333336)</f>
        <v>41432.64583</v>
      </c>
      <c r="B3334" s="1">
        <f>IFERROR(__xludf.DUMMYFUNCTION("""COMPUTED_VALUE"""),590.55)</f>
        <v>590.55</v>
      </c>
      <c r="C3334" s="1">
        <f>IFERROR(__xludf.DUMMYFUNCTION("""COMPUTED_VALUE"""),592.3)</f>
        <v>592.3</v>
      </c>
      <c r="D3334" s="1">
        <f>IFERROR(__xludf.DUMMYFUNCTION("""COMPUTED_VALUE"""),590.55)</f>
        <v>590.55</v>
      </c>
      <c r="E3334" s="1">
        <f>IFERROR(__xludf.DUMMYFUNCTION("""COMPUTED_VALUE"""),591.15)</f>
        <v>591.15</v>
      </c>
      <c r="F3334" s="1">
        <f>IFERROR(__xludf.DUMMYFUNCTION("""COMPUTED_VALUE"""),982944.0)</f>
        <v>982944</v>
      </c>
    </row>
    <row r="3335">
      <c r="A3335" s="2">
        <f>IFERROR(__xludf.DUMMYFUNCTION("""COMPUTED_VALUE"""),41435.645833333336)</f>
        <v>41435.64583</v>
      </c>
      <c r="B3335" s="1">
        <f>IFERROR(__xludf.DUMMYFUNCTION("""COMPUTED_VALUE"""),591.1)</f>
        <v>591.1</v>
      </c>
      <c r="C3335" s="1">
        <f>IFERROR(__xludf.DUMMYFUNCTION("""COMPUTED_VALUE"""),594.0)</f>
        <v>594</v>
      </c>
      <c r="D3335" s="1">
        <f>IFERROR(__xludf.DUMMYFUNCTION("""COMPUTED_VALUE"""),591.1)</f>
        <v>591.1</v>
      </c>
      <c r="E3335" s="1">
        <f>IFERROR(__xludf.DUMMYFUNCTION("""COMPUTED_VALUE"""),592.7)</f>
        <v>592.7</v>
      </c>
      <c r="F3335" s="1">
        <f>IFERROR(__xludf.DUMMYFUNCTION("""COMPUTED_VALUE"""),824294.0)</f>
        <v>824294</v>
      </c>
    </row>
    <row r="3336">
      <c r="A3336" s="2">
        <f>IFERROR(__xludf.DUMMYFUNCTION("""COMPUTED_VALUE"""),41436.645833333336)</f>
        <v>41436.64583</v>
      </c>
      <c r="B3336" s="1">
        <f>IFERROR(__xludf.DUMMYFUNCTION("""COMPUTED_VALUE"""),592.2)</f>
        <v>592.2</v>
      </c>
      <c r="C3336" s="1">
        <f>IFERROR(__xludf.DUMMYFUNCTION("""COMPUTED_VALUE"""),594.75)</f>
        <v>594.75</v>
      </c>
      <c r="D3336" s="1">
        <f>IFERROR(__xludf.DUMMYFUNCTION("""COMPUTED_VALUE"""),592.0)</f>
        <v>592</v>
      </c>
      <c r="E3336" s="1">
        <f>IFERROR(__xludf.DUMMYFUNCTION("""COMPUTED_VALUE"""),593.5)</f>
        <v>593.5</v>
      </c>
      <c r="F3336" s="1">
        <f>IFERROR(__xludf.DUMMYFUNCTION("""COMPUTED_VALUE"""),1117140.0)</f>
        <v>1117140</v>
      </c>
    </row>
    <row r="3337">
      <c r="A3337" s="2">
        <f>IFERROR(__xludf.DUMMYFUNCTION("""COMPUTED_VALUE"""),41437.645833333336)</f>
        <v>41437.64583</v>
      </c>
      <c r="B3337" s="1">
        <f>IFERROR(__xludf.DUMMYFUNCTION("""COMPUTED_VALUE"""),594.8)</f>
        <v>594.8</v>
      </c>
      <c r="C3337" s="1">
        <f>IFERROR(__xludf.DUMMYFUNCTION("""COMPUTED_VALUE"""),594.8)</f>
        <v>594.8</v>
      </c>
      <c r="D3337" s="1">
        <f>IFERROR(__xludf.DUMMYFUNCTION("""COMPUTED_VALUE"""),593.1)</f>
        <v>593.1</v>
      </c>
      <c r="E3337" s="1">
        <f>IFERROR(__xludf.DUMMYFUNCTION("""COMPUTED_VALUE"""),593.65)</f>
        <v>593.65</v>
      </c>
      <c r="F3337" s="1">
        <f>IFERROR(__xludf.DUMMYFUNCTION("""COMPUTED_VALUE"""),733188.0)</f>
        <v>733188</v>
      </c>
    </row>
    <row r="3338">
      <c r="A3338" s="2">
        <f>IFERROR(__xludf.DUMMYFUNCTION("""COMPUTED_VALUE"""),41438.645833333336)</f>
        <v>41438.64583</v>
      </c>
      <c r="B3338" s="1">
        <f>IFERROR(__xludf.DUMMYFUNCTION("""COMPUTED_VALUE"""),594.0)</f>
        <v>594</v>
      </c>
      <c r="C3338" s="1">
        <f>IFERROR(__xludf.DUMMYFUNCTION("""COMPUTED_VALUE"""),595.0)</f>
        <v>595</v>
      </c>
      <c r="D3338" s="1">
        <f>IFERROR(__xludf.DUMMYFUNCTION("""COMPUTED_VALUE"""),592.05)</f>
        <v>592.05</v>
      </c>
      <c r="E3338" s="1">
        <f>IFERROR(__xludf.DUMMYFUNCTION("""COMPUTED_VALUE"""),594.7)</f>
        <v>594.7</v>
      </c>
      <c r="F3338" s="1">
        <f>IFERROR(__xludf.DUMMYFUNCTION("""COMPUTED_VALUE"""),1071002.0)</f>
        <v>1071002</v>
      </c>
    </row>
    <row r="3339">
      <c r="A3339" s="2">
        <f>IFERROR(__xludf.DUMMYFUNCTION("""COMPUTED_VALUE"""),41439.645833333336)</f>
        <v>41439.64583</v>
      </c>
      <c r="B3339" s="1">
        <f>IFERROR(__xludf.DUMMYFUNCTION("""COMPUTED_VALUE"""),595.0)</f>
        <v>595</v>
      </c>
      <c r="C3339" s="1">
        <f>IFERROR(__xludf.DUMMYFUNCTION("""COMPUTED_VALUE"""),595.0)</f>
        <v>595</v>
      </c>
      <c r="D3339" s="1">
        <f>IFERROR(__xludf.DUMMYFUNCTION("""COMPUTED_VALUE"""),592.65)</f>
        <v>592.65</v>
      </c>
      <c r="E3339" s="1">
        <f>IFERROR(__xludf.DUMMYFUNCTION("""COMPUTED_VALUE"""),593.6)</f>
        <v>593.6</v>
      </c>
      <c r="F3339" s="1">
        <f>IFERROR(__xludf.DUMMYFUNCTION("""COMPUTED_VALUE"""),1029944.0)</f>
        <v>1029944</v>
      </c>
    </row>
    <row r="3340">
      <c r="A3340" s="2">
        <f>IFERROR(__xludf.DUMMYFUNCTION("""COMPUTED_VALUE"""),41442.645833333336)</f>
        <v>41442.64583</v>
      </c>
      <c r="B3340" s="1">
        <f>IFERROR(__xludf.DUMMYFUNCTION("""COMPUTED_VALUE"""),594.15)</f>
        <v>594.15</v>
      </c>
      <c r="C3340" s="1">
        <f>IFERROR(__xludf.DUMMYFUNCTION("""COMPUTED_VALUE"""),597.35)</f>
        <v>597.35</v>
      </c>
      <c r="D3340" s="1">
        <f>IFERROR(__xludf.DUMMYFUNCTION("""COMPUTED_VALUE"""),593.65)</f>
        <v>593.65</v>
      </c>
      <c r="E3340" s="1">
        <f>IFERROR(__xludf.DUMMYFUNCTION("""COMPUTED_VALUE"""),595.9)</f>
        <v>595.9</v>
      </c>
      <c r="F3340" s="1">
        <f>IFERROR(__xludf.DUMMYFUNCTION("""COMPUTED_VALUE"""),787063.0)</f>
        <v>787063</v>
      </c>
    </row>
    <row r="3341">
      <c r="A3341" s="2">
        <f>IFERROR(__xludf.DUMMYFUNCTION("""COMPUTED_VALUE"""),41443.645833333336)</f>
        <v>41443.64583</v>
      </c>
      <c r="B3341" s="1">
        <f>IFERROR(__xludf.DUMMYFUNCTION("""COMPUTED_VALUE"""),595.7)</f>
        <v>595.7</v>
      </c>
      <c r="C3341" s="1">
        <f>IFERROR(__xludf.DUMMYFUNCTION("""COMPUTED_VALUE"""),598.05)</f>
        <v>598.05</v>
      </c>
      <c r="D3341" s="1">
        <f>IFERROR(__xludf.DUMMYFUNCTION("""COMPUTED_VALUE"""),593.35)</f>
        <v>593.35</v>
      </c>
      <c r="E3341" s="1">
        <f>IFERROR(__xludf.DUMMYFUNCTION("""COMPUTED_VALUE"""),595.65)</f>
        <v>595.65</v>
      </c>
      <c r="F3341" s="1">
        <f>IFERROR(__xludf.DUMMYFUNCTION("""COMPUTED_VALUE"""),1831701.0)</f>
        <v>1831701</v>
      </c>
    </row>
    <row r="3342">
      <c r="A3342" s="2">
        <f>IFERROR(__xludf.DUMMYFUNCTION("""COMPUTED_VALUE"""),41444.645833333336)</f>
        <v>41444.64583</v>
      </c>
      <c r="B3342" s="1">
        <f>IFERROR(__xludf.DUMMYFUNCTION("""COMPUTED_VALUE"""),595.0)</f>
        <v>595</v>
      </c>
      <c r="C3342" s="1">
        <f>IFERROR(__xludf.DUMMYFUNCTION("""COMPUTED_VALUE"""),595.0)</f>
        <v>595</v>
      </c>
      <c r="D3342" s="1">
        <f>IFERROR(__xludf.DUMMYFUNCTION("""COMPUTED_VALUE"""),593.5)</f>
        <v>593.5</v>
      </c>
      <c r="E3342" s="1">
        <f>IFERROR(__xludf.DUMMYFUNCTION("""COMPUTED_VALUE"""),594.75)</f>
        <v>594.75</v>
      </c>
      <c r="F3342" s="1">
        <f>IFERROR(__xludf.DUMMYFUNCTION("""COMPUTED_VALUE"""),2962206.0)</f>
        <v>2962206</v>
      </c>
    </row>
    <row r="3343">
      <c r="A3343" s="2">
        <f>IFERROR(__xludf.DUMMYFUNCTION("""COMPUTED_VALUE"""),41445.645833333336)</f>
        <v>41445.64583</v>
      </c>
      <c r="B3343" s="1">
        <f>IFERROR(__xludf.DUMMYFUNCTION("""COMPUTED_VALUE"""),594.55)</f>
        <v>594.55</v>
      </c>
      <c r="C3343" s="1">
        <f>IFERROR(__xludf.DUMMYFUNCTION("""COMPUTED_VALUE"""),595.0)</f>
        <v>595</v>
      </c>
      <c r="D3343" s="1">
        <f>IFERROR(__xludf.DUMMYFUNCTION("""COMPUTED_VALUE"""),592.55)</f>
        <v>592.55</v>
      </c>
      <c r="E3343" s="1">
        <f>IFERROR(__xludf.DUMMYFUNCTION("""COMPUTED_VALUE"""),593.3)</f>
        <v>593.3</v>
      </c>
      <c r="F3343" s="1">
        <f>IFERROR(__xludf.DUMMYFUNCTION("""COMPUTED_VALUE"""),2592060.0)</f>
        <v>2592060</v>
      </c>
    </row>
    <row r="3344">
      <c r="A3344" s="2">
        <f>IFERROR(__xludf.DUMMYFUNCTION("""COMPUTED_VALUE"""),41446.645833333336)</f>
        <v>41446.64583</v>
      </c>
      <c r="B3344" s="1">
        <f>IFERROR(__xludf.DUMMYFUNCTION("""COMPUTED_VALUE"""),593.5)</f>
        <v>593.5</v>
      </c>
      <c r="C3344" s="1">
        <f>IFERROR(__xludf.DUMMYFUNCTION("""COMPUTED_VALUE"""),594.35)</f>
        <v>594.35</v>
      </c>
      <c r="D3344" s="1">
        <f>IFERROR(__xludf.DUMMYFUNCTION("""COMPUTED_VALUE"""),589.05)</f>
        <v>589.05</v>
      </c>
      <c r="E3344" s="1">
        <f>IFERROR(__xludf.DUMMYFUNCTION("""COMPUTED_VALUE"""),590.65)</f>
        <v>590.65</v>
      </c>
      <c r="F3344" s="1">
        <f>IFERROR(__xludf.DUMMYFUNCTION("""COMPUTED_VALUE"""),6623347.0)</f>
        <v>6623347</v>
      </c>
    </row>
    <row r="3345">
      <c r="A3345" s="2">
        <f>IFERROR(__xludf.DUMMYFUNCTION("""COMPUTED_VALUE"""),41449.645833333336)</f>
        <v>41449.64583</v>
      </c>
      <c r="B3345" s="1">
        <f>IFERROR(__xludf.DUMMYFUNCTION("""COMPUTED_VALUE"""),590.05)</f>
        <v>590.05</v>
      </c>
      <c r="C3345" s="1">
        <f>IFERROR(__xludf.DUMMYFUNCTION("""COMPUTED_VALUE"""),591.75)</f>
        <v>591.75</v>
      </c>
      <c r="D3345" s="1">
        <f>IFERROR(__xludf.DUMMYFUNCTION("""COMPUTED_VALUE"""),581.55)</f>
        <v>581.55</v>
      </c>
      <c r="E3345" s="1">
        <f>IFERROR(__xludf.DUMMYFUNCTION("""COMPUTED_VALUE"""),583.95)</f>
        <v>583.95</v>
      </c>
      <c r="F3345" s="1">
        <f>IFERROR(__xludf.DUMMYFUNCTION("""COMPUTED_VALUE"""),8830754.0)</f>
        <v>8830754</v>
      </c>
    </row>
    <row r="3346">
      <c r="A3346" s="2">
        <f>IFERROR(__xludf.DUMMYFUNCTION("""COMPUTED_VALUE"""),41450.645833333336)</f>
        <v>41450.64583</v>
      </c>
      <c r="B3346" s="1">
        <f>IFERROR(__xludf.DUMMYFUNCTION("""COMPUTED_VALUE"""),581.1)</f>
        <v>581.1</v>
      </c>
      <c r="C3346" s="1">
        <f>IFERROR(__xludf.DUMMYFUNCTION("""COMPUTED_VALUE"""),588.9)</f>
        <v>588.9</v>
      </c>
      <c r="D3346" s="1">
        <f>IFERROR(__xludf.DUMMYFUNCTION("""COMPUTED_VALUE"""),581.1)</f>
        <v>581.1</v>
      </c>
      <c r="E3346" s="1">
        <f>IFERROR(__xludf.DUMMYFUNCTION("""COMPUTED_VALUE"""),587.75)</f>
        <v>587.75</v>
      </c>
      <c r="F3346" s="1">
        <f>IFERROR(__xludf.DUMMYFUNCTION("""COMPUTED_VALUE"""),4177811.0)</f>
        <v>4177811</v>
      </c>
    </row>
    <row r="3347">
      <c r="A3347" s="2">
        <f>IFERROR(__xludf.DUMMYFUNCTION("""COMPUTED_VALUE"""),41451.645833333336)</f>
        <v>41451.64583</v>
      </c>
      <c r="B3347" s="1">
        <f>IFERROR(__xludf.DUMMYFUNCTION("""COMPUTED_VALUE"""),586.4)</f>
        <v>586.4</v>
      </c>
      <c r="C3347" s="1">
        <f>IFERROR(__xludf.DUMMYFUNCTION("""COMPUTED_VALUE"""),589.5)</f>
        <v>589.5</v>
      </c>
      <c r="D3347" s="1">
        <f>IFERROR(__xludf.DUMMYFUNCTION("""COMPUTED_VALUE"""),585.1)</f>
        <v>585.1</v>
      </c>
      <c r="E3347" s="1">
        <f>IFERROR(__xludf.DUMMYFUNCTION("""COMPUTED_VALUE"""),588.35)</f>
        <v>588.35</v>
      </c>
      <c r="F3347" s="1">
        <f>IFERROR(__xludf.DUMMYFUNCTION("""COMPUTED_VALUE"""),4619598.0)</f>
        <v>4619598</v>
      </c>
    </row>
    <row r="3348">
      <c r="A3348" s="2">
        <f>IFERROR(__xludf.DUMMYFUNCTION("""COMPUTED_VALUE"""),41452.645833333336)</f>
        <v>41452.64583</v>
      </c>
      <c r="B3348" s="1">
        <f>IFERROR(__xludf.DUMMYFUNCTION("""COMPUTED_VALUE"""),588.6)</f>
        <v>588.6</v>
      </c>
      <c r="C3348" s="1">
        <f>IFERROR(__xludf.DUMMYFUNCTION("""COMPUTED_VALUE"""),590.6)</f>
        <v>590.6</v>
      </c>
      <c r="D3348" s="1">
        <f>IFERROR(__xludf.DUMMYFUNCTION("""COMPUTED_VALUE"""),587.0)</f>
        <v>587</v>
      </c>
      <c r="E3348" s="1">
        <f>IFERROR(__xludf.DUMMYFUNCTION("""COMPUTED_VALUE"""),588.95)</f>
        <v>588.95</v>
      </c>
      <c r="F3348" s="1">
        <f>IFERROR(__xludf.DUMMYFUNCTION("""COMPUTED_VALUE"""),1.5851546E7)</f>
        <v>15851546</v>
      </c>
    </row>
    <row r="3349">
      <c r="A3349" s="2">
        <f>IFERROR(__xludf.DUMMYFUNCTION("""COMPUTED_VALUE"""),41453.645833333336)</f>
        <v>41453.64583</v>
      </c>
      <c r="B3349" s="1">
        <f>IFERROR(__xludf.DUMMYFUNCTION("""COMPUTED_VALUE"""),589.45)</f>
        <v>589.45</v>
      </c>
      <c r="C3349" s="1">
        <f>IFERROR(__xludf.DUMMYFUNCTION("""COMPUTED_VALUE"""),589.45)</f>
        <v>589.45</v>
      </c>
      <c r="D3349" s="1">
        <f>IFERROR(__xludf.DUMMYFUNCTION("""COMPUTED_VALUE"""),584.0)</f>
        <v>584</v>
      </c>
      <c r="E3349" s="1">
        <f>IFERROR(__xludf.DUMMYFUNCTION("""COMPUTED_VALUE"""),585.15)</f>
        <v>585.15</v>
      </c>
      <c r="F3349" s="1">
        <f>IFERROR(__xludf.DUMMYFUNCTION("""COMPUTED_VALUE"""),9787702.0)</f>
        <v>9787702</v>
      </c>
    </row>
    <row r="3350">
      <c r="A3350" s="2">
        <f>IFERROR(__xludf.DUMMYFUNCTION("""COMPUTED_VALUE"""),41456.645833333336)</f>
        <v>41456.64583</v>
      </c>
      <c r="B3350" s="1">
        <f>IFERROR(__xludf.DUMMYFUNCTION("""COMPUTED_VALUE"""),584.3)</f>
        <v>584.3</v>
      </c>
      <c r="C3350" s="1">
        <f>IFERROR(__xludf.DUMMYFUNCTION("""COMPUTED_VALUE"""),588.5)</f>
        <v>588.5</v>
      </c>
      <c r="D3350" s="1">
        <f>IFERROR(__xludf.DUMMYFUNCTION("""COMPUTED_VALUE"""),583.2)</f>
        <v>583.2</v>
      </c>
      <c r="E3350" s="1">
        <f>IFERROR(__xludf.DUMMYFUNCTION("""COMPUTED_VALUE"""),587.4)</f>
        <v>587.4</v>
      </c>
      <c r="F3350" s="1">
        <f>IFERROR(__xludf.DUMMYFUNCTION("""COMPUTED_VALUE"""),7069503.0)</f>
        <v>7069503</v>
      </c>
    </row>
    <row r="3351">
      <c r="A3351" s="2">
        <f>IFERROR(__xludf.DUMMYFUNCTION("""COMPUTED_VALUE"""),41457.645833333336)</f>
        <v>41457.64583</v>
      </c>
      <c r="B3351" s="1">
        <f>IFERROR(__xludf.DUMMYFUNCTION("""COMPUTED_VALUE"""),586.5)</f>
        <v>586.5</v>
      </c>
      <c r="C3351" s="1">
        <f>IFERROR(__xludf.DUMMYFUNCTION("""COMPUTED_VALUE"""),591.1)</f>
        <v>591.1</v>
      </c>
      <c r="D3351" s="1">
        <f>IFERROR(__xludf.DUMMYFUNCTION("""COMPUTED_VALUE"""),585.1)</f>
        <v>585.1</v>
      </c>
      <c r="E3351" s="1">
        <f>IFERROR(__xludf.DUMMYFUNCTION("""COMPUTED_VALUE"""),587.85)</f>
        <v>587.85</v>
      </c>
      <c r="F3351" s="1">
        <f>IFERROR(__xludf.DUMMYFUNCTION("""COMPUTED_VALUE"""),3265981.0)</f>
        <v>3265981</v>
      </c>
    </row>
    <row r="3352">
      <c r="A3352" s="2">
        <f>IFERROR(__xludf.DUMMYFUNCTION("""COMPUTED_VALUE"""),41458.645833333336)</f>
        <v>41458.64583</v>
      </c>
      <c r="B3352" s="1">
        <f>IFERROR(__xludf.DUMMYFUNCTION("""COMPUTED_VALUE"""),585.0)</f>
        <v>585</v>
      </c>
      <c r="C3352" s="1">
        <f>IFERROR(__xludf.DUMMYFUNCTION("""COMPUTED_VALUE"""),596.5)</f>
        <v>596.5</v>
      </c>
      <c r="D3352" s="1">
        <f>IFERROR(__xludf.DUMMYFUNCTION("""COMPUTED_VALUE"""),582.6)</f>
        <v>582.6</v>
      </c>
      <c r="E3352" s="1">
        <f>IFERROR(__xludf.DUMMYFUNCTION("""COMPUTED_VALUE"""),587.85)</f>
        <v>587.85</v>
      </c>
      <c r="F3352" s="1">
        <f>IFERROR(__xludf.DUMMYFUNCTION("""COMPUTED_VALUE"""),2285572.0)</f>
        <v>2285572</v>
      </c>
    </row>
    <row r="3353">
      <c r="A3353" s="2">
        <f>IFERROR(__xludf.DUMMYFUNCTION("""COMPUTED_VALUE"""),41459.645833333336)</f>
        <v>41459.64583</v>
      </c>
      <c r="B3353" s="1">
        <f>IFERROR(__xludf.DUMMYFUNCTION("""COMPUTED_VALUE"""),586.55)</f>
        <v>586.55</v>
      </c>
      <c r="C3353" s="1">
        <f>IFERROR(__xludf.DUMMYFUNCTION("""COMPUTED_VALUE"""),605.4)</f>
        <v>605.4</v>
      </c>
      <c r="D3353" s="1">
        <f>IFERROR(__xludf.DUMMYFUNCTION("""COMPUTED_VALUE"""),583.4)</f>
        <v>583.4</v>
      </c>
      <c r="E3353" s="1">
        <f>IFERROR(__xludf.DUMMYFUNCTION("""COMPUTED_VALUE"""),601.4)</f>
        <v>601.4</v>
      </c>
      <c r="F3353" s="1">
        <f>IFERROR(__xludf.DUMMYFUNCTION("""COMPUTED_VALUE"""),4840129.0)</f>
        <v>4840129</v>
      </c>
    </row>
    <row r="3354">
      <c r="A3354" s="2">
        <f>IFERROR(__xludf.DUMMYFUNCTION("""COMPUTED_VALUE"""),41460.645833333336)</f>
        <v>41460.64583</v>
      </c>
      <c r="B3354" s="1">
        <f>IFERROR(__xludf.DUMMYFUNCTION("""COMPUTED_VALUE"""),624.0)</f>
        <v>624</v>
      </c>
      <c r="C3354" s="1">
        <f>IFERROR(__xludf.DUMMYFUNCTION("""COMPUTED_VALUE"""),632.0)</f>
        <v>632</v>
      </c>
      <c r="D3354" s="1">
        <f>IFERROR(__xludf.DUMMYFUNCTION("""COMPUTED_VALUE"""),605.1)</f>
        <v>605.1</v>
      </c>
      <c r="E3354" s="1">
        <f>IFERROR(__xludf.DUMMYFUNCTION("""COMPUTED_VALUE"""),609.35)</f>
        <v>609.35</v>
      </c>
      <c r="F3354" s="1">
        <f>IFERROR(__xludf.DUMMYFUNCTION("""COMPUTED_VALUE"""),4817710.0)</f>
        <v>4817710</v>
      </c>
    </row>
    <row r="3355">
      <c r="A3355" s="2">
        <f>IFERROR(__xludf.DUMMYFUNCTION("""COMPUTED_VALUE"""),41463.645833333336)</f>
        <v>41463.64583</v>
      </c>
      <c r="B3355" s="1">
        <f>IFERROR(__xludf.DUMMYFUNCTION("""COMPUTED_VALUE"""),608.0)</f>
        <v>608</v>
      </c>
      <c r="C3355" s="1">
        <f>IFERROR(__xludf.DUMMYFUNCTION("""COMPUTED_VALUE"""),612.8)</f>
        <v>612.8</v>
      </c>
      <c r="D3355" s="1">
        <f>IFERROR(__xludf.DUMMYFUNCTION("""COMPUTED_VALUE"""),599.0)</f>
        <v>599</v>
      </c>
      <c r="E3355" s="1">
        <f>IFERROR(__xludf.DUMMYFUNCTION("""COMPUTED_VALUE"""),609.7)</f>
        <v>609.7</v>
      </c>
      <c r="F3355" s="1">
        <f>IFERROR(__xludf.DUMMYFUNCTION("""COMPUTED_VALUE"""),1783428.0)</f>
        <v>1783428</v>
      </c>
    </row>
    <row r="3356">
      <c r="A3356" s="2">
        <f>IFERROR(__xludf.DUMMYFUNCTION("""COMPUTED_VALUE"""),41464.645833333336)</f>
        <v>41464.64583</v>
      </c>
      <c r="B3356" s="1">
        <f>IFERROR(__xludf.DUMMYFUNCTION("""COMPUTED_VALUE"""),610.45)</f>
        <v>610.45</v>
      </c>
      <c r="C3356" s="1">
        <f>IFERROR(__xludf.DUMMYFUNCTION("""COMPUTED_VALUE"""),611.85)</f>
        <v>611.85</v>
      </c>
      <c r="D3356" s="1">
        <f>IFERROR(__xludf.DUMMYFUNCTION("""COMPUTED_VALUE"""),604.0)</f>
        <v>604</v>
      </c>
      <c r="E3356" s="1">
        <f>IFERROR(__xludf.DUMMYFUNCTION("""COMPUTED_VALUE"""),604.95)</f>
        <v>604.95</v>
      </c>
      <c r="F3356" s="1">
        <f>IFERROR(__xludf.DUMMYFUNCTION("""COMPUTED_VALUE"""),1082343.0)</f>
        <v>1082343</v>
      </c>
    </row>
    <row r="3357">
      <c r="A3357" s="2">
        <f>IFERROR(__xludf.DUMMYFUNCTION("""COMPUTED_VALUE"""),41465.645833333336)</f>
        <v>41465.64583</v>
      </c>
      <c r="B3357" s="1">
        <f>IFERROR(__xludf.DUMMYFUNCTION("""COMPUTED_VALUE"""),601.45)</f>
        <v>601.45</v>
      </c>
      <c r="C3357" s="1">
        <f>IFERROR(__xludf.DUMMYFUNCTION("""COMPUTED_VALUE"""),602.65)</f>
        <v>602.65</v>
      </c>
      <c r="D3357" s="1">
        <f>IFERROR(__xludf.DUMMYFUNCTION("""COMPUTED_VALUE"""),591.15)</f>
        <v>591.15</v>
      </c>
      <c r="E3357" s="1">
        <f>IFERROR(__xludf.DUMMYFUNCTION("""COMPUTED_VALUE"""),594.95)</f>
        <v>594.95</v>
      </c>
      <c r="F3357" s="1">
        <f>IFERROR(__xludf.DUMMYFUNCTION("""COMPUTED_VALUE"""),2245187.0)</f>
        <v>2245187</v>
      </c>
    </row>
    <row r="3358">
      <c r="A3358" s="2">
        <f>IFERROR(__xludf.DUMMYFUNCTION("""COMPUTED_VALUE"""),41466.645833333336)</f>
        <v>41466.64583</v>
      </c>
      <c r="B3358" s="1">
        <f>IFERROR(__xludf.DUMMYFUNCTION("""COMPUTED_VALUE"""),597.9)</f>
        <v>597.9</v>
      </c>
      <c r="C3358" s="1">
        <f>IFERROR(__xludf.DUMMYFUNCTION("""COMPUTED_VALUE"""),603.0)</f>
        <v>603</v>
      </c>
      <c r="D3358" s="1">
        <f>IFERROR(__xludf.DUMMYFUNCTION("""COMPUTED_VALUE"""),593.75)</f>
        <v>593.75</v>
      </c>
      <c r="E3358" s="1">
        <f>IFERROR(__xludf.DUMMYFUNCTION("""COMPUTED_VALUE"""),601.05)</f>
        <v>601.05</v>
      </c>
      <c r="F3358" s="1">
        <f>IFERROR(__xludf.DUMMYFUNCTION("""COMPUTED_VALUE"""),1530058.0)</f>
        <v>1530058</v>
      </c>
    </row>
    <row r="3359">
      <c r="A3359" s="2">
        <f>IFERROR(__xludf.DUMMYFUNCTION("""COMPUTED_VALUE"""),41467.645833333336)</f>
        <v>41467.64583</v>
      </c>
      <c r="B3359" s="1">
        <f>IFERROR(__xludf.DUMMYFUNCTION("""COMPUTED_VALUE"""),601.0)</f>
        <v>601</v>
      </c>
      <c r="C3359" s="1">
        <f>IFERROR(__xludf.DUMMYFUNCTION("""COMPUTED_VALUE"""),603.0)</f>
        <v>603</v>
      </c>
      <c r="D3359" s="1">
        <f>IFERROR(__xludf.DUMMYFUNCTION("""COMPUTED_VALUE"""),590.45)</f>
        <v>590.45</v>
      </c>
      <c r="E3359" s="1">
        <f>IFERROR(__xludf.DUMMYFUNCTION("""COMPUTED_VALUE"""),601.6)</f>
        <v>601.6</v>
      </c>
      <c r="F3359" s="1">
        <f>IFERROR(__xludf.DUMMYFUNCTION("""COMPUTED_VALUE"""),1379218.0)</f>
        <v>1379218</v>
      </c>
    </row>
    <row r="3360">
      <c r="A3360" s="2">
        <f>IFERROR(__xludf.DUMMYFUNCTION("""COMPUTED_VALUE"""),41470.645833333336)</f>
        <v>41470.64583</v>
      </c>
      <c r="B3360" s="1">
        <f>IFERROR(__xludf.DUMMYFUNCTION("""COMPUTED_VALUE"""),600.0)</f>
        <v>600</v>
      </c>
      <c r="C3360" s="1">
        <f>IFERROR(__xludf.DUMMYFUNCTION("""COMPUTED_VALUE"""),618.0)</f>
        <v>618</v>
      </c>
      <c r="D3360" s="1">
        <f>IFERROR(__xludf.DUMMYFUNCTION("""COMPUTED_VALUE"""),598.75)</f>
        <v>598.75</v>
      </c>
      <c r="E3360" s="1">
        <f>IFERROR(__xludf.DUMMYFUNCTION("""COMPUTED_VALUE"""),614.2)</f>
        <v>614.2</v>
      </c>
      <c r="F3360" s="1">
        <f>IFERROR(__xludf.DUMMYFUNCTION("""COMPUTED_VALUE"""),2644608.0)</f>
        <v>2644608</v>
      </c>
    </row>
    <row r="3361">
      <c r="A3361" s="2">
        <f>IFERROR(__xludf.DUMMYFUNCTION("""COMPUTED_VALUE"""),41471.645833333336)</f>
        <v>41471.64583</v>
      </c>
      <c r="B3361" s="1">
        <f>IFERROR(__xludf.DUMMYFUNCTION("""COMPUTED_VALUE"""),612.7)</f>
        <v>612.7</v>
      </c>
      <c r="C3361" s="1">
        <f>IFERROR(__xludf.DUMMYFUNCTION("""COMPUTED_VALUE"""),628.9)</f>
        <v>628.9</v>
      </c>
      <c r="D3361" s="1">
        <f>IFERROR(__xludf.DUMMYFUNCTION("""COMPUTED_VALUE"""),606.0)</f>
        <v>606</v>
      </c>
      <c r="E3361" s="1">
        <f>IFERROR(__xludf.DUMMYFUNCTION("""COMPUTED_VALUE"""),623.1)</f>
        <v>623.1</v>
      </c>
      <c r="F3361" s="1">
        <f>IFERROR(__xludf.DUMMYFUNCTION("""COMPUTED_VALUE"""),2228512.0)</f>
        <v>2228512</v>
      </c>
    </row>
    <row r="3362">
      <c r="A3362" s="2">
        <f>IFERROR(__xludf.DUMMYFUNCTION("""COMPUTED_VALUE"""),41472.645833333336)</f>
        <v>41472.64583</v>
      </c>
      <c r="B3362" s="1">
        <f>IFERROR(__xludf.DUMMYFUNCTION("""COMPUTED_VALUE"""),623.05)</f>
        <v>623.05</v>
      </c>
      <c r="C3362" s="1">
        <f>IFERROR(__xludf.DUMMYFUNCTION("""COMPUTED_VALUE"""),699.35)</f>
        <v>699.35</v>
      </c>
      <c r="D3362" s="1">
        <f>IFERROR(__xludf.DUMMYFUNCTION("""COMPUTED_VALUE"""),618.65)</f>
        <v>618.65</v>
      </c>
      <c r="E3362" s="1">
        <f>IFERROR(__xludf.DUMMYFUNCTION("""COMPUTED_VALUE"""),685.05)</f>
        <v>685.05</v>
      </c>
      <c r="F3362" s="1">
        <f>IFERROR(__xludf.DUMMYFUNCTION("""COMPUTED_VALUE"""),1.8748032E7)</f>
        <v>18748032</v>
      </c>
    </row>
    <row r="3363">
      <c r="A3363" s="2">
        <f>IFERROR(__xludf.DUMMYFUNCTION("""COMPUTED_VALUE"""),41473.645833333336)</f>
        <v>41473.64583</v>
      </c>
      <c r="B3363" s="1">
        <f>IFERROR(__xludf.DUMMYFUNCTION("""COMPUTED_VALUE"""),685.8)</f>
        <v>685.8</v>
      </c>
      <c r="C3363" s="1">
        <f>IFERROR(__xludf.DUMMYFUNCTION("""COMPUTED_VALUE"""),719.1)</f>
        <v>719.1</v>
      </c>
      <c r="D3363" s="1">
        <f>IFERROR(__xludf.DUMMYFUNCTION("""COMPUTED_VALUE"""),669.4)</f>
        <v>669.4</v>
      </c>
      <c r="E3363" s="1">
        <f>IFERROR(__xludf.DUMMYFUNCTION("""COMPUTED_VALUE"""),688.05)</f>
        <v>688.05</v>
      </c>
      <c r="F3363" s="1">
        <f>IFERROR(__xludf.DUMMYFUNCTION("""COMPUTED_VALUE"""),1.0021074E7)</f>
        <v>10021074</v>
      </c>
    </row>
    <row r="3364">
      <c r="A3364" s="2">
        <f>IFERROR(__xludf.DUMMYFUNCTION("""COMPUTED_VALUE"""),41474.645833333336)</f>
        <v>41474.64583</v>
      </c>
      <c r="B3364" s="1">
        <f>IFERROR(__xludf.DUMMYFUNCTION("""COMPUTED_VALUE"""),694.7)</f>
        <v>694.7</v>
      </c>
      <c r="C3364" s="1">
        <f>IFERROR(__xludf.DUMMYFUNCTION("""COMPUTED_VALUE"""),708.8)</f>
        <v>708.8</v>
      </c>
      <c r="D3364" s="1">
        <f>IFERROR(__xludf.DUMMYFUNCTION("""COMPUTED_VALUE"""),678.3)</f>
        <v>678.3</v>
      </c>
      <c r="E3364" s="1">
        <f>IFERROR(__xludf.DUMMYFUNCTION("""COMPUTED_VALUE"""),686.1)</f>
        <v>686.1</v>
      </c>
      <c r="F3364" s="1">
        <f>IFERROR(__xludf.DUMMYFUNCTION("""COMPUTED_VALUE"""),8816903.0)</f>
        <v>8816903</v>
      </c>
    </row>
    <row r="3365">
      <c r="A3365" s="2">
        <f>IFERROR(__xludf.DUMMYFUNCTION("""COMPUTED_VALUE"""),41477.645833333336)</f>
        <v>41477.64583</v>
      </c>
      <c r="B3365" s="1">
        <f>IFERROR(__xludf.DUMMYFUNCTION("""COMPUTED_VALUE"""),684.7)</f>
        <v>684.7</v>
      </c>
      <c r="C3365" s="1">
        <f>IFERROR(__xludf.DUMMYFUNCTION("""COMPUTED_VALUE"""),701.0)</f>
        <v>701</v>
      </c>
      <c r="D3365" s="1">
        <f>IFERROR(__xludf.DUMMYFUNCTION("""COMPUTED_VALUE"""),680.4)</f>
        <v>680.4</v>
      </c>
      <c r="E3365" s="1">
        <f>IFERROR(__xludf.DUMMYFUNCTION("""COMPUTED_VALUE"""),697.15)</f>
        <v>697.15</v>
      </c>
      <c r="F3365" s="1">
        <f>IFERROR(__xludf.DUMMYFUNCTION("""COMPUTED_VALUE"""),1801410.0)</f>
        <v>1801410</v>
      </c>
    </row>
    <row r="3366">
      <c r="A3366" s="2">
        <f>IFERROR(__xludf.DUMMYFUNCTION("""COMPUTED_VALUE"""),41478.645833333336)</f>
        <v>41478.64583</v>
      </c>
      <c r="B3366" s="1">
        <f>IFERROR(__xludf.DUMMYFUNCTION("""COMPUTED_VALUE"""),700.0)</f>
        <v>700</v>
      </c>
      <c r="C3366" s="1">
        <f>IFERROR(__xludf.DUMMYFUNCTION("""COMPUTED_VALUE"""),722.0)</f>
        <v>722</v>
      </c>
      <c r="D3366" s="1">
        <f>IFERROR(__xludf.DUMMYFUNCTION("""COMPUTED_VALUE"""),696.85)</f>
        <v>696.85</v>
      </c>
      <c r="E3366" s="1">
        <f>IFERROR(__xludf.DUMMYFUNCTION("""COMPUTED_VALUE"""),718.8)</f>
        <v>718.8</v>
      </c>
      <c r="F3366" s="1">
        <f>IFERROR(__xludf.DUMMYFUNCTION("""COMPUTED_VALUE"""),3299142.0)</f>
        <v>3299142</v>
      </c>
    </row>
    <row r="3367">
      <c r="A3367" s="2">
        <f>IFERROR(__xludf.DUMMYFUNCTION("""COMPUTED_VALUE"""),41479.645833333336)</f>
        <v>41479.64583</v>
      </c>
      <c r="B3367" s="1">
        <f>IFERROR(__xludf.DUMMYFUNCTION("""COMPUTED_VALUE"""),718.0)</f>
        <v>718</v>
      </c>
      <c r="C3367" s="1">
        <f>IFERROR(__xludf.DUMMYFUNCTION("""COMPUTED_VALUE"""),725.0)</f>
        <v>725</v>
      </c>
      <c r="D3367" s="1">
        <f>IFERROR(__xludf.DUMMYFUNCTION("""COMPUTED_VALUE"""),705.25)</f>
        <v>705.25</v>
      </c>
      <c r="E3367" s="1">
        <f>IFERROR(__xludf.DUMMYFUNCTION("""COMPUTED_VALUE"""),709.45)</f>
        <v>709.45</v>
      </c>
      <c r="F3367" s="1">
        <f>IFERROR(__xludf.DUMMYFUNCTION("""COMPUTED_VALUE"""),3485015.0)</f>
        <v>3485015</v>
      </c>
    </row>
    <row r="3368">
      <c r="A3368" s="2">
        <f>IFERROR(__xludf.DUMMYFUNCTION("""COMPUTED_VALUE"""),41480.645833333336)</f>
        <v>41480.64583</v>
      </c>
      <c r="B3368" s="1">
        <f>IFERROR(__xludf.DUMMYFUNCTION("""COMPUTED_VALUE"""),706.0)</f>
        <v>706</v>
      </c>
      <c r="C3368" s="1">
        <f>IFERROR(__xludf.DUMMYFUNCTION("""COMPUTED_VALUE"""),713.9)</f>
        <v>713.9</v>
      </c>
      <c r="D3368" s="1">
        <f>IFERROR(__xludf.DUMMYFUNCTION("""COMPUTED_VALUE"""),675.1)</f>
        <v>675.1</v>
      </c>
      <c r="E3368" s="1">
        <f>IFERROR(__xludf.DUMMYFUNCTION("""COMPUTED_VALUE"""),687.95)</f>
        <v>687.95</v>
      </c>
      <c r="F3368" s="1">
        <f>IFERROR(__xludf.DUMMYFUNCTION("""COMPUTED_VALUE"""),5550291.0)</f>
        <v>5550291</v>
      </c>
    </row>
    <row r="3369">
      <c r="A3369" s="2">
        <f>IFERROR(__xludf.DUMMYFUNCTION("""COMPUTED_VALUE"""),41481.645833333336)</f>
        <v>41481.64583</v>
      </c>
      <c r="B3369" s="1">
        <f>IFERROR(__xludf.DUMMYFUNCTION("""COMPUTED_VALUE"""),679.5)</f>
        <v>679.5</v>
      </c>
      <c r="C3369" s="1">
        <f>IFERROR(__xludf.DUMMYFUNCTION("""COMPUTED_VALUE"""),681.15)</f>
        <v>681.15</v>
      </c>
      <c r="D3369" s="1">
        <f>IFERROR(__xludf.DUMMYFUNCTION("""COMPUTED_VALUE"""),648.4)</f>
        <v>648.4</v>
      </c>
      <c r="E3369" s="1">
        <f>IFERROR(__xludf.DUMMYFUNCTION("""COMPUTED_VALUE"""),663.7)</f>
        <v>663.7</v>
      </c>
      <c r="F3369" s="1">
        <f>IFERROR(__xludf.DUMMYFUNCTION("""COMPUTED_VALUE"""),8739293.0)</f>
        <v>8739293</v>
      </c>
    </row>
    <row r="3370">
      <c r="A3370" s="2">
        <f>IFERROR(__xludf.DUMMYFUNCTION("""COMPUTED_VALUE"""),41484.645833333336)</f>
        <v>41484.64583</v>
      </c>
      <c r="B3370" s="1">
        <f>IFERROR(__xludf.DUMMYFUNCTION("""COMPUTED_VALUE"""),660.1)</f>
        <v>660.1</v>
      </c>
      <c r="C3370" s="1">
        <f>IFERROR(__xludf.DUMMYFUNCTION("""COMPUTED_VALUE"""),660.95)</f>
        <v>660.95</v>
      </c>
      <c r="D3370" s="1">
        <f>IFERROR(__xludf.DUMMYFUNCTION("""COMPUTED_VALUE"""),625.1)</f>
        <v>625.1</v>
      </c>
      <c r="E3370" s="1">
        <f>IFERROR(__xludf.DUMMYFUNCTION("""COMPUTED_VALUE"""),638.55)</f>
        <v>638.55</v>
      </c>
      <c r="F3370" s="1">
        <f>IFERROR(__xludf.DUMMYFUNCTION("""COMPUTED_VALUE"""),4161171.0)</f>
        <v>4161171</v>
      </c>
    </row>
    <row r="3371">
      <c r="A3371" s="2">
        <f>IFERROR(__xludf.DUMMYFUNCTION("""COMPUTED_VALUE"""),41485.645833333336)</f>
        <v>41485.64583</v>
      </c>
      <c r="B3371" s="1">
        <f>IFERROR(__xludf.DUMMYFUNCTION("""COMPUTED_VALUE"""),633.0)</f>
        <v>633</v>
      </c>
      <c r="C3371" s="1">
        <f>IFERROR(__xludf.DUMMYFUNCTION("""COMPUTED_VALUE"""),635.4)</f>
        <v>635.4</v>
      </c>
      <c r="D3371" s="1">
        <f>IFERROR(__xludf.DUMMYFUNCTION("""COMPUTED_VALUE"""),622.6)</f>
        <v>622.6</v>
      </c>
      <c r="E3371" s="1">
        <f>IFERROR(__xludf.DUMMYFUNCTION("""COMPUTED_VALUE"""),627.0)</f>
        <v>627</v>
      </c>
      <c r="F3371" s="1">
        <f>IFERROR(__xludf.DUMMYFUNCTION("""COMPUTED_VALUE"""),1857276.0)</f>
        <v>1857276</v>
      </c>
    </row>
    <row r="3372">
      <c r="A3372" s="2">
        <f>IFERROR(__xludf.DUMMYFUNCTION("""COMPUTED_VALUE"""),41486.645833333336)</f>
        <v>41486.64583</v>
      </c>
      <c r="B3372" s="1">
        <f>IFERROR(__xludf.DUMMYFUNCTION("""COMPUTED_VALUE"""),621.25)</f>
        <v>621.25</v>
      </c>
      <c r="C3372" s="1">
        <f>IFERROR(__xludf.DUMMYFUNCTION("""COMPUTED_VALUE"""),625.05)</f>
        <v>625.05</v>
      </c>
      <c r="D3372" s="1">
        <f>IFERROR(__xludf.DUMMYFUNCTION("""COMPUTED_VALUE"""),605.25)</f>
        <v>605.25</v>
      </c>
      <c r="E3372" s="1">
        <f>IFERROR(__xludf.DUMMYFUNCTION("""COMPUTED_VALUE"""),612.55)</f>
        <v>612.55</v>
      </c>
      <c r="F3372" s="1">
        <f>IFERROR(__xludf.DUMMYFUNCTION("""COMPUTED_VALUE"""),4105005.0)</f>
        <v>4105005</v>
      </c>
    </row>
    <row r="3373">
      <c r="A3373" s="2">
        <f>IFERROR(__xludf.DUMMYFUNCTION("""COMPUTED_VALUE"""),41487.645833333336)</f>
        <v>41487.64583</v>
      </c>
      <c r="B3373" s="1">
        <f>IFERROR(__xludf.DUMMYFUNCTION("""COMPUTED_VALUE"""),609.1)</f>
        <v>609.1</v>
      </c>
      <c r="C3373" s="1">
        <f>IFERROR(__xludf.DUMMYFUNCTION("""COMPUTED_VALUE"""),641.4)</f>
        <v>641.4</v>
      </c>
      <c r="D3373" s="1">
        <f>IFERROR(__xludf.DUMMYFUNCTION("""COMPUTED_VALUE"""),608.35)</f>
        <v>608.35</v>
      </c>
      <c r="E3373" s="1">
        <f>IFERROR(__xludf.DUMMYFUNCTION("""COMPUTED_VALUE"""),635.2)</f>
        <v>635.2</v>
      </c>
      <c r="F3373" s="1">
        <f>IFERROR(__xludf.DUMMYFUNCTION("""COMPUTED_VALUE"""),2143419.0)</f>
        <v>2143419</v>
      </c>
    </row>
    <row r="3374">
      <c r="A3374" s="2">
        <f>IFERROR(__xludf.DUMMYFUNCTION("""COMPUTED_VALUE"""),41488.645833333336)</f>
        <v>41488.64583</v>
      </c>
      <c r="B3374" s="1">
        <f>IFERROR(__xludf.DUMMYFUNCTION("""COMPUTED_VALUE"""),638.0)</f>
        <v>638</v>
      </c>
      <c r="C3374" s="1">
        <f>IFERROR(__xludf.DUMMYFUNCTION("""COMPUTED_VALUE"""),640.2)</f>
        <v>640.2</v>
      </c>
      <c r="D3374" s="1">
        <f>IFERROR(__xludf.DUMMYFUNCTION("""COMPUTED_VALUE"""),608.35)</f>
        <v>608.35</v>
      </c>
      <c r="E3374" s="1">
        <f>IFERROR(__xludf.DUMMYFUNCTION("""COMPUTED_VALUE"""),615.95)</f>
        <v>615.95</v>
      </c>
      <c r="F3374" s="1">
        <f>IFERROR(__xludf.DUMMYFUNCTION("""COMPUTED_VALUE"""),2783404.0)</f>
        <v>2783404</v>
      </c>
    </row>
    <row r="3375">
      <c r="A3375" s="2">
        <f>IFERROR(__xludf.DUMMYFUNCTION("""COMPUTED_VALUE"""),41491.645833333336)</f>
        <v>41491.64583</v>
      </c>
      <c r="B3375" s="1">
        <f>IFERROR(__xludf.DUMMYFUNCTION("""COMPUTED_VALUE"""),620.0)</f>
        <v>620</v>
      </c>
      <c r="C3375" s="1">
        <f>IFERROR(__xludf.DUMMYFUNCTION("""COMPUTED_VALUE"""),627.85)</f>
        <v>627.85</v>
      </c>
      <c r="D3375" s="1">
        <f>IFERROR(__xludf.DUMMYFUNCTION("""COMPUTED_VALUE"""),615.15)</f>
        <v>615.15</v>
      </c>
      <c r="E3375" s="1">
        <f>IFERROR(__xludf.DUMMYFUNCTION("""COMPUTED_VALUE"""),618.8)</f>
        <v>618.8</v>
      </c>
      <c r="F3375" s="1">
        <f>IFERROR(__xludf.DUMMYFUNCTION("""COMPUTED_VALUE"""),1410809.0)</f>
        <v>1410809</v>
      </c>
    </row>
    <row r="3376">
      <c r="A3376" s="2">
        <f>IFERROR(__xludf.DUMMYFUNCTION("""COMPUTED_VALUE"""),41492.645833333336)</f>
        <v>41492.64583</v>
      </c>
      <c r="B3376" s="1">
        <f>IFERROR(__xludf.DUMMYFUNCTION("""COMPUTED_VALUE"""),618.0)</f>
        <v>618</v>
      </c>
      <c r="C3376" s="1">
        <f>IFERROR(__xludf.DUMMYFUNCTION("""COMPUTED_VALUE"""),625.15)</f>
        <v>625.15</v>
      </c>
      <c r="D3376" s="1">
        <f>IFERROR(__xludf.DUMMYFUNCTION("""COMPUTED_VALUE"""),605.45)</f>
        <v>605.45</v>
      </c>
      <c r="E3376" s="1">
        <f>IFERROR(__xludf.DUMMYFUNCTION("""COMPUTED_VALUE"""),608.35)</f>
        <v>608.35</v>
      </c>
      <c r="F3376" s="1">
        <f>IFERROR(__xludf.DUMMYFUNCTION("""COMPUTED_VALUE"""),1203007.0)</f>
        <v>1203007</v>
      </c>
    </row>
    <row r="3377">
      <c r="A3377" s="2">
        <f>IFERROR(__xludf.DUMMYFUNCTION("""COMPUTED_VALUE"""),41493.645833333336)</f>
        <v>41493.64583</v>
      </c>
      <c r="B3377" s="1">
        <f>IFERROR(__xludf.DUMMYFUNCTION("""COMPUTED_VALUE"""),606.55)</f>
        <v>606.55</v>
      </c>
      <c r="C3377" s="1">
        <f>IFERROR(__xludf.DUMMYFUNCTION("""COMPUTED_VALUE"""),611.95)</f>
        <v>611.95</v>
      </c>
      <c r="D3377" s="1">
        <f>IFERROR(__xludf.DUMMYFUNCTION("""COMPUTED_VALUE"""),595.95)</f>
        <v>595.95</v>
      </c>
      <c r="E3377" s="1">
        <f>IFERROR(__xludf.DUMMYFUNCTION("""COMPUTED_VALUE"""),603.2)</f>
        <v>603.2</v>
      </c>
      <c r="F3377" s="1">
        <f>IFERROR(__xludf.DUMMYFUNCTION("""COMPUTED_VALUE"""),2424701.0)</f>
        <v>2424701</v>
      </c>
    </row>
    <row r="3378">
      <c r="A3378" s="2">
        <f>IFERROR(__xludf.DUMMYFUNCTION("""COMPUTED_VALUE"""),41494.645833333336)</f>
        <v>41494.64583</v>
      </c>
      <c r="B3378" s="1">
        <f>IFERROR(__xludf.DUMMYFUNCTION("""COMPUTED_VALUE"""),603.15)</f>
        <v>603.15</v>
      </c>
      <c r="C3378" s="1">
        <f>IFERROR(__xludf.DUMMYFUNCTION("""COMPUTED_VALUE"""),607.1)</f>
        <v>607.1</v>
      </c>
      <c r="D3378" s="1">
        <f>IFERROR(__xludf.DUMMYFUNCTION("""COMPUTED_VALUE"""),596.1)</f>
        <v>596.1</v>
      </c>
      <c r="E3378" s="1">
        <f>IFERROR(__xludf.DUMMYFUNCTION("""COMPUTED_VALUE"""),600.0)</f>
        <v>600</v>
      </c>
      <c r="F3378" s="1">
        <f>IFERROR(__xludf.DUMMYFUNCTION("""COMPUTED_VALUE"""),1718456.0)</f>
        <v>1718456</v>
      </c>
    </row>
    <row r="3379">
      <c r="A3379" s="2">
        <f>IFERROR(__xludf.DUMMYFUNCTION("""COMPUTED_VALUE"""),41498.645833333336)</f>
        <v>41498.64583</v>
      </c>
      <c r="B3379" s="1">
        <f>IFERROR(__xludf.DUMMYFUNCTION("""COMPUTED_VALUE"""),600.0)</f>
        <v>600</v>
      </c>
      <c r="C3379" s="1">
        <f>IFERROR(__xludf.DUMMYFUNCTION("""COMPUTED_VALUE"""),620.3)</f>
        <v>620.3</v>
      </c>
      <c r="D3379" s="1">
        <f>IFERROR(__xludf.DUMMYFUNCTION("""COMPUTED_VALUE"""),600.0)</f>
        <v>600</v>
      </c>
      <c r="E3379" s="1">
        <f>IFERROR(__xludf.DUMMYFUNCTION("""COMPUTED_VALUE"""),615.65)</f>
        <v>615.65</v>
      </c>
      <c r="F3379" s="1">
        <f>IFERROR(__xludf.DUMMYFUNCTION("""COMPUTED_VALUE"""),1366927.0)</f>
        <v>1366927</v>
      </c>
    </row>
    <row r="3380">
      <c r="A3380" s="2">
        <f>IFERROR(__xludf.DUMMYFUNCTION("""COMPUTED_VALUE"""),41499.645833333336)</f>
        <v>41499.64583</v>
      </c>
      <c r="B3380" s="1">
        <f>IFERROR(__xludf.DUMMYFUNCTION("""COMPUTED_VALUE"""),611.0)</f>
        <v>611</v>
      </c>
      <c r="C3380" s="1">
        <f>IFERROR(__xludf.DUMMYFUNCTION("""COMPUTED_VALUE"""),624.9)</f>
        <v>624.9</v>
      </c>
      <c r="D3380" s="1">
        <f>IFERROR(__xludf.DUMMYFUNCTION("""COMPUTED_VALUE"""),606.4)</f>
        <v>606.4</v>
      </c>
      <c r="E3380" s="1">
        <f>IFERROR(__xludf.DUMMYFUNCTION("""COMPUTED_VALUE"""),621.6)</f>
        <v>621.6</v>
      </c>
      <c r="F3380" s="1">
        <f>IFERROR(__xludf.DUMMYFUNCTION("""COMPUTED_VALUE"""),881909.0)</f>
        <v>881909</v>
      </c>
    </row>
    <row r="3381">
      <c r="A3381" s="2">
        <f>IFERROR(__xludf.DUMMYFUNCTION("""COMPUTED_VALUE"""),41500.645833333336)</f>
        <v>41500.64583</v>
      </c>
      <c r="B3381" s="1">
        <f>IFERROR(__xludf.DUMMYFUNCTION("""COMPUTED_VALUE"""),619.0)</f>
        <v>619</v>
      </c>
      <c r="C3381" s="1">
        <f>IFERROR(__xludf.DUMMYFUNCTION("""COMPUTED_VALUE"""),621.95)</f>
        <v>621.95</v>
      </c>
      <c r="D3381" s="1">
        <f>IFERROR(__xludf.DUMMYFUNCTION("""COMPUTED_VALUE"""),612.3)</f>
        <v>612.3</v>
      </c>
      <c r="E3381" s="1">
        <f>IFERROR(__xludf.DUMMYFUNCTION("""COMPUTED_VALUE"""),616.6)</f>
        <v>616.6</v>
      </c>
      <c r="F3381" s="1">
        <f>IFERROR(__xludf.DUMMYFUNCTION("""COMPUTED_VALUE"""),946392.0)</f>
        <v>946392</v>
      </c>
    </row>
    <row r="3382">
      <c r="A3382" s="2">
        <f>IFERROR(__xludf.DUMMYFUNCTION("""COMPUTED_VALUE"""),41502.645833333336)</f>
        <v>41502.64583</v>
      </c>
      <c r="B3382" s="1">
        <f>IFERROR(__xludf.DUMMYFUNCTION("""COMPUTED_VALUE"""),615.35)</f>
        <v>615.35</v>
      </c>
      <c r="C3382" s="1">
        <f>IFERROR(__xludf.DUMMYFUNCTION("""COMPUTED_VALUE"""),618.0)</f>
        <v>618</v>
      </c>
      <c r="D3382" s="1">
        <f>IFERROR(__xludf.DUMMYFUNCTION("""COMPUTED_VALUE"""),595.0)</f>
        <v>595</v>
      </c>
      <c r="E3382" s="1">
        <f>IFERROR(__xludf.DUMMYFUNCTION("""COMPUTED_VALUE"""),599.0)</f>
        <v>599</v>
      </c>
      <c r="F3382" s="1">
        <f>IFERROR(__xludf.DUMMYFUNCTION("""COMPUTED_VALUE"""),3009323.0)</f>
        <v>3009323</v>
      </c>
    </row>
    <row r="3383">
      <c r="A3383" s="2">
        <f>IFERROR(__xludf.DUMMYFUNCTION("""COMPUTED_VALUE"""),41505.645833333336)</f>
        <v>41505.64583</v>
      </c>
      <c r="B3383" s="1">
        <f>IFERROR(__xludf.DUMMYFUNCTION("""COMPUTED_VALUE"""),597.0)</f>
        <v>597</v>
      </c>
      <c r="C3383" s="1">
        <f>IFERROR(__xludf.DUMMYFUNCTION("""COMPUTED_VALUE"""),602.5)</f>
        <v>602.5</v>
      </c>
      <c r="D3383" s="1">
        <f>IFERROR(__xludf.DUMMYFUNCTION("""COMPUTED_VALUE"""),583.35)</f>
        <v>583.35</v>
      </c>
      <c r="E3383" s="1">
        <f>IFERROR(__xludf.DUMMYFUNCTION("""COMPUTED_VALUE"""),589.3)</f>
        <v>589.3</v>
      </c>
      <c r="F3383" s="1">
        <f>IFERROR(__xludf.DUMMYFUNCTION("""COMPUTED_VALUE"""),1650465.0)</f>
        <v>1650465</v>
      </c>
    </row>
    <row r="3384">
      <c r="A3384" s="2">
        <f>IFERROR(__xludf.DUMMYFUNCTION("""COMPUTED_VALUE"""),41506.645833333336)</f>
        <v>41506.64583</v>
      </c>
      <c r="B3384" s="1">
        <f>IFERROR(__xludf.DUMMYFUNCTION("""COMPUTED_VALUE"""),585.0)</f>
        <v>585</v>
      </c>
      <c r="C3384" s="1">
        <f>IFERROR(__xludf.DUMMYFUNCTION("""COMPUTED_VALUE"""),598.0)</f>
        <v>598</v>
      </c>
      <c r="D3384" s="1">
        <f>IFERROR(__xludf.DUMMYFUNCTION("""COMPUTED_VALUE"""),579.35)</f>
        <v>579.35</v>
      </c>
      <c r="E3384" s="1">
        <f>IFERROR(__xludf.DUMMYFUNCTION("""COMPUTED_VALUE"""),590.6)</f>
        <v>590.6</v>
      </c>
      <c r="F3384" s="1">
        <f>IFERROR(__xludf.DUMMYFUNCTION("""COMPUTED_VALUE"""),2575130.0)</f>
        <v>2575130</v>
      </c>
    </row>
    <row r="3385">
      <c r="A3385" s="2">
        <f>IFERROR(__xludf.DUMMYFUNCTION("""COMPUTED_VALUE"""),41507.645833333336)</f>
        <v>41507.64583</v>
      </c>
      <c r="B3385" s="1">
        <f>IFERROR(__xludf.DUMMYFUNCTION("""COMPUTED_VALUE"""),595.0)</f>
        <v>595</v>
      </c>
      <c r="C3385" s="1">
        <f>IFERROR(__xludf.DUMMYFUNCTION("""COMPUTED_VALUE"""),606.85)</f>
        <v>606.85</v>
      </c>
      <c r="D3385" s="1">
        <f>IFERROR(__xludf.DUMMYFUNCTION("""COMPUTED_VALUE"""),583.25)</f>
        <v>583.25</v>
      </c>
      <c r="E3385" s="1">
        <f>IFERROR(__xludf.DUMMYFUNCTION("""COMPUTED_VALUE"""),589.4)</f>
        <v>589.4</v>
      </c>
      <c r="F3385" s="1">
        <f>IFERROR(__xludf.DUMMYFUNCTION("""COMPUTED_VALUE"""),2540740.0)</f>
        <v>2540740</v>
      </c>
    </row>
    <row r="3386">
      <c r="A3386" s="2">
        <f>IFERROR(__xludf.DUMMYFUNCTION("""COMPUTED_VALUE"""),41508.645833333336)</f>
        <v>41508.64583</v>
      </c>
      <c r="B3386" s="1">
        <f>IFERROR(__xludf.DUMMYFUNCTION("""COMPUTED_VALUE"""),587.0)</f>
        <v>587</v>
      </c>
      <c r="C3386" s="1">
        <f>IFERROR(__xludf.DUMMYFUNCTION("""COMPUTED_VALUE"""),599.35)</f>
        <v>599.35</v>
      </c>
      <c r="D3386" s="1">
        <f>IFERROR(__xludf.DUMMYFUNCTION("""COMPUTED_VALUE"""),578.95)</f>
        <v>578.95</v>
      </c>
      <c r="E3386" s="1">
        <f>IFERROR(__xludf.DUMMYFUNCTION("""COMPUTED_VALUE"""),592.65)</f>
        <v>592.65</v>
      </c>
      <c r="F3386" s="1">
        <f>IFERROR(__xludf.DUMMYFUNCTION("""COMPUTED_VALUE"""),1814279.0)</f>
        <v>1814279</v>
      </c>
    </row>
    <row r="3387">
      <c r="A3387" s="2">
        <f>IFERROR(__xludf.DUMMYFUNCTION("""COMPUTED_VALUE"""),41509.645833333336)</f>
        <v>41509.64583</v>
      </c>
      <c r="B3387" s="1">
        <f>IFERROR(__xludf.DUMMYFUNCTION("""COMPUTED_VALUE"""),597.5)</f>
        <v>597.5</v>
      </c>
      <c r="C3387" s="1">
        <f>IFERROR(__xludf.DUMMYFUNCTION("""COMPUTED_VALUE"""),604.35)</f>
        <v>604.35</v>
      </c>
      <c r="D3387" s="1">
        <f>IFERROR(__xludf.DUMMYFUNCTION("""COMPUTED_VALUE"""),587.1)</f>
        <v>587.1</v>
      </c>
      <c r="E3387" s="1">
        <f>IFERROR(__xludf.DUMMYFUNCTION("""COMPUTED_VALUE"""),601.35)</f>
        <v>601.35</v>
      </c>
      <c r="F3387" s="1">
        <f>IFERROR(__xludf.DUMMYFUNCTION("""COMPUTED_VALUE"""),2360748.0)</f>
        <v>2360748</v>
      </c>
    </row>
    <row r="3388">
      <c r="A3388" s="2">
        <f>IFERROR(__xludf.DUMMYFUNCTION("""COMPUTED_VALUE"""),41512.645833333336)</f>
        <v>41512.64583</v>
      </c>
      <c r="B3388" s="1">
        <f>IFERROR(__xludf.DUMMYFUNCTION("""COMPUTED_VALUE"""),606.0)</f>
        <v>606</v>
      </c>
      <c r="C3388" s="1">
        <f>IFERROR(__xludf.DUMMYFUNCTION("""COMPUTED_VALUE"""),616.5)</f>
        <v>616.5</v>
      </c>
      <c r="D3388" s="1">
        <f>IFERROR(__xludf.DUMMYFUNCTION("""COMPUTED_VALUE"""),600.1)</f>
        <v>600.1</v>
      </c>
      <c r="E3388" s="1">
        <f>IFERROR(__xludf.DUMMYFUNCTION("""COMPUTED_VALUE"""),608.5)</f>
        <v>608.5</v>
      </c>
      <c r="F3388" s="1">
        <f>IFERROR(__xludf.DUMMYFUNCTION("""COMPUTED_VALUE"""),1064662.0)</f>
        <v>1064662</v>
      </c>
    </row>
    <row r="3389">
      <c r="A3389" s="2">
        <f>IFERROR(__xludf.DUMMYFUNCTION("""COMPUTED_VALUE"""),41513.645833333336)</f>
        <v>41513.64583</v>
      </c>
      <c r="B3389" s="1">
        <f>IFERROR(__xludf.DUMMYFUNCTION("""COMPUTED_VALUE"""),605.0)</f>
        <v>605</v>
      </c>
      <c r="C3389" s="1">
        <f>IFERROR(__xludf.DUMMYFUNCTION("""COMPUTED_VALUE"""),606.0)</f>
        <v>606</v>
      </c>
      <c r="D3389" s="1">
        <f>IFERROR(__xludf.DUMMYFUNCTION("""COMPUTED_VALUE"""),586.1)</f>
        <v>586.1</v>
      </c>
      <c r="E3389" s="1">
        <f>IFERROR(__xludf.DUMMYFUNCTION("""COMPUTED_VALUE"""),595.55)</f>
        <v>595.55</v>
      </c>
      <c r="F3389" s="1">
        <f>IFERROR(__xludf.DUMMYFUNCTION("""COMPUTED_VALUE"""),2297372.0)</f>
        <v>2297372</v>
      </c>
    </row>
    <row r="3390">
      <c r="A3390" s="2">
        <f>IFERROR(__xludf.DUMMYFUNCTION("""COMPUTED_VALUE"""),41514.645833333336)</f>
        <v>41514.64583</v>
      </c>
      <c r="B3390" s="1">
        <f>IFERROR(__xludf.DUMMYFUNCTION("""COMPUTED_VALUE"""),589.0)</f>
        <v>589</v>
      </c>
      <c r="C3390" s="1">
        <f>IFERROR(__xludf.DUMMYFUNCTION("""COMPUTED_VALUE"""),602.7)</f>
        <v>602.7</v>
      </c>
      <c r="D3390" s="1">
        <f>IFERROR(__xludf.DUMMYFUNCTION("""COMPUTED_VALUE"""),579.55)</f>
        <v>579.55</v>
      </c>
      <c r="E3390" s="1">
        <f>IFERROR(__xludf.DUMMYFUNCTION("""COMPUTED_VALUE"""),594.55)</f>
        <v>594.55</v>
      </c>
      <c r="F3390" s="1">
        <f>IFERROR(__xludf.DUMMYFUNCTION("""COMPUTED_VALUE"""),2582899.0)</f>
        <v>2582899</v>
      </c>
    </row>
    <row r="3391">
      <c r="A3391" s="2">
        <f>IFERROR(__xludf.DUMMYFUNCTION("""COMPUTED_VALUE"""),41515.645833333336)</f>
        <v>41515.64583</v>
      </c>
      <c r="B3391" s="1">
        <f>IFERROR(__xludf.DUMMYFUNCTION("""COMPUTED_VALUE"""),594.0)</f>
        <v>594</v>
      </c>
      <c r="C3391" s="1">
        <f>IFERROR(__xludf.DUMMYFUNCTION("""COMPUTED_VALUE"""),611.35)</f>
        <v>611.35</v>
      </c>
      <c r="D3391" s="1">
        <f>IFERROR(__xludf.DUMMYFUNCTION("""COMPUTED_VALUE"""),587.7)</f>
        <v>587.7</v>
      </c>
      <c r="E3391" s="1">
        <f>IFERROR(__xludf.DUMMYFUNCTION("""COMPUTED_VALUE"""),607.0)</f>
        <v>607</v>
      </c>
      <c r="F3391" s="1">
        <f>IFERROR(__xludf.DUMMYFUNCTION("""COMPUTED_VALUE"""),2485894.0)</f>
        <v>2485894</v>
      </c>
    </row>
    <row r="3392">
      <c r="A3392" s="2">
        <f>IFERROR(__xludf.DUMMYFUNCTION("""COMPUTED_VALUE"""),41516.645833333336)</f>
        <v>41516.64583</v>
      </c>
      <c r="B3392" s="1">
        <f>IFERROR(__xludf.DUMMYFUNCTION("""COMPUTED_VALUE"""),602.0)</f>
        <v>602</v>
      </c>
      <c r="C3392" s="1">
        <f>IFERROR(__xludf.DUMMYFUNCTION("""COMPUTED_VALUE"""),638.75)</f>
        <v>638.75</v>
      </c>
      <c r="D3392" s="1">
        <f>IFERROR(__xludf.DUMMYFUNCTION("""COMPUTED_VALUE"""),600.3)</f>
        <v>600.3</v>
      </c>
      <c r="E3392" s="1">
        <f>IFERROR(__xludf.DUMMYFUNCTION("""COMPUTED_VALUE"""),631.45)</f>
        <v>631.45</v>
      </c>
      <c r="F3392" s="1">
        <f>IFERROR(__xludf.DUMMYFUNCTION("""COMPUTED_VALUE"""),2478561.0)</f>
        <v>2478561</v>
      </c>
    </row>
    <row r="3393">
      <c r="A3393" s="2">
        <f>IFERROR(__xludf.DUMMYFUNCTION("""COMPUTED_VALUE"""),41519.645833333336)</f>
        <v>41519.64583</v>
      </c>
      <c r="B3393" s="1">
        <f>IFERROR(__xludf.DUMMYFUNCTION("""COMPUTED_VALUE"""),632.0)</f>
        <v>632</v>
      </c>
      <c r="C3393" s="1">
        <f>IFERROR(__xludf.DUMMYFUNCTION("""COMPUTED_VALUE"""),647.4)</f>
        <v>647.4</v>
      </c>
      <c r="D3393" s="1">
        <f>IFERROR(__xludf.DUMMYFUNCTION("""COMPUTED_VALUE"""),632.0)</f>
        <v>632</v>
      </c>
      <c r="E3393" s="1">
        <f>IFERROR(__xludf.DUMMYFUNCTION("""COMPUTED_VALUE"""),641.3)</f>
        <v>641.3</v>
      </c>
      <c r="F3393" s="1">
        <f>IFERROR(__xludf.DUMMYFUNCTION("""COMPUTED_VALUE"""),1133123.0)</f>
        <v>1133123</v>
      </c>
    </row>
    <row r="3394">
      <c r="A3394" s="2">
        <f>IFERROR(__xludf.DUMMYFUNCTION("""COMPUTED_VALUE"""),41520.645833333336)</f>
        <v>41520.64583</v>
      </c>
      <c r="B3394" s="1">
        <f>IFERROR(__xludf.DUMMYFUNCTION("""COMPUTED_VALUE"""),641.0)</f>
        <v>641</v>
      </c>
      <c r="C3394" s="1">
        <f>IFERROR(__xludf.DUMMYFUNCTION("""COMPUTED_VALUE"""),644.0)</f>
        <v>644</v>
      </c>
      <c r="D3394" s="1">
        <f>IFERROR(__xludf.DUMMYFUNCTION("""COMPUTED_VALUE"""),608.1)</f>
        <v>608.1</v>
      </c>
      <c r="E3394" s="1">
        <f>IFERROR(__xludf.DUMMYFUNCTION("""COMPUTED_VALUE"""),613.35)</f>
        <v>613.35</v>
      </c>
      <c r="F3394" s="1">
        <f>IFERROR(__xludf.DUMMYFUNCTION("""COMPUTED_VALUE"""),1157960.0)</f>
        <v>1157960</v>
      </c>
    </row>
    <row r="3395">
      <c r="A3395" s="2">
        <f>IFERROR(__xludf.DUMMYFUNCTION("""COMPUTED_VALUE"""),41521.645833333336)</f>
        <v>41521.64583</v>
      </c>
      <c r="B3395" s="1">
        <f>IFERROR(__xludf.DUMMYFUNCTION("""COMPUTED_VALUE"""),611.0)</f>
        <v>611</v>
      </c>
      <c r="C3395" s="1">
        <f>IFERROR(__xludf.DUMMYFUNCTION("""COMPUTED_VALUE"""),624.7)</f>
        <v>624.7</v>
      </c>
      <c r="D3395" s="1">
        <f>IFERROR(__xludf.DUMMYFUNCTION("""COMPUTED_VALUE"""),604.0)</f>
        <v>604</v>
      </c>
      <c r="E3395" s="1">
        <f>IFERROR(__xludf.DUMMYFUNCTION("""COMPUTED_VALUE"""),616.5)</f>
        <v>616.5</v>
      </c>
      <c r="F3395" s="1">
        <f>IFERROR(__xludf.DUMMYFUNCTION("""COMPUTED_VALUE"""),959682.0)</f>
        <v>959682</v>
      </c>
    </row>
    <row r="3396">
      <c r="A3396" s="2">
        <f>IFERROR(__xludf.DUMMYFUNCTION("""COMPUTED_VALUE"""),41522.645833333336)</f>
        <v>41522.64583</v>
      </c>
      <c r="B3396" s="1">
        <f>IFERROR(__xludf.DUMMYFUNCTION("""COMPUTED_VALUE"""),618.95)</f>
        <v>618.95</v>
      </c>
      <c r="C3396" s="1">
        <f>IFERROR(__xludf.DUMMYFUNCTION("""COMPUTED_VALUE"""),631.7)</f>
        <v>631.7</v>
      </c>
      <c r="D3396" s="1">
        <f>IFERROR(__xludf.DUMMYFUNCTION("""COMPUTED_VALUE"""),616.2)</f>
        <v>616.2</v>
      </c>
      <c r="E3396" s="1">
        <f>IFERROR(__xludf.DUMMYFUNCTION("""COMPUTED_VALUE"""),628.0)</f>
        <v>628</v>
      </c>
      <c r="F3396" s="1">
        <f>IFERROR(__xludf.DUMMYFUNCTION("""COMPUTED_VALUE"""),725423.0)</f>
        <v>725423</v>
      </c>
    </row>
    <row r="3397">
      <c r="A3397" s="2">
        <f>IFERROR(__xludf.DUMMYFUNCTION("""COMPUTED_VALUE"""),41523.645833333336)</f>
        <v>41523.64583</v>
      </c>
      <c r="B3397" s="1">
        <f>IFERROR(__xludf.DUMMYFUNCTION("""COMPUTED_VALUE"""),629.7)</f>
        <v>629.7</v>
      </c>
      <c r="C3397" s="1">
        <f>IFERROR(__xludf.DUMMYFUNCTION("""COMPUTED_VALUE"""),635.3)</f>
        <v>635.3</v>
      </c>
      <c r="D3397" s="1">
        <f>IFERROR(__xludf.DUMMYFUNCTION("""COMPUTED_VALUE"""),610.0)</f>
        <v>610</v>
      </c>
      <c r="E3397" s="1">
        <f>IFERROR(__xludf.DUMMYFUNCTION("""COMPUTED_VALUE"""),617.6)</f>
        <v>617.6</v>
      </c>
      <c r="F3397" s="1">
        <f>IFERROR(__xludf.DUMMYFUNCTION("""COMPUTED_VALUE"""),1284157.0)</f>
        <v>1284157</v>
      </c>
    </row>
    <row r="3398">
      <c r="A3398" s="2">
        <f>IFERROR(__xludf.DUMMYFUNCTION("""COMPUTED_VALUE"""),41527.645833333336)</f>
        <v>41527.64583</v>
      </c>
      <c r="B3398" s="1">
        <f>IFERROR(__xludf.DUMMYFUNCTION("""COMPUTED_VALUE"""),623.0)</f>
        <v>623</v>
      </c>
      <c r="C3398" s="1">
        <f>IFERROR(__xludf.DUMMYFUNCTION("""COMPUTED_VALUE"""),659.4)</f>
        <v>659.4</v>
      </c>
      <c r="D3398" s="1">
        <f>IFERROR(__xludf.DUMMYFUNCTION("""COMPUTED_VALUE"""),623.0)</f>
        <v>623</v>
      </c>
      <c r="E3398" s="1">
        <f>IFERROR(__xludf.DUMMYFUNCTION("""COMPUTED_VALUE"""),653.5)</f>
        <v>653.5</v>
      </c>
      <c r="F3398" s="1">
        <f>IFERROR(__xludf.DUMMYFUNCTION("""COMPUTED_VALUE"""),2086680.0)</f>
        <v>2086680</v>
      </c>
    </row>
    <row r="3399">
      <c r="A3399" s="2">
        <f>IFERROR(__xludf.DUMMYFUNCTION("""COMPUTED_VALUE"""),41528.645833333336)</f>
        <v>41528.64583</v>
      </c>
      <c r="B3399" s="1">
        <f>IFERROR(__xludf.DUMMYFUNCTION("""COMPUTED_VALUE"""),648.25)</f>
        <v>648.25</v>
      </c>
      <c r="C3399" s="1">
        <f>IFERROR(__xludf.DUMMYFUNCTION("""COMPUTED_VALUE"""),652.5)</f>
        <v>652.5</v>
      </c>
      <c r="D3399" s="1">
        <f>IFERROR(__xludf.DUMMYFUNCTION("""COMPUTED_VALUE"""),635.15)</f>
        <v>635.15</v>
      </c>
      <c r="E3399" s="1">
        <f>IFERROR(__xludf.DUMMYFUNCTION("""COMPUTED_VALUE"""),643.6)</f>
        <v>643.6</v>
      </c>
      <c r="F3399" s="1">
        <f>IFERROR(__xludf.DUMMYFUNCTION("""COMPUTED_VALUE"""),1180964.0)</f>
        <v>1180964</v>
      </c>
    </row>
    <row r="3400">
      <c r="A3400" s="2">
        <f>IFERROR(__xludf.DUMMYFUNCTION("""COMPUTED_VALUE"""),41529.645833333336)</f>
        <v>41529.64583</v>
      </c>
      <c r="B3400" s="1">
        <f>IFERROR(__xludf.DUMMYFUNCTION("""COMPUTED_VALUE"""),642.0)</f>
        <v>642</v>
      </c>
      <c r="C3400" s="1">
        <f>IFERROR(__xludf.DUMMYFUNCTION("""COMPUTED_VALUE"""),644.95)</f>
        <v>644.95</v>
      </c>
      <c r="D3400" s="1">
        <f>IFERROR(__xludf.DUMMYFUNCTION("""COMPUTED_VALUE"""),623.25)</f>
        <v>623.25</v>
      </c>
      <c r="E3400" s="1">
        <f>IFERROR(__xludf.DUMMYFUNCTION("""COMPUTED_VALUE"""),626.3)</f>
        <v>626.3</v>
      </c>
      <c r="F3400" s="1">
        <f>IFERROR(__xludf.DUMMYFUNCTION("""COMPUTED_VALUE"""),1123281.0)</f>
        <v>1123281</v>
      </c>
    </row>
    <row r="3401">
      <c r="A3401" s="2">
        <f>IFERROR(__xludf.DUMMYFUNCTION("""COMPUTED_VALUE"""),41530.645833333336)</f>
        <v>41530.64583</v>
      </c>
      <c r="B3401" s="1">
        <f>IFERROR(__xludf.DUMMYFUNCTION("""COMPUTED_VALUE"""),629.7)</f>
        <v>629.7</v>
      </c>
      <c r="C3401" s="1">
        <f>IFERROR(__xludf.DUMMYFUNCTION("""COMPUTED_VALUE"""),634.95)</f>
        <v>634.95</v>
      </c>
      <c r="D3401" s="1">
        <f>IFERROR(__xludf.DUMMYFUNCTION("""COMPUTED_VALUE"""),620.0)</f>
        <v>620</v>
      </c>
      <c r="E3401" s="1">
        <f>IFERROR(__xludf.DUMMYFUNCTION("""COMPUTED_VALUE"""),621.75)</f>
        <v>621.75</v>
      </c>
      <c r="F3401" s="1">
        <f>IFERROR(__xludf.DUMMYFUNCTION("""COMPUTED_VALUE"""),763618.0)</f>
        <v>763618</v>
      </c>
    </row>
    <row r="3402">
      <c r="A3402" s="2">
        <f>IFERROR(__xludf.DUMMYFUNCTION("""COMPUTED_VALUE"""),41533.645833333336)</f>
        <v>41533.64583</v>
      </c>
      <c r="B3402" s="1">
        <f>IFERROR(__xludf.DUMMYFUNCTION("""COMPUTED_VALUE"""),628.05)</f>
        <v>628.05</v>
      </c>
      <c r="C3402" s="1">
        <f>IFERROR(__xludf.DUMMYFUNCTION("""COMPUTED_VALUE"""),638.1)</f>
        <v>638.1</v>
      </c>
      <c r="D3402" s="1">
        <f>IFERROR(__xludf.DUMMYFUNCTION("""COMPUTED_VALUE"""),613.25)</f>
        <v>613.25</v>
      </c>
      <c r="E3402" s="1">
        <f>IFERROR(__xludf.DUMMYFUNCTION("""COMPUTED_VALUE"""),620.1)</f>
        <v>620.1</v>
      </c>
      <c r="F3402" s="1">
        <f>IFERROR(__xludf.DUMMYFUNCTION("""COMPUTED_VALUE"""),974416.0)</f>
        <v>974416</v>
      </c>
    </row>
    <row r="3403">
      <c r="A3403" s="2">
        <f>IFERROR(__xludf.DUMMYFUNCTION("""COMPUTED_VALUE"""),41534.645833333336)</f>
        <v>41534.64583</v>
      </c>
      <c r="B3403" s="1">
        <f>IFERROR(__xludf.DUMMYFUNCTION("""COMPUTED_VALUE"""),619.0)</f>
        <v>619</v>
      </c>
      <c r="C3403" s="1">
        <f>IFERROR(__xludf.DUMMYFUNCTION("""COMPUTED_VALUE"""),631.0)</f>
        <v>631</v>
      </c>
      <c r="D3403" s="1">
        <f>IFERROR(__xludf.DUMMYFUNCTION("""COMPUTED_VALUE"""),615.0)</f>
        <v>615</v>
      </c>
      <c r="E3403" s="1">
        <f>IFERROR(__xludf.DUMMYFUNCTION("""COMPUTED_VALUE"""),628.65)</f>
        <v>628.65</v>
      </c>
      <c r="F3403" s="1">
        <f>IFERROR(__xludf.DUMMYFUNCTION("""COMPUTED_VALUE"""),737567.0)</f>
        <v>737567</v>
      </c>
    </row>
    <row r="3404">
      <c r="A3404" s="2">
        <f>IFERROR(__xludf.DUMMYFUNCTION("""COMPUTED_VALUE"""),41535.645833333336)</f>
        <v>41535.64583</v>
      </c>
      <c r="B3404" s="1">
        <f>IFERROR(__xludf.DUMMYFUNCTION("""COMPUTED_VALUE"""),626.1)</f>
        <v>626.1</v>
      </c>
      <c r="C3404" s="1">
        <f>IFERROR(__xludf.DUMMYFUNCTION("""COMPUTED_VALUE"""),644.8)</f>
        <v>644.8</v>
      </c>
      <c r="D3404" s="1">
        <f>IFERROR(__xludf.DUMMYFUNCTION("""COMPUTED_VALUE"""),624.5)</f>
        <v>624.5</v>
      </c>
      <c r="E3404" s="1">
        <f>IFERROR(__xludf.DUMMYFUNCTION("""COMPUTED_VALUE"""),642.2)</f>
        <v>642.2</v>
      </c>
      <c r="F3404" s="1">
        <f>IFERROR(__xludf.DUMMYFUNCTION("""COMPUTED_VALUE"""),927405.0)</f>
        <v>927405</v>
      </c>
    </row>
    <row r="3405">
      <c r="A3405" s="2">
        <f>IFERROR(__xludf.DUMMYFUNCTION("""COMPUTED_VALUE"""),41536.645833333336)</f>
        <v>41536.64583</v>
      </c>
      <c r="B3405" s="1">
        <f>IFERROR(__xludf.DUMMYFUNCTION("""COMPUTED_VALUE"""),654.0)</f>
        <v>654</v>
      </c>
      <c r="C3405" s="1">
        <f>IFERROR(__xludf.DUMMYFUNCTION("""COMPUTED_VALUE"""),685.0)</f>
        <v>685</v>
      </c>
      <c r="D3405" s="1">
        <f>IFERROR(__xludf.DUMMYFUNCTION("""COMPUTED_VALUE"""),650.95)</f>
        <v>650.95</v>
      </c>
      <c r="E3405" s="1">
        <f>IFERROR(__xludf.DUMMYFUNCTION("""COMPUTED_VALUE"""),677.6)</f>
        <v>677.6</v>
      </c>
      <c r="F3405" s="1">
        <f>IFERROR(__xludf.DUMMYFUNCTION("""COMPUTED_VALUE"""),2061482.0)</f>
        <v>2061482</v>
      </c>
    </row>
    <row r="3406">
      <c r="A3406" s="2">
        <f>IFERROR(__xludf.DUMMYFUNCTION("""COMPUTED_VALUE"""),41537.645833333336)</f>
        <v>41537.64583</v>
      </c>
      <c r="B3406" s="1">
        <f>IFERROR(__xludf.DUMMYFUNCTION("""COMPUTED_VALUE"""),674.9)</f>
        <v>674.9</v>
      </c>
      <c r="C3406" s="1">
        <f>IFERROR(__xludf.DUMMYFUNCTION("""COMPUTED_VALUE"""),677.6)</f>
        <v>677.6</v>
      </c>
      <c r="D3406" s="1">
        <f>IFERROR(__xludf.DUMMYFUNCTION("""COMPUTED_VALUE"""),639.5)</f>
        <v>639.5</v>
      </c>
      <c r="E3406" s="1">
        <f>IFERROR(__xludf.DUMMYFUNCTION("""COMPUTED_VALUE"""),651.05)</f>
        <v>651.05</v>
      </c>
      <c r="F3406" s="1">
        <f>IFERROR(__xludf.DUMMYFUNCTION("""COMPUTED_VALUE"""),1951942.0)</f>
        <v>1951942</v>
      </c>
    </row>
    <row r="3407">
      <c r="A3407" s="2">
        <f>IFERROR(__xludf.DUMMYFUNCTION("""COMPUTED_VALUE"""),41540.645833333336)</f>
        <v>41540.64583</v>
      </c>
      <c r="B3407" s="1">
        <f>IFERROR(__xludf.DUMMYFUNCTION("""COMPUTED_VALUE"""),644.5)</f>
        <v>644.5</v>
      </c>
      <c r="C3407" s="1">
        <f>IFERROR(__xludf.DUMMYFUNCTION("""COMPUTED_VALUE"""),664.75)</f>
        <v>664.75</v>
      </c>
      <c r="D3407" s="1">
        <f>IFERROR(__xludf.DUMMYFUNCTION("""COMPUTED_VALUE"""),634.0)</f>
        <v>634</v>
      </c>
      <c r="E3407" s="1">
        <f>IFERROR(__xludf.DUMMYFUNCTION("""COMPUTED_VALUE"""),642.6)</f>
        <v>642.6</v>
      </c>
      <c r="F3407" s="1">
        <f>IFERROR(__xludf.DUMMYFUNCTION("""COMPUTED_VALUE"""),1045119.0)</f>
        <v>1045119</v>
      </c>
    </row>
    <row r="3408">
      <c r="A3408" s="2">
        <f>IFERROR(__xludf.DUMMYFUNCTION("""COMPUTED_VALUE"""),41541.645833333336)</f>
        <v>41541.64583</v>
      </c>
      <c r="B3408" s="1">
        <f>IFERROR(__xludf.DUMMYFUNCTION("""COMPUTED_VALUE"""),642.0)</f>
        <v>642</v>
      </c>
      <c r="C3408" s="1">
        <f>IFERROR(__xludf.DUMMYFUNCTION("""COMPUTED_VALUE"""),656.2)</f>
        <v>656.2</v>
      </c>
      <c r="D3408" s="1">
        <f>IFERROR(__xludf.DUMMYFUNCTION("""COMPUTED_VALUE"""),636.25)</f>
        <v>636.25</v>
      </c>
      <c r="E3408" s="1">
        <f>IFERROR(__xludf.DUMMYFUNCTION("""COMPUTED_VALUE"""),643.1)</f>
        <v>643.1</v>
      </c>
      <c r="F3408" s="1">
        <f>IFERROR(__xludf.DUMMYFUNCTION("""COMPUTED_VALUE"""),1425200.0)</f>
        <v>1425200</v>
      </c>
    </row>
    <row r="3409">
      <c r="A3409" s="2">
        <f>IFERROR(__xludf.DUMMYFUNCTION("""COMPUTED_VALUE"""),41542.645833333336)</f>
        <v>41542.64583</v>
      </c>
      <c r="B3409" s="1">
        <f>IFERROR(__xludf.DUMMYFUNCTION("""COMPUTED_VALUE"""),642.0)</f>
        <v>642</v>
      </c>
      <c r="C3409" s="1">
        <f>IFERROR(__xludf.DUMMYFUNCTION("""COMPUTED_VALUE"""),649.7)</f>
        <v>649.7</v>
      </c>
      <c r="D3409" s="1">
        <f>IFERROR(__xludf.DUMMYFUNCTION("""COMPUTED_VALUE"""),622.65)</f>
        <v>622.65</v>
      </c>
      <c r="E3409" s="1">
        <f>IFERROR(__xludf.DUMMYFUNCTION("""COMPUTED_VALUE"""),633.6)</f>
        <v>633.6</v>
      </c>
      <c r="F3409" s="1">
        <f>IFERROR(__xludf.DUMMYFUNCTION("""COMPUTED_VALUE"""),1684929.0)</f>
        <v>1684929</v>
      </c>
    </row>
    <row r="3410">
      <c r="A3410" s="2">
        <f>IFERROR(__xludf.DUMMYFUNCTION("""COMPUTED_VALUE"""),41543.645833333336)</f>
        <v>41543.64583</v>
      </c>
      <c r="B3410" s="1">
        <f>IFERROR(__xludf.DUMMYFUNCTION("""COMPUTED_VALUE"""),636.0)</f>
        <v>636</v>
      </c>
      <c r="C3410" s="1">
        <f>IFERROR(__xludf.DUMMYFUNCTION("""COMPUTED_VALUE"""),636.05)</f>
        <v>636.05</v>
      </c>
      <c r="D3410" s="1">
        <f>IFERROR(__xludf.DUMMYFUNCTION("""COMPUTED_VALUE"""),621.15)</f>
        <v>621.15</v>
      </c>
      <c r="E3410" s="1">
        <f>IFERROR(__xludf.DUMMYFUNCTION("""COMPUTED_VALUE"""),628.9)</f>
        <v>628.9</v>
      </c>
      <c r="F3410" s="1">
        <f>IFERROR(__xludf.DUMMYFUNCTION("""COMPUTED_VALUE"""),2064365.0)</f>
        <v>2064365</v>
      </c>
    </row>
    <row r="3411">
      <c r="A3411" s="2">
        <f>IFERROR(__xludf.DUMMYFUNCTION("""COMPUTED_VALUE"""),41544.645833333336)</f>
        <v>41544.64583</v>
      </c>
      <c r="B3411" s="1">
        <f>IFERROR(__xludf.DUMMYFUNCTION("""COMPUTED_VALUE"""),632.0)</f>
        <v>632</v>
      </c>
      <c r="C3411" s="1">
        <f>IFERROR(__xludf.DUMMYFUNCTION("""COMPUTED_VALUE"""),632.0)</f>
        <v>632</v>
      </c>
      <c r="D3411" s="1">
        <f>IFERROR(__xludf.DUMMYFUNCTION("""COMPUTED_VALUE"""),616.25)</f>
        <v>616.25</v>
      </c>
      <c r="E3411" s="1">
        <f>IFERROR(__xludf.DUMMYFUNCTION("""COMPUTED_VALUE"""),621.0)</f>
        <v>621</v>
      </c>
      <c r="F3411" s="1">
        <f>IFERROR(__xludf.DUMMYFUNCTION("""COMPUTED_VALUE"""),1214348.0)</f>
        <v>1214348</v>
      </c>
    </row>
    <row r="3412">
      <c r="A3412" s="2">
        <f>IFERROR(__xludf.DUMMYFUNCTION("""COMPUTED_VALUE"""),41547.645833333336)</f>
        <v>41547.64583</v>
      </c>
      <c r="B3412" s="1">
        <f>IFERROR(__xludf.DUMMYFUNCTION("""COMPUTED_VALUE"""),621.0)</f>
        <v>621</v>
      </c>
      <c r="C3412" s="1">
        <f>IFERROR(__xludf.DUMMYFUNCTION("""COMPUTED_VALUE"""),631.85)</f>
        <v>631.85</v>
      </c>
      <c r="D3412" s="1">
        <f>IFERROR(__xludf.DUMMYFUNCTION("""COMPUTED_VALUE"""),619.0)</f>
        <v>619</v>
      </c>
      <c r="E3412" s="1">
        <f>IFERROR(__xludf.DUMMYFUNCTION("""COMPUTED_VALUE"""),627.45)</f>
        <v>627.45</v>
      </c>
      <c r="F3412" s="1">
        <f>IFERROR(__xludf.DUMMYFUNCTION("""COMPUTED_VALUE"""),1205277.0)</f>
        <v>1205277</v>
      </c>
    </row>
    <row r="3413">
      <c r="A3413" s="2">
        <f>IFERROR(__xludf.DUMMYFUNCTION("""COMPUTED_VALUE"""),41548.645833333336)</f>
        <v>41548.64583</v>
      </c>
      <c r="B3413" s="1">
        <f>IFERROR(__xludf.DUMMYFUNCTION("""COMPUTED_VALUE"""),630.0)</f>
        <v>630</v>
      </c>
      <c r="C3413" s="1">
        <f>IFERROR(__xludf.DUMMYFUNCTION("""COMPUTED_VALUE"""),631.0)</f>
        <v>631</v>
      </c>
      <c r="D3413" s="1">
        <f>IFERROR(__xludf.DUMMYFUNCTION("""COMPUTED_VALUE"""),606.95)</f>
        <v>606.95</v>
      </c>
      <c r="E3413" s="1">
        <f>IFERROR(__xludf.DUMMYFUNCTION("""COMPUTED_VALUE"""),619.2)</f>
        <v>619.2</v>
      </c>
      <c r="F3413" s="1">
        <f>IFERROR(__xludf.DUMMYFUNCTION("""COMPUTED_VALUE"""),1766671.0)</f>
        <v>1766671</v>
      </c>
    </row>
    <row r="3414">
      <c r="A3414" s="2">
        <f>IFERROR(__xludf.DUMMYFUNCTION("""COMPUTED_VALUE"""),41550.645833333336)</f>
        <v>41550.64583</v>
      </c>
      <c r="B3414" s="1">
        <f>IFERROR(__xludf.DUMMYFUNCTION("""COMPUTED_VALUE"""),620.0)</f>
        <v>620</v>
      </c>
      <c r="C3414" s="1">
        <f>IFERROR(__xludf.DUMMYFUNCTION("""COMPUTED_VALUE"""),620.0)</f>
        <v>620</v>
      </c>
      <c r="D3414" s="1">
        <f>IFERROR(__xludf.DUMMYFUNCTION("""COMPUTED_VALUE"""),603.25)</f>
        <v>603.25</v>
      </c>
      <c r="E3414" s="1">
        <f>IFERROR(__xludf.DUMMYFUNCTION("""COMPUTED_VALUE"""),609.65)</f>
        <v>609.65</v>
      </c>
      <c r="F3414" s="1">
        <f>IFERROR(__xludf.DUMMYFUNCTION("""COMPUTED_VALUE"""),4104263.0)</f>
        <v>4104263</v>
      </c>
    </row>
    <row r="3415">
      <c r="A3415" s="2">
        <f>IFERROR(__xludf.DUMMYFUNCTION("""COMPUTED_VALUE"""),41551.645833333336)</f>
        <v>41551.64583</v>
      </c>
      <c r="B3415" s="1">
        <f>IFERROR(__xludf.DUMMYFUNCTION("""COMPUTED_VALUE"""),611.0)</f>
        <v>611</v>
      </c>
      <c r="C3415" s="1">
        <f>IFERROR(__xludf.DUMMYFUNCTION("""COMPUTED_VALUE"""),613.85)</f>
        <v>613.85</v>
      </c>
      <c r="D3415" s="1">
        <f>IFERROR(__xludf.DUMMYFUNCTION("""COMPUTED_VALUE"""),600.0)</f>
        <v>600</v>
      </c>
      <c r="E3415" s="1">
        <f>IFERROR(__xludf.DUMMYFUNCTION("""COMPUTED_VALUE"""),606.75)</f>
        <v>606.75</v>
      </c>
      <c r="F3415" s="1">
        <f>IFERROR(__xludf.DUMMYFUNCTION("""COMPUTED_VALUE"""),3274613.0)</f>
        <v>3274613</v>
      </c>
    </row>
    <row r="3416">
      <c r="A3416" s="2">
        <f>IFERROR(__xludf.DUMMYFUNCTION("""COMPUTED_VALUE"""),41554.645833333336)</f>
        <v>41554.64583</v>
      </c>
      <c r="B3416" s="1">
        <f>IFERROR(__xludf.DUMMYFUNCTION("""COMPUTED_VALUE"""),606.85)</f>
        <v>606.85</v>
      </c>
      <c r="C3416" s="1">
        <f>IFERROR(__xludf.DUMMYFUNCTION("""COMPUTED_VALUE"""),614.55)</f>
        <v>614.55</v>
      </c>
      <c r="D3416" s="1">
        <f>IFERROR(__xludf.DUMMYFUNCTION("""COMPUTED_VALUE"""),606.0)</f>
        <v>606</v>
      </c>
      <c r="E3416" s="1">
        <f>IFERROR(__xludf.DUMMYFUNCTION("""COMPUTED_VALUE"""),611.1)</f>
        <v>611.1</v>
      </c>
      <c r="F3416" s="1">
        <f>IFERROR(__xludf.DUMMYFUNCTION("""COMPUTED_VALUE"""),1100167.0)</f>
        <v>1100167</v>
      </c>
    </row>
    <row r="3417">
      <c r="A3417" s="2">
        <f>IFERROR(__xludf.DUMMYFUNCTION("""COMPUTED_VALUE"""),41555.645833333336)</f>
        <v>41555.64583</v>
      </c>
      <c r="B3417" s="1">
        <f>IFERROR(__xludf.DUMMYFUNCTION("""COMPUTED_VALUE"""),612.9)</f>
        <v>612.9</v>
      </c>
      <c r="C3417" s="1">
        <f>IFERROR(__xludf.DUMMYFUNCTION("""COMPUTED_VALUE"""),614.8)</f>
        <v>614.8</v>
      </c>
      <c r="D3417" s="1">
        <f>IFERROR(__xludf.DUMMYFUNCTION("""COMPUTED_VALUE"""),606.25)</f>
        <v>606.25</v>
      </c>
      <c r="E3417" s="1">
        <f>IFERROR(__xludf.DUMMYFUNCTION("""COMPUTED_VALUE"""),609.65)</f>
        <v>609.65</v>
      </c>
      <c r="F3417" s="1">
        <f>IFERROR(__xludf.DUMMYFUNCTION("""COMPUTED_VALUE"""),1201322.0)</f>
        <v>1201322</v>
      </c>
    </row>
    <row r="3418">
      <c r="A3418" s="2">
        <f>IFERROR(__xludf.DUMMYFUNCTION("""COMPUTED_VALUE"""),41556.645833333336)</f>
        <v>41556.64583</v>
      </c>
      <c r="B3418" s="1">
        <f>IFERROR(__xludf.DUMMYFUNCTION("""COMPUTED_VALUE"""),605.35)</f>
        <v>605.35</v>
      </c>
      <c r="C3418" s="1">
        <f>IFERROR(__xludf.DUMMYFUNCTION("""COMPUTED_VALUE"""),611.5)</f>
        <v>611.5</v>
      </c>
      <c r="D3418" s="1">
        <f>IFERROR(__xludf.DUMMYFUNCTION("""COMPUTED_VALUE"""),605.35)</f>
        <v>605.35</v>
      </c>
      <c r="E3418" s="1">
        <f>IFERROR(__xludf.DUMMYFUNCTION("""COMPUTED_VALUE"""),610.2)</f>
        <v>610.2</v>
      </c>
      <c r="F3418" s="1">
        <f>IFERROR(__xludf.DUMMYFUNCTION("""COMPUTED_VALUE"""),1564012.0)</f>
        <v>1564012</v>
      </c>
    </row>
    <row r="3419">
      <c r="A3419" s="2">
        <f>IFERROR(__xludf.DUMMYFUNCTION("""COMPUTED_VALUE"""),41557.645833333336)</f>
        <v>41557.64583</v>
      </c>
      <c r="B3419" s="1">
        <f>IFERROR(__xludf.DUMMYFUNCTION("""COMPUTED_VALUE"""),611.0)</f>
        <v>611</v>
      </c>
      <c r="C3419" s="1">
        <f>IFERROR(__xludf.DUMMYFUNCTION("""COMPUTED_VALUE"""),614.95)</f>
        <v>614.95</v>
      </c>
      <c r="D3419" s="1">
        <f>IFERROR(__xludf.DUMMYFUNCTION("""COMPUTED_VALUE"""),598.3)</f>
        <v>598.3</v>
      </c>
      <c r="E3419" s="1">
        <f>IFERROR(__xludf.DUMMYFUNCTION("""COMPUTED_VALUE"""),601.35)</f>
        <v>601.35</v>
      </c>
      <c r="F3419" s="1">
        <f>IFERROR(__xludf.DUMMYFUNCTION("""COMPUTED_VALUE"""),1280329.0)</f>
        <v>1280329</v>
      </c>
    </row>
    <row r="3420">
      <c r="A3420" s="2">
        <f>IFERROR(__xludf.DUMMYFUNCTION("""COMPUTED_VALUE"""),41558.645833333336)</f>
        <v>41558.64583</v>
      </c>
      <c r="B3420" s="1">
        <f>IFERROR(__xludf.DUMMYFUNCTION("""COMPUTED_VALUE"""),600.0)</f>
        <v>600</v>
      </c>
      <c r="C3420" s="1">
        <f>IFERROR(__xludf.DUMMYFUNCTION("""COMPUTED_VALUE"""),605.7)</f>
        <v>605.7</v>
      </c>
      <c r="D3420" s="1">
        <f>IFERROR(__xludf.DUMMYFUNCTION("""COMPUTED_VALUE"""),596.3)</f>
        <v>596.3</v>
      </c>
      <c r="E3420" s="1">
        <f>IFERROR(__xludf.DUMMYFUNCTION("""COMPUTED_VALUE"""),603.9)</f>
        <v>603.9</v>
      </c>
      <c r="F3420" s="1">
        <f>IFERROR(__xludf.DUMMYFUNCTION("""COMPUTED_VALUE"""),784119.0)</f>
        <v>784119</v>
      </c>
    </row>
    <row r="3421">
      <c r="A3421" s="2">
        <f>IFERROR(__xludf.DUMMYFUNCTION("""COMPUTED_VALUE"""),41561.645833333336)</f>
        <v>41561.64583</v>
      </c>
      <c r="B3421" s="1">
        <f>IFERROR(__xludf.DUMMYFUNCTION("""COMPUTED_VALUE"""),605.0)</f>
        <v>605</v>
      </c>
      <c r="C3421" s="1">
        <f>IFERROR(__xludf.DUMMYFUNCTION("""COMPUTED_VALUE"""),609.3)</f>
        <v>609.3</v>
      </c>
      <c r="D3421" s="1">
        <f>IFERROR(__xludf.DUMMYFUNCTION("""COMPUTED_VALUE"""),595.0)</f>
        <v>595</v>
      </c>
      <c r="E3421" s="1">
        <f>IFERROR(__xludf.DUMMYFUNCTION("""COMPUTED_VALUE"""),596.4)</f>
        <v>596.4</v>
      </c>
      <c r="F3421" s="1">
        <f>IFERROR(__xludf.DUMMYFUNCTION("""COMPUTED_VALUE"""),1010949.0)</f>
        <v>1010949</v>
      </c>
    </row>
    <row r="3422">
      <c r="A3422" s="2">
        <f>IFERROR(__xludf.DUMMYFUNCTION("""COMPUTED_VALUE"""),41562.645833333336)</f>
        <v>41562.64583</v>
      </c>
      <c r="B3422" s="1">
        <f>IFERROR(__xludf.DUMMYFUNCTION("""COMPUTED_VALUE"""),597.0)</f>
        <v>597</v>
      </c>
      <c r="C3422" s="1">
        <f>IFERROR(__xludf.DUMMYFUNCTION("""COMPUTED_VALUE"""),604.75)</f>
        <v>604.75</v>
      </c>
      <c r="D3422" s="1">
        <f>IFERROR(__xludf.DUMMYFUNCTION("""COMPUTED_VALUE"""),592.25)</f>
        <v>592.25</v>
      </c>
      <c r="E3422" s="1">
        <f>IFERROR(__xludf.DUMMYFUNCTION("""COMPUTED_VALUE"""),602.7)</f>
        <v>602.7</v>
      </c>
      <c r="F3422" s="1">
        <f>IFERROR(__xludf.DUMMYFUNCTION("""COMPUTED_VALUE"""),1026466.0)</f>
        <v>1026466</v>
      </c>
    </row>
    <row r="3423">
      <c r="A3423" s="2">
        <f>IFERROR(__xludf.DUMMYFUNCTION("""COMPUTED_VALUE"""),41564.645833333336)</f>
        <v>41564.64583</v>
      </c>
      <c r="B3423" s="1">
        <f>IFERROR(__xludf.DUMMYFUNCTION("""COMPUTED_VALUE"""),606.4)</f>
        <v>606.4</v>
      </c>
      <c r="C3423" s="1">
        <f>IFERROR(__xludf.DUMMYFUNCTION("""COMPUTED_VALUE"""),617.3)</f>
        <v>617.3</v>
      </c>
      <c r="D3423" s="1">
        <f>IFERROR(__xludf.DUMMYFUNCTION("""COMPUTED_VALUE"""),602.2)</f>
        <v>602.2</v>
      </c>
      <c r="E3423" s="1">
        <f>IFERROR(__xludf.DUMMYFUNCTION("""COMPUTED_VALUE"""),605.0)</f>
        <v>605</v>
      </c>
      <c r="F3423" s="1">
        <f>IFERROR(__xludf.DUMMYFUNCTION("""COMPUTED_VALUE"""),2169271.0)</f>
        <v>2169271</v>
      </c>
    </row>
    <row r="3424">
      <c r="A3424" s="2">
        <f>IFERROR(__xludf.DUMMYFUNCTION("""COMPUTED_VALUE"""),41565.645833333336)</f>
        <v>41565.64583</v>
      </c>
      <c r="B3424" s="1">
        <f>IFERROR(__xludf.DUMMYFUNCTION("""COMPUTED_VALUE"""),609.85)</f>
        <v>609.85</v>
      </c>
      <c r="C3424" s="1">
        <f>IFERROR(__xludf.DUMMYFUNCTION("""COMPUTED_VALUE"""),610.0)</f>
        <v>610</v>
      </c>
      <c r="D3424" s="1">
        <f>IFERROR(__xludf.DUMMYFUNCTION("""COMPUTED_VALUE"""),602.6)</f>
        <v>602.6</v>
      </c>
      <c r="E3424" s="1">
        <f>IFERROR(__xludf.DUMMYFUNCTION("""COMPUTED_VALUE"""),606.1)</f>
        <v>606.1</v>
      </c>
      <c r="F3424" s="1">
        <f>IFERROR(__xludf.DUMMYFUNCTION("""COMPUTED_VALUE"""),1538435.0)</f>
        <v>1538435</v>
      </c>
    </row>
    <row r="3425">
      <c r="A3425" s="2">
        <f>IFERROR(__xludf.DUMMYFUNCTION("""COMPUTED_VALUE"""),41568.645833333336)</f>
        <v>41568.64583</v>
      </c>
      <c r="B3425" s="1">
        <f>IFERROR(__xludf.DUMMYFUNCTION("""COMPUTED_VALUE"""),606.0)</f>
        <v>606</v>
      </c>
      <c r="C3425" s="1">
        <f>IFERROR(__xludf.DUMMYFUNCTION("""COMPUTED_VALUE"""),610.5)</f>
        <v>610.5</v>
      </c>
      <c r="D3425" s="1">
        <f>IFERROR(__xludf.DUMMYFUNCTION("""COMPUTED_VALUE"""),605.05)</f>
        <v>605.05</v>
      </c>
      <c r="E3425" s="1">
        <f>IFERROR(__xludf.DUMMYFUNCTION("""COMPUTED_VALUE"""),609.0)</f>
        <v>609</v>
      </c>
      <c r="F3425" s="1">
        <f>IFERROR(__xludf.DUMMYFUNCTION("""COMPUTED_VALUE"""),598633.0)</f>
        <v>598633</v>
      </c>
    </row>
    <row r="3426">
      <c r="A3426" s="2">
        <f>IFERROR(__xludf.DUMMYFUNCTION("""COMPUTED_VALUE"""),41569.645833333336)</f>
        <v>41569.64583</v>
      </c>
      <c r="B3426" s="1">
        <f>IFERROR(__xludf.DUMMYFUNCTION("""COMPUTED_VALUE"""),605.0)</f>
        <v>605</v>
      </c>
      <c r="C3426" s="1">
        <f>IFERROR(__xludf.DUMMYFUNCTION("""COMPUTED_VALUE"""),613.9)</f>
        <v>613.9</v>
      </c>
      <c r="D3426" s="1">
        <f>IFERROR(__xludf.DUMMYFUNCTION("""COMPUTED_VALUE"""),605.0)</f>
        <v>605</v>
      </c>
      <c r="E3426" s="1">
        <f>IFERROR(__xludf.DUMMYFUNCTION("""COMPUTED_VALUE"""),608.95)</f>
        <v>608.95</v>
      </c>
      <c r="F3426" s="1">
        <f>IFERROR(__xludf.DUMMYFUNCTION("""COMPUTED_VALUE"""),901297.0)</f>
        <v>901297</v>
      </c>
    </row>
    <row r="3427">
      <c r="A3427" s="2">
        <f>IFERROR(__xludf.DUMMYFUNCTION("""COMPUTED_VALUE"""),41570.645833333336)</f>
        <v>41570.64583</v>
      </c>
      <c r="B3427" s="1">
        <f>IFERROR(__xludf.DUMMYFUNCTION("""COMPUTED_VALUE"""),606.25)</f>
        <v>606.25</v>
      </c>
      <c r="C3427" s="1">
        <f>IFERROR(__xludf.DUMMYFUNCTION("""COMPUTED_VALUE"""),643.9)</f>
        <v>643.9</v>
      </c>
      <c r="D3427" s="1">
        <f>IFERROR(__xludf.DUMMYFUNCTION("""COMPUTED_VALUE"""),599.2)</f>
        <v>599.2</v>
      </c>
      <c r="E3427" s="1">
        <f>IFERROR(__xludf.DUMMYFUNCTION("""COMPUTED_VALUE"""),614.65)</f>
        <v>614.65</v>
      </c>
      <c r="F3427" s="1">
        <f>IFERROR(__xludf.DUMMYFUNCTION("""COMPUTED_VALUE"""),5484307.0)</f>
        <v>5484307</v>
      </c>
    </row>
    <row r="3428">
      <c r="A3428" s="2">
        <f>IFERROR(__xludf.DUMMYFUNCTION("""COMPUTED_VALUE"""),41571.645833333336)</f>
        <v>41571.64583</v>
      </c>
      <c r="B3428" s="1">
        <f>IFERROR(__xludf.DUMMYFUNCTION("""COMPUTED_VALUE"""),615.0)</f>
        <v>615</v>
      </c>
      <c r="C3428" s="1">
        <f>IFERROR(__xludf.DUMMYFUNCTION("""COMPUTED_VALUE"""),621.4)</f>
        <v>621.4</v>
      </c>
      <c r="D3428" s="1">
        <f>IFERROR(__xludf.DUMMYFUNCTION("""COMPUTED_VALUE"""),607.0)</f>
        <v>607</v>
      </c>
      <c r="E3428" s="1">
        <f>IFERROR(__xludf.DUMMYFUNCTION("""COMPUTED_VALUE"""),609.5)</f>
        <v>609.5</v>
      </c>
      <c r="F3428" s="1">
        <f>IFERROR(__xludf.DUMMYFUNCTION("""COMPUTED_VALUE"""),1471598.0)</f>
        <v>1471598</v>
      </c>
    </row>
    <row r="3429">
      <c r="A3429" s="2">
        <f>IFERROR(__xludf.DUMMYFUNCTION("""COMPUTED_VALUE"""),41572.645833333336)</f>
        <v>41572.64583</v>
      </c>
      <c r="B3429" s="1">
        <f>IFERROR(__xludf.DUMMYFUNCTION("""COMPUTED_VALUE"""),605.0)</f>
        <v>605</v>
      </c>
      <c r="C3429" s="1">
        <f>IFERROR(__xludf.DUMMYFUNCTION("""COMPUTED_VALUE"""),607.7)</f>
        <v>607.7</v>
      </c>
      <c r="D3429" s="1">
        <f>IFERROR(__xludf.DUMMYFUNCTION("""COMPUTED_VALUE"""),592.0)</f>
        <v>592</v>
      </c>
      <c r="E3429" s="1">
        <f>IFERROR(__xludf.DUMMYFUNCTION("""COMPUTED_VALUE"""),593.95)</f>
        <v>593.95</v>
      </c>
      <c r="F3429" s="1">
        <f>IFERROR(__xludf.DUMMYFUNCTION("""COMPUTED_VALUE"""),1885723.0)</f>
        <v>1885723</v>
      </c>
    </row>
    <row r="3430">
      <c r="A3430" s="2">
        <f>IFERROR(__xludf.DUMMYFUNCTION("""COMPUTED_VALUE"""),41575.645833333336)</f>
        <v>41575.64583</v>
      </c>
      <c r="B3430" s="1">
        <f>IFERROR(__xludf.DUMMYFUNCTION("""COMPUTED_VALUE"""),604.0)</f>
        <v>604</v>
      </c>
      <c r="C3430" s="1">
        <f>IFERROR(__xludf.DUMMYFUNCTION("""COMPUTED_VALUE"""),618.65)</f>
        <v>618.65</v>
      </c>
      <c r="D3430" s="1">
        <f>IFERROR(__xludf.DUMMYFUNCTION("""COMPUTED_VALUE"""),586.1)</f>
        <v>586.1</v>
      </c>
      <c r="E3430" s="1">
        <f>IFERROR(__xludf.DUMMYFUNCTION("""COMPUTED_VALUE"""),589.25)</f>
        <v>589.25</v>
      </c>
      <c r="F3430" s="1">
        <f>IFERROR(__xludf.DUMMYFUNCTION("""COMPUTED_VALUE"""),2756152.0)</f>
        <v>2756152</v>
      </c>
    </row>
    <row r="3431">
      <c r="A3431" s="2">
        <f>IFERROR(__xludf.DUMMYFUNCTION("""COMPUTED_VALUE"""),41576.645833333336)</f>
        <v>41576.64583</v>
      </c>
      <c r="B3431" s="1">
        <f>IFERROR(__xludf.DUMMYFUNCTION("""COMPUTED_VALUE"""),589.6)</f>
        <v>589.6</v>
      </c>
      <c r="C3431" s="1">
        <f>IFERROR(__xludf.DUMMYFUNCTION("""COMPUTED_VALUE"""),607.0)</f>
        <v>607</v>
      </c>
      <c r="D3431" s="1">
        <f>IFERROR(__xludf.DUMMYFUNCTION("""COMPUTED_VALUE"""),589.6)</f>
        <v>589.6</v>
      </c>
      <c r="E3431" s="1">
        <f>IFERROR(__xludf.DUMMYFUNCTION("""COMPUTED_VALUE"""),604.65)</f>
        <v>604.65</v>
      </c>
      <c r="F3431" s="1">
        <f>IFERROR(__xludf.DUMMYFUNCTION("""COMPUTED_VALUE"""),1111250.0)</f>
        <v>1111250</v>
      </c>
    </row>
    <row r="3432">
      <c r="A3432" s="2">
        <f>IFERROR(__xludf.DUMMYFUNCTION("""COMPUTED_VALUE"""),41577.645833333336)</f>
        <v>41577.64583</v>
      </c>
      <c r="B3432" s="1">
        <f>IFERROR(__xludf.DUMMYFUNCTION("""COMPUTED_VALUE"""),605.7)</f>
        <v>605.7</v>
      </c>
      <c r="C3432" s="1">
        <f>IFERROR(__xludf.DUMMYFUNCTION("""COMPUTED_VALUE"""),614.8)</f>
        <v>614.8</v>
      </c>
      <c r="D3432" s="1">
        <f>IFERROR(__xludf.DUMMYFUNCTION("""COMPUTED_VALUE"""),602.25)</f>
        <v>602.25</v>
      </c>
      <c r="E3432" s="1">
        <f>IFERROR(__xludf.DUMMYFUNCTION("""COMPUTED_VALUE"""),613.65)</f>
        <v>613.65</v>
      </c>
      <c r="F3432" s="1">
        <f>IFERROR(__xludf.DUMMYFUNCTION("""COMPUTED_VALUE"""),776963.0)</f>
        <v>776963</v>
      </c>
    </row>
    <row r="3433">
      <c r="A3433" s="2">
        <f>IFERROR(__xludf.DUMMYFUNCTION("""COMPUTED_VALUE"""),41578.645833333336)</f>
        <v>41578.64583</v>
      </c>
      <c r="B3433" s="1">
        <f>IFERROR(__xludf.DUMMYFUNCTION("""COMPUTED_VALUE"""),610.15)</f>
        <v>610.15</v>
      </c>
      <c r="C3433" s="1">
        <f>IFERROR(__xludf.DUMMYFUNCTION("""COMPUTED_VALUE"""),614.75)</f>
        <v>614.75</v>
      </c>
      <c r="D3433" s="1">
        <f>IFERROR(__xludf.DUMMYFUNCTION("""COMPUTED_VALUE"""),604.1)</f>
        <v>604.1</v>
      </c>
      <c r="E3433" s="1">
        <f>IFERROR(__xludf.DUMMYFUNCTION("""COMPUTED_VALUE"""),609.85)</f>
        <v>609.85</v>
      </c>
      <c r="F3433" s="1">
        <f>IFERROR(__xludf.DUMMYFUNCTION("""COMPUTED_VALUE"""),1568688.0)</f>
        <v>1568688</v>
      </c>
    </row>
    <row r="3434">
      <c r="A3434" s="2">
        <f>IFERROR(__xludf.DUMMYFUNCTION("""COMPUTED_VALUE"""),41579.645833333336)</f>
        <v>41579.64583</v>
      </c>
      <c r="B3434" s="1">
        <f>IFERROR(__xludf.DUMMYFUNCTION("""COMPUTED_VALUE"""),605.25)</f>
        <v>605.25</v>
      </c>
      <c r="C3434" s="1">
        <f>IFERROR(__xludf.DUMMYFUNCTION("""COMPUTED_VALUE"""),615.0)</f>
        <v>615</v>
      </c>
      <c r="D3434" s="1">
        <f>IFERROR(__xludf.DUMMYFUNCTION("""COMPUTED_VALUE"""),605.25)</f>
        <v>605.25</v>
      </c>
      <c r="E3434" s="1">
        <f>IFERROR(__xludf.DUMMYFUNCTION("""COMPUTED_VALUE"""),608.9)</f>
        <v>608.9</v>
      </c>
      <c r="F3434" s="1">
        <f>IFERROR(__xludf.DUMMYFUNCTION("""COMPUTED_VALUE"""),636680.0)</f>
        <v>636680</v>
      </c>
    </row>
    <row r="3435">
      <c r="A3435" s="2">
        <f>IFERROR(__xludf.DUMMYFUNCTION("""COMPUTED_VALUE"""),41583.645833333336)</f>
        <v>41583.64583</v>
      </c>
      <c r="B3435" s="1">
        <f>IFERROR(__xludf.DUMMYFUNCTION("""COMPUTED_VALUE"""),602.5)</f>
        <v>602.5</v>
      </c>
      <c r="C3435" s="1">
        <f>IFERROR(__xludf.DUMMYFUNCTION("""COMPUTED_VALUE"""),607.0)</f>
        <v>607</v>
      </c>
      <c r="D3435" s="1">
        <f>IFERROR(__xludf.DUMMYFUNCTION("""COMPUTED_VALUE"""),595.0)</f>
        <v>595</v>
      </c>
      <c r="E3435" s="1">
        <f>IFERROR(__xludf.DUMMYFUNCTION("""COMPUTED_VALUE"""),595.95)</f>
        <v>595.95</v>
      </c>
      <c r="F3435" s="1">
        <f>IFERROR(__xludf.DUMMYFUNCTION("""COMPUTED_VALUE"""),754610.0)</f>
        <v>754610</v>
      </c>
    </row>
    <row r="3436">
      <c r="A3436" s="2">
        <f>IFERROR(__xludf.DUMMYFUNCTION("""COMPUTED_VALUE"""),41584.645833333336)</f>
        <v>41584.64583</v>
      </c>
      <c r="B3436" s="1">
        <f>IFERROR(__xludf.DUMMYFUNCTION("""COMPUTED_VALUE"""),592.0)</f>
        <v>592</v>
      </c>
      <c r="C3436" s="1">
        <f>IFERROR(__xludf.DUMMYFUNCTION("""COMPUTED_VALUE"""),595.2)</f>
        <v>595.2</v>
      </c>
      <c r="D3436" s="1">
        <f>IFERROR(__xludf.DUMMYFUNCTION("""COMPUTED_VALUE"""),586.1)</f>
        <v>586.1</v>
      </c>
      <c r="E3436" s="1">
        <f>IFERROR(__xludf.DUMMYFUNCTION("""COMPUTED_VALUE"""),588.1)</f>
        <v>588.1</v>
      </c>
      <c r="F3436" s="1">
        <f>IFERROR(__xludf.DUMMYFUNCTION("""COMPUTED_VALUE"""),895583.0)</f>
        <v>895583</v>
      </c>
    </row>
    <row r="3437">
      <c r="A3437" s="2">
        <f>IFERROR(__xludf.DUMMYFUNCTION("""COMPUTED_VALUE"""),41585.645833333336)</f>
        <v>41585.64583</v>
      </c>
      <c r="B3437" s="1">
        <f>IFERROR(__xludf.DUMMYFUNCTION("""COMPUTED_VALUE"""),590.95)</f>
        <v>590.95</v>
      </c>
      <c r="C3437" s="1">
        <f>IFERROR(__xludf.DUMMYFUNCTION("""COMPUTED_VALUE"""),599.0)</f>
        <v>599</v>
      </c>
      <c r="D3437" s="1">
        <f>IFERROR(__xludf.DUMMYFUNCTION("""COMPUTED_VALUE"""),585.9)</f>
        <v>585.9</v>
      </c>
      <c r="E3437" s="1">
        <f>IFERROR(__xludf.DUMMYFUNCTION("""COMPUTED_VALUE"""),589.95)</f>
        <v>589.95</v>
      </c>
      <c r="F3437" s="1">
        <f>IFERROR(__xludf.DUMMYFUNCTION("""COMPUTED_VALUE"""),703382.0)</f>
        <v>703382</v>
      </c>
    </row>
    <row r="3438">
      <c r="A3438" s="2">
        <f>IFERROR(__xludf.DUMMYFUNCTION("""COMPUTED_VALUE"""),41586.645833333336)</f>
        <v>41586.64583</v>
      </c>
      <c r="B3438" s="1">
        <f>IFERROR(__xludf.DUMMYFUNCTION("""COMPUTED_VALUE"""),591.95)</f>
        <v>591.95</v>
      </c>
      <c r="C3438" s="1">
        <f>IFERROR(__xludf.DUMMYFUNCTION("""COMPUTED_VALUE"""),593.75)</f>
        <v>593.75</v>
      </c>
      <c r="D3438" s="1">
        <f>IFERROR(__xludf.DUMMYFUNCTION("""COMPUTED_VALUE"""),583.0)</f>
        <v>583</v>
      </c>
      <c r="E3438" s="1">
        <f>IFERROR(__xludf.DUMMYFUNCTION("""COMPUTED_VALUE"""),585.15)</f>
        <v>585.15</v>
      </c>
      <c r="F3438" s="1">
        <f>IFERROR(__xludf.DUMMYFUNCTION("""COMPUTED_VALUE"""),1157678.0)</f>
        <v>1157678</v>
      </c>
    </row>
    <row r="3439">
      <c r="A3439" s="2">
        <f>IFERROR(__xludf.DUMMYFUNCTION("""COMPUTED_VALUE"""),41589.645833333336)</f>
        <v>41589.64583</v>
      </c>
      <c r="B3439" s="1">
        <f>IFERROR(__xludf.DUMMYFUNCTION("""COMPUTED_VALUE"""),587.2)</f>
        <v>587.2</v>
      </c>
      <c r="C3439" s="1">
        <f>IFERROR(__xludf.DUMMYFUNCTION("""COMPUTED_VALUE"""),587.2)</f>
        <v>587.2</v>
      </c>
      <c r="D3439" s="1">
        <f>IFERROR(__xludf.DUMMYFUNCTION("""COMPUTED_VALUE"""),572.7)</f>
        <v>572.7</v>
      </c>
      <c r="E3439" s="1">
        <f>IFERROR(__xludf.DUMMYFUNCTION("""COMPUTED_VALUE"""),575.05)</f>
        <v>575.05</v>
      </c>
      <c r="F3439" s="1">
        <f>IFERROR(__xludf.DUMMYFUNCTION("""COMPUTED_VALUE"""),1231490.0)</f>
        <v>1231490</v>
      </c>
    </row>
    <row r="3440">
      <c r="A3440" s="2">
        <f>IFERROR(__xludf.DUMMYFUNCTION("""COMPUTED_VALUE"""),41590.645833333336)</f>
        <v>41590.64583</v>
      </c>
      <c r="B3440" s="1">
        <f>IFERROR(__xludf.DUMMYFUNCTION("""COMPUTED_VALUE"""),576.0)</f>
        <v>576</v>
      </c>
      <c r="C3440" s="1">
        <f>IFERROR(__xludf.DUMMYFUNCTION("""COMPUTED_VALUE"""),579.4)</f>
        <v>579.4</v>
      </c>
      <c r="D3440" s="1">
        <f>IFERROR(__xludf.DUMMYFUNCTION("""COMPUTED_VALUE"""),573.0)</f>
        <v>573</v>
      </c>
      <c r="E3440" s="1">
        <f>IFERROR(__xludf.DUMMYFUNCTION("""COMPUTED_VALUE"""),574.45)</f>
        <v>574.45</v>
      </c>
      <c r="F3440" s="1">
        <f>IFERROR(__xludf.DUMMYFUNCTION("""COMPUTED_VALUE"""),1193468.0)</f>
        <v>1193468</v>
      </c>
    </row>
    <row r="3441">
      <c r="A3441" s="2">
        <f>IFERROR(__xludf.DUMMYFUNCTION("""COMPUTED_VALUE"""),41591.645833333336)</f>
        <v>41591.64583</v>
      </c>
      <c r="B3441" s="1">
        <f>IFERROR(__xludf.DUMMYFUNCTION("""COMPUTED_VALUE"""),576.95)</f>
        <v>576.95</v>
      </c>
      <c r="C3441" s="1">
        <f>IFERROR(__xludf.DUMMYFUNCTION("""COMPUTED_VALUE"""),590.85)</f>
        <v>590.85</v>
      </c>
      <c r="D3441" s="1">
        <f>IFERROR(__xludf.DUMMYFUNCTION("""COMPUTED_VALUE"""),572.35)</f>
        <v>572.35</v>
      </c>
      <c r="E3441" s="1">
        <f>IFERROR(__xludf.DUMMYFUNCTION("""COMPUTED_VALUE"""),582.75)</f>
        <v>582.75</v>
      </c>
      <c r="F3441" s="1">
        <f>IFERROR(__xludf.DUMMYFUNCTION("""COMPUTED_VALUE"""),1279188.0)</f>
        <v>1279188</v>
      </c>
    </row>
    <row r="3442">
      <c r="A3442" s="2">
        <f>IFERROR(__xludf.DUMMYFUNCTION("""COMPUTED_VALUE"""),41592.645833333336)</f>
        <v>41592.64583</v>
      </c>
      <c r="B3442" s="1">
        <f>IFERROR(__xludf.DUMMYFUNCTION("""COMPUTED_VALUE"""),586.0)</f>
        <v>586</v>
      </c>
      <c r="C3442" s="1">
        <f>IFERROR(__xludf.DUMMYFUNCTION("""COMPUTED_VALUE"""),590.45)</f>
        <v>590.45</v>
      </c>
      <c r="D3442" s="1">
        <f>IFERROR(__xludf.DUMMYFUNCTION("""COMPUTED_VALUE"""),578.6)</f>
        <v>578.6</v>
      </c>
      <c r="E3442" s="1">
        <f>IFERROR(__xludf.DUMMYFUNCTION("""COMPUTED_VALUE"""),580.25)</f>
        <v>580.25</v>
      </c>
      <c r="F3442" s="1">
        <f>IFERROR(__xludf.DUMMYFUNCTION("""COMPUTED_VALUE"""),697871.0)</f>
        <v>697871</v>
      </c>
    </row>
    <row r="3443">
      <c r="A3443" s="2">
        <f>IFERROR(__xludf.DUMMYFUNCTION("""COMPUTED_VALUE"""),41596.645833333336)</f>
        <v>41596.64583</v>
      </c>
      <c r="B3443" s="1">
        <f>IFERROR(__xludf.DUMMYFUNCTION("""COMPUTED_VALUE"""),583.0)</f>
        <v>583</v>
      </c>
      <c r="C3443" s="1">
        <f>IFERROR(__xludf.DUMMYFUNCTION("""COMPUTED_VALUE"""),599.0)</f>
        <v>599</v>
      </c>
      <c r="D3443" s="1">
        <f>IFERROR(__xludf.DUMMYFUNCTION("""COMPUTED_VALUE"""),581.0)</f>
        <v>581</v>
      </c>
      <c r="E3443" s="1">
        <f>IFERROR(__xludf.DUMMYFUNCTION("""COMPUTED_VALUE"""),596.65)</f>
        <v>596.65</v>
      </c>
      <c r="F3443" s="1">
        <f>IFERROR(__xludf.DUMMYFUNCTION("""COMPUTED_VALUE"""),1229930.0)</f>
        <v>1229930</v>
      </c>
    </row>
    <row r="3444">
      <c r="A3444" s="2">
        <f>IFERROR(__xludf.DUMMYFUNCTION("""COMPUTED_VALUE"""),41597.645833333336)</f>
        <v>41597.64583</v>
      </c>
      <c r="B3444" s="1">
        <f>IFERROR(__xludf.DUMMYFUNCTION("""COMPUTED_VALUE"""),595.0)</f>
        <v>595</v>
      </c>
      <c r="C3444" s="1">
        <f>IFERROR(__xludf.DUMMYFUNCTION("""COMPUTED_VALUE"""),597.0)</f>
        <v>597</v>
      </c>
      <c r="D3444" s="1">
        <f>IFERROR(__xludf.DUMMYFUNCTION("""COMPUTED_VALUE"""),590.0)</f>
        <v>590</v>
      </c>
      <c r="E3444" s="1">
        <f>IFERROR(__xludf.DUMMYFUNCTION("""COMPUTED_VALUE"""),592.25)</f>
        <v>592.25</v>
      </c>
      <c r="F3444" s="1">
        <f>IFERROR(__xludf.DUMMYFUNCTION("""COMPUTED_VALUE"""),416740.0)</f>
        <v>416740</v>
      </c>
    </row>
    <row r="3445">
      <c r="A3445" s="2">
        <f>IFERROR(__xludf.DUMMYFUNCTION("""COMPUTED_VALUE"""),41598.645833333336)</f>
        <v>41598.64583</v>
      </c>
      <c r="B3445" s="1">
        <f>IFERROR(__xludf.DUMMYFUNCTION("""COMPUTED_VALUE"""),591.0)</f>
        <v>591</v>
      </c>
      <c r="C3445" s="1">
        <f>IFERROR(__xludf.DUMMYFUNCTION("""COMPUTED_VALUE"""),595.0)</f>
        <v>595</v>
      </c>
      <c r="D3445" s="1">
        <f>IFERROR(__xludf.DUMMYFUNCTION("""COMPUTED_VALUE"""),580.1)</f>
        <v>580.1</v>
      </c>
      <c r="E3445" s="1">
        <f>IFERROR(__xludf.DUMMYFUNCTION("""COMPUTED_VALUE"""),581.5)</f>
        <v>581.5</v>
      </c>
      <c r="F3445" s="1">
        <f>IFERROR(__xludf.DUMMYFUNCTION("""COMPUTED_VALUE"""),688203.0)</f>
        <v>688203</v>
      </c>
    </row>
    <row r="3446">
      <c r="A3446" s="2">
        <f>IFERROR(__xludf.DUMMYFUNCTION("""COMPUTED_VALUE"""),41599.645833333336)</f>
        <v>41599.64583</v>
      </c>
      <c r="B3446" s="1">
        <f>IFERROR(__xludf.DUMMYFUNCTION("""COMPUTED_VALUE"""),579.9)</f>
        <v>579.9</v>
      </c>
      <c r="C3446" s="1">
        <f>IFERROR(__xludf.DUMMYFUNCTION("""COMPUTED_VALUE"""),583.5)</f>
        <v>583.5</v>
      </c>
      <c r="D3446" s="1">
        <f>IFERROR(__xludf.DUMMYFUNCTION("""COMPUTED_VALUE"""),572.5)</f>
        <v>572.5</v>
      </c>
      <c r="E3446" s="1">
        <f>IFERROR(__xludf.DUMMYFUNCTION("""COMPUTED_VALUE"""),574.2)</f>
        <v>574.2</v>
      </c>
      <c r="F3446" s="1">
        <f>IFERROR(__xludf.DUMMYFUNCTION("""COMPUTED_VALUE"""),1006746.0)</f>
        <v>1006746</v>
      </c>
    </row>
    <row r="3447">
      <c r="A3447" s="2">
        <f>IFERROR(__xludf.DUMMYFUNCTION("""COMPUTED_VALUE"""),41600.645833333336)</f>
        <v>41600.64583</v>
      </c>
      <c r="B3447" s="1">
        <f>IFERROR(__xludf.DUMMYFUNCTION("""COMPUTED_VALUE"""),574.35)</f>
        <v>574.35</v>
      </c>
      <c r="C3447" s="1">
        <f>IFERROR(__xludf.DUMMYFUNCTION("""COMPUTED_VALUE"""),580.0)</f>
        <v>580</v>
      </c>
      <c r="D3447" s="1">
        <f>IFERROR(__xludf.DUMMYFUNCTION("""COMPUTED_VALUE"""),568.8)</f>
        <v>568.8</v>
      </c>
      <c r="E3447" s="1">
        <f>IFERROR(__xludf.DUMMYFUNCTION("""COMPUTED_VALUE"""),571.6)</f>
        <v>571.6</v>
      </c>
      <c r="F3447" s="1">
        <f>IFERROR(__xludf.DUMMYFUNCTION("""COMPUTED_VALUE"""),696111.0)</f>
        <v>696111</v>
      </c>
    </row>
    <row r="3448">
      <c r="A3448" s="2">
        <f>IFERROR(__xludf.DUMMYFUNCTION("""COMPUTED_VALUE"""),41603.645833333336)</f>
        <v>41603.64583</v>
      </c>
      <c r="B3448" s="1">
        <f>IFERROR(__xludf.DUMMYFUNCTION("""COMPUTED_VALUE"""),576.9)</f>
        <v>576.9</v>
      </c>
      <c r="C3448" s="1">
        <f>IFERROR(__xludf.DUMMYFUNCTION("""COMPUTED_VALUE"""),583.8)</f>
        <v>583.8</v>
      </c>
      <c r="D3448" s="1">
        <f>IFERROR(__xludf.DUMMYFUNCTION("""COMPUTED_VALUE"""),571.0)</f>
        <v>571</v>
      </c>
      <c r="E3448" s="1">
        <f>IFERROR(__xludf.DUMMYFUNCTION("""COMPUTED_VALUE"""),581.0)</f>
        <v>581</v>
      </c>
      <c r="F3448" s="1">
        <f>IFERROR(__xludf.DUMMYFUNCTION("""COMPUTED_VALUE"""),560878.0)</f>
        <v>560878</v>
      </c>
    </row>
    <row r="3449">
      <c r="A3449" s="2">
        <f>IFERROR(__xludf.DUMMYFUNCTION("""COMPUTED_VALUE"""),41604.645833333336)</f>
        <v>41604.64583</v>
      </c>
      <c r="B3449" s="1">
        <f>IFERROR(__xludf.DUMMYFUNCTION("""COMPUTED_VALUE"""),578.35)</f>
        <v>578.35</v>
      </c>
      <c r="C3449" s="1">
        <f>IFERROR(__xludf.DUMMYFUNCTION("""COMPUTED_VALUE"""),595.0)</f>
        <v>595</v>
      </c>
      <c r="D3449" s="1">
        <f>IFERROR(__xludf.DUMMYFUNCTION("""COMPUTED_VALUE"""),577.7)</f>
        <v>577.7</v>
      </c>
      <c r="E3449" s="1">
        <f>IFERROR(__xludf.DUMMYFUNCTION("""COMPUTED_VALUE"""),588.7)</f>
        <v>588.7</v>
      </c>
      <c r="F3449" s="1">
        <f>IFERROR(__xludf.DUMMYFUNCTION("""COMPUTED_VALUE"""),1913588.0)</f>
        <v>1913588</v>
      </c>
    </row>
    <row r="3450">
      <c r="A3450" s="2">
        <f>IFERROR(__xludf.DUMMYFUNCTION("""COMPUTED_VALUE"""),41605.645833333336)</f>
        <v>41605.64583</v>
      </c>
      <c r="B3450" s="1">
        <f>IFERROR(__xludf.DUMMYFUNCTION("""COMPUTED_VALUE"""),587.95)</f>
        <v>587.95</v>
      </c>
      <c r="C3450" s="1">
        <f>IFERROR(__xludf.DUMMYFUNCTION("""COMPUTED_VALUE"""),590.0)</f>
        <v>590</v>
      </c>
      <c r="D3450" s="1">
        <f>IFERROR(__xludf.DUMMYFUNCTION("""COMPUTED_VALUE"""),581.35)</f>
        <v>581.35</v>
      </c>
      <c r="E3450" s="1">
        <f>IFERROR(__xludf.DUMMYFUNCTION("""COMPUTED_VALUE"""),583.75)</f>
        <v>583.75</v>
      </c>
      <c r="F3450" s="1">
        <f>IFERROR(__xludf.DUMMYFUNCTION("""COMPUTED_VALUE"""),1210047.0)</f>
        <v>1210047</v>
      </c>
    </row>
    <row r="3451">
      <c r="A3451" s="2">
        <f>IFERROR(__xludf.DUMMYFUNCTION("""COMPUTED_VALUE"""),41606.645833333336)</f>
        <v>41606.64583</v>
      </c>
      <c r="B3451" s="1">
        <f>IFERROR(__xludf.DUMMYFUNCTION("""COMPUTED_VALUE"""),585.0)</f>
        <v>585</v>
      </c>
      <c r="C3451" s="1">
        <f>IFERROR(__xludf.DUMMYFUNCTION("""COMPUTED_VALUE"""),592.5)</f>
        <v>592.5</v>
      </c>
      <c r="D3451" s="1">
        <f>IFERROR(__xludf.DUMMYFUNCTION("""COMPUTED_VALUE"""),581.9)</f>
        <v>581.9</v>
      </c>
      <c r="E3451" s="1">
        <f>IFERROR(__xludf.DUMMYFUNCTION("""COMPUTED_VALUE"""),589.75)</f>
        <v>589.75</v>
      </c>
      <c r="F3451" s="1">
        <f>IFERROR(__xludf.DUMMYFUNCTION("""COMPUTED_VALUE"""),1302121.0)</f>
        <v>1302121</v>
      </c>
    </row>
    <row r="3452">
      <c r="A3452" s="2">
        <f>IFERROR(__xludf.DUMMYFUNCTION("""COMPUTED_VALUE"""),41607.645833333336)</f>
        <v>41607.64583</v>
      </c>
      <c r="B3452" s="1">
        <f>IFERROR(__xludf.DUMMYFUNCTION("""COMPUTED_VALUE"""),590.0)</f>
        <v>590</v>
      </c>
      <c r="C3452" s="1">
        <f>IFERROR(__xludf.DUMMYFUNCTION("""COMPUTED_VALUE"""),598.05)</f>
        <v>598.05</v>
      </c>
      <c r="D3452" s="1">
        <f>IFERROR(__xludf.DUMMYFUNCTION("""COMPUTED_VALUE"""),590.0)</f>
        <v>590</v>
      </c>
      <c r="E3452" s="1">
        <f>IFERROR(__xludf.DUMMYFUNCTION("""COMPUTED_VALUE"""),594.75)</f>
        <v>594.75</v>
      </c>
      <c r="F3452" s="1">
        <f>IFERROR(__xludf.DUMMYFUNCTION("""COMPUTED_VALUE"""),749207.0)</f>
        <v>749207</v>
      </c>
    </row>
    <row r="3453">
      <c r="A3453" s="2">
        <f>IFERROR(__xludf.DUMMYFUNCTION("""COMPUTED_VALUE"""),41610.645833333336)</f>
        <v>41610.64583</v>
      </c>
      <c r="B3453" s="1">
        <f>IFERROR(__xludf.DUMMYFUNCTION("""COMPUTED_VALUE"""),597.85)</f>
        <v>597.85</v>
      </c>
      <c r="C3453" s="1">
        <f>IFERROR(__xludf.DUMMYFUNCTION("""COMPUTED_VALUE"""),597.85)</f>
        <v>597.85</v>
      </c>
      <c r="D3453" s="1">
        <f>IFERROR(__xludf.DUMMYFUNCTION("""COMPUTED_VALUE"""),580.6)</f>
        <v>580.6</v>
      </c>
      <c r="E3453" s="1">
        <f>IFERROR(__xludf.DUMMYFUNCTION("""COMPUTED_VALUE"""),582.1)</f>
        <v>582.1</v>
      </c>
      <c r="F3453" s="1">
        <f>IFERROR(__xludf.DUMMYFUNCTION("""COMPUTED_VALUE"""),1222387.0)</f>
        <v>1222387</v>
      </c>
    </row>
    <row r="3454">
      <c r="A3454" s="2">
        <f>IFERROR(__xludf.DUMMYFUNCTION("""COMPUTED_VALUE"""),41611.645833333336)</f>
        <v>41611.64583</v>
      </c>
      <c r="B3454" s="1">
        <f>IFERROR(__xludf.DUMMYFUNCTION("""COMPUTED_VALUE"""),582.0)</f>
        <v>582</v>
      </c>
      <c r="C3454" s="1">
        <f>IFERROR(__xludf.DUMMYFUNCTION("""COMPUTED_VALUE"""),583.65)</f>
        <v>583.65</v>
      </c>
      <c r="D3454" s="1">
        <f>IFERROR(__xludf.DUMMYFUNCTION("""COMPUTED_VALUE"""),577.65)</f>
        <v>577.65</v>
      </c>
      <c r="E3454" s="1">
        <f>IFERROR(__xludf.DUMMYFUNCTION("""COMPUTED_VALUE"""),579.0)</f>
        <v>579</v>
      </c>
      <c r="F3454" s="1">
        <f>IFERROR(__xludf.DUMMYFUNCTION("""COMPUTED_VALUE"""),904361.0)</f>
        <v>904361</v>
      </c>
    </row>
    <row r="3455">
      <c r="A3455" s="2">
        <f>IFERROR(__xludf.DUMMYFUNCTION("""COMPUTED_VALUE"""),41612.645833333336)</f>
        <v>41612.64583</v>
      </c>
      <c r="B3455" s="1">
        <f>IFERROR(__xludf.DUMMYFUNCTION("""COMPUTED_VALUE"""),578.0)</f>
        <v>578</v>
      </c>
      <c r="C3455" s="1">
        <f>IFERROR(__xludf.DUMMYFUNCTION("""COMPUTED_VALUE"""),578.9)</f>
        <v>578.9</v>
      </c>
      <c r="D3455" s="1">
        <f>IFERROR(__xludf.DUMMYFUNCTION("""COMPUTED_VALUE"""),570.8)</f>
        <v>570.8</v>
      </c>
      <c r="E3455" s="1">
        <f>IFERROR(__xludf.DUMMYFUNCTION("""COMPUTED_VALUE"""),572.0)</f>
        <v>572</v>
      </c>
      <c r="F3455" s="1">
        <f>IFERROR(__xludf.DUMMYFUNCTION("""COMPUTED_VALUE"""),1511053.0)</f>
        <v>1511053</v>
      </c>
    </row>
    <row r="3456">
      <c r="A3456" s="2">
        <f>IFERROR(__xludf.DUMMYFUNCTION("""COMPUTED_VALUE"""),41613.645833333336)</f>
        <v>41613.64583</v>
      </c>
      <c r="B3456" s="1">
        <f>IFERROR(__xludf.DUMMYFUNCTION("""COMPUTED_VALUE"""),574.35)</f>
        <v>574.35</v>
      </c>
      <c r="C3456" s="1">
        <f>IFERROR(__xludf.DUMMYFUNCTION("""COMPUTED_VALUE"""),576.9)</f>
        <v>576.9</v>
      </c>
      <c r="D3456" s="1">
        <f>IFERROR(__xludf.DUMMYFUNCTION("""COMPUTED_VALUE"""),564.0)</f>
        <v>564</v>
      </c>
      <c r="E3456" s="1">
        <f>IFERROR(__xludf.DUMMYFUNCTION("""COMPUTED_VALUE"""),565.35)</f>
        <v>565.35</v>
      </c>
      <c r="F3456" s="1">
        <f>IFERROR(__xludf.DUMMYFUNCTION("""COMPUTED_VALUE"""),1685322.0)</f>
        <v>1685322</v>
      </c>
    </row>
    <row r="3457">
      <c r="A3457" s="2">
        <f>IFERROR(__xludf.DUMMYFUNCTION("""COMPUTED_VALUE"""),41614.645833333336)</f>
        <v>41614.64583</v>
      </c>
      <c r="B3457" s="1">
        <f>IFERROR(__xludf.DUMMYFUNCTION("""COMPUTED_VALUE"""),565.7)</f>
        <v>565.7</v>
      </c>
      <c r="C3457" s="1">
        <f>IFERROR(__xludf.DUMMYFUNCTION("""COMPUTED_VALUE"""),571.4)</f>
        <v>571.4</v>
      </c>
      <c r="D3457" s="1">
        <f>IFERROR(__xludf.DUMMYFUNCTION("""COMPUTED_VALUE"""),558.5)</f>
        <v>558.5</v>
      </c>
      <c r="E3457" s="1">
        <f>IFERROR(__xludf.DUMMYFUNCTION("""COMPUTED_VALUE"""),559.65)</f>
        <v>559.65</v>
      </c>
      <c r="F3457" s="1">
        <f>IFERROR(__xludf.DUMMYFUNCTION("""COMPUTED_VALUE"""),1930183.0)</f>
        <v>1930183</v>
      </c>
    </row>
    <row r="3458">
      <c r="A3458" s="2">
        <f>IFERROR(__xludf.DUMMYFUNCTION("""COMPUTED_VALUE"""),41617.645833333336)</f>
        <v>41617.64583</v>
      </c>
      <c r="B3458" s="1">
        <f>IFERROR(__xludf.DUMMYFUNCTION("""COMPUTED_VALUE"""),570.0)</f>
        <v>570</v>
      </c>
      <c r="C3458" s="1">
        <f>IFERROR(__xludf.DUMMYFUNCTION("""COMPUTED_VALUE"""),570.45)</f>
        <v>570.45</v>
      </c>
      <c r="D3458" s="1">
        <f>IFERROR(__xludf.DUMMYFUNCTION("""COMPUTED_VALUE"""),554.55)</f>
        <v>554.55</v>
      </c>
      <c r="E3458" s="1">
        <f>IFERROR(__xludf.DUMMYFUNCTION("""COMPUTED_VALUE"""),559.75)</f>
        <v>559.75</v>
      </c>
      <c r="F3458" s="1">
        <f>IFERROR(__xludf.DUMMYFUNCTION("""COMPUTED_VALUE"""),2328730.0)</f>
        <v>2328730</v>
      </c>
    </row>
    <row r="3459">
      <c r="A3459" s="2">
        <f>IFERROR(__xludf.DUMMYFUNCTION("""COMPUTED_VALUE"""),41618.645833333336)</f>
        <v>41618.64583</v>
      </c>
      <c r="B3459" s="1">
        <f>IFERROR(__xludf.DUMMYFUNCTION("""COMPUTED_VALUE"""),560.0)</f>
        <v>560</v>
      </c>
      <c r="C3459" s="1">
        <f>IFERROR(__xludf.DUMMYFUNCTION("""COMPUTED_VALUE"""),569.0)</f>
        <v>569</v>
      </c>
      <c r="D3459" s="1">
        <f>IFERROR(__xludf.DUMMYFUNCTION("""COMPUTED_VALUE"""),554.65)</f>
        <v>554.65</v>
      </c>
      <c r="E3459" s="1">
        <f>IFERROR(__xludf.DUMMYFUNCTION("""COMPUTED_VALUE"""),563.2)</f>
        <v>563.2</v>
      </c>
      <c r="F3459" s="1">
        <f>IFERROR(__xludf.DUMMYFUNCTION("""COMPUTED_VALUE"""),4237317.0)</f>
        <v>4237317</v>
      </c>
    </row>
    <row r="3460">
      <c r="A3460" s="2">
        <f>IFERROR(__xludf.DUMMYFUNCTION("""COMPUTED_VALUE"""),41619.645833333336)</f>
        <v>41619.64583</v>
      </c>
      <c r="B3460" s="1">
        <f>IFERROR(__xludf.DUMMYFUNCTION("""COMPUTED_VALUE"""),565.0)</f>
        <v>565</v>
      </c>
      <c r="C3460" s="1">
        <f>IFERROR(__xludf.DUMMYFUNCTION("""COMPUTED_VALUE"""),569.75)</f>
        <v>569.75</v>
      </c>
      <c r="D3460" s="1">
        <f>IFERROR(__xludf.DUMMYFUNCTION("""COMPUTED_VALUE"""),561.3)</f>
        <v>561.3</v>
      </c>
      <c r="E3460" s="1">
        <f>IFERROR(__xludf.DUMMYFUNCTION("""COMPUTED_VALUE"""),565.45)</f>
        <v>565.45</v>
      </c>
      <c r="F3460" s="1">
        <f>IFERROR(__xludf.DUMMYFUNCTION("""COMPUTED_VALUE"""),1073885.0)</f>
        <v>1073885</v>
      </c>
    </row>
    <row r="3461">
      <c r="A3461" s="2">
        <f>IFERROR(__xludf.DUMMYFUNCTION("""COMPUTED_VALUE"""),41620.645833333336)</f>
        <v>41620.64583</v>
      </c>
      <c r="B3461" s="1">
        <f>IFERROR(__xludf.DUMMYFUNCTION("""COMPUTED_VALUE"""),565.0)</f>
        <v>565</v>
      </c>
      <c r="C3461" s="1">
        <f>IFERROR(__xludf.DUMMYFUNCTION("""COMPUTED_VALUE"""),568.1)</f>
        <v>568.1</v>
      </c>
      <c r="D3461" s="1">
        <f>IFERROR(__xludf.DUMMYFUNCTION("""COMPUTED_VALUE"""),560.65)</f>
        <v>560.65</v>
      </c>
      <c r="E3461" s="1">
        <f>IFERROR(__xludf.DUMMYFUNCTION("""COMPUTED_VALUE"""),562.75)</f>
        <v>562.75</v>
      </c>
      <c r="F3461" s="1">
        <f>IFERROR(__xludf.DUMMYFUNCTION("""COMPUTED_VALUE"""),807089.0)</f>
        <v>807089</v>
      </c>
    </row>
    <row r="3462">
      <c r="A3462" s="2">
        <f>IFERROR(__xludf.DUMMYFUNCTION("""COMPUTED_VALUE"""),41621.645833333336)</f>
        <v>41621.64583</v>
      </c>
      <c r="B3462" s="1">
        <f>IFERROR(__xludf.DUMMYFUNCTION("""COMPUTED_VALUE"""),560.95)</f>
        <v>560.95</v>
      </c>
      <c r="C3462" s="1">
        <f>IFERROR(__xludf.DUMMYFUNCTION("""COMPUTED_VALUE"""),563.0)</f>
        <v>563</v>
      </c>
      <c r="D3462" s="1">
        <f>IFERROR(__xludf.DUMMYFUNCTION("""COMPUTED_VALUE"""),558.0)</f>
        <v>558</v>
      </c>
      <c r="E3462" s="1">
        <f>IFERROR(__xludf.DUMMYFUNCTION("""COMPUTED_VALUE"""),560.85)</f>
        <v>560.85</v>
      </c>
      <c r="F3462" s="1">
        <f>IFERROR(__xludf.DUMMYFUNCTION("""COMPUTED_VALUE"""),803775.0)</f>
        <v>803775</v>
      </c>
    </row>
    <row r="3463">
      <c r="A3463" s="2">
        <f>IFERROR(__xludf.DUMMYFUNCTION("""COMPUTED_VALUE"""),41624.645833333336)</f>
        <v>41624.64583</v>
      </c>
      <c r="B3463" s="1">
        <f>IFERROR(__xludf.DUMMYFUNCTION("""COMPUTED_VALUE"""),562.25)</f>
        <v>562.25</v>
      </c>
      <c r="C3463" s="1">
        <f>IFERROR(__xludf.DUMMYFUNCTION("""COMPUTED_VALUE"""),564.0)</f>
        <v>564</v>
      </c>
      <c r="D3463" s="1">
        <f>IFERROR(__xludf.DUMMYFUNCTION("""COMPUTED_VALUE"""),552.35)</f>
        <v>552.35</v>
      </c>
      <c r="E3463" s="1">
        <f>IFERROR(__xludf.DUMMYFUNCTION("""COMPUTED_VALUE"""),557.2)</f>
        <v>557.2</v>
      </c>
      <c r="F3463" s="1">
        <f>IFERROR(__xludf.DUMMYFUNCTION("""COMPUTED_VALUE"""),1176141.0)</f>
        <v>1176141</v>
      </c>
    </row>
    <row r="3464">
      <c r="A3464" s="2">
        <f>IFERROR(__xludf.DUMMYFUNCTION("""COMPUTED_VALUE"""),41625.645833333336)</f>
        <v>41625.64583</v>
      </c>
      <c r="B3464" s="1">
        <f>IFERROR(__xludf.DUMMYFUNCTION("""COMPUTED_VALUE"""),557.5)</f>
        <v>557.5</v>
      </c>
      <c r="C3464" s="1">
        <f>IFERROR(__xludf.DUMMYFUNCTION("""COMPUTED_VALUE"""),559.8)</f>
        <v>559.8</v>
      </c>
      <c r="D3464" s="1">
        <f>IFERROR(__xludf.DUMMYFUNCTION("""COMPUTED_VALUE"""),554.35)</f>
        <v>554.35</v>
      </c>
      <c r="E3464" s="1">
        <f>IFERROR(__xludf.DUMMYFUNCTION("""COMPUTED_VALUE"""),556.85)</f>
        <v>556.85</v>
      </c>
      <c r="F3464" s="1">
        <f>IFERROR(__xludf.DUMMYFUNCTION("""COMPUTED_VALUE"""),1130610.0)</f>
        <v>1130610</v>
      </c>
    </row>
    <row r="3465">
      <c r="A3465" s="2">
        <f>IFERROR(__xludf.DUMMYFUNCTION("""COMPUTED_VALUE"""),41626.645833333336)</f>
        <v>41626.64583</v>
      </c>
      <c r="B3465" s="1">
        <f>IFERROR(__xludf.DUMMYFUNCTION("""COMPUTED_VALUE"""),555.25)</f>
        <v>555.25</v>
      </c>
      <c r="C3465" s="1">
        <f>IFERROR(__xludf.DUMMYFUNCTION("""COMPUTED_VALUE"""),561.0)</f>
        <v>561</v>
      </c>
      <c r="D3465" s="1">
        <f>IFERROR(__xludf.DUMMYFUNCTION("""COMPUTED_VALUE"""),552.5)</f>
        <v>552.5</v>
      </c>
      <c r="E3465" s="1">
        <f>IFERROR(__xludf.DUMMYFUNCTION("""COMPUTED_VALUE"""),558.05)</f>
        <v>558.05</v>
      </c>
      <c r="F3465" s="1">
        <f>IFERROR(__xludf.DUMMYFUNCTION("""COMPUTED_VALUE"""),1029818.0)</f>
        <v>1029818</v>
      </c>
    </row>
    <row r="3466">
      <c r="A3466" s="2">
        <f>IFERROR(__xludf.DUMMYFUNCTION("""COMPUTED_VALUE"""),41627.645833333336)</f>
        <v>41627.64583</v>
      </c>
      <c r="B3466" s="1">
        <f>IFERROR(__xludf.DUMMYFUNCTION("""COMPUTED_VALUE"""),560.0)</f>
        <v>560</v>
      </c>
      <c r="C3466" s="1">
        <f>IFERROR(__xludf.DUMMYFUNCTION("""COMPUTED_VALUE"""),562.9)</f>
        <v>562.9</v>
      </c>
      <c r="D3466" s="1">
        <f>IFERROR(__xludf.DUMMYFUNCTION("""COMPUTED_VALUE"""),551.8)</f>
        <v>551.8</v>
      </c>
      <c r="E3466" s="1">
        <f>IFERROR(__xludf.DUMMYFUNCTION("""COMPUTED_VALUE"""),554.95)</f>
        <v>554.95</v>
      </c>
      <c r="F3466" s="1">
        <f>IFERROR(__xludf.DUMMYFUNCTION("""COMPUTED_VALUE"""),870189.0)</f>
        <v>870189</v>
      </c>
    </row>
    <row r="3467">
      <c r="A3467" s="2">
        <f>IFERROR(__xludf.DUMMYFUNCTION("""COMPUTED_VALUE"""),41628.645833333336)</f>
        <v>41628.64583</v>
      </c>
      <c r="B3467" s="1">
        <f>IFERROR(__xludf.DUMMYFUNCTION("""COMPUTED_VALUE"""),554.0)</f>
        <v>554</v>
      </c>
      <c r="C3467" s="1">
        <f>IFERROR(__xludf.DUMMYFUNCTION("""COMPUTED_VALUE"""),569.75)</f>
        <v>569.75</v>
      </c>
      <c r="D3467" s="1">
        <f>IFERROR(__xludf.DUMMYFUNCTION("""COMPUTED_VALUE"""),551.8)</f>
        <v>551.8</v>
      </c>
      <c r="E3467" s="1">
        <f>IFERROR(__xludf.DUMMYFUNCTION("""COMPUTED_VALUE"""),568.7)</f>
        <v>568.7</v>
      </c>
      <c r="F3467" s="1">
        <f>IFERROR(__xludf.DUMMYFUNCTION("""COMPUTED_VALUE"""),1130685.0)</f>
        <v>1130685</v>
      </c>
    </row>
    <row r="3468">
      <c r="A3468" s="2">
        <f>IFERROR(__xludf.DUMMYFUNCTION("""COMPUTED_VALUE"""),41631.645833333336)</f>
        <v>41631.64583</v>
      </c>
      <c r="B3468" s="1">
        <f>IFERROR(__xludf.DUMMYFUNCTION("""COMPUTED_VALUE"""),567.0)</f>
        <v>567</v>
      </c>
      <c r="C3468" s="1">
        <f>IFERROR(__xludf.DUMMYFUNCTION("""COMPUTED_VALUE"""),571.05)</f>
        <v>571.05</v>
      </c>
      <c r="D3468" s="1">
        <f>IFERROR(__xludf.DUMMYFUNCTION("""COMPUTED_VALUE"""),564.05)</f>
        <v>564.05</v>
      </c>
      <c r="E3468" s="1">
        <f>IFERROR(__xludf.DUMMYFUNCTION("""COMPUTED_VALUE"""),565.2)</f>
        <v>565.2</v>
      </c>
      <c r="F3468" s="1">
        <f>IFERROR(__xludf.DUMMYFUNCTION("""COMPUTED_VALUE"""),497585.0)</f>
        <v>497585</v>
      </c>
    </row>
    <row r="3469">
      <c r="A3469" s="2">
        <f>IFERROR(__xludf.DUMMYFUNCTION("""COMPUTED_VALUE"""),41632.645833333336)</f>
        <v>41632.64583</v>
      </c>
      <c r="B3469" s="1">
        <f>IFERROR(__xludf.DUMMYFUNCTION("""COMPUTED_VALUE"""),566.0)</f>
        <v>566</v>
      </c>
      <c r="C3469" s="1">
        <f>IFERROR(__xludf.DUMMYFUNCTION("""COMPUTED_VALUE"""),570.0)</f>
        <v>570</v>
      </c>
      <c r="D3469" s="1">
        <f>IFERROR(__xludf.DUMMYFUNCTION("""COMPUTED_VALUE"""),563.9)</f>
        <v>563.9</v>
      </c>
      <c r="E3469" s="1">
        <f>IFERROR(__xludf.DUMMYFUNCTION("""COMPUTED_VALUE"""),565.1)</f>
        <v>565.1</v>
      </c>
      <c r="F3469" s="1">
        <f>IFERROR(__xludf.DUMMYFUNCTION("""COMPUTED_VALUE"""),534468.0)</f>
        <v>534468</v>
      </c>
    </row>
    <row r="3470">
      <c r="A3470" s="2">
        <f>IFERROR(__xludf.DUMMYFUNCTION("""COMPUTED_VALUE"""),41634.645833333336)</f>
        <v>41634.64583</v>
      </c>
      <c r="B3470" s="1">
        <f>IFERROR(__xludf.DUMMYFUNCTION("""COMPUTED_VALUE"""),564.0)</f>
        <v>564</v>
      </c>
      <c r="C3470" s="1">
        <f>IFERROR(__xludf.DUMMYFUNCTION("""COMPUTED_VALUE"""),569.5)</f>
        <v>569.5</v>
      </c>
      <c r="D3470" s="1">
        <f>IFERROR(__xludf.DUMMYFUNCTION("""COMPUTED_VALUE"""),561.9)</f>
        <v>561.9</v>
      </c>
      <c r="E3470" s="1">
        <f>IFERROR(__xludf.DUMMYFUNCTION("""COMPUTED_VALUE"""),563.6)</f>
        <v>563.6</v>
      </c>
      <c r="F3470" s="1">
        <f>IFERROR(__xludf.DUMMYFUNCTION("""COMPUTED_VALUE"""),2061908.0)</f>
        <v>2061908</v>
      </c>
    </row>
    <row r="3471">
      <c r="A3471" s="2">
        <f>IFERROR(__xludf.DUMMYFUNCTION("""COMPUTED_VALUE"""),41635.645833333336)</f>
        <v>41635.64583</v>
      </c>
      <c r="B3471" s="1">
        <f>IFERROR(__xludf.DUMMYFUNCTION("""COMPUTED_VALUE"""),563.55)</f>
        <v>563.55</v>
      </c>
      <c r="C3471" s="1">
        <f>IFERROR(__xludf.DUMMYFUNCTION("""COMPUTED_VALUE"""),572.9)</f>
        <v>572.9</v>
      </c>
      <c r="D3471" s="1">
        <f>IFERROR(__xludf.DUMMYFUNCTION("""COMPUTED_VALUE"""),562.0)</f>
        <v>562</v>
      </c>
      <c r="E3471" s="1">
        <f>IFERROR(__xludf.DUMMYFUNCTION("""COMPUTED_VALUE"""),568.75)</f>
        <v>568.75</v>
      </c>
      <c r="F3471" s="1">
        <f>IFERROR(__xludf.DUMMYFUNCTION("""COMPUTED_VALUE"""),741157.0)</f>
        <v>741157</v>
      </c>
    </row>
    <row r="3472">
      <c r="A3472" s="2">
        <f>IFERROR(__xludf.DUMMYFUNCTION("""COMPUTED_VALUE"""),41638.645833333336)</f>
        <v>41638.64583</v>
      </c>
      <c r="B3472" s="1">
        <f>IFERROR(__xludf.DUMMYFUNCTION("""COMPUTED_VALUE"""),571.25)</f>
        <v>571.25</v>
      </c>
      <c r="C3472" s="1">
        <f>IFERROR(__xludf.DUMMYFUNCTION("""COMPUTED_VALUE"""),576.9)</f>
        <v>576.9</v>
      </c>
      <c r="D3472" s="1">
        <f>IFERROR(__xludf.DUMMYFUNCTION("""COMPUTED_VALUE"""),568.7)</f>
        <v>568.7</v>
      </c>
      <c r="E3472" s="1">
        <f>IFERROR(__xludf.DUMMYFUNCTION("""COMPUTED_VALUE"""),573.35)</f>
        <v>573.35</v>
      </c>
      <c r="F3472" s="1">
        <f>IFERROR(__xludf.DUMMYFUNCTION("""COMPUTED_VALUE"""),758816.0)</f>
        <v>758816</v>
      </c>
    </row>
    <row r="3473">
      <c r="A3473" s="2">
        <f>IFERROR(__xludf.DUMMYFUNCTION("""COMPUTED_VALUE"""),41639.645833333336)</f>
        <v>41639.64583</v>
      </c>
      <c r="B3473" s="1">
        <f>IFERROR(__xludf.DUMMYFUNCTION("""COMPUTED_VALUE"""),576.85)</f>
        <v>576.85</v>
      </c>
      <c r="C3473" s="1">
        <f>IFERROR(__xludf.DUMMYFUNCTION("""COMPUTED_VALUE"""),576.85)</f>
        <v>576.85</v>
      </c>
      <c r="D3473" s="1">
        <f>IFERROR(__xludf.DUMMYFUNCTION("""COMPUTED_VALUE"""),568.35)</f>
        <v>568.35</v>
      </c>
      <c r="E3473" s="1">
        <f>IFERROR(__xludf.DUMMYFUNCTION("""COMPUTED_VALUE"""),570.65)</f>
        <v>570.65</v>
      </c>
      <c r="F3473" s="1">
        <f>IFERROR(__xludf.DUMMYFUNCTION("""COMPUTED_VALUE"""),382527.0)</f>
        <v>382527</v>
      </c>
    </row>
    <row r="3474">
      <c r="A3474" s="2">
        <f>IFERROR(__xludf.DUMMYFUNCTION("""COMPUTED_VALUE"""),41640.645833333336)</f>
        <v>41640.64583</v>
      </c>
      <c r="B3474" s="1">
        <f>IFERROR(__xludf.DUMMYFUNCTION("""COMPUTED_VALUE"""),570.65)</f>
        <v>570.65</v>
      </c>
      <c r="C3474" s="1">
        <f>IFERROR(__xludf.DUMMYFUNCTION("""COMPUTED_VALUE"""),574.4)</f>
        <v>574.4</v>
      </c>
      <c r="D3474" s="1">
        <f>IFERROR(__xludf.DUMMYFUNCTION("""COMPUTED_VALUE"""),569.3)</f>
        <v>569.3</v>
      </c>
      <c r="E3474" s="1">
        <f>IFERROR(__xludf.DUMMYFUNCTION("""COMPUTED_VALUE"""),572.35)</f>
        <v>572.35</v>
      </c>
      <c r="F3474" s="1">
        <f>IFERROR(__xludf.DUMMYFUNCTION("""COMPUTED_VALUE"""),251204.0)</f>
        <v>251204</v>
      </c>
    </row>
    <row r="3475">
      <c r="A3475" s="2">
        <f>IFERROR(__xludf.DUMMYFUNCTION("""COMPUTED_VALUE"""),41641.645833333336)</f>
        <v>41641.64583</v>
      </c>
      <c r="B3475" s="1">
        <f>IFERROR(__xludf.DUMMYFUNCTION("""COMPUTED_VALUE"""),571.0)</f>
        <v>571</v>
      </c>
      <c r="C3475" s="1">
        <f>IFERROR(__xludf.DUMMYFUNCTION("""COMPUTED_VALUE"""),575.75)</f>
        <v>575.75</v>
      </c>
      <c r="D3475" s="1">
        <f>IFERROR(__xludf.DUMMYFUNCTION("""COMPUTED_VALUE"""),558.6)</f>
        <v>558.6</v>
      </c>
      <c r="E3475" s="1">
        <f>IFERROR(__xludf.DUMMYFUNCTION("""COMPUTED_VALUE"""),562.4)</f>
        <v>562.4</v>
      </c>
      <c r="F3475" s="1">
        <f>IFERROR(__xludf.DUMMYFUNCTION("""COMPUTED_VALUE"""),531660.0)</f>
        <v>531660</v>
      </c>
    </row>
    <row r="3476">
      <c r="A3476" s="2">
        <f>IFERROR(__xludf.DUMMYFUNCTION("""COMPUTED_VALUE"""),41642.645833333336)</f>
        <v>41642.64583</v>
      </c>
      <c r="B3476" s="1">
        <f>IFERROR(__xludf.DUMMYFUNCTION("""COMPUTED_VALUE"""),560.0)</f>
        <v>560</v>
      </c>
      <c r="C3476" s="1">
        <f>IFERROR(__xludf.DUMMYFUNCTION("""COMPUTED_VALUE"""),567.4)</f>
        <v>567.4</v>
      </c>
      <c r="D3476" s="1">
        <f>IFERROR(__xludf.DUMMYFUNCTION("""COMPUTED_VALUE"""),558.05)</f>
        <v>558.05</v>
      </c>
      <c r="E3476" s="1">
        <f>IFERROR(__xludf.DUMMYFUNCTION("""COMPUTED_VALUE"""),565.0)</f>
        <v>565</v>
      </c>
      <c r="F3476" s="1">
        <f>IFERROR(__xludf.DUMMYFUNCTION("""COMPUTED_VALUE"""),1018173.0)</f>
        <v>1018173</v>
      </c>
    </row>
    <row r="3477">
      <c r="A3477" s="2">
        <f>IFERROR(__xludf.DUMMYFUNCTION("""COMPUTED_VALUE"""),41645.645833333336)</f>
        <v>41645.64583</v>
      </c>
      <c r="B3477" s="1">
        <f>IFERROR(__xludf.DUMMYFUNCTION("""COMPUTED_VALUE"""),567.0)</f>
        <v>567</v>
      </c>
      <c r="C3477" s="1">
        <f>IFERROR(__xludf.DUMMYFUNCTION("""COMPUTED_VALUE"""),567.8)</f>
        <v>567.8</v>
      </c>
      <c r="D3477" s="1">
        <f>IFERROR(__xludf.DUMMYFUNCTION("""COMPUTED_VALUE"""),560.2)</f>
        <v>560.2</v>
      </c>
      <c r="E3477" s="1">
        <f>IFERROR(__xludf.DUMMYFUNCTION("""COMPUTED_VALUE"""),563.5)</f>
        <v>563.5</v>
      </c>
      <c r="F3477" s="1">
        <f>IFERROR(__xludf.DUMMYFUNCTION("""COMPUTED_VALUE"""),603727.0)</f>
        <v>603727</v>
      </c>
    </row>
    <row r="3478">
      <c r="A3478" s="2">
        <f>IFERROR(__xludf.DUMMYFUNCTION("""COMPUTED_VALUE"""),41646.645833333336)</f>
        <v>41646.64583</v>
      </c>
      <c r="B3478" s="1">
        <f>IFERROR(__xludf.DUMMYFUNCTION("""COMPUTED_VALUE"""),563.0)</f>
        <v>563</v>
      </c>
      <c r="C3478" s="1">
        <f>IFERROR(__xludf.DUMMYFUNCTION("""COMPUTED_VALUE"""),565.9)</f>
        <v>565.9</v>
      </c>
      <c r="D3478" s="1">
        <f>IFERROR(__xludf.DUMMYFUNCTION("""COMPUTED_VALUE"""),556.0)</f>
        <v>556</v>
      </c>
      <c r="E3478" s="1">
        <f>IFERROR(__xludf.DUMMYFUNCTION("""COMPUTED_VALUE"""),558.95)</f>
        <v>558.95</v>
      </c>
      <c r="F3478" s="1">
        <f>IFERROR(__xludf.DUMMYFUNCTION("""COMPUTED_VALUE"""),605461.0)</f>
        <v>605461</v>
      </c>
    </row>
    <row r="3479">
      <c r="A3479" s="2">
        <f>IFERROR(__xludf.DUMMYFUNCTION("""COMPUTED_VALUE"""),41647.645833333336)</f>
        <v>41647.64583</v>
      </c>
      <c r="B3479" s="1">
        <f>IFERROR(__xludf.DUMMYFUNCTION("""COMPUTED_VALUE"""),558.0)</f>
        <v>558</v>
      </c>
      <c r="C3479" s="1">
        <f>IFERROR(__xludf.DUMMYFUNCTION("""COMPUTED_VALUE"""),562.15)</f>
        <v>562.15</v>
      </c>
      <c r="D3479" s="1">
        <f>IFERROR(__xludf.DUMMYFUNCTION("""COMPUTED_VALUE"""),557.0)</f>
        <v>557</v>
      </c>
      <c r="E3479" s="1">
        <f>IFERROR(__xludf.DUMMYFUNCTION("""COMPUTED_VALUE"""),559.15)</f>
        <v>559.15</v>
      </c>
      <c r="F3479" s="1">
        <f>IFERROR(__xludf.DUMMYFUNCTION("""COMPUTED_VALUE"""),564149.0)</f>
        <v>564149</v>
      </c>
    </row>
    <row r="3480">
      <c r="A3480" s="2">
        <f>IFERROR(__xludf.DUMMYFUNCTION("""COMPUTED_VALUE"""),41648.645833333336)</f>
        <v>41648.64583</v>
      </c>
      <c r="B3480" s="1">
        <f>IFERROR(__xludf.DUMMYFUNCTION("""COMPUTED_VALUE"""),560.0)</f>
        <v>560</v>
      </c>
      <c r="C3480" s="1">
        <f>IFERROR(__xludf.DUMMYFUNCTION("""COMPUTED_VALUE"""),560.0)</f>
        <v>560</v>
      </c>
      <c r="D3480" s="1">
        <f>IFERROR(__xludf.DUMMYFUNCTION("""COMPUTED_VALUE"""),553.8)</f>
        <v>553.8</v>
      </c>
      <c r="E3480" s="1">
        <f>IFERROR(__xludf.DUMMYFUNCTION("""COMPUTED_VALUE"""),554.15)</f>
        <v>554.15</v>
      </c>
      <c r="F3480" s="1">
        <f>IFERROR(__xludf.DUMMYFUNCTION("""COMPUTED_VALUE"""),854783.0)</f>
        <v>854783</v>
      </c>
    </row>
    <row r="3481">
      <c r="A3481" s="2">
        <f>IFERROR(__xludf.DUMMYFUNCTION("""COMPUTED_VALUE"""),41649.645833333336)</f>
        <v>41649.64583</v>
      </c>
      <c r="B3481" s="1">
        <f>IFERROR(__xludf.DUMMYFUNCTION("""COMPUTED_VALUE"""),555.35)</f>
        <v>555.35</v>
      </c>
      <c r="C3481" s="1">
        <f>IFERROR(__xludf.DUMMYFUNCTION("""COMPUTED_VALUE"""),556.95)</f>
        <v>556.95</v>
      </c>
      <c r="D3481" s="1">
        <f>IFERROR(__xludf.DUMMYFUNCTION("""COMPUTED_VALUE"""),548.4)</f>
        <v>548.4</v>
      </c>
      <c r="E3481" s="1">
        <f>IFERROR(__xludf.DUMMYFUNCTION("""COMPUTED_VALUE"""),549.8)</f>
        <v>549.8</v>
      </c>
      <c r="F3481" s="1">
        <f>IFERROR(__xludf.DUMMYFUNCTION("""COMPUTED_VALUE"""),985783.0)</f>
        <v>985783</v>
      </c>
    </row>
    <row r="3482">
      <c r="A3482" s="2">
        <f>IFERROR(__xludf.DUMMYFUNCTION("""COMPUTED_VALUE"""),41652.645833333336)</f>
        <v>41652.64583</v>
      </c>
      <c r="B3482" s="1">
        <f>IFERROR(__xludf.DUMMYFUNCTION("""COMPUTED_VALUE"""),550.0)</f>
        <v>550</v>
      </c>
      <c r="C3482" s="1">
        <f>IFERROR(__xludf.DUMMYFUNCTION("""COMPUTED_VALUE"""),552.0)</f>
        <v>552</v>
      </c>
      <c r="D3482" s="1">
        <f>IFERROR(__xludf.DUMMYFUNCTION("""COMPUTED_VALUE"""),543.5)</f>
        <v>543.5</v>
      </c>
      <c r="E3482" s="1">
        <f>IFERROR(__xludf.DUMMYFUNCTION("""COMPUTED_VALUE"""),545.7)</f>
        <v>545.7</v>
      </c>
      <c r="F3482" s="1">
        <f>IFERROR(__xludf.DUMMYFUNCTION("""COMPUTED_VALUE"""),1488598.0)</f>
        <v>1488598</v>
      </c>
    </row>
    <row r="3483">
      <c r="A3483" s="2">
        <f>IFERROR(__xludf.DUMMYFUNCTION("""COMPUTED_VALUE"""),41653.645833333336)</f>
        <v>41653.64583</v>
      </c>
      <c r="B3483" s="1">
        <f>IFERROR(__xludf.DUMMYFUNCTION("""COMPUTED_VALUE"""),545.1)</f>
        <v>545.1</v>
      </c>
      <c r="C3483" s="1">
        <f>IFERROR(__xludf.DUMMYFUNCTION("""COMPUTED_VALUE"""),548.9)</f>
        <v>548.9</v>
      </c>
      <c r="D3483" s="1">
        <f>IFERROR(__xludf.DUMMYFUNCTION("""COMPUTED_VALUE"""),537.2)</f>
        <v>537.2</v>
      </c>
      <c r="E3483" s="1">
        <f>IFERROR(__xludf.DUMMYFUNCTION("""COMPUTED_VALUE"""),538.4)</f>
        <v>538.4</v>
      </c>
      <c r="F3483" s="1">
        <f>IFERROR(__xludf.DUMMYFUNCTION("""COMPUTED_VALUE"""),925057.0)</f>
        <v>925057</v>
      </c>
    </row>
    <row r="3484">
      <c r="A3484" s="2">
        <f>IFERROR(__xludf.DUMMYFUNCTION("""COMPUTED_VALUE"""),41654.645833333336)</f>
        <v>41654.64583</v>
      </c>
      <c r="B3484" s="1">
        <f>IFERROR(__xludf.DUMMYFUNCTION("""COMPUTED_VALUE"""),538.5)</f>
        <v>538.5</v>
      </c>
      <c r="C3484" s="1">
        <f>IFERROR(__xludf.DUMMYFUNCTION("""COMPUTED_VALUE"""),546.2)</f>
        <v>546.2</v>
      </c>
      <c r="D3484" s="1">
        <f>IFERROR(__xludf.DUMMYFUNCTION("""COMPUTED_VALUE"""),538.1)</f>
        <v>538.1</v>
      </c>
      <c r="E3484" s="1">
        <f>IFERROR(__xludf.DUMMYFUNCTION("""COMPUTED_VALUE"""),545.2)</f>
        <v>545.2</v>
      </c>
      <c r="F3484" s="1">
        <f>IFERROR(__xludf.DUMMYFUNCTION("""COMPUTED_VALUE"""),2060042.0)</f>
        <v>2060042</v>
      </c>
    </row>
    <row r="3485">
      <c r="A3485" s="2">
        <f>IFERROR(__xludf.DUMMYFUNCTION("""COMPUTED_VALUE"""),41655.645833333336)</f>
        <v>41655.64583</v>
      </c>
      <c r="B3485" s="1">
        <f>IFERROR(__xludf.DUMMYFUNCTION("""COMPUTED_VALUE"""),545.0)</f>
        <v>545</v>
      </c>
      <c r="C3485" s="1">
        <f>IFERROR(__xludf.DUMMYFUNCTION("""COMPUTED_VALUE"""),552.65)</f>
        <v>552.65</v>
      </c>
      <c r="D3485" s="1">
        <f>IFERROR(__xludf.DUMMYFUNCTION("""COMPUTED_VALUE"""),544.25)</f>
        <v>544.25</v>
      </c>
      <c r="E3485" s="1">
        <f>IFERROR(__xludf.DUMMYFUNCTION("""COMPUTED_VALUE"""),552.1)</f>
        <v>552.1</v>
      </c>
      <c r="F3485" s="1">
        <f>IFERROR(__xludf.DUMMYFUNCTION("""COMPUTED_VALUE"""),1221864.0)</f>
        <v>1221864</v>
      </c>
    </row>
    <row r="3486">
      <c r="A3486" s="2">
        <f>IFERROR(__xludf.DUMMYFUNCTION("""COMPUTED_VALUE"""),41656.645833333336)</f>
        <v>41656.64583</v>
      </c>
      <c r="B3486" s="1">
        <f>IFERROR(__xludf.DUMMYFUNCTION("""COMPUTED_VALUE"""),553.0)</f>
        <v>553</v>
      </c>
      <c r="C3486" s="1">
        <f>IFERROR(__xludf.DUMMYFUNCTION("""COMPUTED_VALUE"""),563.0)</f>
        <v>563</v>
      </c>
      <c r="D3486" s="1">
        <f>IFERROR(__xludf.DUMMYFUNCTION("""COMPUTED_VALUE"""),552.5)</f>
        <v>552.5</v>
      </c>
      <c r="E3486" s="1">
        <f>IFERROR(__xludf.DUMMYFUNCTION("""COMPUTED_VALUE"""),558.9)</f>
        <v>558.9</v>
      </c>
      <c r="F3486" s="1">
        <f>IFERROR(__xludf.DUMMYFUNCTION("""COMPUTED_VALUE"""),1475015.0)</f>
        <v>1475015</v>
      </c>
    </row>
    <row r="3487">
      <c r="A3487" s="2">
        <f>IFERROR(__xludf.DUMMYFUNCTION("""COMPUTED_VALUE"""),41659.645833333336)</f>
        <v>41659.64583</v>
      </c>
      <c r="B3487" s="1">
        <f>IFERROR(__xludf.DUMMYFUNCTION("""COMPUTED_VALUE"""),559.9)</f>
        <v>559.9</v>
      </c>
      <c r="C3487" s="1">
        <f>IFERROR(__xludf.DUMMYFUNCTION("""COMPUTED_VALUE"""),562.3)</f>
        <v>562.3</v>
      </c>
      <c r="D3487" s="1">
        <f>IFERROR(__xludf.DUMMYFUNCTION("""COMPUTED_VALUE"""),548.3)</f>
        <v>548.3</v>
      </c>
      <c r="E3487" s="1">
        <f>IFERROR(__xludf.DUMMYFUNCTION("""COMPUTED_VALUE"""),555.1)</f>
        <v>555.1</v>
      </c>
      <c r="F3487" s="1">
        <f>IFERROR(__xludf.DUMMYFUNCTION("""COMPUTED_VALUE"""),1549558.0)</f>
        <v>1549558</v>
      </c>
    </row>
    <row r="3488">
      <c r="A3488" s="2">
        <f>IFERROR(__xludf.DUMMYFUNCTION("""COMPUTED_VALUE"""),41660.645833333336)</f>
        <v>41660.64583</v>
      </c>
      <c r="B3488" s="1">
        <f>IFERROR(__xludf.DUMMYFUNCTION("""COMPUTED_VALUE"""),555.8)</f>
        <v>555.8</v>
      </c>
      <c r="C3488" s="1">
        <f>IFERROR(__xludf.DUMMYFUNCTION("""COMPUTED_VALUE"""),561.0)</f>
        <v>561</v>
      </c>
      <c r="D3488" s="1">
        <f>IFERROR(__xludf.DUMMYFUNCTION("""COMPUTED_VALUE"""),548.8)</f>
        <v>548.8</v>
      </c>
      <c r="E3488" s="1">
        <f>IFERROR(__xludf.DUMMYFUNCTION("""COMPUTED_VALUE"""),559.8)</f>
        <v>559.8</v>
      </c>
      <c r="F3488" s="1">
        <f>IFERROR(__xludf.DUMMYFUNCTION("""COMPUTED_VALUE"""),1927455.0)</f>
        <v>1927455</v>
      </c>
    </row>
    <row r="3489">
      <c r="A3489" s="2">
        <f>IFERROR(__xludf.DUMMYFUNCTION("""COMPUTED_VALUE"""),41661.645833333336)</f>
        <v>41661.64583</v>
      </c>
      <c r="B3489" s="1">
        <f>IFERROR(__xludf.DUMMYFUNCTION("""COMPUTED_VALUE"""),561.95)</f>
        <v>561.95</v>
      </c>
      <c r="C3489" s="1">
        <f>IFERROR(__xludf.DUMMYFUNCTION("""COMPUTED_VALUE"""),567.85)</f>
        <v>567.85</v>
      </c>
      <c r="D3489" s="1">
        <f>IFERROR(__xludf.DUMMYFUNCTION("""COMPUTED_VALUE"""),552.9)</f>
        <v>552.9</v>
      </c>
      <c r="E3489" s="1">
        <f>IFERROR(__xludf.DUMMYFUNCTION("""COMPUTED_VALUE"""),566.45)</f>
        <v>566.45</v>
      </c>
      <c r="F3489" s="1">
        <f>IFERROR(__xludf.DUMMYFUNCTION("""COMPUTED_VALUE"""),1892894.0)</f>
        <v>1892894</v>
      </c>
    </row>
    <row r="3490">
      <c r="A3490" s="2">
        <f>IFERROR(__xludf.DUMMYFUNCTION("""COMPUTED_VALUE"""),41662.645833333336)</f>
        <v>41662.64583</v>
      </c>
      <c r="B3490" s="1">
        <f>IFERROR(__xludf.DUMMYFUNCTION("""COMPUTED_VALUE"""),567.0)</f>
        <v>567</v>
      </c>
      <c r="C3490" s="1">
        <f>IFERROR(__xludf.DUMMYFUNCTION("""COMPUTED_VALUE"""),570.0)</f>
        <v>570</v>
      </c>
      <c r="D3490" s="1">
        <f>IFERROR(__xludf.DUMMYFUNCTION("""COMPUTED_VALUE"""),560.15)</f>
        <v>560.15</v>
      </c>
      <c r="E3490" s="1">
        <f>IFERROR(__xludf.DUMMYFUNCTION("""COMPUTED_VALUE"""),567.1)</f>
        <v>567.1</v>
      </c>
      <c r="F3490" s="1">
        <f>IFERROR(__xludf.DUMMYFUNCTION("""COMPUTED_VALUE"""),856175.0)</f>
        <v>856175</v>
      </c>
    </row>
    <row r="3491">
      <c r="A3491" s="2">
        <f>IFERROR(__xludf.DUMMYFUNCTION("""COMPUTED_VALUE"""),41663.645833333336)</f>
        <v>41663.64583</v>
      </c>
      <c r="B3491" s="1">
        <f>IFERROR(__xludf.DUMMYFUNCTION("""COMPUTED_VALUE"""),563.0)</f>
        <v>563</v>
      </c>
      <c r="C3491" s="1">
        <f>IFERROR(__xludf.DUMMYFUNCTION("""COMPUTED_VALUE"""),568.85)</f>
        <v>568.85</v>
      </c>
      <c r="D3491" s="1">
        <f>IFERROR(__xludf.DUMMYFUNCTION("""COMPUTED_VALUE"""),556.6)</f>
        <v>556.6</v>
      </c>
      <c r="E3491" s="1">
        <f>IFERROR(__xludf.DUMMYFUNCTION("""COMPUTED_VALUE"""),565.8)</f>
        <v>565.8</v>
      </c>
      <c r="F3491" s="1">
        <f>IFERROR(__xludf.DUMMYFUNCTION("""COMPUTED_VALUE"""),2366263.0)</f>
        <v>2366263</v>
      </c>
    </row>
    <row r="3492">
      <c r="A3492" s="2">
        <f>IFERROR(__xludf.DUMMYFUNCTION("""COMPUTED_VALUE"""),41666.645833333336)</f>
        <v>41666.64583</v>
      </c>
      <c r="B3492" s="1">
        <f>IFERROR(__xludf.DUMMYFUNCTION("""COMPUTED_VALUE"""),563.4)</f>
        <v>563.4</v>
      </c>
      <c r="C3492" s="1">
        <f>IFERROR(__xludf.DUMMYFUNCTION("""COMPUTED_VALUE"""),584.9)</f>
        <v>584.9</v>
      </c>
      <c r="D3492" s="1">
        <f>IFERROR(__xludf.DUMMYFUNCTION("""COMPUTED_VALUE"""),555.1)</f>
        <v>555.1</v>
      </c>
      <c r="E3492" s="1">
        <f>IFERROR(__xludf.DUMMYFUNCTION("""COMPUTED_VALUE"""),575.25)</f>
        <v>575.25</v>
      </c>
      <c r="F3492" s="1">
        <f>IFERROR(__xludf.DUMMYFUNCTION("""COMPUTED_VALUE"""),3220246.0)</f>
        <v>3220246</v>
      </c>
    </row>
    <row r="3493">
      <c r="A3493" s="2">
        <f>IFERROR(__xludf.DUMMYFUNCTION("""COMPUTED_VALUE"""),41667.645833333336)</f>
        <v>41667.64583</v>
      </c>
      <c r="B3493" s="1">
        <f>IFERROR(__xludf.DUMMYFUNCTION("""COMPUTED_VALUE"""),581.0)</f>
        <v>581</v>
      </c>
      <c r="C3493" s="1">
        <f>IFERROR(__xludf.DUMMYFUNCTION("""COMPUTED_VALUE"""),581.65)</f>
        <v>581.65</v>
      </c>
      <c r="D3493" s="1">
        <f>IFERROR(__xludf.DUMMYFUNCTION("""COMPUTED_VALUE"""),554.5)</f>
        <v>554.5</v>
      </c>
      <c r="E3493" s="1">
        <f>IFERROR(__xludf.DUMMYFUNCTION("""COMPUTED_VALUE"""),569.7)</f>
        <v>569.7</v>
      </c>
      <c r="F3493" s="1">
        <f>IFERROR(__xludf.DUMMYFUNCTION("""COMPUTED_VALUE"""),4204432.0)</f>
        <v>4204432</v>
      </c>
    </row>
    <row r="3494">
      <c r="A3494" s="2">
        <f>IFERROR(__xludf.DUMMYFUNCTION("""COMPUTED_VALUE"""),41668.645833333336)</f>
        <v>41668.64583</v>
      </c>
      <c r="B3494" s="1">
        <f>IFERROR(__xludf.DUMMYFUNCTION("""COMPUTED_VALUE"""),569.0)</f>
        <v>569</v>
      </c>
      <c r="C3494" s="1">
        <f>IFERROR(__xludf.DUMMYFUNCTION("""COMPUTED_VALUE"""),574.8)</f>
        <v>574.8</v>
      </c>
      <c r="D3494" s="1">
        <f>IFERROR(__xludf.DUMMYFUNCTION("""COMPUTED_VALUE"""),563.55)</f>
        <v>563.55</v>
      </c>
      <c r="E3494" s="1">
        <f>IFERROR(__xludf.DUMMYFUNCTION("""COMPUTED_VALUE"""),569.6)</f>
        <v>569.6</v>
      </c>
      <c r="F3494" s="1">
        <f>IFERROR(__xludf.DUMMYFUNCTION("""COMPUTED_VALUE"""),1073771.0)</f>
        <v>1073771</v>
      </c>
    </row>
    <row r="3495">
      <c r="A3495" s="2">
        <f>IFERROR(__xludf.DUMMYFUNCTION("""COMPUTED_VALUE"""),41669.645833333336)</f>
        <v>41669.64583</v>
      </c>
      <c r="B3495" s="1">
        <f>IFERROR(__xludf.DUMMYFUNCTION("""COMPUTED_VALUE"""),563.55)</f>
        <v>563.55</v>
      </c>
      <c r="C3495" s="1">
        <f>IFERROR(__xludf.DUMMYFUNCTION("""COMPUTED_VALUE"""),572.8)</f>
        <v>572.8</v>
      </c>
      <c r="D3495" s="1">
        <f>IFERROR(__xludf.DUMMYFUNCTION("""COMPUTED_VALUE"""),559.7)</f>
        <v>559.7</v>
      </c>
      <c r="E3495" s="1">
        <f>IFERROR(__xludf.DUMMYFUNCTION("""COMPUTED_VALUE"""),570.4)</f>
        <v>570.4</v>
      </c>
      <c r="F3495" s="1">
        <f>IFERROR(__xludf.DUMMYFUNCTION("""COMPUTED_VALUE"""),1287033.0)</f>
        <v>1287033</v>
      </c>
    </row>
    <row r="3496">
      <c r="A3496" s="2">
        <f>IFERROR(__xludf.DUMMYFUNCTION("""COMPUTED_VALUE"""),41670.645833333336)</f>
        <v>41670.64583</v>
      </c>
      <c r="B3496" s="1">
        <f>IFERROR(__xludf.DUMMYFUNCTION("""COMPUTED_VALUE"""),569.0)</f>
        <v>569</v>
      </c>
      <c r="C3496" s="1">
        <f>IFERROR(__xludf.DUMMYFUNCTION("""COMPUTED_VALUE"""),573.8)</f>
        <v>573.8</v>
      </c>
      <c r="D3496" s="1">
        <f>IFERROR(__xludf.DUMMYFUNCTION("""COMPUTED_VALUE"""),565.0)</f>
        <v>565</v>
      </c>
      <c r="E3496" s="1">
        <f>IFERROR(__xludf.DUMMYFUNCTION("""COMPUTED_VALUE"""),570.1)</f>
        <v>570.1</v>
      </c>
      <c r="F3496" s="1">
        <f>IFERROR(__xludf.DUMMYFUNCTION("""COMPUTED_VALUE"""),1059275.0)</f>
        <v>1059275</v>
      </c>
    </row>
    <row r="3497">
      <c r="A3497" s="2">
        <f>IFERROR(__xludf.DUMMYFUNCTION("""COMPUTED_VALUE"""),41673.645833333336)</f>
        <v>41673.64583</v>
      </c>
      <c r="B3497" s="1">
        <f>IFERROR(__xludf.DUMMYFUNCTION("""COMPUTED_VALUE"""),569.1)</f>
        <v>569.1</v>
      </c>
      <c r="C3497" s="1">
        <f>IFERROR(__xludf.DUMMYFUNCTION("""COMPUTED_VALUE"""),574.25)</f>
        <v>574.25</v>
      </c>
      <c r="D3497" s="1">
        <f>IFERROR(__xludf.DUMMYFUNCTION("""COMPUTED_VALUE"""),564.8)</f>
        <v>564.8</v>
      </c>
      <c r="E3497" s="1">
        <f>IFERROR(__xludf.DUMMYFUNCTION("""COMPUTED_VALUE"""),569.75)</f>
        <v>569.75</v>
      </c>
      <c r="F3497" s="1">
        <f>IFERROR(__xludf.DUMMYFUNCTION("""COMPUTED_VALUE"""),747170.0)</f>
        <v>747170</v>
      </c>
    </row>
    <row r="3498">
      <c r="A3498" s="2">
        <f>IFERROR(__xludf.DUMMYFUNCTION("""COMPUTED_VALUE"""),41674.645833333336)</f>
        <v>41674.64583</v>
      </c>
      <c r="B3498" s="1">
        <f>IFERROR(__xludf.DUMMYFUNCTION("""COMPUTED_VALUE"""),568.1)</f>
        <v>568.1</v>
      </c>
      <c r="C3498" s="1">
        <f>IFERROR(__xludf.DUMMYFUNCTION("""COMPUTED_VALUE"""),573.2)</f>
        <v>573.2</v>
      </c>
      <c r="D3498" s="1">
        <f>IFERROR(__xludf.DUMMYFUNCTION("""COMPUTED_VALUE"""),565.3)</f>
        <v>565.3</v>
      </c>
      <c r="E3498" s="1">
        <f>IFERROR(__xludf.DUMMYFUNCTION("""COMPUTED_VALUE"""),570.25)</f>
        <v>570.25</v>
      </c>
      <c r="F3498" s="1">
        <f>IFERROR(__xludf.DUMMYFUNCTION("""COMPUTED_VALUE"""),1891501.0)</f>
        <v>1891501</v>
      </c>
    </row>
    <row r="3499">
      <c r="A3499" s="2">
        <f>IFERROR(__xludf.DUMMYFUNCTION("""COMPUTED_VALUE"""),41675.645833333336)</f>
        <v>41675.64583</v>
      </c>
      <c r="B3499" s="1">
        <f>IFERROR(__xludf.DUMMYFUNCTION("""COMPUTED_VALUE"""),570.05)</f>
        <v>570.05</v>
      </c>
      <c r="C3499" s="1">
        <f>IFERROR(__xludf.DUMMYFUNCTION("""COMPUTED_VALUE"""),571.2)</f>
        <v>571.2</v>
      </c>
      <c r="D3499" s="1">
        <f>IFERROR(__xludf.DUMMYFUNCTION("""COMPUTED_VALUE"""),561.6)</f>
        <v>561.6</v>
      </c>
      <c r="E3499" s="1">
        <f>IFERROR(__xludf.DUMMYFUNCTION("""COMPUTED_VALUE"""),570.0)</f>
        <v>570</v>
      </c>
      <c r="F3499" s="1">
        <f>IFERROR(__xludf.DUMMYFUNCTION("""COMPUTED_VALUE"""),2423902.0)</f>
        <v>2423902</v>
      </c>
    </row>
    <row r="3500">
      <c r="A3500" s="2">
        <f>IFERROR(__xludf.DUMMYFUNCTION("""COMPUTED_VALUE"""),41676.645833333336)</f>
        <v>41676.64583</v>
      </c>
      <c r="B3500" s="1">
        <f>IFERROR(__xludf.DUMMYFUNCTION("""COMPUTED_VALUE"""),570.0)</f>
        <v>570</v>
      </c>
      <c r="C3500" s="1">
        <f>IFERROR(__xludf.DUMMYFUNCTION("""COMPUTED_VALUE"""),588.2)</f>
        <v>588.2</v>
      </c>
      <c r="D3500" s="1">
        <f>IFERROR(__xludf.DUMMYFUNCTION("""COMPUTED_VALUE"""),568.3)</f>
        <v>568.3</v>
      </c>
      <c r="E3500" s="1">
        <f>IFERROR(__xludf.DUMMYFUNCTION("""COMPUTED_VALUE"""),586.55)</f>
        <v>586.55</v>
      </c>
      <c r="F3500" s="1">
        <f>IFERROR(__xludf.DUMMYFUNCTION("""COMPUTED_VALUE"""),1720369.0)</f>
        <v>1720369</v>
      </c>
    </row>
    <row r="3501">
      <c r="A3501" s="2">
        <f>IFERROR(__xludf.DUMMYFUNCTION("""COMPUTED_VALUE"""),41677.645833333336)</f>
        <v>41677.64583</v>
      </c>
      <c r="B3501" s="1">
        <f>IFERROR(__xludf.DUMMYFUNCTION("""COMPUTED_VALUE"""),587.4)</f>
        <v>587.4</v>
      </c>
      <c r="C3501" s="1">
        <f>IFERROR(__xludf.DUMMYFUNCTION("""COMPUTED_VALUE"""),589.65)</f>
        <v>589.65</v>
      </c>
      <c r="D3501" s="1">
        <f>IFERROR(__xludf.DUMMYFUNCTION("""COMPUTED_VALUE"""),574.95)</f>
        <v>574.95</v>
      </c>
      <c r="E3501" s="1">
        <f>IFERROR(__xludf.DUMMYFUNCTION("""COMPUTED_VALUE"""),577.65)</f>
        <v>577.65</v>
      </c>
      <c r="F3501" s="1">
        <f>IFERROR(__xludf.DUMMYFUNCTION("""COMPUTED_VALUE"""),927008.0)</f>
        <v>927008</v>
      </c>
    </row>
    <row r="3502">
      <c r="A3502" s="2">
        <f>IFERROR(__xludf.DUMMYFUNCTION("""COMPUTED_VALUE"""),41680.645833333336)</f>
        <v>41680.64583</v>
      </c>
      <c r="B3502" s="1">
        <f>IFERROR(__xludf.DUMMYFUNCTION("""COMPUTED_VALUE"""),575.65)</f>
        <v>575.65</v>
      </c>
      <c r="C3502" s="1">
        <f>IFERROR(__xludf.DUMMYFUNCTION("""COMPUTED_VALUE"""),579.75)</f>
        <v>579.75</v>
      </c>
      <c r="D3502" s="1">
        <f>IFERROR(__xludf.DUMMYFUNCTION("""COMPUTED_VALUE"""),562.65)</f>
        <v>562.65</v>
      </c>
      <c r="E3502" s="1">
        <f>IFERROR(__xludf.DUMMYFUNCTION("""COMPUTED_VALUE"""),564.0)</f>
        <v>564</v>
      </c>
      <c r="F3502" s="1">
        <f>IFERROR(__xludf.DUMMYFUNCTION("""COMPUTED_VALUE"""),1255220.0)</f>
        <v>1255220</v>
      </c>
    </row>
    <row r="3503">
      <c r="A3503" s="2">
        <f>IFERROR(__xludf.DUMMYFUNCTION("""COMPUTED_VALUE"""),41681.645833333336)</f>
        <v>41681.64583</v>
      </c>
      <c r="B3503" s="1">
        <f>IFERROR(__xludf.DUMMYFUNCTION("""COMPUTED_VALUE"""),565.0)</f>
        <v>565</v>
      </c>
      <c r="C3503" s="1">
        <f>IFERROR(__xludf.DUMMYFUNCTION("""COMPUTED_VALUE"""),569.35)</f>
        <v>569.35</v>
      </c>
      <c r="D3503" s="1">
        <f>IFERROR(__xludf.DUMMYFUNCTION("""COMPUTED_VALUE"""),561.8)</f>
        <v>561.8</v>
      </c>
      <c r="E3503" s="1">
        <f>IFERROR(__xludf.DUMMYFUNCTION("""COMPUTED_VALUE"""),562.45)</f>
        <v>562.45</v>
      </c>
      <c r="F3503" s="1">
        <f>IFERROR(__xludf.DUMMYFUNCTION("""COMPUTED_VALUE"""),1580976.0)</f>
        <v>1580976</v>
      </c>
    </row>
    <row r="3504">
      <c r="A3504" s="2">
        <f>IFERROR(__xludf.DUMMYFUNCTION("""COMPUTED_VALUE"""),41682.645833333336)</f>
        <v>41682.64583</v>
      </c>
      <c r="B3504" s="1">
        <f>IFERROR(__xludf.DUMMYFUNCTION("""COMPUTED_VALUE"""),564.85)</f>
        <v>564.85</v>
      </c>
      <c r="C3504" s="1">
        <f>IFERROR(__xludf.DUMMYFUNCTION("""COMPUTED_VALUE"""),570.35)</f>
        <v>570.35</v>
      </c>
      <c r="D3504" s="1">
        <f>IFERROR(__xludf.DUMMYFUNCTION("""COMPUTED_VALUE"""),563.4)</f>
        <v>563.4</v>
      </c>
      <c r="E3504" s="1">
        <f>IFERROR(__xludf.DUMMYFUNCTION("""COMPUTED_VALUE"""),569.45)</f>
        <v>569.45</v>
      </c>
      <c r="F3504" s="1">
        <f>IFERROR(__xludf.DUMMYFUNCTION("""COMPUTED_VALUE"""),1646508.0)</f>
        <v>1646508</v>
      </c>
    </row>
    <row r="3505">
      <c r="A3505" s="2">
        <f>IFERROR(__xludf.DUMMYFUNCTION("""COMPUTED_VALUE"""),41683.645833333336)</f>
        <v>41683.64583</v>
      </c>
      <c r="B3505" s="1">
        <f>IFERROR(__xludf.DUMMYFUNCTION("""COMPUTED_VALUE"""),572.0)</f>
        <v>572</v>
      </c>
      <c r="C3505" s="1">
        <f>IFERROR(__xludf.DUMMYFUNCTION("""COMPUTED_VALUE"""),572.0)</f>
        <v>572</v>
      </c>
      <c r="D3505" s="1">
        <f>IFERROR(__xludf.DUMMYFUNCTION("""COMPUTED_VALUE"""),555.55)</f>
        <v>555.55</v>
      </c>
      <c r="E3505" s="1">
        <f>IFERROR(__xludf.DUMMYFUNCTION("""COMPUTED_VALUE"""),557.25)</f>
        <v>557.25</v>
      </c>
      <c r="F3505" s="1">
        <f>IFERROR(__xludf.DUMMYFUNCTION("""COMPUTED_VALUE"""),486480.0)</f>
        <v>486480</v>
      </c>
    </row>
    <row r="3506">
      <c r="A3506" s="2">
        <f>IFERROR(__xludf.DUMMYFUNCTION("""COMPUTED_VALUE"""),41684.645833333336)</f>
        <v>41684.64583</v>
      </c>
      <c r="B3506" s="1">
        <f>IFERROR(__xludf.DUMMYFUNCTION("""COMPUTED_VALUE"""),557.0)</f>
        <v>557</v>
      </c>
      <c r="C3506" s="1">
        <f>IFERROR(__xludf.DUMMYFUNCTION("""COMPUTED_VALUE"""),563.45)</f>
        <v>563.45</v>
      </c>
      <c r="D3506" s="1">
        <f>IFERROR(__xludf.DUMMYFUNCTION("""COMPUTED_VALUE"""),553.3)</f>
        <v>553.3</v>
      </c>
      <c r="E3506" s="1">
        <f>IFERROR(__xludf.DUMMYFUNCTION("""COMPUTED_VALUE"""),560.25)</f>
        <v>560.25</v>
      </c>
      <c r="F3506" s="1">
        <f>IFERROR(__xludf.DUMMYFUNCTION("""COMPUTED_VALUE"""),749383.0)</f>
        <v>749383</v>
      </c>
    </row>
    <row r="3507">
      <c r="A3507" s="2">
        <f>IFERROR(__xludf.DUMMYFUNCTION("""COMPUTED_VALUE"""),41687.645833333336)</f>
        <v>41687.64583</v>
      </c>
      <c r="B3507" s="1">
        <f>IFERROR(__xludf.DUMMYFUNCTION("""COMPUTED_VALUE"""),558.0)</f>
        <v>558</v>
      </c>
      <c r="C3507" s="1">
        <f>IFERROR(__xludf.DUMMYFUNCTION("""COMPUTED_VALUE"""),566.0)</f>
        <v>566</v>
      </c>
      <c r="D3507" s="1">
        <f>IFERROR(__xludf.DUMMYFUNCTION("""COMPUTED_VALUE"""),558.0)</f>
        <v>558</v>
      </c>
      <c r="E3507" s="1">
        <f>IFERROR(__xludf.DUMMYFUNCTION("""COMPUTED_VALUE"""),560.25)</f>
        <v>560.25</v>
      </c>
      <c r="F3507" s="1">
        <f>IFERROR(__xludf.DUMMYFUNCTION("""COMPUTED_VALUE"""),380480.0)</f>
        <v>380480</v>
      </c>
    </row>
    <row r="3508">
      <c r="A3508" s="2">
        <f>IFERROR(__xludf.DUMMYFUNCTION("""COMPUTED_VALUE"""),41688.645833333336)</f>
        <v>41688.64583</v>
      </c>
      <c r="B3508" s="1">
        <f>IFERROR(__xludf.DUMMYFUNCTION("""COMPUTED_VALUE"""),560.0)</f>
        <v>560</v>
      </c>
      <c r="C3508" s="1">
        <f>IFERROR(__xludf.DUMMYFUNCTION("""COMPUTED_VALUE"""),566.0)</f>
        <v>566</v>
      </c>
      <c r="D3508" s="1">
        <f>IFERROR(__xludf.DUMMYFUNCTION("""COMPUTED_VALUE"""),559.95)</f>
        <v>559.95</v>
      </c>
      <c r="E3508" s="1">
        <f>IFERROR(__xludf.DUMMYFUNCTION("""COMPUTED_VALUE"""),562.25)</f>
        <v>562.25</v>
      </c>
      <c r="F3508" s="1">
        <f>IFERROR(__xludf.DUMMYFUNCTION("""COMPUTED_VALUE"""),237065.0)</f>
        <v>237065</v>
      </c>
    </row>
    <row r="3509">
      <c r="A3509" s="2">
        <f>IFERROR(__xludf.DUMMYFUNCTION("""COMPUTED_VALUE"""),41690.645833333336)</f>
        <v>41690.64583</v>
      </c>
      <c r="B3509" s="1">
        <f>IFERROR(__xludf.DUMMYFUNCTION("""COMPUTED_VALUE"""),558.1)</f>
        <v>558.1</v>
      </c>
      <c r="C3509" s="1">
        <f>IFERROR(__xludf.DUMMYFUNCTION("""COMPUTED_VALUE"""),558.9)</f>
        <v>558.9</v>
      </c>
      <c r="D3509" s="1">
        <f>IFERROR(__xludf.DUMMYFUNCTION("""COMPUTED_VALUE"""),553.1)</f>
        <v>553.1</v>
      </c>
      <c r="E3509" s="1">
        <f>IFERROR(__xludf.DUMMYFUNCTION("""COMPUTED_VALUE"""),554.05)</f>
        <v>554.05</v>
      </c>
      <c r="F3509" s="1">
        <f>IFERROR(__xludf.DUMMYFUNCTION("""COMPUTED_VALUE"""),651988.0)</f>
        <v>651988</v>
      </c>
    </row>
    <row r="3510">
      <c r="A3510" s="2">
        <f>IFERROR(__xludf.DUMMYFUNCTION("""COMPUTED_VALUE"""),41691.645833333336)</f>
        <v>41691.64583</v>
      </c>
      <c r="B3510" s="1">
        <f>IFERROR(__xludf.DUMMYFUNCTION("""COMPUTED_VALUE"""),557.4)</f>
        <v>557.4</v>
      </c>
      <c r="C3510" s="1">
        <f>IFERROR(__xludf.DUMMYFUNCTION("""COMPUTED_VALUE"""),557.4)</f>
        <v>557.4</v>
      </c>
      <c r="D3510" s="1">
        <f>IFERROR(__xludf.DUMMYFUNCTION("""COMPUTED_VALUE"""),551.85)</f>
        <v>551.85</v>
      </c>
      <c r="E3510" s="1">
        <f>IFERROR(__xludf.DUMMYFUNCTION("""COMPUTED_VALUE"""),555.35)</f>
        <v>555.35</v>
      </c>
      <c r="F3510" s="1">
        <f>IFERROR(__xludf.DUMMYFUNCTION("""COMPUTED_VALUE"""),669715.0)</f>
        <v>669715</v>
      </c>
    </row>
    <row r="3511">
      <c r="A3511" s="2">
        <f>IFERROR(__xludf.DUMMYFUNCTION("""COMPUTED_VALUE"""),41694.645833333336)</f>
        <v>41694.64583</v>
      </c>
      <c r="B3511" s="1">
        <f>IFERROR(__xludf.DUMMYFUNCTION("""COMPUTED_VALUE"""),555.25)</f>
        <v>555.25</v>
      </c>
      <c r="C3511" s="1">
        <f>IFERROR(__xludf.DUMMYFUNCTION("""COMPUTED_VALUE"""),557.7)</f>
        <v>557.7</v>
      </c>
      <c r="D3511" s="1">
        <f>IFERROR(__xludf.DUMMYFUNCTION("""COMPUTED_VALUE"""),553.2)</f>
        <v>553.2</v>
      </c>
      <c r="E3511" s="1">
        <f>IFERROR(__xludf.DUMMYFUNCTION("""COMPUTED_VALUE"""),554.9)</f>
        <v>554.9</v>
      </c>
      <c r="F3511" s="1">
        <f>IFERROR(__xludf.DUMMYFUNCTION("""COMPUTED_VALUE"""),540669.0)</f>
        <v>540669</v>
      </c>
    </row>
    <row r="3512">
      <c r="A3512" s="2">
        <f>IFERROR(__xludf.DUMMYFUNCTION("""COMPUTED_VALUE"""),41695.645833333336)</f>
        <v>41695.64583</v>
      </c>
      <c r="B3512" s="1">
        <f>IFERROR(__xludf.DUMMYFUNCTION("""COMPUTED_VALUE"""),555.5)</f>
        <v>555.5</v>
      </c>
      <c r="C3512" s="1">
        <f>IFERROR(__xludf.DUMMYFUNCTION("""COMPUTED_VALUE"""),556.9)</f>
        <v>556.9</v>
      </c>
      <c r="D3512" s="1">
        <f>IFERROR(__xludf.DUMMYFUNCTION("""COMPUTED_VALUE"""),553.0)</f>
        <v>553</v>
      </c>
      <c r="E3512" s="1">
        <f>IFERROR(__xludf.DUMMYFUNCTION("""COMPUTED_VALUE"""),554.45)</f>
        <v>554.45</v>
      </c>
      <c r="F3512" s="1">
        <f>IFERROR(__xludf.DUMMYFUNCTION("""COMPUTED_VALUE"""),541460.0)</f>
        <v>541460</v>
      </c>
    </row>
    <row r="3513">
      <c r="A3513" s="2">
        <f>IFERROR(__xludf.DUMMYFUNCTION("""COMPUTED_VALUE"""),41696.645833333336)</f>
        <v>41696.64583</v>
      </c>
      <c r="B3513" s="1">
        <f>IFERROR(__xludf.DUMMYFUNCTION("""COMPUTED_VALUE"""),554.0)</f>
        <v>554</v>
      </c>
      <c r="C3513" s="1">
        <f>IFERROR(__xludf.DUMMYFUNCTION("""COMPUTED_VALUE"""),559.5)</f>
        <v>559.5</v>
      </c>
      <c r="D3513" s="1">
        <f>IFERROR(__xludf.DUMMYFUNCTION("""COMPUTED_VALUE"""),553.2)</f>
        <v>553.2</v>
      </c>
      <c r="E3513" s="1">
        <f>IFERROR(__xludf.DUMMYFUNCTION("""COMPUTED_VALUE"""),554.75)</f>
        <v>554.75</v>
      </c>
      <c r="F3513" s="1">
        <f>IFERROR(__xludf.DUMMYFUNCTION("""COMPUTED_VALUE"""),1012749.0)</f>
        <v>1012749</v>
      </c>
    </row>
    <row r="3514">
      <c r="A3514" s="2">
        <f>IFERROR(__xludf.DUMMYFUNCTION("""COMPUTED_VALUE"""),41698.645833333336)</f>
        <v>41698.64583</v>
      </c>
      <c r="B3514" s="1">
        <f>IFERROR(__xludf.DUMMYFUNCTION("""COMPUTED_VALUE"""),554.0)</f>
        <v>554</v>
      </c>
      <c r="C3514" s="1">
        <f>IFERROR(__xludf.DUMMYFUNCTION("""COMPUTED_VALUE"""),556.0)</f>
        <v>556</v>
      </c>
      <c r="D3514" s="1">
        <f>IFERROR(__xludf.DUMMYFUNCTION("""COMPUTED_VALUE"""),542.35)</f>
        <v>542.35</v>
      </c>
      <c r="E3514" s="1">
        <f>IFERROR(__xludf.DUMMYFUNCTION("""COMPUTED_VALUE"""),549.25)</f>
        <v>549.25</v>
      </c>
      <c r="F3514" s="1">
        <f>IFERROR(__xludf.DUMMYFUNCTION("""COMPUTED_VALUE"""),1797780.0)</f>
        <v>1797780</v>
      </c>
    </row>
    <row r="3515">
      <c r="A3515" s="2">
        <f>IFERROR(__xludf.DUMMYFUNCTION("""COMPUTED_VALUE"""),41701.645833333336)</f>
        <v>41701.64583</v>
      </c>
      <c r="B3515" s="1">
        <f>IFERROR(__xludf.DUMMYFUNCTION("""COMPUTED_VALUE"""),550.0)</f>
        <v>550</v>
      </c>
      <c r="C3515" s="1">
        <f>IFERROR(__xludf.DUMMYFUNCTION("""COMPUTED_VALUE"""),550.95)</f>
        <v>550.95</v>
      </c>
      <c r="D3515" s="1">
        <f>IFERROR(__xludf.DUMMYFUNCTION("""COMPUTED_VALUE"""),542.0)</f>
        <v>542</v>
      </c>
      <c r="E3515" s="1">
        <f>IFERROR(__xludf.DUMMYFUNCTION("""COMPUTED_VALUE"""),543.2)</f>
        <v>543.2</v>
      </c>
      <c r="F3515" s="1">
        <f>IFERROR(__xludf.DUMMYFUNCTION("""COMPUTED_VALUE"""),608894.0)</f>
        <v>608894</v>
      </c>
    </row>
    <row r="3516">
      <c r="A3516" s="2">
        <f>IFERROR(__xludf.DUMMYFUNCTION("""COMPUTED_VALUE"""),41702.645833333336)</f>
        <v>41702.64583</v>
      </c>
      <c r="B3516" s="1">
        <f>IFERROR(__xludf.DUMMYFUNCTION("""COMPUTED_VALUE"""),544.0)</f>
        <v>544</v>
      </c>
      <c r="C3516" s="1">
        <f>IFERROR(__xludf.DUMMYFUNCTION("""COMPUTED_VALUE"""),556.0)</f>
        <v>556</v>
      </c>
      <c r="D3516" s="1">
        <f>IFERROR(__xludf.DUMMYFUNCTION("""COMPUTED_VALUE"""),544.0)</f>
        <v>544</v>
      </c>
      <c r="E3516" s="1">
        <f>IFERROR(__xludf.DUMMYFUNCTION("""COMPUTED_VALUE"""),554.9)</f>
        <v>554.9</v>
      </c>
      <c r="F3516" s="1">
        <f>IFERROR(__xludf.DUMMYFUNCTION("""COMPUTED_VALUE"""),734703.0)</f>
        <v>734703</v>
      </c>
    </row>
    <row r="3517">
      <c r="A3517" s="2">
        <f>IFERROR(__xludf.DUMMYFUNCTION("""COMPUTED_VALUE"""),41703.645833333336)</f>
        <v>41703.64583</v>
      </c>
      <c r="B3517" s="1">
        <f>IFERROR(__xludf.DUMMYFUNCTION("""COMPUTED_VALUE"""),555.6)</f>
        <v>555.6</v>
      </c>
      <c r="C3517" s="1">
        <f>IFERROR(__xludf.DUMMYFUNCTION("""COMPUTED_VALUE"""),559.0)</f>
        <v>559</v>
      </c>
      <c r="D3517" s="1">
        <f>IFERROR(__xludf.DUMMYFUNCTION("""COMPUTED_VALUE"""),549.75)</f>
        <v>549.75</v>
      </c>
      <c r="E3517" s="1">
        <f>IFERROR(__xludf.DUMMYFUNCTION("""COMPUTED_VALUE"""),551.2)</f>
        <v>551.2</v>
      </c>
      <c r="F3517" s="1">
        <f>IFERROR(__xludf.DUMMYFUNCTION("""COMPUTED_VALUE"""),621406.0)</f>
        <v>621406</v>
      </c>
    </row>
    <row r="3518">
      <c r="A3518" s="2">
        <f>IFERROR(__xludf.DUMMYFUNCTION("""COMPUTED_VALUE"""),41704.645833333336)</f>
        <v>41704.64583</v>
      </c>
      <c r="B3518" s="1">
        <f>IFERROR(__xludf.DUMMYFUNCTION("""COMPUTED_VALUE"""),552.6)</f>
        <v>552.6</v>
      </c>
      <c r="C3518" s="1">
        <f>IFERROR(__xludf.DUMMYFUNCTION("""COMPUTED_VALUE"""),554.55)</f>
        <v>554.55</v>
      </c>
      <c r="D3518" s="1">
        <f>IFERROR(__xludf.DUMMYFUNCTION("""COMPUTED_VALUE"""),547.4)</f>
        <v>547.4</v>
      </c>
      <c r="E3518" s="1">
        <f>IFERROR(__xludf.DUMMYFUNCTION("""COMPUTED_VALUE"""),549.05)</f>
        <v>549.05</v>
      </c>
      <c r="F3518" s="1">
        <f>IFERROR(__xludf.DUMMYFUNCTION("""COMPUTED_VALUE"""),1020063.0)</f>
        <v>1020063</v>
      </c>
    </row>
    <row r="3519">
      <c r="A3519" s="2">
        <f>IFERROR(__xludf.DUMMYFUNCTION("""COMPUTED_VALUE"""),41705.645833333336)</f>
        <v>41705.64583</v>
      </c>
      <c r="B3519" s="1">
        <f>IFERROR(__xludf.DUMMYFUNCTION("""COMPUTED_VALUE"""),550.5)</f>
        <v>550.5</v>
      </c>
      <c r="C3519" s="1">
        <f>IFERROR(__xludf.DUMMYFUNCTION("""COMPUTED_VALUE"""),554.45)</f>
        <v>554.45</v>
      </c>
      <c r="D3519" s="1">
        <f>IFERROR(__xludf.DUMMYFUNCTION("""COMPUTED_VALUE"""),547.2)</f>
        <v>547.2</v>
      </c>
      <c r="E3519" s="1">
        <f>IFERROR(__xludf.DUMMYFUNCTION("""COMPUTED_VALUE"""),550.4)</f>
        <v>550.4</v>
      </c>
      <c r="F3519" s="1">
        <f>IFERROR(__xludf.DUMMYFUNCTION("""COMPUTED_VALUE"""),1001114.0)</f>
        <v>1001114</v>
      </c>
    </row>
    <row r="3520">
      <c r="A3520" s="2">
        <f>IFERROR(__xludf.DUMMYFUNCTION("""COMPUTED_VALUE"""),41708.645833333336)</f>
        <v>41708.64583</v>
      </c>
      <c r="B3520" s="1">
        <f>IFERROR(__xludf.DUMMYFUNCTION("""COMPUTED_VALUE"""),552.0)</f>
        <v>552</v>
      </c>
      <c r="C3520" s="1">
        <f>IFERROR(__xludf.DUMMYFUNCTION("""COMPUTED_VALUE"""),559.8)</f>
        <v>559.8</v>
      </c>
      <c r="D3520" s="1">
        <f>IFERROR(__xludf.DUMMYFUNCTION("""COMPUTED_VALUE"""),548.75)</f>
        <v>548.75</v>
      </c>
      <c r="E3520" s="1">
        <f>IFERROR(__xludf.DUMMYFUNCTION("""COMPUTED_VALUE"""),557.2)</f>
        <v>557.2</v>
      </c>
      <c r="F3520" s="1">
        <f>IFERROR(__xludf.DUMMYFUNCTION("""COMPUTED_VALUE"""),1663986.0)</f>
        <v>1663986</v>
      </c>
    </row>
    <row r="3521">
      <c r="A3521" s="2">
        <f>IFERROR(__xludf.DUMMYFUNCTION("""COMPUTED_VALUE"""),41709.645833333336)</f>
        <v>41709.64583</v>
      </c>
      <c r="B3521" s="1">
        <f>IFERROR(__xludf.DUMMYFUNCTION("""COMPUTED_VALUE"""),558.8)</f>
        <v>558.8</v>
      </c>
      <c r="C3521" s="1">
        <f>IFERROR(__xludf.DUMMYFUNCTION("""COMPUTED_VALUE"""),564.9)</f>
        <v>564.9</v>
      </c>
      <c r="D3521" s="1">
        <f>IFERROR(__xludf.DUMMYFUNCTION("""COMPUTED_VALUE"""),552.65)</f>
        <v>552.65</v>
      </c>
      <c r="E3521" s="1">
        <f>IFERROR(__xludf.DUMMYFUNCTION("""COMPUTED_VALUE"""),560.35)</f>
        <v>560.35</v>
      </c>
      <c r="F3521" s="1">
        <f>IFERROR(__xludf.DUMMYFUNCTION("""COMPUTED_VALUE"""),1920661.0)</f>
        <v>1920661</v>
      </c>
    </row>
    <row r="3522">
      <c r="A3522" s="2">
        <f>IFERROR(__xludf.DUMMYFUNCTION("""COMPUTED_VALUE"""),41710.645833333336)</f>
        <v>41710.64583</v>
      </c>
      <c r="B3522" s="1">
        <f>IFERROR(__xludf.DUMMYFUNCTION("""COMPUTED_VALUE"""),564.0)</f>
        <v>564</v>
      </c>
      <c r="C3522" s="1">
        <f>IFERROR(__xludf.DUMMYFUNCTION("""COMPUTED_VALUE"""),565.6)</f>
        <v>565.6</v>
      </c>
      <c r="D3522" s="1">
        <f>IFERROR(__xludf.DUMMYFUNCTION("""COMPUTED_VALUE"""),558.0)</f>
        <v>558</v>
      </c>
      <c r="E3522" s="1">
        <f>IFERROR(__xludf.DUMMYFUNCTION("""COMPUTED_VALUE"""),560.25)</f>
        <v>560.25</v>
      </c>
      <c r="F3522" s="1">
        <f>IFERROR(__xludf.DUMMYFUNCTION("""COMPUTED_VALUE"""),971639.0)</f>
        <v>971639</v>
      </c>
    </row>
    <row r="3523">
      <c r="A3523" s="2">
        <f>IFERROR(__xludf.DUMMYFUNCTION("""COMPUTED_VALUE"""),41711.645833333336)</f>
        <v>41711.64583</v>
      </c>
      <c r="B3523" s="1">
        <f>IFERROR(__xludf.DUMMYFUNCTION("""COMPUTED_VALUE"""),561.0)</f>
        <v>561</v>
      </c>
      <c r="C3523" s="1">
        <f>IFERROR(__xludf.DUMMYFUNCTION("""COMPUTED_VALUE"""),567.2)</f>
        <v>567.2</v>
      </c>
      <c r="D3523" s="1">
        <f>IFERROR(__xludf.DUMMYFUNCTION("""COMPUTED_VALUE"""),559.25)</f>
        <v>559.25</v>
      </c>
      <c r="E3523" s="1">
        <f>IFERROR(__xludf.DUMMYFUNCTION("""COMPUTED_VALUE"""),561.85)</f>
        <v>561.85</v>
      </c>
      <c r="F3523" s="1">
        <f>IFERROR(__xludf.DUMMYFUNCTION("""COMPUTED_VALUE"""),1055369.0)</f>
        <v>1055369</v>
      </c>
    </row>
    <row r="3524">
      <c r="A3524" s="2">
        <f>IFERROR(__xludf.DUMMYFUNCTION("""COMPUTED_VALUE"""),41712.645833333336)</f>
        <v>41712.64583</v>
      </c>
      <c r="B3524" s="1">
        <f>IFERROR(__xludf.DUMMYFUNCTION("""COMPUTED_VALUE"""),561.85)</f>
        <v>561.85</v>
      </c>
      <c r="C3524" s="1">
        <f>IFERROR(__xludf.DUMMYFUNCTION("""COMPUTED_VALUE"""),562.0)</f>
        <v>562</v>
      </c>
      <c r="D3524" s="1">
        <f>IFERROR(__xludf.DUMMYFUNCTION("""COMPUTED_VALUE"""),551.55)</f>
        <v>551.55</v>
      </c>
      <c r="E3524" s="1">
        <f>IFERROR(__xludf.DUMMYFUNCTION("""COMPUTED_VALUE"""),553.65)</f>
        <v>553.65</v>
      </c>
      <c r="F3524" s="1">
        <f>IFERROR(__xludf.DUMMYFUNCTION("""COMPUTED_VALUE"""),1243425.0)</f>
        <v>1243425</v>
      </c>
    </row>
    <row r="3525">
      <c r="A3525" s="2">
        <f>IFERROR(__xludf.DUMMYFUNCTION("""COMPUTED_VALUE"""),41716.645833333336)</f>
        <v>41716.64583</v>
      </c>
      <c r="B3525" s="1">
        <f>IFERROR(__xludf.DUMMYFUNCTION("""COMPUTED_VALUE"""),554.0)</f>
        <v>554</v>
      </c>
      <c r="C3525" s="1">
        <f>IFERROR(__xludf.DUMMYFUNCTION("""COMPUTED_VALUE"""),560.0)</f>
        <v>560</v>
      </c>
      <c r="D3525" s="1">
        <f>IFERROR(__xludf.DUMMYFUNCTION("""COMPUTED_VALUE"""),550.6)</f>
        <v>550.6</v>
      </c>
      <c r="E3525" s="1">
        <f>IFERROR(__xludf.DUMMYFUNCTION("""COMPUTED_VALUE"""),556.05)</f>
        <v>556.05</v>
      </c>
      <c r="F3525" s="1">
        <f>IFERROR(__xludf.DUMMYFUNCTION("""COMPUTED_VALUE"""),1464949.0)</f>
        <v>1464949</v>
      </c>
    </row>
    <row r="3526">
      <c r="A3526" s="2">
        <f>IFERROR(__xludf.DUMMYFUNCTION("""COMPUTED_VALUE"""),41717.645833333336)</f>
        <v>41717.64583</v>
      </c>
      <c r="B3526" s="1">
        <f>IFERROR(__xludf.DUMMYFUNCTION("""COMPUTED_VALUE"""),558.1)</f>
        <v>558.1</v>
      </c>
      <c r="C3526" s="1">
        <f>IFERROR(__xludf.DUMMYFUNCTION("""COMPUTED_VALUE"""),562.1)</f>
        <v>562.1</v>
      </c>
      <c r="D3526" s="1">
        <f>IFERROR(__xludf.DUMMYFUNCTION("""COMPUTED_VALUE"""),554.65)</f>
        <v>554.65</v>
      </c>
      <c r="E3526" s="1">
        <f>IFERROR(__xludf.DUMMYFUNCTION("""COMPUTED_VALUE"""),561.6)</f>
        <v>561.6</v>
      </c>
      <c r="F3526" s="1">
        <f>IFERROR(__xludf.DUMMYFUNCTION("""COMPUTED_VALUE"""),1164209.0)</f>
        <v>1164209</v>
      </c>
    </row>
    <row r="3527">
      <c r="A3527" s="2">
        <f>IFERROR(__xludf.DUMMYFUNCTION("""COMPUTED_VALUE"""),41718.645833333336)</f>
        <v>41718.64583</v>
      </c>
      <c r="B3527" s="1">
        <f>IFERROR(__xludf.DUMMYFUNCTION("""COMPUTED_VALUE"""),561.6)</f>
        <v>561.6</v>
      </c>
      <c r="C3527" s="1">
        <f>IFERROR(__xludf.DUMMYFUNCTION("""COMPUTED_VALUE"""),574.3)</f>
        <v>574.3</v>
      </c>
      <c r="D3527" s="1">
        <f>IFERROR(__xludf.DUMMYFUNCTION("""COMPUTED_VALUE"""),561.55)</f>
        <v>561.55</v>
      </c>
      <c r="E3527" s="1">
        <f>IFERROR(__xludf.DUMMYFUNCTION("""COMPUTED_VALUE"""),572.55)</f>
        <v>572.55</v>
      </c>
      <c r="F3527" s="1">
        <f>IFERROR(__xludf.DUMMYFUNCTION("""COMPUTED_VALUE"""),1434348.0)</f>
        <v>1434348</v>
      </c>
    </row>
    <row r="3528">
      <c r="A3528" s="2">
        <f>IFERROR(__xludf.DUMMYFUNCTION("""COMPUTED_VALUE"""),41719.645833333336)</f>
        <v>41719.64583</v>
      </c>
      <c r="B3528" s="1">
        <f>IFERROR(__xludf.DUMMYFUNCTION("""COMPUTED_VALUE"""),577.7)</f>
        <v>577.7</v>
      </c>
      <c r="C3528" s="1">
        <f>IFERROR(__xludf.DUMMYFUNCTION("""COMPUTED_VALUE"""),580.7)</f>
        <v>580.7</v>
      </c>
      <c r="D3528" s="1">
        <f>IFERROR(__xludf.DUMMYFUNCTION("""COMPUTED_VALUE"""),570.1)</f>
        <v>570.1</v>
      </c>
      <c r="E3528" s="1">
        <f>IFERROR(__xludf.DUMMYFUNCTION("""COMPUTED_VALUE"""),571.7)</f>
        <v>571.7</v>
      </c>
      <c r="F3528" s="1">
        <f>IFERROR(__xludf.DUMMYFUNCTION("""COMPUTED_VALUE"""),2669144.0)</f>
        <v>2669144</v>
      </c>
    </row>
    <row r="3529">
      <c r="A3529" s="2">
        <f>IFERROR(__xludf.DUMMYFUNCTION("""COMPUTED_VALUE"""),41722.645833333336)</f>
        <v>41722.64583</v>
      </c>
      <c r="B3529" s="1">
        <f>IFERROR(__xludf.DUMMYFUNCTION("""COMPUTED_VALUE"""),575.0)</f>
        <v>575</v>
      </c>
      <c r="C3529" s="1">
        <f>IFERROR(__xludf.DUMMYFUNCTION("""COMPUTED_VALUE"""),584.0)</f>
        <v>584</v>
      </c>
      <c r="D3529" s="1">
        <f>IFERROR(__xludf.DUMMYFUNCTION("""COMPUTED_VALUE"""),574.15)</f>
        <v>574.15</v>
      </c>
      <c r="E3529" s="1">
        <f>IFERROR(__xludf.DUMMYFUNCTION("""COMPUTED_VALUE"""),582.35)</f>
        <v>582.35</v>
      </c>
      <c r="F3529" s="1">
        <f>IFERROR(__xludf.DUMMYFUNCTION("""COMPUTED_VALUE"""),944114.0)</f>
        <v>944114</v>
      </c>
    </row>
    <row r="3530">
      <c r="A3530" s="2">
        <f>IFERROR(__xludf.DUMMYFUNCTION("""COMPUTED_VALUE"""),41723.645833333336)</f>
        <v>41723.64583</v>
      </c>
      <c r="B3530" s="1">
        <f>IFERROR(__xludf.DUMMYFUNCTION("""COMPUTED_VALUE"""),583.0)</f>
        <v>583</v>
      </c>
      <c r="C3530" s="1">
        <f>IFERROR(__xludf.DUMMYFUNCTION("""COMPUTED_VALUE"""),594.4)</f>
        <v>594.4</v>
      </c>
      <c r="D3530" s="1">
        <f>IFERROR(__xludf.DUMMYFUNCTION("""COMPUTED_VALUE"""),577.5)</f>
        <v>577.5</v>
      </c>
      <c r="E3530" s="1">
        <f>IFERROR(__xludf.DUMMYFUNCTION("""COMPUTED_VALUE"""),592.75)</f>
        <v>592.75</v>
      </c>
      <c r="F3530" s="1">
        <f>IFERROR(__xludf.DUMMYFUNCTION("""COMPUTED_VALUE"""),1319832.0)</f>
        <v>1319832</v>
      </c>
    </row>
    <row r="3531">
      <c r="A3531" s="2">
        <f>IFERROR(__xludf.DUMMYFUNCTION("""COMPUTED_VALUE"""),41724.645833333336)</f>
        <v>41724.64583</v>
      </c>
      <c r="B3531" s="1">
        <f>IFERROR(__xludf.DUMMYFUNCTION("""COMPUTED_VALUE"""),593.0)</f>
        <v>593</v>
      </c>
      <c r="C3531" s="1">
        <f>IFERROR(__xludf.DUMMYFUNCTION("""COMPUTED_VALUE"""),599.4)</f>
        <v>599.4</v>
      </c>
      <c r="D3531" s="1">
        <f>IFERROR(__xludf.DUMMYFUNCTION("""COMPUTED_VALUE"""),588.35)</f>
        <v>588.35</v>
      </c>
      <c r="E3531" s="1">
        <f>IFERROR(__xludf.DUMMYFUNCTION("""COMPUTED_VALUE"""),591.55)</f>
        <v>591.55</v>
      </c>
      <c r="F3531" s="1">
        <f>IFERROR(__xludf.DUMMYFUNCTION("""COMPUTED_VALUE"""),1208051.0)</f>
        <v>1208051</v>
      </c>
    </row>
    <row r="3532">
      <c r="A3532" s="2">
        <f>IFERROR(__xludf.DUMMYFUNCTION("""COMPUTED_VALUE"""),41725.645833333336)</f>
        <v>41725.64583</v>
      </c>
      <c r="B3532" s="1">
        <f>IFERROR(__xludf.DUMMYFUNCTION("""COMPUTED_VALUE"""),592.0)</f>
        <v>592</v>
      </c>
      <c r="C3532" s="1">
        <f>IFERROR(__xludf.DUMMYFUNCTION("""COMPUTED_VALUE"""),603.0)</f>
        <v>603</v>
      </c>
      <c r="D3532" s="1">
        <f>IFERROR(__xludf.DUMMYFUNCTION("""COMPUTED_VALUE"""),590.05)</f>
        <v>590.05</v>
      </c>
      <c r="E3532" s="1">
        <f>IFERROR(__xludf.DUMMYFUNCTION("""COMPUTED_VALUE"""),599.8)</f>
        <v>599.8</v>
      </c>
      <c r="F3532" s="1">
        <f>IFERROR(__xludf.DUMMYFUNCTION("""COMPUTED_VALUE"""),2475382.0)</f>
        <v>2475382</v>
      </c>
    </row>
    <row r="3533">
      <c r="A3533" s="2">
        <f>IFERROR(__xludf.DUMMYFUNCTION("""COMPUTED_VALUE"""),41726.645833333336)</f>
        <v>41726.64583</v>
      </c>
      <c r="B3533" s="1">
        <f>IFERROR(__xludf.DUMMYFUNCTION("""COMPUTED_VALUE"""),600.1)</f>
        <v>600.1</v>
      </c>
      <c r="C3533" s="1">
        <f>IFERROR(__xludf.DUMMYFUNCTION("""COMPUTED_VALUE"""),604.0)</f>
        <v>604</v>
      </c>
      <c r="D3533" s="1">
        <f>IFERROR(__xludf.DUMMYFUNCTION("""COMPUTED_VALUE"""),590.3)</f>
        <v>590.3</v>
      </c>
      <c r="E3533" s="1">
        <f>IFERROR(__xludf.DUMMYFUNCTION("""COMPUTED_VALUE"""),599.8)</f>
        <v>599.8</v>
      </c>
      <c r="F3533" s="1">
        <f>IFERROR(__xludf.DUMMYFUNCTION("""COMPUTED_VALUE"""),949077.0)</f>
        <v>949077</v>
      </c>
    </row>
    <row r="3534">
      <c r="A3534" s="2">
        <f>IFERROR(__xludf.DUMMYFUNCTION("""COMPUTED_VALUE"""),41729.645833333336)</f>
        <v>41729.64583</v>
      </c>
      <c r="B3534" s="1">
        <f>IFERROR(__xludf.DUMMYFUNCTION("""COMPUTED_VALUE"""),600.0)</f>
        <v>600</v>
      </c>
      <c r="C3534" s="1">
        <f>IFERROR(__xludf.DUMMYFUNCTION("""COMPUTED_VALUE"""),608.85)</f>
        <v>608.85</v>
      </c>
      <c r="D3534" s="1">
        <f>IFERROR(__xludf.DUMMYFUNCTION("""COMPUTED_VALUE"""),595.0)</f>
        <v>595</v>
      </c>
      <c r="E3534" s="1">
        <f>IFERROR(__xludf.DUMMYFUNCTION("""COMPUTED_VALUE"""),605.55)</f>
        <v>605.55</v>
      </c>
      <c r="F3534" s="1">
        <f>IFERROR(__xludf.DUMMYFUNCTION("""COMPUTED_VALUE"""),1090563.0)</f>
        <v>1090563</v>
      </c>
    </row>
    <row r="3535">
      <c r="A3535" s="2">
        <f>IFERROR(__xludf.DUMMYFUNCTION("""COMPUTED_VALUE"""),41730.645833333336)</f>
        <v>41730.64583</v>
      </c>
      <c r="B3535" s="1">
        <f>IFERROR(__xludf.DUMMYFUNCTION("""COMPUTED_VALUE"""),605.0)</f>
        <v>605</v>
      </c>
      <c r="C3535" s="1">
        <f>IFERROR(__xludf.DUMMYFUNCTION("""COMPUTED_VALUE"""),607.95)</f>
        <v>607.95</v>
      </c>
      <c r="D3535" s="1">
        <f>IFERROR(__xludf.DUMMYFUNCTION("""COMPUTED_VALUE"""),595.35)</f>
        <v>595.35</v>
      </c>
      <c r="E3535" s="1">
        <f>IFERROR(__xludf.DUMMYFUNCTION("""COMPUTED_VALUE"""),601.75)</f>
        <v>601.75</v>
      </c>
      <c r="F3535" s="1">
        <f>IFERROR(__xludf.DUMMYFUNCTION("""COMPUTED_VALUE"""),716986.0)</f>
        <v>716986</v>
      </c>
    </row>
    <row r="3536">
      <c r="A3536" s="2">
        <f>IFERROR(__xludf.DUMMYFUNCTION("""COMPUTED_VALUE"""),41731.645833333336)</f>
        <v>41731.64583</v>
      </c>
      <c r="B3536" s="1">
        <f>IFERROR(__xludf.DUMMYFUNCTION("""COMPUTED_VALUE"""),604.0)</f>
        <v>604</v>
      </c>
      <c r="C3536" s="1">
        <f>IFERROR(__xludf.DUMMYFUNCTION("""COMPUTED_VALUE"""),605.9)</f>
        <v>605.9</v>
      </c>
      <c r="D3536" s="1">
        <f>IFERROR(__xludf.DUMMYFUNCTION("""COMPUTED_VALUE"""),588.0)</f>
        <v>588</v>
      </c>
      <c r="E3536" s="1">
        <f>IFERROR(__xludf.DUMMYFUNCTION("""COMPUTED_VALUE"""),594.6)</f>
        <v>594.6</v>
      </c>
      <c r="F3536" s="1">
        <f>IFERROR(__xludf.DUMMYFUNCTION("""COMPUTED_VALUE"""),2765610.0)</f>
        <v>2765610</v>
      </c>
    </row>
    <row r="3537">
      <c r="A3537" s="2">
        <f>IFERROR(__xludf.DUMMYFUNCTION("""COMPUTED_VALUE"""),41732.645833333336)</f>
        <v>41732.64583</v>
      </c>
      <c r="B3537" s="1">
        <f>IFERROR(__xludf.DUMMYFUNCTION("""COMPUTED_VALUE"""),590.35)</f>
        <v>590.35</v>
      </c>
      <c r="C3537" s="1">
        <f>IFERROR(__xludf.DUMMYFUNCTION("""COMPUTED_VALUE"""),612.0)</f>
        <v>612</v>
      </c>
      <c r="D3537" s="1">
        <f>IFERROR(__xludf.DUMMYFUNCTION("""COMPUTED_VALUE"""),590.35)</f>
        <v>590.35</v>
      </c>
      <c r="E3537" s="1">
        <f>IFERROR(__xludf.DUMMYFUNCTION("""COMPUTED_VALUE"""),606.3)</f>
        <v>606.3</v>
      </c>
      <c r="F3537" s="1">
        <f>IFERROR(__xludf.DUMMYFUNCTION("""COMPUTED_VALUE"""),736770.0)</f>
        <v>736770</v>
      </c>
    </row>
    <row r="3538">
      <c r="A3538" s="2">
        <f>IFERROR(__xludf.DUMMYFUNCTION("""COMPUTED_VALUE"""),41733.645833333336)</f>
        <v>41733.64583</v>
      </c>
      <c r="B3538" s="1">
        <f>IFERROR(__xludf.DUMMYFUNCTION("""COMPUTED_VALUE"""),611.0)</f>
        <v>611</v>
      </c>
      <c r="C3538" s="1">
        <f>IFERROR(__xludf.DUMMYFUNCTION("""COMPUTED_VALUE"""),613.5)</f>
        <v>613.5</v>
      </c>
      <c r="D3538" s="1">
        <f>IFERROR(__xludf.DUMMYFUNCTION("""COMPUTED_VALUE"""),602.5)</f>
        <v>602.5</v>
      </c>
      <c r="E3538" s="1">
        <f>IFERROR(__xludf.DUMMYFUNCTION("""COMPUTED_VALUE"""),605.3)</f>
        <v>605.3</v>
      </c>
      <c r="F3538" s="1">
        <f>IFERROR(__xludf.DUMMYFUNCTION("""COMPUTED_VALUE"""),877772.0)</f>
        <v>877772</v>
      </c>
    </row>
    <row r="3539">
      <c r="A3539" s="2">
        <f>IFERROR(__xludf.DUMMYFUNCTION("""COMPUTED_VALUE"""),41736.645833333336)</f>
        <v>41736.64583</v>
      </c>
      <c r="B3539" s="1">
        <f>IFERROR(__xludf.DUMMYFUNCTION("""COMPUTED_VALUE"""),605.3)</f>
        <v>605.3</v>
      </c>
      <c r="C3539" s="1">
        <f>IFERROR(__xludf.DUMMYFUNCTION("""COMPUTED_VALUE"""),609.05)</f>
        <v>609.05</v>
      </c>
      <c r="D3539" s="1">
        <f>IFERROR(__xludf.DUMMYFUNCTION("""COMPUTED_VALUE"""),596.05)</f>
        <v>596.05</v>
      </c>
      <c r="E3539" s="1">
        <f>IFERROR(__xludf.DUMMYFUNCTION("""COMPUTED_VALUE"""),604.8)</f>
        <v>604.8</v>
      </c>
      <c r="F3539" s="1">
        <f>IFERROR(__xludf.DUMMYFUNCTION("""COMPUTED_VALUE"""),1601644.0)</f>
        <v>1601644</v>
      </c>
    </row>
    <row r="3540">
      <c r="A3540" s="2">
        <f>IFERROR(__xludf.DUMMYFUNCTION("""COMPUTED_VALUE"""),41738.645833333336)</f>
        <v>41738.64583</v>
      </c>
      <c r="B3540" s="1">
        <f>IFERROR(__xludf.DUMMYFUNCTION("""COMPUTED_VALUE"""),604.0)</f>
        <v>604</v>
      </c>
      <c r="C3540" s="1">
        <f>IFERROR(__xludf.DUMMYFUNCTION("""COMPUTED_VALUE"""),611.5)</f>
        <v>611.5</v>
      </c>
      <c r="D3540" s="1">
        <f>IFERROR(__xludf.DUMMYFUNCTION("""COMPUTED_VALUE"""),599.55)</f>
        <v>599.55</v>
      </c>
      <c r="E3540" s="1">
        <f>IFERROR(__xludf.DUMMYFUNCTION("""COMPUTED_VALUE"""),609.1)</f>
        <v>609.1</v>
      </c>
      <c r="F3540" s="1">
        <f>IFERROR(__xludf.DUMMYFUNCTION("""COMPUTED_VALUE"""),774135.0)</f>
        <v>774135</v>
      </c>
    </row>
    <row r="3541">
      <c r="A3541" s="2">
        <f>IFERROR(__xludf.DUMMYFUNCTION("""COMPUTED_VALUE"""),41739.645833333336)</f>
        <v>41739.64583</v>
      </c>
      <c r="B3541" s="1">
        <f>IFERROR(__xludf.DUMMYFUNCTION("""COMPUTED_VALUE"""),607.9)</f>
        <v>607.9</v>
      </c>
      <c r="C3541" s="1">
        <f>IFERROR(__xludf.DUMMYFUNCTION("""COMPUTED_VALUE"""),619.8)</f>
        <v>619.8</v>
      </c>
      <c r="D3541" s="1">
        <f>IFERROR(__xludf.DUMMYFUNCTION("""COMPUTED_VALUE"""),604.45)</f>
        <v>604.45</v>
      </c>
      <c r="E3541" s="1">
        <f>IFERROR(__xludf.DUMMYFUNCTION("""COMPUTED_VALUE"""),617.9)</f>
        <v>617.9</v>
      </c>
      <c r="F3541" s="1">
        <f>IFERROR(__xludf.DUMMYFUNCTION("""COMPUTED_VALUE"""),1164071.0)</f>
        <v>1164071</v>
      </c>
    </row>
    <row r="3542">
      <c r="A3542" s="2">
        <f>IFERROR(__xludf.DUMMYFUNCTION("""COMPUTED_VALUE"""),41740.645833333336)</f>
        <v>41740.64583</v>
      </c>
      <c r="B3542" s="1">
        <f>IFERROR(__xludf.DUMMYFUNCTION("""COMPUTED_VALUE"""),613.0)</f>
        <v>613</v>
      </c>
      <c r="C3542" s="1">
        <f>IFERROR(__xludf.DUMMYFUNCTION("""COMPUTED_VALUE"""),619.5)</f>
        <v>619.5</v>
      </c>
      <c r="D3542" s="1">
        <f>IFERROR(__xludf.DUMMYFUNCTION("""COMPUTED_VALUE"""),606.25)</f>
        <v>606.25</v>
      </c>
      <c r="E3542" s="1">
        <f>IFERROR(__xludf.DUMMYFUNCTION("""COMPUTED_VALUE"""),609.4)</f>
        <v>609.4</v>
      </c>
      <c r="F3542" s="1">
        <f>IFERROR(__xludf.DUMMYFUNCTION("""COMPUTED_VALUE"""),713696.0)</f>
        <v>713696</v>
      </c>
    </row>
    <row r="3543">
      <c r="A3543" s="2">
        <f>IFERROR(__xludf.DUMMYFUNCTION("""COMPUTED_VALUE"""),41744.645833333336)</f>
        <v>41744.64583</v>
      </c>
      <c r="B3543" s="1">
        <f>IFERROR(__xludf.DUMMYFUNCTION("""COMPUTED_VALUE"""),609.0)</f>
        <v>609</v>
      </c>
      <c r="C3543" s="1">
        <f>IFERROR(__xludf.DUMMYFUNCTION("""COMPUTED_VALUE"""),614.7)</f>
        <v>614.7</v>
      </c>
      <c r="D3543" s="1">
        <f>IFERROR(__xludf.DUMMYFUNCTION("""COMPUTED_VALUE"""),594.15)</f>
        <v>594.15</v>
      </c>
      <c r="E3543" s="1">
        <f>IFERROR(__xludf.DUMMYFUNCTION("""COMPUTED_VALUE"""),612.15)</f>
        <v>612.15</v>
      </c>
      <c r="F3543" s="1">
        <f>IFERROR(__xludf.DUMMYFUNCTION("""COMPUTED_VALUE"""),938013.0)</f>
        <v>938013</v>
      </c>
    </row>
    <row r="3544">
      <c r="A3544" s="2">
        <f>IFERROR(__xludf.DUMMYFUNCTION("""COMPUTED_VALUE"""),41745.645833333336)</f>
        <v>41745.64583</v>
      </c>
      <c r="B3544" s="1">
        <f>IFERROR(__xludf.DUMMYFUNCTION("""COMPUTED_VALUE"""),610.0)</f>
        <v>610</v>
      </c>
      <c r="C3544" s="1">
        <f>IFERROR(__xludf.DUMMYFUNCTION("""COMPUTED_VALUE"""),619.2)</f>
        <v>619.2</v>
      </c>
      <c r="D3544" s="1">
        <f>IFERROR(__xludf.DUMMYFUNCTION("""COMPUTED_VALUE"""),606.0)</f>
        <v>606</v>
      </c>
      <c r="E3544" s="1">
        <f>IFERROR(__xludf.DUMMYFUNCTION("""COMPUTED_VALUE"""),607.55)</f>
        <v>607.55</v>
      </c>
      <c r="F3544" s="1">
        <f>IFERROR(__xludf.DUMMYFUNCTION("""COMPUTED_VALUE"""),1340297.0)</f>
        <v>1340297</v>
      </c>
    </row>
    <row r="3545">
      <c r="A3545" s="2">
        <f>IFERROR(__xludf.DUMMYFUNCTION("""COMPUTED_VALUE"""),41746.645833333336)</f>
        <v>41746.64583</v>
      </c>
      <c r="B3545" s="1">
        <f>IFERROR(__xludf.DUMMYFUNCTION("""COMPUTED_VALUE"""),607.15)</f>
        <v>607.15</v>
      </c>
      <c r="C3545" s="1">
        <f>IFERROR(__xludf.DUMMYFUNCTION("""COMPUTED_VALUE"""),613.85)</f>
        <v>613.85</v>
      </c>
      <c r="D3545" s="1">
        <f>IFERROR(__xludf.DUMMYFUNCTION("""COMPUTED_VALUE"""),601.55)</f>
        <v>601.55</v>
      </c>
      <c r="E3545" s="1">
        <f>IFERROR(__xludf.DUMMYFUNCTION("""COMPUTED_VALUE"""),609.45)</f>
        <v>609.45</v>
      </c>
      <c r="F3545" s="1">
        <f>IFERROR(__xludf.DUMMYFUNCTION("""COMPUTED_VALUE"""),1052882.0)</f>
        <v>1052882</v>
      </c>
    </row>
    <row r="3546">
      <c r="A3546" s="2">
        <f>IFERROR(__xludf.DUMMYFUNCTION("""COMPUTED_VALUE"""),41750.645833333336)</f>
        <v>41750.64583</v>
      </c>
      <c r="B3546" s="1">
        <f>IFERROR(__xludf.DUMMYFUNCTION("""COMPUTED_VALUE"""),606.35)</f>
        <v>606.35</v>
      </c>
      <c r="C3546" s="1">
        <f>IFERROR(__xludf.DUMMYFUNCTION("""COMPUTED_VALUE"""),610.9)</f>
        <v>610.9</v>
      </c>
      <c r="D3546" s="1">
        <f>IFERROR(__xludf.DUMMYFUNCTION("""COMPUTED_VALUE"""),596.5)</f>
        <v>596.5</v>
      </c>
      <c r="E3546" s="1">
        <f>IFERROR(__xludf.DUMMYFUNCTION("""COMPUTED_VALUE"""),599.1)</f>
        <v>599.1</v>
      </c>
      <c r="F3546" s="1">
        <f>IFERROR(__xludf.DUMMYFUNCTION("""COMPUTED_VALUE"""),1190995.0)</f>
        <v>1190995</v>
      </c>
    </row>
    <row r="3547">
      <c r="A3547" s="2">
        <f>IFERROR(__xludf.DUMMYFUNCTION("""COMPUTED_VALUE"""),41751.645833333336)</f>
        <v>41751.64583</v>
      </c>
      <c r="B3547" s="1">
        <f>IFERROR(__xludf.DUMMYFUNCTION("""COMPUTED_VALUE"""),599.0)</f>
        <v>599</v>
      </c>
      <c r="C3547" s="1">
        <f>IFERROR(__xludf.DUMMYFUNCTION("""COMPUTED_VALUE"""),604.0)</f>
        <v>604</v>
      </c>
      <c r="D3547" s="1">
        <f>IFERROR(__xludf.DUMMYFUNCTION("""COMPUTED_VALUE"""),593.55)</f>
        <v>593.55</v>
      </c>
      <c r="E3547" s="1">
        <f>IFERROR(__xludf.DUMMYFUNCTION("""COMPUTED_VALUE"""),596.45)</f>
        <v>596.45</v>
      </c>
      <c r="F3547" s="1">
        <f>IFERROR(__xludf.DUMMYFUNCTION("""COMPUTED_VALUE"""),871928.0)</f>
        <v>871928</v>
      </c>
    </row>
    <row r="3548">
      <c r="A3548" s="2">
        <f>IFERROR(__xludf.DUMMYFUNCTION("""COMPUTED_VALUE"""),41752.645833333336)</f>
        <v>41752.64583</v>
      </c>
      <c r="B3548" s="1">
        <f>IFERROR(__xludf.DUMMYFUNCTION("""COMPUTED_VALUE"""),596.45)</f>
        <v>596.45</v>
      </c>
      <c r="C3548" s="1">
        <f>IFERROR(__xludf.DUMMYFUNCTION("""COMPUTED_VALUE"""),599.1)</f>
        <v>599.1</v>
      </c>
      <c r="D3548" s="1">
        <f>IFERROR(__xludf.DUMMYFUNCTION("""COMPUTED_VALUE"""),593.0)</f>
        <v>593</v>
      </c>
      <c r="E3548" s="1">
        <f>IFERROR(__xludf.DUMMYFUNCTION("""COMPUTED_VALUE"""),595.5)</f>
        <v>595.5</v>
      </c>
      <c r="F3548" s="1">
        <f>IFERROR(__xludf.DUMMYFUNCTION("""COMPUTED_VALUE"""),1408755.0)</f>
        <v>1408755</v>
      </c>
    </row>
    <row r="3549">
      <c r="A3549" s="2">
        <f>IFERROR(__xludf.DUMMYFUNCTION("""COMPUTED_VALUE"""),41754.645833333336)</f>
        <v>41754.64583</v>
      </c>
      <c r="B3549" s="1">
        <f>IFERROR(__xludf.DUMMYFUNCTION("""COMPUTED_VALUE"""),592.35)</f>
        <v>592.35</v>
      </c>
      <c r="C3549" s="1">
        <f>IFERROR(__xludf.DUMMYFUNCTION("""COMPUTED_VALUE"""),598.95)</f>
        <v>598.95</v>
      </c>
      <c r="D3549" s="1">
        <f>IFERROR(__xludf.DUMMYFUNCTION("""COMPUTED_VALUE"""),577.6)</f>
        <v>577.6</v>
      </c>
      <c r="E3549" s="1">
        <f>IFERROR(__xludf.DUMMYFUNCTION("""COMPUTED_VALUE"""),580.9)</f>
        <v>580.9</v>
      </c>
      <c r="F3549" s="1">
        <f>IFERROR(__xludf.DUMMYFUNCTION("""COMPUTED_VALUE"""),973004.0)</f>
        <v>973004</v>
      </c>
    </row>
    <row r="3550">
      <c r="A3550" s="2">
        <f>IFERROR(__xludf.DUMMYFUNCTION("""COMPUTED_VALUE"""),41757.645833333336)</f>
        <v>41757.64583</v>
      </c>
      <c r="B3550" s="1">
        <f>IFERROR(__xludf.DUMMYFUNCTION("""COMPUTED_VALUE"""),580.9)</f>
        <v>580.9</v>
      </c>
      <c r="C3550" s="1">
        <f>IFERROR(__xludf.DUMMYFUNCTION("""COMPUTED_VALUE"""),592.0)</f>
        <v>592</v>
      </c>
      <c r="D3550" s="1">
        <f>IFERROR(__xludf.DUMMYFUNCTION("""COMPUTED_VALUE"""),567.5)</f>
        <v>567.5</v>
      </c>
      <c r="E3550" s="1">
        <f>IFERROR(__xludf.DUMMYFUNCTION("""COMPUTED_VALUE"""),581.0)</f>
        <v>581</v>
      </c>
      <c r="F3550" s="1">
        <f>IFERROR(__xludf.DUMMYFUNCTION("""COMPUTED_VALUE"""),2948014.0)</f>
        <v>2948014</v>
      </c>
    </row>
    <row r="3551">
      <c r="A3551" s="2">
        <f>IFERROR(__xludf.DUMMYFUNCTION("""COMPUTED_VALUE"""),41758.645833333336)</f>
        <v>41758.64583</v>
      </c>
      <c r="B3551" s="1">
        <f>IFERROR(__xludf.DUMMYFUNCTION("""COMPUTED_VALUE"""),581.0)</f>
        <v>581</v>
      </c>
      <c r="C3551" s="1">
        <f>IFERROR(__xludf.DUMMYFUNCTION("""COMPUTED_VALUE"""),582.1)</f>
        <v>582.1</v>
      </c>
      <c r="D3551" s="1">
        <f>IFERROR(__xludf.DUMMYFUNCTION("""COMPUTED_VALUE"""),560.6)</f>
        <v>560.6</v>
      </c>
      <c r="E3551" s="1">
        <f>IFERROR(__xludf.DUMMYFUNCTION("""COMPUTED_VALUE"""),562.45)</f>
        <v>562.45</v>
      </c>
      <c r="F3551" s="1">
        <f>IFERROR(__xludf.DUMMYFUNCTION("""COMPUTED_VALUE"""),1464745.0)</f>
        <v>1464745</v>
      </c>
    </row>
    <row r="3552">
      <c r="A3552" s="2">
        <f>IFERROR(__xludf.DUMMYFUNCTION("""COMPUTED_VALUE"""),41759.645833333336)</f>
        <v>41759.64583</v>
      </c>
      <c r="B3552" s="1">
        <f>IFERROR(__xludf.DUMMYFUNCTION("""COMPUTED_VALUE"""),560.3)</f>
        <v>560.3</v>
      </c>
      <c r="C3552" s="1">
        <f>IFERROR(__xludf.DUMMYFUNCTION("""COMPUTED_VALUE"""),572.15)</f>
        <v>572.15</v>
      </c>
      <c r="D3552" s="1">
        <f>IFERROR(__xludf.DUMMYFUNCTION("""COMPUTED_VALUE"""),556.0)</f>
        <v>556</v>
      </c>
      <c r="E3552" s="1">
        <f>IFERROR(__xludf.DUMMYFUNCTION("""COMPUTED_VALUE"""),567.5)</f>
        <v>567.5</v>
      </c>
      <c r="F3552" s="1">
        <f>IFERROR(__xludf.DUMMYFUNCTION("""COMPUTED_VALUE"""),1680382.0)</f>
        <v>1680382</v>
      </c>
    </row>
    <row r="3553">
      <c r="A3553" s="2">
        <f>IFERROR(__xludf.DUMMYFUNCTION("""COMPUTED_VALUE"""),41761.645833333336)</f>
        <v>41761.64583</v>
      </c>
      <c r="B3553" s="1">
        <f>IFERROR(__xludf.DUMMYFUNCTION("""COMPUTED_VALUE"""),569.75)</f>
        <v>569.75</v>
      </c>
      <c r="C3553" s="1">
        <f>IFERROR(__xludf.DUMMYFUNCTION("""COMPUTED_VALUE"""),575.6)</f>
        <v>575.6</v>
      </c>
      <c r="D3553" s="1">
        <f>IFERROR(__xludf.DUMMYFUNCTION("""COMPUTED_VALUE"""),561.2)</f>
        <v>561.2</v>
      </c>
      <c r="E3553" s="1">
        <f>IFERROR(__xludf.DUMMYFUNCTION("""COMPUTED_VALUE"""),562.15)</f>
        <v>562.15</v>
      </c>
      <c r="F3553" s="1">
        <f>IFERROR(__xludf.DUMMYFUNCTION("""COMPUTED_VALUE"""),665237.0)</f>
        <v>665237</v>
      </c>
    </row>
    <row r="3554">
      <c r="A3554" s="2">
        <f>IFERROR(__xludf.DUMMYFUNCTION("""COMPUTED_VALUE"""),41764.645833333336)</f>
        <v>41764.64583</v>
      </c>
      <c r="B3554" s="1">
        <f>IFERROR(__xludf.DUMMYFUNCTION("""COMPUTED_VALUE"""),560.35)</f>
        <v>560.35</v>
      </c>
      <c r="C3554" s="1">
        <f>IFERROR(__xludf.DUMMYFUNCTION("""COMPUTED_VALUE"""),562.35)</f>
        <v>562.35</v>
      </c>
      <c r="D3554" s="1">
        <f>IFERROR(__xludf.DUMMYFUNCTION("""COMPUTED_VALUE"""),556.5)</f>
        <v>556.5</v>
      </c>
      <c r="E3554" s="1">
        <f>IFERROR(__xludf.DUMMYFUNCTION("""COMPUTED_VALUE"""),557.15)</f>
        <v>557.15</v>
      </c>
      <c r="F3554" s="1">
        <f>IFERROR(__xludf.DUMMYFUNCTION("""COMPUTED_VALUE"""),683052.0)</f>
        <v>683052</v>
      </c>
    </row>
    <row r="3555">
      <c r="A3555" s="2">
        <f>IFERROR(__xludf.DUMMYFUNCTION("""COMPUTED_VALUE"""),41765.645833333336)</f>
        <v>41765.64583</v>
      </c>
      <c r="B3555" s="1">
        <f>IFERROR(__xludf.DUMMYFUNCTION("""COMPUTED_VALUE"""),559.0)</f>
        <v>559</v>
      </c>
      <c r="C3555" s="1">
        <f>IFERROR(__xludf.DUMMYFUNCTION("""COMPUTED_VALUE"""),561.8)</f>
        <v>561.8</v>
      </c>
      <c r="D3555" s="1">
        <f>IFERROR(__xludf.DUMMYFUNCTION("""COMPUTED_VALUE"""),552.8)</f>
        <v>552.8</v>
      </c>
      <c r="E3555" s="1">
        <f>IFERROR(__xludf.DUMMYFUNCTION("""COMPUTED_VALUE"""),553.7)</f>
        <v>553.7</v>
      </c>
      <c r="F3555" s="1">
        <f>IFERROR(__xludf.DUMMYFUNCTION("""COMPUTED_VALUE"""),550299.0)</f>
        <v>550299</v>
      </c>
    </row>
    <row r="3556">
      <c r="A3556" s="2">
        <f>IFERROR(__xludf.DUMMYFUNCTION("""COMPUTED_VALUE"""),41766.645833333336)</f>
        <v>41766.64583</v>
      </c>
      <c r="B3556" s="1">
        <f>IFERROR(__xludf.DUMMYFUNCTION("""COMPUTED_VALUE"""),553.0)</f>
        <v>553</v>
      </c>
      <c r="C3556" s="1">
        <f>IFERROR(__xludf.DUMMYFUNCTION("""COMPUTED_VALUE"""),558.45)</f>
        <v>558.45</v>
      </c>
      <c r="D3556" s="1">
        <f>IFERROR(__xludf.DUMMYFUNCTION("""COMPUTED_VALUE"""),551.45)</f>
        <v>551.45</v>
      </c>
      <c r="E3556" s="1">
        <f>IFERROR(__xludf.DUMMYFUNCTION("""COMPUTED_VALUE"""),553.15)</f>
        <v>553.15</v>
      </c>
      <c r="F3556" s="1">
        <f>IFERROR(__xludf.DUMMYFUNCTION("""COMPUTED_VALUE"""),1299628.0)</f>
        <v>1299628</v>
      </c>
    </row>
    <row r="3557">
      <c r="A3557" s="2">
        <f>IFERROR(__xludf.DUMMYFUNCTION("""COMPUTED_VALUE"""),41767.645833333336)</f>
        <v>41767.64583</v>
      </c>
      <c r="B3557" s="1">
        <f>IFERROR(__xludf.DUMMYFUNCTION("""COMPUTED_VALUE"""),552.0)</f>
        <v>552</v>
      </c>
      <c r="C3557" s="1">
        <f>IFERROR(__xludf.DUMMYFUNCTION("""COMPUTED_VALUE"""),558.9)</f>
        <v>558.9</v>
      </c>
      <c r="D3557" s="1">
        <f>IFERROR(__xludf.DUMMYFUNCTION("""COMPUTED_VALUE"""),551.0)</f>
        <v>551</v>
      </c>
      <c r="E3557" s="1">
        <f>IFERROR(__xludf.DUMMYFUNCTION("""COMPUTED_VALUE"""),552.3)</f>
        <v>552.3</v>
      </c>
      <c r="F3557" s="1">
        <f>IFERROR(__xludf.DUMMYFUNCTION("""COMPUTED_VALUE"""),885656.0)</f>
        <v>885656</v>
      </c>
    </row>
    <row r="3558">
      <c r="A3558" s="2">
        <f>IFERROR(__xludf.DUMMYFUNCTION("""COMPUTED_VALUE"""),41768.645833333336)</f>
        <v>41768.64583</v>
      </c>
      <c r="B3558" s="1">
        <f>IFERROR(__xludf.DUMMYFUNCTION("""COMPUTED_VALUE"""),552.0)</f>
        <v>552</v>
      </c>
      <c r="C3558" s="1">
        <f>IFERROR(__xludf.DUMMYFUNCTION("""COMPUTED_VALUE"""),560.0)</f>
        <v>560</v>
      </c>
      <c r="D3558" s="1">
        <f>IFERROR(__xludf.DUMMYFUNCTION("""COMPUTED_VALUE"""),550.25)</f>
        <v>550.25</v>
      </c>
      <c r="E3558" s="1">
        <f>IFERROR(__xludf.DUMMYFUNCTION("""COMPUTED_VALUE"""),556.3)</f>
        <v>556.3</v>
      </c>
      <c r="F3558" s="1">
        <f>IFERROR(__xludf.DUMMYFUNCTION("""COMPUTED_VALUE"""),1133925.0)</f>
        <v>1133925</v>
      </c>
    </row>
    <row r="3559">
      <c r="A3559" s="2">
        <f>IFERROR(__xludf.DUMMYFUNCTION("""COMPUTED_VALUE"""),41771.645833333336)</f>
        <v>41771.64583</v>
      </c>
      <c r="B3559" s="1">
        <f>IFERROR(__xludf.DUMMYFUNCTION("""COMPUTED_VALUE"""),555.55)</f>
        <v>555.55</v>
      </c>
      <c r="C3559" s="1">
        <f>IFERROR(__xludf.DUMMYFUNCTION("""COMPUTED_VALUE"""),573.0)</f>
        <v>573</v>
      </c>
      <c r="D3559" s="1">
        <f>IFERROR(__xludf.DUMMYFUNCTION("""COMPUTED_VALUE"""),555.55)</f>
        <v>555.55</v>
      </c>
      <c r="E3559" s="1">
        <f>IFERROR(__xludf.DUMMYFUNCTION("""COMPUTED_VALUE"""),571.5)</f>
        <v>571.5</v>
      </c>
      <c r="F3559" s="1">
        <f>IFERROR(__xludf.DUMMYFUNCTION("""COMPUTED_VALUE"""),852578.0)</f>
        <v>852578</v>
      </c>
    </row>
    <row r="3560">
      <c r="A3560" s="2">
        <f>IFERROR(__xludf.DUMMYFUNCTION("""COMPUTED_VALUE"""),41772.645833333336)</f>
        <v>41772.64583</v>
      </c>
      <c r="B3560" s="1">
        <f>IFERROR(__xludf.DUMMYFUNCTION("""COMPUTED_VALUE"""),574.0)</f>
        <v>574</v>
      </c>
      <c r="C3560" s="1">
        <f>IFERROR(__xludf.DUMMYFUNCTION("""COMPUTED_VALUE"""),579.9)</f>
        <v>579.9</v>
      </c>
      <c r="D3560" s="1">
        <f>IFERROR(__xludf.DUMMYFUNCTION("""COMPUTED_VALUE"""),569.0)</f>
        <v>569</v>
      </c>
      <c r="E3560" s="1">
        <f>IFERROR(__xludf.DUMMYFUNCTION("""COMPUTED_VALUE"""),577.6)</f>
        <v>577.6</v>
      </c>
      <c r="F3560" s="1">
        <f>IFERROR(__xludf.DUMMYFUNCTION("""COMPUTED_VALUE"""),1328341.0)</f>
        <v>1328341</v>
      </c>
    </row>
    <row r="3561">
      <c r="A3561" s="2">
        <f>IFERROR(__xludf.DUMMYFUNCTION("""COMPUTED_VALUE"""),41773.645833333336)</f>
        <v>41773.64583</v>
      </c>
      <c r="B3561" s="1">
        <f>IFERROR(__xludf.DUMMYFUNCTION("""COMPUTED_VALUE"""),579.5)</f>
        <v>579.5</v>
      </c>
      <c r="C3561" s="1">
        <f>IFERROR(__xludf.DUMMYFUNCTION("""COMPUTED_VALUE"""),581.9)</f>
        <v>581.9</v>
      </c>
      <c r="D3561" s="1">
        <f>IFERROR(__xludf.DUMMYFUNCTION("""COMPUTED_VALUE"""),575.0)</f>
        <v>575</v>
      </c>
      <c r="E3561" s="1">
        <f>IFERROR(__xludf.DUMMYFUNCTION("""COMPUTED_VALUE"""),577.5)</f>
        <v>577.5</v>
      </c>
      <c r="F3561" s="1">
        <f>IFERROR(__xludf.DUMMYFUNCTION("""COMPUTED_VALUE"""),660415.0)</f>
        <v>660415</v>
      </c>
    </row>
    <row r="3562">
      <c r="A3562" s="2">
        <f>IFERROR(__xludf.DUMMYFUNCTION("""COMPUTED_VALUE"""),41774.645833333336)</f>
        <v>41774.64583</v>
      </c>
      <c r="B3562" s="1">
        <f>IFERROR(__xludf.DUMMYFUNCTION("""COMPUTED_VALUE"""),577.5)</f>
        <v>577.5</v>
      </c>
      <c r="C3562" s="1">
        <f>IFERROR(__xludf.DUMMYFUNCTION("""COMPUTED_VALUE"""),590.2)</f>
        <v>590.2</v>
      </c>
      <c r="D3562" s="1">
        <f>IFERROR(__xludf.DUMMYFUNCTION("""COMPUTED_VALUE"""),577.5)</f>
        <v>577.5</v>
      </c>
      <c r="E3562" s="1">
        <f>IFERROR(__xludf.DUMMYFUNCTION("""COMPUTED_VALUE"""),588.95)</f>
        <v>588.95</v>
      </c>
      <c r="F3562" s="1">
        <f>IFERROR(__xludf.DUMMYFUNCTION("""COMPUTED_VALUE"""),1239775.0)</f>
        <v>1239775</v>
      </c>
    </row>
    <row r="3563">
      <c r="A3563" s="2">
        <f>IFERROR(__xludf.DUMMYFUNCTION("""COMPUTED_VALUE"""),41775.645833333336)</f>
        <v>41775.64583</v>
      </c>
      <c r="B3563" s="1">
        <f>IFERROR(__xludf.DUMMYFUNCTION("""COMPUTED_VALUE"""),599.85)</f>
        <v>599.85</v>
      </c>
      <c r="C3563" s="1">
        <f>IFERROR(__xludf.DUMMYFUNCTION("""COMPUTED_VALUE"""),608.0)</f>
        <v>608</v>
      </c>
      <c r="D3563" s="1">
        <f>IFERROR(__xludf.DUMMYFUNCTION("""COMPUTED_VALUE"""),574.1)</f>
        <v>574.1</v>
      </c>
      <c r="E3563" s="1">
        <f>IFERROR(__xludf.DUMMYFUNCTION("""COMPUTED_VALUE"""),580.7)</f>
        <v>580.7</v>
      </c>
      <c r="F3563" s="1">
        <f>IFERROR(__xludf.DUMMYFUNCTION("""COMPUTED_VALUE"""),2603086.0)</f>
        <v>2603086</v>
      </c>
    </row>
    <row r="3564">
      <c r="A3564" s="2">
        <f>IFERROR(__xludf.DUMMYFUNCTION("""COMPUTED_VALUE"""),41778.645833333336)</f>
        <v>41778.64583</v>
      </c>
      <c r="B3564" s="1">
        <f>IFERROR(__xludf.DUMMYFUNCTION("""COMPUTED_VALUE"""),594.0)</f>
        <v>594</v>
      </c>
      <c r="C3564" s="1">
        <f>IFERROR(__xludf.DUMMYFUNCTION("""COMPUTED_VALUE"""),594.0)</f>
        <v>594</v>
      </c>
      <c r="D3564" s="1">
        <f>IFERROR(__xludf.DUMMYFUNCTION("""COMPUTED_VALUE"""),551.55)</f>
        <v>551.55</v>
      </c>
      <c r="E3564" s="1">
        <f>IFERROR(__xludf.DUMMYFUNCTION("""COMPUTED_VALUE"""),555.8)</f>
        <v>555.8</v>
      </c>
      <c r="F3564" s="1">
        <f>IFERROR(__xludf.DUMMYFUNCTION("""COMPUTED_VALUE"""),2026178.0)</f>
        <v>2026178</v>
      </c>
    </row>
    <row r="3565">
      <c r="A3565" s="2">
        <f>IFERROR(__xludf.DUMMYFUNCTION("""COMPUTED_VALUE"""),41779.645833333336)</f>
        <v>41779.64583</v>
      </c>
      <c r="B3565" s="1">
        <f>IFERROR(__xludf.DUMMYFUNCTION("""COMPUTED_VALUE"""),556.0)</f>
        <v>556</v>
      </c>
      <c r="C3565" s="1">
        <f>IFERROR(__xludf.DUMMYFUNCTION("""COMPUTED_VALUE"""),569.95)</f>
        <v>569.95</v>
      </c>
      <c r="D3565" s="1">
        <f>IFERROR(__xludf.DUMMYFUNCTION("""COMPUTED_VALUE"""),555.05)</f>
        <v>555.05</v>
      </c>
      <c r="E3565" s="1">
        <f>IFERROR(__xludf.DUMMYFUNCTION("""COMPUTED_VALUE"""),562.6)</f>
        <v>562.6</v>
      </c>
      <c r="F3565" s="1">
        <f>IFERROR(__xludf.DUMMYFUNCTION("""COMPUTED_VALUE"""),1281049.0)</f>
        <v>1281049</v>
      </c>
    </row>
    <row r="3566">
      <c r="A3566" s="2">
        <f>IFERROR(__xludf.DUMMYFUNCTION("""COMPUTED_VALUE"""),41780.645833333336)</f>
        <v>41780.64583</v>
      </c>
      <c r="B3566" s="1">
        <f>IFERROR(__xludf.DUMMYFUNCTION("""COMPUTED_VALUE"""),565.4)</f>
        <v>565.4</v>
      </c>
      <c r="C3566" s="1">
        <f>IFERROR(__xludf.DUMMYFUNCTION("""COMPUTED_VALUE"""),565.4)</f>
        <v>565.4</v>
      </c>
      <c r="D3566" s="1">
        <f>IFERROR(__xludf.DUMMYFUNCTION("""COMPUTED_VALUE"""),557.7)</f>
        <v>557.7</v>
      </c>
      <c r="E3566" s="1">
        <f>IFERROR(__xludf.DUMMYFUNCTION("""COMPUTED_VALUE"""),561.35)</f>
        <v>561.35</v>
      </c>
      <c r="F3566" s="1">
        <f>IFERROR(__xludf.DUMMYFUNCTION("""COMPUTED_VALUE"""),923443.0)</f>
        <v>923443</v>
      </c>
    </row>
    <row r="3567">
      <c r="A3567" s="2">
        <f>IFERROR(__xludf.DUMMYFUNCTION("""COMPUTED_VALUE"""),41781.645833333336)</f>
        <v>41781.64583</v>
      </c>
      <c r="B3567" s="1">
        <f>IFERROR(__xludf.DUMMYFUNCTION("""COMPUTED_VALUE"""),566.0)</f>
        <v>566</v>
      </c>
      <c r="C3567" s="1">
        <f>IFERROR(__xludf.DUMMYFUNCTION("""COMPUTED_VALUE"""),566.0)</f>
        <v>566</v>
      </c>
      <c r="D3567" s="1">
        <f>IFERROR(__xludf.DUMMYFUNCTION("""COMPUTED_VALUE"""),560.0)</f>
        <v>560</v>
      </c>
      <c r="E3567" s="1">
        <f>IFERROR(__xludf.DUMMYFUNCTION("""COMPUTED_VALUE"""),562.9)</f>
        <v>562.9</v>
      </c>
      <c r="F3567" s="1">
        <f>IFERROR(__xludf.DUMMYFUNCTION("""COMPUTED_VALUE"""),963817.0)</f>
        <v>963817</v>
      </c>
    </row>
    <row r="3568">
      <c r="A3568" s="2">
        <f>IFERROR(__xludf.DUMMYFUNCTION("""COMPUTED_VALUE"""),41782.645833333336)</f>
        <v>41782.64583</v>
      </c>
      <c r="B3568" s="1">
        <f>IFERROR(__xludf.DUMMYFUNCTION("""COMPUTED_VALUE"""),564.0)</f>
        <v>564</v>
      </c>
      <c r="C3568" s="1">
        <f>IFERROR(__xludf.DUMMYFUNCTION("""COMPUTED_VALUE"""),570.35)</f>
        <v>570.35</v>
      </c>
      <c r="D3568" s="1">
        <f>IFERROR(__xludf.DUMMYFUNCTION("""COMPUTED_VALUE"""),559.0)</f>
        <v>559</v>
      </c>
      <c r="E3568" s="1">
        <f>IFERROR(__xludf.DUMMYFUNCTION("""COMPUTED_VALUE"""),561.5)</f>
        <v>561.5</v>
      </c>
      <c r="F3568" s="1">
        <f>IFERROR(__xludf.DUMMYFUNCTION("""COMPUTED_VALUE"""),1759792.0)</f>
        <v>1759792</v>
      </c>
    </row>
    <row r="3569">
      <c r="A3569" s="2">
        <f>IFERROR(__xludf.DUMMYFUNCTION("""COMPUTED_VALUE"""),41785.645833333336)</f>
        <v>41785.64583</v>
      </c>
      <c r="B3569" s="1">
        <f>IFERROR(__xludf.DUMMYFUNCTION("""COMPUTED_VALUE"""),562.1)</f>
        <v>562.1</v>
      </c>
      <c r="C3569" s="1">
        <f>IFERROR(__xludf.DUMMYFUNCTION("""COMPUTED_VALUE"""),564.85)</f>
        <v>564.85</v>
      </c>
      <c r="D3569" s="1">
        <f>IFERROR(__xludf.DUMMYFUNCTION("""COMPUTED_VALUE"""),556.0)</f>
        <v>556</v>
      </c>
      <c r="E3569" s="1">
        <f>IFERROR(__xludf.DUMMYFUNCTION("""COMPUTED_VALUE"""),559.85)</f>
        <v>559.85</v>
      </c>
      <c r="F3569" s="1">
        <f>IFERROR(__xludf.DUMMYFUNCTION("""COMPUTED_VALUE"""),1826156.0)</f>
        <v>1826156</v>
      </c>
    </row>
    <row r="3570">
      <c r="A3570" s="2">
        <f>IFERROR(__xludf.DUMMYFUNCTION("""COMPUTED_VALUE"""),41786.645833333336)</f>
        <v>41786.64583</v>
      </c>
      <c r="B3570" s="1">
        <f>IFERROR(__xludf.DUMMYFUNCTION("""COMPUTED_VALUE"""),557.35)</f>
        <v>557.35</v>
      </c>
      <c r="C3570" s="1">
        <f>IFERROR(__xludf.DUMMYFUNCTION("""COMPUTED_VALUE"""),562.75)</f>
        <v>562.75</v>
      </c>
      <c r="D3570" s="1">
        <f>IFERROR(__xludf.DUMMYFUNCTION("""COMPUTED_VALUE"""),557.35)</f>
        <v>557.35</v>
      </c>
      <c r="E3570" s="1">
        <f>IFERROR(__xludf.DUMMYFUNCTION("""COMPUTED_VALUE"""),560.15)</f>
        <v>560.15</v>
      </c>
      <c r="F3570" s="1">
        <f>IFERROR(__xludf.DUMMYFUNCTION("""COMPUTED_VALUE"""),1168048.0)</f>
        <v>1168048</v>
      </c>
    </row>
    <row r="3571">
      <c r="A3571" s="2">
        <f>IFERROR(__xludf.DUMMYFUNCTION("""COMPUTED_VALUE"""),41787.645833333336)</f>
        <v>41787.64583</v>
      </c>
      <c r="B3571" s="1">
        <f>IFERROR(__xludf.DUMMYFUNCTION("""COMPUTED_VALUE"""),560.5)</f>
        <v>560.5</v>
      </c>
      <c r="C3571" s="1">
        <f>IFERROR(__xludf.DUMMYFUNCTION("""COMPUTED_VALUE"""),564.5)</f>
        <v>564.5</v>
      </c>
      <c r="D3571" s="1">
        <f>IFERROR(__xludf.DUMMYFUNCTION("""COMPUTED_VALUE"""),558.0)</f>
        <v>558</v>
      </c>
      <c r="E3571" s="1">
        <f>IFERROR(__xludf.DUMMYFUNCTION("""COMPUTED_VALUE"""),561.9)</f>
        <v>561.9</v>
      </c>
      <c r="F3571" s="1">
        <f>IFERROR(__xludf.DUMMYFUNCTION("""COMPUTED_VALUE"""),1122941.0)</f>
        <v>1122941</v>
      </c>
    </row>
    <row r="3572">
      <c r="A3572" s="2">
        <f>IFERROR(__xludf.DUMMYFUNCTION("""COMPUTED_VALUE"""),41788.645833333336)</f>
        <v>41788.64583</v>
      </c>
      <c r="B3572" s="1">
        <f>IFERROR(__xludf.DUMMYFUNCTION("""COMPUTED_VALUE"""),561.0)</f>
        <v>561</v>
      </c>
      <c r="C3572" s="1">
        <f>IFERROR(__xludf.DUMMYFUNCTION("""COMPUTED_VALUE"""),564.5)</f>
        <v>564.5</v>
      </c>
      <c r="D3572" s="1">
        <f>IFERROR(__xludf.DUMMYFUNCTION("""COMPUTED_VALUE"""),555.0)</f>
        <v>555</v>
      </c>
      <c r="E3572" s="1">
        <f>IFERROR(__xludf.DUMMYFUNCTION("""COMPUTED_VALUE"""),556.45)</f>
        <v>556.45</v>
      </c>
      <c r="F3572" s="1">
        <f>IFERROR(__xludf.DUMMYFUNCTION("""COMPUTED_VALUE"""),2153741.0)</f>
        <v>2153741</v>
      </c>
    </row>
    <row r="3573">
      <c r="A3573" s="2">
        <f>IFERROR(__xludf.DUMMYFUNCTION("""COMPUTED_VALUE"""),41789.645833333336)</f>
        <v>41789.64583</v>
      </c>
      <c r="B3573" s="1">
        <f>IFERROR(__xludf.DUMMYFUNCTION("""COMPUTED_VALUE"""),555.55)</f>
        <v>555.55</v>
      </c>
      <c r="C3573" s="1">
        <f>IFERROR(__xludf.DUMMYFUNCTION("""COMPUTED_VALUE"""),615.0)</f>
        <v>615</v>
      </c>
      <c r="D3573" s="1">
        <f>IFERROR(__xludf.DUMMYFUNCTION("""COMPUTED_VALUE"""),553.35)</f>
        <v>553.35</v>
      </c>
      <c r="E3573" s="1">
        <f>IFERROR(__xludf.DUMMYFUNCTION("""COMPUTED_VALUE"""),603.35)</f>
        <v>603.35</v>
      </c>
      <c r="F3573" s="1">
        <f>IFERROR(__xludf.DUMMYFUNCTION("""COMPUTED_VALUE"""),1.0941938E7)</f>
        <v>10941938</v>
      </c>
    </row>
    <row r="3574">
      <c r="A3574" s="2">
        <f>IFERROR(__xludf.DUMMYFUNCTION("""COMPUTED_VALUE"""),41792.645833333336)</f>
        <v>41792.64583</v>
      </c>
      <c r="B3574" s="1">
        <f>IFERROR(__xludf.DUMMYFUNCTION("""COMPUTED_VALUE"""),612.0)</f>
        <v>612</v>
      </c>
      <c r="C3574" s="1">
        <f>IFERROR(__xludf.DUMMYFUNCTION("""COMPUTED_VALUE"""),612.0)</f>
        <v>612</v>
      </c>
      <c r="D3574" s="1">
        <f>IFERROR(__xludf.DUMMYFUNCTION("""COMPUTED_VALUE"""),588.35)</f>
        <v>588.35</v>
      </c>
      <c r="E3574" s="1">
        <f>IFERROR(__xludf.DUMMYFUNCTION("""COMPUTED_VALUE"""),601.0)</f>
        <v>601</v>
      </c>
      <c r="F3574" s="1">
        <f>IFERROR(__xludf.DUMMYFUNCTION("""COMPUTED_VALUE"""),1608573.0)</f>
        <v>1608573</v>
      </c>
    </row>
    <row r="3575">
      <c r="A3575" s="2">
        <f>IFERROR(__xludf.DUMMYFUNCTION("""COMPUTED_VALUE"""),41793.645833333336)</f>
        <v>41793.64583</v>
      </c>
      <c r="B3575" s="1">
        <f>IFERROR(__xludf.DUMMYFUNCTION("""COMPUTED_VALUE"""),602.95)</f>
        <v>602.95</v>
      </c>
      <c r="C3575" s="1">
        <f>IFERROR(__xludf.DUMMYFUNCTION("""COMPUTED_VALUE"""),605.45)</f>
        <v>605.45</v>
      </c>
      <c r="D3575" s="1">
        <f>IFERROR(__xludf.DUMMYFUNCTION("""COMPUTED_VALUE"""),590.1)</f>
        <v>590.1</v>
      </c>
      <c r="E3575" s="1">
        <f>IFERROR(__xludf.DUMMYFUNCTION("""COMPUTED_VALUE"""),593.45)</f>
        <v>593.45</v>
      </c>
      <c r="F3575" s="1">
        <f>IFERROR(__xludf.DUMMYFUNCTION("""COMPUTED_VALUE"""),909772.0)</f>
        <v>909772</v>
      </c>
    </row>
    <row r="3576">
      <c r="A3576" s="2">
        <f>IFERROR(__xludf.DUMMYFUNCTION("""COMPUTED_VALUE"""),41794.645833333336)</f>
        <v>41794.64583</v>
      </c>
      <c r="B3576" s="1">
        <f>IFERROR(__xludf.DUMMYFUNCTION("""COMPUTED_VALUE"""),594.95)</f>
        <v>594.95</v>
      </c>
      <c r="C3576" s="1">
        <f>IFERROR(__xludf.DUMMYFUNCTION("""COMPUTED_VALUE"""),609.5)</f>
        <v>609.5</v>
      </c>
      <c r="D3576" s="1">
        <f>IFERROR(__xludf.DUMMYFUNCTION("""COMPUTED_VALUE"""),591.1)</f>
        <v>591.1</v>
      </c>
      <c r="E3576" s="1">
        <f>IFERROR(__xludf.DUMMYFUNCTION("""COMPUTED_VALUE"""),604.95)</f>
        <v>604.95</v>
      </c>
      <c r="F3576" s="1">
        <f>IFERROR(__xludf.DUMMYFUNCTION("""COMPUTED_VALUE"""),1968687.0)</f>
        <v>1968687</v>
      </c>
    </row>
    <row r="3577">
      <c r="A3577" s="2">
        <f>IFERROR(__xludf.DUMMYFUNCTION("""COMPUTED_VALUE"""),41795.645833333336)</f>
        <v>41795.64583</v>
      </c>
      <c r="B3577" s="1">
        <f>IFERROR(__xludf.DUMMYFUNCTION("""COMPUTED_VALUE"""),606.0)</f>
        <v>606</v>
      </c>
      <c r="C3577" s="1">
        <f>IFERROR(__xludf.DUMMYFUNCTION("""COMPUTED_VALUE"""),637.9)</f>
        <v>637.9</v>
      </c>
      <c r="D3577" s="1">
        <f>IFERROR(__xludf.DUMMYFUNCTION("""COMPUTED_VALUE"""),605.95)</f>
        <v>605.95</v>
      </c>
      <c r="E3577" s="1">
        <f>IFERROR(__xludf.DUMMYFUNCTION("""COMPUTED_VALUE"""),630.1)</f>
        <v>630.1</v>
      </c>
      <c r="F3577" s="1">
        <f>IFERROR(__xludf.DUMMYFUNCTION("""COMPUTED_VALUE"""),3424990.0)</f>
        <v>3424990</v>
      </c>
    </row>
    <row r="3578">
      <c r="A3578" s="2">
        <f>IFERROR(__xludf.DUMMYFUNCTION("""COMPUTED_VALUE"""),41796.645833333336)</f>
        <v>41796.64583</v>
      </c>
      <c r="B3578" s="1">
        <f>IFERROR(__xludf.DUMMYFUNCTION("""COMPUTED_VALUE"""),637.0)</f>
        <v>637</v>
      </c>
      <c r="C3578" s="1">
        <f>IFERROR(__xludf.DUMMYFUNCTION("""COMPUTED_VALUE"""),645.95)</f>
        <v>645.95</v>
      </c>
      <c r="D3578" s="1">
        <f>IFERROR(__xludf.DUMMYFUNCTION("""COMPUTED_VALUE"""),620.2)</f>
        <v>620.2</v>
      </c>
      <c r="E3578" s="1">
        <f>IFERROR(__xludf.DUMMYFUNCTION("""COMPUTED_VALUE"""),639.95)</f>
        <v>639.95</v>
      </c>
      <c r="F3578" s="1">
        <f>IFERROR(__xludf.DUMMYFUNCTION("""COMPUTED_VALUE"""),2497145.0)</f>
        <v>2497145</v>
      </c>
    </row>
    <row r="3579">
      <c r="A3579" s="2">
        <f>IFERROR(__xludf.DUMMYFUNCTION("""COMPUTED_VALUE"""),41799.645833333336)</f>
        <v>41799.64583</v>
      </c>
      <c r="B3579" s="1">
        <f>IFERROR(__xludf.DUMMYFUNCTION("""COMPUTED_VALUE"""),637.0)</f>
        <v>637</v>
      </c>
      <c r="C3579" s="1">
        <f>IFERROR(__xludf.DUMMYFUNCTION("""COMPUTED_VALUE"""),644.0)</f>
        <v>644</v>
      </c>
      <c r="D3579" s="1">
        <f>IFERROR(__xludf.DUMMYFUNCTION("""COMPUTED_VALUE"""),629.35)</f>
        <v>629.35</v>
      </c>
      <c r="E3579" s="1">
        <f>IFERROR(__xludf.DUMMYFUNCTION("""COMPUTED_VALUE"""),632.7)</f>
        <v>632.7</v>
      </c>
      <c r="F3579" s="1">
        <f>IFERROR(__xludf.DUMMYFUNCTION("""COMPUTED_VALUE"""),962350.0)</f>
        <v>962350</v>
      </c>
    </row>
    <row r="3580">
      <c r="A3580" s="2">
        <f>IFERROR(__xludf.DUMMYFUNCTION("""COMPUTED_VALUE"""),41800.645833333336)</f>
        <v>41800.64583</v>
      </c>
      <c r="B3580" s="1">
        <f>IFERROR(__xludf.DUMMYFUNCTION("""COMPUTED_VALUE"""),631.0)</f>
        <v>631</v>
      </c>
      <c r="C3580" s="1">
        <f>IFERROR(__xludf.DUMMYFUNCTION("""COMPUTED_VALUE"""),643.9)</f>
        <v>643.9</v>
      </c>
      <c r="D3580" s="1">
        <f>IFERROR(__xludf.DUMMYFUNCTION("""COMPUTED_VALUE"""),627.0)</f>
        <v>627</v>
      </c>
      <c r="E3580" s="1">
        <f>IFERROR(__xludf.DUMMYFUNCTION("""COMPUTED_VALUE"""),640.25)</f>
        <v>640.25</v>
      </c>
      <c r="F3580" s="1">
        <f>IFERROR(__xludf.DUMMYFUNCTION("""COMPUTED_VALUE"""),1302795.0)</f>
        <v>1302795</v>
      </c>
    </row>
    <row r="3581">
      <c r="A3581" s="2">
        <f>IFERROR(__xludf.DUMMYFUNCTION("""COMPUTED_VALUE"""),41801.645833333336)</f>
        <v>41801.64583</v>
      </c>
      <c r="B3581" s="1">
        <f>IFERROR(__xludf.DUMMYFUNCTION("""COMPUTED_VALUE"""),640.0)</f>
        <v>640</v>
      </c>
      <c r="C3581" s="1">
        <f>IFERROR(__xludf.DUMMYFUNCTION("""COMPUTED_VALUE"""),640.9)</f>
        <v>640.9</v>
      </c>
      <c r="D3581" s="1">
        <f>IFERROR(__xludf.DUMMYFUNCTION("""COMPUTED_VALUE"""),619.35)</f>
        <v>619.35</v>
      </c>
      <c r="E3581" s="1">
        <f>IFERROR(__xludf.DUMMYFUNCTION("""COMPUTED_VALUE"""),625.85)</f>
        <v>625.85</v>
      </c>
      <c r="F3581" s="1">
        <f>IFERROR(__xludf.DUMMYFUNCTION("""COMPUTED_VALUE"""),1343543.0)</f>
        <v>1343543</v>
      </c>
    </row>
    <row r="3582">
      <c r="A3582" s="2">
        <f>IFERROR(__xludf.DUMMYFUNCTION("""COMPUTED_VALUE"""),41802.645833333336)</f>
        <v>41802.64583</v>
      </c>
      <c r="B3582" s="1">
        <f>IFERROR(__xludf.DUMMYFUNCTION("""COMPUTED_VALUE"""),627.8)</f>
        <v>627.8</v>
      </c>
      <c r="C3582" s="1">
        <f>IFERROR(__xludf.DUMMYFUNCTION("""COMPUTED_VALUE"""),632.1)</f>
        <v>632.1</v>
      </c>
      <c r="D3582" s="1">
        <f>IFERROR(__xludf.DUMMYFUNCTION("""COMPUTED_VALUE"""),619.0)</f>
        <v>619</v>
      </c>
      <c r="E3582" s="1">
        <f>IFERROR(__xludf.DUMMYFUNCTION("""COMPUTED_VALUE"""),630.1)</f>
        <v>630.1</v>
      </c>
      <c r="F3582" s="1">
        <f>IFERROR(__xludf.DUMMYFUNCTION("""COMPUTED_VALUE"""),786932.0)</f>
        <v>786932</v>
      </c>
    </row>
    <row r="3583">
      <c r="A3583" s="2">
        <f>IFERROR(__xludf.DUMMYFUNCTION("""COMPUTED_VALUE"""),41803.645833333336)</f>
        <v>41803.64583</v>
      </c>
      <c r="B3583" s="1">
        <f>IFERROR(__xludf.DUMMYFUNCTION("""COMPUTED_VALUE"""),631.75)</f>
        <v>631.75</v>
      </c>
      <c r="C3583" s="1">
        <f>IFERROR(__xludf.DUMMYFUNCTION("""COMPUTED_VALUE"""),640.85)</f>
        <v>640.85</v>
      </c>
      <c r="D3583" s="1">
        <f>IFERROR(__xludf.DUMMYFUNCTION("""COMPUTED_VALUE"""),623.6)</f>
        <v>623.6</v>
      </c>
      <c r="E3583" s="1">
        <f>IFERROR(__xludf.DUMMYFUNCTION("""COMPUTED_VALUE"""),634.95)</f>
        <v>634.95</v>
      </c>
      <c r="F3583" s="1">
        <f>IFERROR(__xludf.DUMMYFUNCTION("""COMPUTED_VALUE"""),992552.0)</f>
        <v>992552</v>
      </c>
    </row>
    <row r="3584">
      <c r="A3584" s="2">
        <f>IFERROR(__xludf.DUMMYFUNCTION("""COMPUTED_VALUE"""),41806.645833333336)</f>
        <v>41806.64583</v>
      </c>
      <c r="B3584" s="1">
        <f>IFERROR(__xludf.DUMMYFUNCTION("""COMPUTED_VALUE"""),640.0)</f>
        <v>640</v>
      </c>
      <c r="C3584" s="1">
        <f>IFERROR(__xludf.DUMMYFUNCTION("""COMPUTED_VALUE"""),641.0)</f>
        <v>641</v>
      </c>
      <c r="D3584" s="1">
        <f>IFERROR(__xludf.DUMMYFUNCTION("""COMPUTED_VALUE"""),631.05)</f>
        <v>631.05</v>
      </c>
      <c r="E3584" s="1">
        <f>IFERROR(__xludf.DUMMYFUNCTION("""COMPUTED_VALUE"""),634.75)</f>
        <v>634.75</v>
      </c>
      <c r="F3584" s="1">
        <f>IFERROR(__xludf.DUMMYFUNCTION("""COMPUTED_VALUE"""),1144913.0)</f>
        <v>1144913</v>
      </c>
    </row>
    <row r="3585">
      <c r="A3585" s="2">
        <f>IFERROR(__xludf.DUMMYFUNCTION("""COMPUTED_VALUE"""),41807.645833333336)</f>
        <v>41807.64583</v>
      </c>
      <c r="B3585" s="1">
        <f>IFERROR(__xludf.DUMMYFUNCTION("""COMPUTED_VALUE"""),632.15)</f>
        <v>632.15</v>
      </c>
      <c r="C3585" s="1">
        <f>IFERROR(__xludf.DUMMYFUNCTION("""COMPUTED_VALUE"""),634.4)</f>
        <v>634.4</v>
      </c>
      <c r="D3585" s="1">
        <f>IFERROR(__xludf.DUMMYFUNCTION("""COMPUTED_VALUE"""),626.45)</f>
        <v>626.45</v>
      </c>
      <c r="E3585" s="1">
        <f>IFERROR(__xludf.DUMMYFUNCTION("""COMPUTED_VALUE"""),630.35)</f>
        <v>630.35</v>
      </c>
      <c r="F3585" s="1">
        <f>IFERROR(__xludf.DUMMYFUNCTION("""COMPUTED_VALUE"""),742699.0)</f>
        <v>742699</v>
      </c>
    </row>
    <row r="3586">
      <c r="A3586" s="2">
        <f>IFERROR(__xludf.DUMMYFUNCTION("""COMPUTED_VALUE"""),41808.645833333336)</f>
        <v>41808.64583</v>
      </c>
      <c r="B3586" s="1">
        <f>IFERROR(__xludf.DUMMYFUNCTION("""COMPUTED_VALUE"""),630.5)</f>
        <v>630.5</v>
      </c>
      <c r="C3586" s="1">
        <f>IFERROR(__xludf.DUMMYFUNCTION("""COMPUTED_VALUE"""),632.55)</f>
        <v>632.55</v>
      </c>
      <c r="D3586" s="1">
        <f>IFERROR(__xludf.DUMMYFUNCTION("""COMPUTED_VALUE"""),617.3)</f>
        <v>617.3</v>
      </c>
      <c r="E3586" s="1">
        <f>IFERROR(__xludf.DUMMYFUNCTION("""COMPUTED_VALUE"""),618.85)</f>
        <v>618.85</v>
      </c>
      <c r="F3586" s="1">
        <f>IFERROR(__xludf.DUMMYFUNCTION("""COMPUTED_VALUE"""),804157.0)</f>
        <v>804157</v>
      </c>
    </row>
    <row r="3587">
      <c r="A3587" s="2">
        <f>IFERROR(__xludf.DUMMYFUNCTION("""COMPUTED_VALUE"""),41809.645833333336)</f>
        <v>41809.64583</v>
      </c>
      <c r="B3587" s="1">
        <f>IFERROR(__xludf.DUMMYFUNCTION("""COMPUTED_VALUE"""),622.0)</f>
        <v>622</v>
      </c>
      <c r="C3587" s="1">
        <f>IFERROR(__xludf.DUMMYFUNCTION("""COMPUTED_VALUE"""),629.3)</f>
        <v>629.3</v>
      </c>
      <c r="D3587" s="1">
        <f>IFERROR(__xludf.DUMMYFUNCTION("""COMPUTED_VALUE"""),619.0)</f>
        <v>619</v>
      </c>
      <c r="E3587" s="1">
        <f>IFERROR(__xludf.DUMMYFUNCTION("""COMPUTED_VALUE"""),625.75)</f>
        <v>625.75</v>
      </c>
      <c r="F3587" s="1">
        <f>IFERROR(__xludf.DUMMYFUNCTION("""COMPUTED_VALUE"""),848937.0)</f>
        <v>848937</v>
      </c>
    </row>
    <row r="3588">
      <c r="A3588" s="2">
        <f>IFERROR(__xludf.DUMMYFUNCTION("""COMPUTED_VALUE"""),41810.645833333336)</f>
        <v>41810.64583</v>
      </c>
      <c r="B3588" s="1">
        <f>IFERROR(__xludf.DUMMYFUNCTION("""COMPUTED_VALUE"""),622.0)</f>
        <v>622</v>
      </c>
      <c r="C3588" s="1">
        <f>IFERROR(__xludf.DUMMYFUNCTION("""COMPUTED_VALUE"""),629.95)</f>
        <v>629.95</v>
      </c>
      <c r="D3588" s="1">
        <f>IFERROR(__xludf.DUMMYFUNCTION("""COMPUTED_VALUE"""),620.05)</f>
        <v>620.05</v>
      </c>
      <c r="E3588" s="1">
        <f>IFERROR(__xludf.DUMMYFUNCTION("""COMPUTED_VALUE"""),624.3)</f>
        <v>624.3</v>
      </c>
      <c r="F3588" s="1">
        <f>IFERROR(__xludf.DUMMYFUNCTION("""COMPUTED_VALUE"""),1093696.0)</f>
        <v>1093696</v>
      </c>
    </row>
    <row r="3589">
      <c r="A3589" s="2">
        <f>IFERROR(__xludf.DUMMYFUNCTION("""COMPUTED_VALUE"""),41813.645833333336)</f>
        <v>41813.64583</v>
      </c>
      <c r="B3589" s="1">
        <f>IFERROR(__xludf.DUMMYFUNCTION("""COMPUTED_VALUE"""),625.05)</f>
        <v>625.05</v>
      </c>
      <c r="C3589" s="1">
        <f>IFERROR(__xludf.DUMMYFUNCTION("""COMPUTED_VALUE"""),626.0)</f>
        <v>626</v>
      </c>
      <c r="D3589" s="1">
        <f>IFERROR(__xludf.DUMMYFUNCTION("""COMPUTED_VALUE"""),610.8)</f>
        <v>610.8</v>
      </c>
      <c r="E3589" s="1">
        <f>IFERROR(__xludf.DUMMYFUNCTION("""COMPUTED_VALUE"""),617.65)</f>
        <v>617.65</v>
      </c>
      <c r="F3589" s="1">
        <f>IFERROR(__xludf.DUMMYFUNCTION("""COMPUTED_VALUE"""),796813.0)</f>
        <v>796813</v>
      </c>
    </row>
    <row r="3590">
      <c r="A3590" s="2">
        <f>IFERROR(__xludf.DUMMYFUNCTION("""COMPUTED_VALUE"""),41814.645833333336)</f>
        <v>41814.64583</v>
      </c>
      <c r="B3590" s="1">
        <f>IFERROR(__xludf.DUMMYFUNCTION("""COMPUTED_VALUE"""),617.2)</f>
        <v>617.2</v>
      </c>
      <c r="C3590" s="1">
        <f>IFERROR(__xludf.DUMMYFUNCTION("""COMPUTED_VALUE"""),624.0)</f>
        <v>624</v>
      </c>
      <c r="D3590" s="1">
        <f>IFERROR(__xludf.DUMMYFUNCTION("""COMPUTED_VALUE"""),613.45)</f>
        <v>613.45</v>
      </c>
      <c r="E3590" s="1">
        <f>IFERROR(__xludf.DUMMYFUNCTION("""COMPUTED_VALUE"""),616.25)</f>
        <v>616.25</v>
      </c>
      <c r="F3590" s="1">
        <f>IFERROR(__xludf.DUMMYFUNCTION("""COMPUTED_VALUE"""),634721.0)</f>
        <v>634721</v>
      </c>
    </row>
    <row r="3591">
      <c r="A3591" s="2">
        <f>IFERROR(__xludf.DUMMYFUNCTION("""COMPUTED_VALUE"""),41815.645833333336)</f>
        <v>41815.64583</v>
      </c>
      <c r="B3591" s="1">
        <f>IFERROR(__xludf.DUMMYFUNCTION("""COMPUTED_VALUE"""),616.0)</f>
        <v>616</v>
      </c>
      <c r="C3591" s="1">
        <f>IFERROR(__xludf.DUMMYFUNCTION("""COMPUTED_VALUE"""),626.9)</f>
        <v>626.9</v>
      </c>
      <c r="D3591" s="1">
        <f>IFERROR(__xludf.DUMMYFUNCTION("""COMPUTED_VALUE"""),612.35)</f>
        <v>612.35</v>
      </c>
      <c r="E3591" s="1">
        <f>IFERROR(__xludf.DUMMYFUNCTION("""COMPUTED_VALUE"""),625.3)</f>
        <v>625.3</v>
      </c>
      <c r="F3591" s="1">
        <f>IFERROR(__xludf.DUMMYFUNCTION("""COMPUTED_VALUE"""),584342.0)</f>
        <v>584342</v>
      </c>
    </row>
    <row r="3592">
      <c r="A3592" s="2">
        <f>IFERROR(__xludf.DUMMYFUNCTION("""COMPUTED_VALUE"""),41816.645833333336)</f>
        <v>41816.64583</v>
      </c>
      <c r="B3592" s="1">
        <f>IFERROR(__xludf.DUMMYFUNCTION("""COMPUTED_VALUE"""),627.0)</f>
        <v>627</v>
      </c>
      <c r="C3592" s="1">
        <f>IFERROR(__xludf.DUMMYFUNCTION("""COMPUTED_VALUE"""),629.0)</f>
        <v>629</v>
      </c>
      <c r="D3592" s="1">
        <f>IFERROR(__xludf.DUMMYFUNCTION("""COMPUTED_VALUE"""),612.5)</f>
        <v>612.5</v>
      </c>
      <c r="E3592" s="1">
        <f>IFERROR(__xludf.DUMMYFUNCTION("""COMPUTED_VALUE"""),618.65)</f>
        <v>618.65</v>
      </c>
      <c r="F3592" s="1">
        <f>IFERROR(__xludf.DUMMYFUNCTION("""COMPUTED_VALUE"""),1605621.0)</f>
        <v>1605621</v>
      </c>
    </row>
    <row r="3593">
      <c r="A3593" s="2">
        <f>IFERROR(__xludf.DUMMYFUNCTION("""COMPUTED_VALUE"""),41817.645833333336)</f>
        <v>41817.64583</v>
      </c>
      <c r="B3593" s="1">
        <f>IFERROR(__xludf.DUMMYFUNCTION("""COMPUTED_VALUE"""),617.1)</f>
        <v>617.1</v>
      </c>
      <c r="C3593" s="1">
        <f>IFERROR(__xludf.DUMMYFUNCTION("""COMPUTED_VALUE"""),621.7)</f>
        <v>621.7</v>
      </c>
      <c r="D3593" s="1">
        <f>IFERROR(__xludf.DUMMYFUNCTION("""COMPUTED_VALUE"""),612.0)</f>
        <v>612</v>
      </c>
      <c r="E3593" s="1">
        <f>IFERROR(__xludf.DUMMYFUNCTION("""COMPUTED_VALUE"""),616.4)</f>
        <v>616.4</v>
      </c>
      <c r="F3593" s="1">
        <f>IFERROR(__xludf.DUMMYFUNCTION("""COMPUTED_VALUE"""),805135.0)</f>
        <v>805135</v>
      </c>
    </row>
    <row r="3594">
      <c r="A3594" s="2">
        <f>IFERROR(__xludf.DUMMYFUNCTION("""COMPUTED_VALUE"""),41820.645833333336)</f>
        <v>41820.64583</v>
      </c>
      <c r="B3594" s="1">
        <f>IFERROR(__xludf.DUMMYFUNCTION("""COMPUTED_VALUE"""),618.0)</f>
        <v>618</v>
      </c>
      <c r="C3594" s="1">
        <f>IFERROR(__xludf.DUMMYFUNCTION("""COMPUTED_VALUE"""),623.9)</f>
        <v>623.9</v>
      </c>
      <c r="D3594" s="1">
        <f>IFERROR(__xludf.DUMMYFUNCTION("""COMPUTED_VALUE"""),617.1)</f>
        <v>617.1</v>
      </c>
      <c r="E3594" s="1">
        <f>IFERROR(__xludf.DUMMYFUNCTION("""COMPUTED_VALUE"""),620.35)</f>
        <v>620.35</v>
      </c>
      <c r="F3594" s="1">
        <f>IFERROR(__xludf.DUMMYFUNCTION("""COMPUTED_VALUE"""),732790.0)</f>
        <v>732790</v>
      </c>
    </row>
    <row r="3595">
      <c r="A3595" s="2">
        <f>IFERROR(__xludf.DUMMYFUNCTION("""COMPUTED_VALUE"""),41821.645833333336)</f>
        <v>41821.64583</v>
      </c>
      <c r="B3595" s="1">
        <f>IFERROR(__xludf.DUMMYFUNCTION("""COMPUTED_VALUE"""),622.0)</f>
        <v>622</v>
      </c>
      <c r="C3595" s="1">
        <f>IFERROR(__xludf.DUMMYFUNCTION("""COMPUTED_VALUE"""),634.4)</f>
        <v>634.4</v>
      </c>
      <c r="D3595" s="1">
        <f>IFERROR(__xludf.DUMMYFUNCTION("""COMPUTED_VALUE"""),616.55)</f>
        <v>616.55</v>
      </c>
      <c r="E3595" s="1">
        <f>IFERROR(__xludf.DUMMYFUNCTION("""COMPUTED_VALUE"""),628.85)</f>
        <v>628.85</v>
      </c>
      <c r="F3595" s="1">
        <f>IFERROR(__xludf.DUMMYFUNCTION("""COMPUTED_VALUE"""),650958.0)</f>
        <v>650958</v>
      </c>
    </row>
    <row r="3596">
      <c r="A3596" s="2">
        <f>IFERROR(__xludf.DUMMYFUNCTION("""COMPUTED_VALUE"""),41822.645833333336)</f>
        <v>41822.64583</v>
      </c>
      <c r="B3596" s="1">
        <f>IFERROR(__xludf.DUMMYFUNCTION("""COMPUTED_VALUE"""),633.8)</f>
        <v>633.8</v>
      </c>
      <c r="C3596" s="1">
        <f>IFERROR(__xludf.DUMMYFUNCTION("""COMPUTED_VALUE"""),633.8)</f>
        <v>633.8</v>
      </c>
      <c r="D3596" s="1">
        <f>IFERROR(__xludf.DUMMYFUNCTION("""COMPUTED_VALUE"""),626.05)</f>
        <v>626.05</v>
      </c>
      <c r="E3596" s="1">
        <f>IFERROR(__xludf.DUMMYFUNCTION("""COMPUTED_VALUE"""),631.15)</f>
        <v>631.15</v>
      </c>
      <c r="F3596" s="1">
        <f>IFERROR(__xludf.DUMMYFUNCTION("""COMPUTED_VALUE"""),777572.0)</f>
        <v>777572</v>
      </c>
    </row>
    <row r="3597">
      <c r="A3597" s="2">
        <f>IFERROR(__xludf.DUMMYFUNCTION("""COMPUTED_VALUE"""),41823.645833333336)</f>
        <v>41823.64583</v>
      </c>
      <c r="B3597" s="1">
        <f>IFERROR(__xludf.DUMMYFUNCTION("""COMPUTED_VALUE"""),631.15)</f>
        <v>631.15</v>
      </c>
      <c r="C3597" s="1">
        <f>IFERROR(__xludf.DUMMYFUNCTION("""COMPUTED_VALUE"""),631.7)</f>
        <v>631.7</v>
      </c>
      <c r="D3597" s="1">
        <f>IFERROR(__xludf.DUMMYFUNCTION("""COMPUTED_VALUE"""),621.1)</f>
        <v>621.1</v>
      </c>
      <c r="E3597" s="1">
        <f>IFERROR(__xludf.DUMMYFUNCTION("""COMPUTED_VALUE"""),624.1)</f>
        <v>624.1</v>
      </c>
      <c r="F3597" s="1">
        <f>IFERROR(__xludf.DUMMYFUNCTION("""COMPUTED_VALUE"""),607875.0)</f>
        <v>607875</v>
      </c>
    </row>
    <row r="3598">
      <c r="A3598" s="2">
        <f>IFERROR(__xludf.DUMMYFUNCTION("""COMPUTED_VALUE"""),41824.645833333336)</f>
        <v>41824.64583</v>
      </c>
      <c r="B3598" s="1">
        <f>IFERROR(__xludf.DUMMYFUNCTION("""COMPUTED_VALUE"""),624.1)</f>
        <v>624.1</v>
      </c>
      <c r="C3598" s="1">
        <f>IFERROR(__xludf.DUMMYFUNCTION("""COMPUTED_VALUE"""),629.9)</f>
        <v>629.9</v>
      </c>
      <c r="D3598" s="1">
        <f>IFERROR(__xludf.DUMMYFUNCTION("""COMPUTED_VALUE"""),618.35)</f>
        <v>618.35</v>
      </c>
      <c r="E3598" s="1">
        <f>IFERROR(__xludf.DUMMYFUNCTION("""COMPUTED_VALUE"""),625.15)</f>
        <v>625.15</v>
      </c>
      <c r="F3598" s="1">
        <f>IFERROR(__xludf.DUMMYFUNCTION("""COMPUTED_VALUE"""),687234.0)</f>
        <v>687234</v>
      </c>
    </row>
    <row r="3599">
      <c r="A3599" s="2">
        <f>IFERROR(__xludf.DUMMYFUNCTION("""COMPUTED_VALUE"""),41827.645833333336)</f>
        <v>41827.64583</v>
      </c>
      <c r="B3599" s="1">
        <f>IFERROR(__xludf.DUMMYFUNCTION("""COMPUTED_VALUE"""),626.0)</f>
        <v>626</v>
      </c>
      <c r="C3599" s="1">
        <f>IFERROR(__xludf.DUMMYFUNCTION("""COMPUTED_VALUE"""),630.0)</f>
        <v>630</v>
      </c>
      <c r="D3599" s="1">
        <f>IFERROR(__xludf.DUMMYFUNCTION("""COMPUTED_VALUE"""),618.4)</f>
        <v>618.4</v>
      </c>
      <c r="E3599" s="1">
        <f>IFERROR(__xludf.DUMMYFUNCTION("""COMPUTED_VALUE"""),627.6)</f>
        <v>627.6</v>
      </c>
      <c r="F3599" s="1">
        <f>IFERROR(__xludf.DUMMYFUNCTION("""COMPUTED_VALUE"""),1083261.0)</f>
        <v>1083261</v>
      </c>
    </row>
    <row r="3600">
      <c r="A3600" s="2">
        <f>IFERROR(__xludf.DUMMYFUNCTION("""COMPUTED_VALUE"""),41828.645833333336)</f>
        <v>41828.64583</v>
      </c>
      <c r="B3600" s="1">
        <f>IFERROR(__xludf.DUMMYFUNCTION("""COMPUTED_VALUE"""),627.0)</f>
        <v>627</v>
      </c>
      <c r="C3600" s="1">
        <f>IFERROR(__xludf.DUMMYFUNCTION("""COMPUTED_VALUE"""),633.5)</f>
        <v>633.5</v>
      </c>
      <c r="D3600" s="1">
        <f>IFERROR(__xludf.DUMMYFUNCTION("""COMPUTED_VALUE"""),622.0)</f>
        <v>622</v>
      </c>
      <c r="E3600" s="1">
        <f>IFERROR(__xludf.DUMMYFUNCTION("""COMPUTED_VALUE"""),627.35)</f>
        <v>627.35</v>
      </c>
      <c r="F3600" s="1">
        <f>IFERROR(__xludf.DUMMYFUNCTION("""COMPUTED_VALUE"""),1082625.0)</f>
        <v>1082625</v>
      </c>
    </row>
    <row r="3601">
      <c r="A3601" s="2">
        <f>IFERROR(__xludf.DUMMYFUNCTION("""COMPUTED_VALUE"""),41829.645833333336)</f>
        <v>41829.64583</v>
      </c>
      <c r="B3601" s="1">
        <f>IFERROR(__xludf.DUMMYFUNCTION("""COMPUTED_VALUE"""),629.95)</f>
        <v>629.95</v>
      </c>
      <c r="C3601" s="1">
        <f>IFERROR(__xludf.DUMMYFUNCTION("""COMPUTED_VALUE"""),634.7)</f>
        <v>634.7</v>
      </c>
      <c r="D3601" s="1">
        <f>IFERROR(__xludf.DUMMYFUNCTION("""COMPUTED_VALUE"""),625.0)</f>
        <v>625</v>
      </c>
      <c r="E3601" s="1">
        <f>IFERROR(__xludf.DUMMYFUNCTION("""COMPUTED_VALUE"""),629.85)</f>
        <v>629.85</v>
      </c>
      <c r="F3601" s="1">
        <f>IFERROR(__xludf.DUMMYFUNCTION("""COMPUTED_VALUE"""),942571.0)</f>
        <v>942571</v>
      </c>
    </row>
    <row r="3602">
      <c r="A3602" s="2">
        <f>IFERROR(__xludf.DUMMYFUNCTION("""COMPUTED_VALUE"""),41830.645833333336)</f>
        <v>41830.64583</v>
      </c>
      <c r="B3602" s="1">
        <f>IFERROR(__xludf.DUMMYFUNCTION("""COMPUTED_VALUE"""),628.05)</f>
        <v>628.05</v>
      </c>
      <c r="C3602" s="1">
        <f>IFERROR(__xludf.DUMMYFUNCTION("""COMPUTED_VALUE"""),638.0)</f>
        <v>638</v>
      </c>
      <c r="D3602" s="1">
        <f>IFERROR(__xludf.DUMMYFUNCTION("""COMPUTED_VALUE"""),615.05)</f>
        <v>615.05</v>
      </c>
      <c r="E3602" s="1">
        <f>IFERROR(__xludf.DUMMYFUNCTION("""COMPUTED_VALUE"""),631.85)</f>
        <v>631.85</v>
      </c>
      <c r="F3602" s="1">
        <f>IFERROR(__xludf.DUMMYFUNCTION("""COMPUTED_VALUE"""),1090386.0)</f>
        <v>1090386</v>
      </c>
    </row>
    <row r="3603">
      <c r="A3603" s="2">
        <f>IFERROR(__xludf.DUMMYFUNCTION("""COMPUTED_VALUE"""),41831.645833333336)</f>
        <v>41831.64583</v>
      </c>
      <c r="B3603" s="1">
        <f>IFERROR(__xludf.DUMMYFUNCTION("""COMPUTED_VALUE"""),627.0)</f>
        <v>627</v>
      </c>
      <c r="C3603" s="1">
        <f>IFERROR(__xludf.DUMMYFUNCTION("""COMPUTED_VALUE"""),646.85)</f>
        <v>646.85</v>
      </c>
      <c r="D3603" s="1">
        <f>IFERROR(__xludf.DUMMYFUNCTION("""COMPUTED_VALUE"""),625.0)</f>
        <v>625</v>
      </c>
      <c r="E3603" s="1">
        <f>IFERROR(__xludf.DUMMYFUNCTION("""COMPUTED_VALUE"""),641.85)</f>
        <v>641.85</v>
      </c>
      <c r="F3603" s="1">
        <f>IFERROR(__xludf.DUMMYFUNCTION("""COMPUTED_VALUE"""),1918406.0)</f>
        <v>1918406</v>
      </c>
    </row>
    <row r="3604">
      <c r="A3604" s="2">
        <f>IFERROR(__xludf.DUMMYFUNCTION("""COMPUTED_VALUE"""),41834.645833333336)</f>
        <v>41834.64583</v>
      </c>
      <c r="B3604" s="1">
        <f>IFERROR(__xludf.DUMMYFUNCTION("""COMPUTED_VALUE"""),644.0)</f>
        <v>644</v>
      </c>
      <c r="C3604" s="1">
        <f>IFERROR(__xludf.DUMMYFUNCTION("""COMPUTED_VALUE"""),644.6)</f>
        <v>644.6</v>
      </c>
      <c r="D3604" s="1">
        <f>IFERROR(__xludf.DUMMYFUNCTION("""COMPUTED_VALUE"""),620.4)</f>
        <v>620.4</v>
      </c>
      <c r="E3604" s="1">
        <f>IFERROR(__xludf.DUMMYFUNCTION("""COMPUTED_VALUE"""),622.95)</f>
        <v>622.95</v>
      </c>
      <c r="F3604" s="1">
        <f>IFERROR(__xludf.DUMMYFUNCTION("""COMPUTED_VALUE"""),672948.0)</f>
        <v>672948</v>
      </c>
    </row>
    <row r="3605">
      <c r="A3605" s="2">
        <f>IFERROR(__xludf.DUMMYFUNCTION("""COMPUTED_VALUE"""),41835.645833333336)</f>
        <v>41835.64583</v>
      </c>
      <c r="B3605" s="1">
        <f>IFERROR(__xludf.DUMMYFUNCTION("""COMPUTED_VALUE"""),623.25)</f>
        <v>623.25</v>
      </c>
      <c r="C3605" s="1">
        <f>IFERROR(__xludf.DUMMYFUNCTION("""COMPUTED_VALUE"""),628.8)</f>
        <v>628.8</v>
      </c>
      <c r="D3605" s="1">
        <f>IFERROR(__xludf.DUMMYFUNCTION("""COMPUTED_VALUE"""),616.4)</f>
        <v>616.4</v>
      </c>
      <c r="E3605" s="1">
        <f>IFERROR(__xludf.DUMMYFUNCTION("""COMPUTED_VALUE"""),618.9)</f>
        <v>618.9</v>
      </c>
      <c r="F3605" s="1">
        <f>IFERROR(__xludf.DUMMYFUNCTION("""COMPUTED_VALUE"""),649427.0)</f>
        <v>649427</v>
      </c>
    </row>
    <row r="3606">
      <c r="A3606" s="2">
        <f>IFERROR(__xludf.DUMMYFUNCTION("""COMPUTED_VALUE"""),41836.645833333336)</f>
        <v>41836.64583</v>
      </c>
      <c r="B3606" s="1">
        <f>IFERROR(__xludf.DUMMYFUNCTION("""COMPUTED_VALUE"""),623.7)</f>
        <v>623.7</v>
      </c>
      <c r="C3606" s="1">
        <f>IFERROR(__xludf.DUMMYFUNCTION("""COMPUTED_VALUE"""),627.85)</f>
        <v>627.85</v>
      </c>
      <c r="D3606" s="1">
        <f>IFERROR(__xludf.DUMMYFUNCTION("""COMPUTED_VALUE"""),617.5)</f>
        <v>617.5</v>
      </c>
      <c r="E3606" s="1">
        <f>IFERROR(__xludf.DUMMYFUNCTION("""COMPUTED_VALUE"""),621.3)</f>
        <v>621.3</v>
      </c>
      <c r="F3606" s="1">
        <f>IFERROR(__xludf.DUMMYFUNCTION("""COMPUTED_VALUE"""),878909.0)</f>
        <v>878909</v>
      </c>
    </row>
    <row r="3607">
      <c r="A3607" s="2">
        <f>IFERROR(__xludf.DUMMYFUNCTION("""COMPUTED_VALUE"""),41837.645833333336)</f>
        <v>41837.64583</v>
      </c>
      <c r="B3607" s="1">
        <f>IFERROR(__xludf.DUMMYFUNCTION("""COMPUTED_VALUE"""),622.95)</f>
        <v>622.95</v>
      </c>
      <c r="C3607" s="1">
        <f>IFERROR(__xludf.DUMMYFUNCTION("""COMPUTED_VALUE"""),627.9)</f>
        <v>627.9</v>
      </c>
      <c r="D3607" s="1">
        <f>IFERROR(__xludf.DUMMYFUNCTION("""COMPUTED_VALUE"""),620.2)</f>
        <v>620.2</v>
      </c>
      <c r="E3607" s="1">
        <f>IFERROR(__xludf.DUMMYFUNCTION("""COMPUTED_VALUE"""),626.85)</f>
        <v>626.85</v>
      </c>
      <c r="F3607" s="1">
        <f>IFERROR(__xludf.DUMMYFUNCTION("""COMPUTED_VALUE"""),418199.0)</f>
        <v>418199</v>
      </c>
    </row>
    <row r="3608">
      <c r="A3608" s="2">
        <f>IFERROR(__xludf.DUMMYFUNCTION("""COMPUTED_VALUE"""),41838.645833333336)</f>
        <v>41838.64583</v>
      </c>
      <c r="B3608" s="1">
        <f>IFERROR(__xludf.DUMMYFUNCTION("""COMPUTED_VALUE"""),625.5)</f>
        <v>625.5</v>
      </c>
      <c r="C3608" s="1">
        <f>IFERROR(__xludf.DUMMYFUNCTION("""COMPUTED_VALUE"""),625.5)</f>
        <v>625.5</v>
      </c>
      <c r="D3608" s="1">
        <f>IFERROR(__xludf.DUMMYFUNCTION("""COMPUTED_VALUE"""),621.0)</f>
        <v>621</v>
      </c>
      <c r="E3608" s="1">
        <f>IFERROR(__xludf.DUMMYFUNCTION("""COMPUTED_VALUE"""),622.5)</f>
        <v>622.5</v>
      </c>
      <c r="F3608" s="1">
        <f>IFERROR(__xludf.DUMMYFUNCTION("""COMPUTED_VALUE"""),352617.0)</f>
        <v>352617</v>
      </c>
    </row>
    <row r="3609">
      <c r="A3609" s="2">
        <f>IFERROR(__xludf.DUMMYFUNCTION("""COMPUTED_VALUE"""),41841.645833333336)</f>
        <v>41841.64583</v>
      </c>
      <c r="B3609" s="1">
        <f>IFERROR(__xludf.DUMMYFUNCTION("""COMPUTED_VALUE"""),623.4)</f>
        <v>623.4</v>
      </c>
      <c r="C3609" s="1">
        <f>IFERROR(__xludf.DUMMYFUNCTION("""COMPUTED_VALUE"""),630.0)</f>
        <v>630</v>
      </c>
      <c r="D3609" s="1">
        <f>IFERROR(__xludf.DUMMYFUNCTION("""COMPUTED_VALUE"""),620.05)</f>
        <v>620.05</v>
      </c>
      <c r="E3609" s="1">
        <f>IFERROR(__xludf.DUMMYFUNCTION("""COMPUTED_VALUE"""),627.55)</f>
        <v>627.55</v>
      </c>
      <c r="F3609" s="1">
        <f>IFERROR(__xludf.DUMMYFUNCTION("""COMPUTED_VALUE"""),385658.0)</f>
        <v>385658</v>
      </c>
    </row>
    <row r="3610">
      <c r="A3610" s="2">
        <f>IFERROR(__xludf.DUMMYFUNCTION("""COMPUTED_VALUE"""),41842.645833333336)</f>
        <v>41842.64583</v>
      </c>
      <c r="B3610" s="1">
        <f>IFERROR(__xludf.DUMMYFUNCTION("""COMPUTED_VALUE"""),626.15)</f>
        <v>626.15</v>
      </c>
      <c r="C3610" s="1">
        <f>IFERROR(__xludf.DUMMYFUNCTION("""COMPUTED_VALUE"""),636.95)</f>
        <v>636.95</v>
      </c>
      <c r="D3610" s="1">
        <f>IFERROR(__xludf.DUMMYFUNCTION("""COMPUTED_VALUE"""),626.15)</f>
        <v>626.15</v>
      </c>
      <c r="E3610" s="1">
        <f>IFERROR(__xludf.DUMMYFUNCTION("""COMPUTED_VALUE"""),633.6)</f>
        <v>633.6</v>
      </c>
      <c r="F3610" s="1">
        <f>IFERROR(__xludf.DUMMYFUNCTION("""COMPUTED_VALUE"""),636191.0)</f>
        <v>636191</v>
      </c>
    </row>
    <row r="3611">
      <c r="A3611" s="2">
        <f>IFERROR(__xludf.DUMMYFUNCTION("""COMPUTED_VALUE"""),41843.645833333336)</f>
        <v>41843.64583</v>
      </c>
      <c r="B3611" s="1">
        <f>IFERROR(__xludf.DUMMYFUNCTION("""COMPUTED_VALUE"""),636.9)</f>
        <v>636.9</v>
      </c>
      <c r="C3611" s="1">
        <f>IFERROR(__xludf.DUMMYFUNCTION("""COMPUTED_VALUE"""),637.4)</f>
        <v>637.4</v>
      </c>
      <c r="D3611" s="1">
        <f>IFERROR(__xludf.DUMMYFUNCTION("""COMPUTED_VALUE"""),631.1)</f>
        <v>631.1</v>
      </c>
      <c r="E3611" s="1">
        <f>IFERROR(__xludf.DUMMYFUNCTION("""COMPUTED_VALUE"""),634.1)</f>
        <v>634.1</v>
      </c>
      <c r="F3611" s="1">
        <f>IFERROR(__xludf.DUMMYFUNCTION("""COMPUTED_VALUE"""),494833.0)</f>
        <v>494833</v>
      </c>
    </row>
    <row r="3612">
      <c r="A3612" s="2">
        <f>IFERROR(__xludf.DUMMYFUNCTION("""COMPUTED_VALUE"""),41844.645833333336)</f>
        <v>41844.64583</v>
      </c>
      <c r="B3612" s="1">
        <f>IFERROR(__xludf.DUMMYFUNCTION("""COMPUTED_VALUE"""),635.0)</f>
        <v>635</v>
      </c>
      <c r="C3612" s="1">
        <f>IFERROR(__xludf.DUMMYFUNCTION("""COMPUTED_VALUE"""),644.75)</f>
        <v>644.75</v>
      </c>
      <c r="D3612" s="1">
        <f>IFERROR(__xludf.DUMMYFUNCTION("""COMPUTED_VALUE"""),631.1)</f>
        <v>631.1</v>
      </c>
      <c r="E3612" s="1">
        <f>IFERROR(__xludf.DUMMYFUNCTION("""COMPUTED_VALUE"""),642.9)</f>
        <v>642.9</v>
      </c>
      <c r="F3612" s="1">
        <f>IFERROR(__xludf.DUMMYFUNCTION("""COMPUTED_VALUE"""),731990.0)</f>
        <v>731990</v>
      </c>
    </row>
    <row r="3613">
      <c r="A3613" s="2">
        <f>IFERROR(__xludf.DUMMYFUNCTION("""COMPUTED_VALUE"""),41845.645833333336)</f>
        <v>41845.64583</v>
      </c>
      <c r="B3613" s="1">
        <f>IFERROR(__xludf.DUMMYFUNCTION("""COMPUTED_VALUE"""),642.9)</f>
        <v>642.9</v>
      </c>
      <c r="C3613" s="1">
        <f>IFERROR(__xludf.DUMMYFUNCTION("""COMPUTED_VALUE"""),667.0)</f>
        <v>667</v>
      </c>
      <c r="D3613" s="1">
        <f>IFERROR(__xludf.DUMMYFUNCTION("""COMPUTED_VALUE"""),640.0)</f>
        <v>640</v>
      </c>
      <c r="E3613" s="1">
        <f>IFERROR(__xludf.DUMMYFUNCTION("""COMPUTED_VALUE"""),663.75)</f>
        <v>663.75</v>
      </c>
      <c r="F3613" s="1">
        <f>IFERROR(__xludf.DUMMYFUNCTION("""COMPUTED_VALUE"""),1747468.0)</f>
        <v>1747468</v>
      </c>
    </row>
    <row r="3614">
      <c r="A3614" s="2">
        <f>IFERROR(__xludf.DUMMYFUNCTION("""COMPUTED_VALUE"""),41848.645833333336)</f>
        <v>41848.64583</v>
      </c>
      <c r="B3614" s="1">
        <f>IFERROR(__xludf.DUMMYFUNCTION("""COMPUTED_VALUE"""),663.95)</f>
        <v>663.95</v>
      </c>
      <c r="C3614" s="1">
        <f>IFERROR(__xludf.DUMMYFUNCTION("""COMPUTED_VALUE"""),691.7)</f>
        <v>691.7</v>
      </c>
      <c r="D3614" s="1">
        <f>IFERROR(__xludf.DUMMYFUNCTION("""COMPUTED_VALUE"""),654.35)</f>
        <v>654.35</v>
      </c>
      <c r="E3614" s="1">
        <f>IFERROR(__xludf.DUMMYFUNCTION("""COMPUTED_VALUE"""),686.8)</f>
        <v>686.8</v>
      </c>
      <c r="F3614" s="1">
        <f>IFERROR(__xludf.DUMMYFUNCTION("""COMPUTED_VALUE"""),3856792.0)</f>
        <v>3856792</v>
      </c>
    </row>
    <row r="3615">
      <c r="A3615" s="2">
        <f>IFERROR(__xludf.DUMMYFUNCTION("""COMPUTED_VALUE"""),41850.645833333336)</f>
        <v>41850.64583</v>
      </c>
      <c r="B3615" s="1">
        <f>IFERROR(__xludf.DUMMYFUNCTION("""COMPUTED_VALUE"""),689.9)</f>
        <v>689.9</v>
      </c>
      <c r="C3615" s="1">
        <f>IFERROR(__xludf.DUMMYFUNCTION("""COMPUTED_VALUE"""),701.3)</f>
        <v>701.3</v>
      </c>
      <c r="D3615" s="1">
        <f>IFERROR(__xludf.DUMMYFUNCTION("""COMPUTED_VALUE"""),671.85)</f>
        <v>671.85</v>
      </c>
      <c r="E3615" s="1">
        <f>IFERROR(__xludf.DUMMYFUNCTION("""COMPUTED_VALUE"""),694.65)</f>
        <v>694.65</v>
      </c>
      <c r="F3615" s="1">
        <f>IFERROR(__xludf.DUMMYFUNCTION("""COMPUTED_VALUE"""),3684780.0)</f>
        <v>3684780</v>
      </c>
    </row>
    <row r="3616">
      <c r="A3616" s="2">
        <f>IFERROR(__xludf.DUMMYFUNCTION("""COMPUTED_VALUE"""),41851.645833333336)</f>
        <v>41851.64583</v>
      </c>
      <c r="B3616" s="1">
        <f>IFERROR(__xludf.DUMMYFUNCTION("""COMPUTED_VALUE"""),690.05)</f>
        <v>690.05</v>
      </c>
      <c r="C3616" s="1">
        <f>IFERROR(__xludf.DUMMYFUNCTION("""COMPUTED_VALUE"""),697.55)</f>
        <v>697.55</v>
      </c>
      <c r="D3616" s="1">
        <f>IFERROR(__xludf.DUMMYFUNCTION("""COMPUTED_VALUE"""),680.0)</f>
        <v>680</v>
      </c>
      <c r="E3616" s="1">
        <f>IFERROR(__xludf.DUMMYFUNCTION("""COMPUTED_VALUE"""),686.6)</f>
        <v>686.6</v>
      </c>
      <c r="F3616" s="1">
        <f>IFERROR(__xludf.DUMMYFUNCTION("""COMPUTED_VALUE"""),2494692.0)</f>
        <v>2494692</v>
      </c>
    </row>
    <row r="3617">
      <c r="A3617" s="2">
        <f>IFERROR(__xludf.DUMMYFUNCTION("""COMPUTED_VALUE"""),41852.645833333336)</f>
        <v>41852.64583</v>
      </c>
      <c r="B3617" s="1">
        <f>IFERROR(__xludf.DUMMYFUNCTION("""COMPUTED_VALUE"""),678.0)</f>
        <v>678</v>
      </c>
      <c r="C3617" s="1">
        <f>IFERROR(__xludf.DUMMYFUNCTION("""COMPUTED_VALUE"""),702.0)</f>
        <v>702</v>
      </c>
      <c r="D3617" s="1">
        <f>IFERROR(__xludf.DUMMYFUNCTION("""COMPUTED_VALUE"""),678.0)</f>
        <v>678</v>
      </c>
      <c r="E3617" s="1">
        <f>IFERROR(__xludf.DUMMYFUNCTION("""COMPUTED_VALUE"""),693.55)</f>
        <v>693.55</v>
      </c>
      <c r="F3617" s="1">
        <f>IFERROR(__xludf.DUMMYFUNCTION("""COMPUTED_VALUE"""),1905650.0)</f>
        <v>1905650</v>
      </c>
    </row>
    <row r="3618">
      <c r="A3618" s="2">
        <f>IFERROR(__xludf.DUMMYFUNCTION("""COMPUTED_VALUE"""),41855.645833333336)</f>
        <v>41855.64583</v>
      </c>
      <c r="B3618" s="1">
        <f>IFERROR(__xludf.DUMMYFUNCTION("""COMPUTED_VALUE"""),697.0)</f>
        <v>697</v>
      </c>
      <c r="C3618" s="1">
        <f>IFERROR(__xludf.DUMMYFUNCTION("""COMPUTED_VALUE"""),705.9)</f>
        <v>705.9</v>
      </c>
      <c r="D3618" s="1">
        <f>IFERROR(__xludf.DUMMYFUNCTION("""COMPUTED_VALUE"""),693.25)</f>
        <v>693.25</v>
      </c>
      <c r="E3618" s="1">
        <f>IFERROR(__xludf.DUMMYFUNCTION("""COMPUTED_VALUE"""),699.65)</f>
        <v>699.65</v>
      </c>
      <c r="F3618" s="1">
        <f>IFERROR(__xludf.DUMMYFUNCTION("""COMPUTED_VALUE"""),1290311.0)</f>
        <v>1290311</v>
      </c>
    </row>
    <row r="3619">
      <c r="A3619" s="2">
        <f>IFERROR(__xludf.DUMMYFUNCTION("""COMPUTED_VALUE"""),41856.645833333336)</f>
        <v>41856.64583</v>
      </c>
      <c r="B3619" s="1">
        <f>IFERROR(__xludf.DUMMYFUNCTION("""COMPUTED_VALUE"""),699.0)</f>
        <v>699</v>
      </c>
      <c r="C3619" s="1">
        <f>IFERROR(__xludf.DUMMYFUNCTION("""COMPUTED_VALUE"""),709.6)</f>
        <v>709.6</v>
      </c>
      <c r="D3619" s="1">
        <f>IFERROR(__xludf.DUMMYFUNCTION("""COMPUTED_VALUE"""),697.8)</f>
        <v>697.8</v>
      </c>
      <c r="E3619" s="1">
        <f>IFERROR(__xludf.DUMMYFUNCTION("""COMPUTED_VALUE"""),704.85)</f>
        <v>704.85</v>
      </c>
      <c r="F3619" s="1">
        <f>IFERROR(__xludf.DUMMYFUNCTION("""COMPUTED_VALUE"""),863275.0)</f>
        <v>863275</v>
      </c>
    </row>
    <row r="3620">
      <c r="A3620" s="2">
        <f>IFERROR(__xludf.DUMMYFUNCTION("""COMPUTED_VALUE"""),41857.645833333336)</f>
        <v>41857.64583</v>
      </c>
      <c r="B3620" s="1">
        <f>IFERROR(__xludf.DUMMYFUNCTION("""COMPUTED_VALUE"""),703.05)</f>
        <v>703.05</v>
      </c>
      <c r="C3620" s="1">
        <f>IFERROR(__xludf.DUMMYFUNCTION("""COMPUTED_VALUE"""),732.0)</f>
        <v>732</v>
      </c>
      <c r="D3620" s="1">
        <f>IFERROR(__xludf.DUMMYFUNCTION("""COMPUTED_VALUE"""),703.05)</f>
        <v>703.05</v>
      </c>
      <c r="E3620" s="1">
        <f>IFERROR(__xludf.DUMMYFUNCTION("""COMPUTED_VALUE"""),707.85)</f>
        <v>707.85</v>
      </c>
      <c r="F3620" s="1">
        <f>IFERROR(__xludf.DUMMYFUNCTION("""COMPUTED_VALUE"""),2052184.0)</f>
        <v>2052184</v>
      </c>
    </row>
    <row r="3621">
      <c r="A3621" s="2">
        <f>IFERROR(__xludf.DUMMYFUNCTION("""COMPUTED_VALUE"""),41858.645833333336)</f>
        <v>41858.64583</v>
      </c>
      <c r="B3621" s="1">
        <f>IFERROR(__xludf.DUMMYFUNCTION("""COMPUTED_VALUE"""),707.0)</f>
        <v>707</v>
      </c>
      <c r="C3621" s="1">
        <f>IFERROR(__xludf.DUMMYFUNCTION("""COMPUTED_VALUE"""),708.2)</f>
        <v>708.2</v>
      </c>
      <c r="D3621" s="1">
        <f>IFERROR(__xludf.DUMMYFUNCTION("""COMPUTED_VALUE"""),699.3)</f>
        <v>699.3</v>
      </c>
      <c r="E3621" s="1">
        <f>IFERROR(__xludf.DUMMYFUNCTION("""COMPUTED_VALUE"""),701.95)</f>
        <v>701.95</v>
      </c>
      <c r="F3621" s="1">
        <f>IFERROR(__xludf.DUMMYFUNCTION("""COMPUTED_VALUE"""),634909.0)</f>
        <v>634909</v>
      </c>
    </row>
    <row r="3622">
      <c r="A3622" s="2">
        <f>IFERROR(__xludf.DUMMYFUNCTION("""COMPUTED_VALUE"""),41859.645833333336)</f>
        <v>41859.64583</v>
      </c>
      <c r="B3622" s="1">
        <f>IFERROR(__xludf.DUMMYFUNCTION("""COMPUTED_VALUE"""),699.05)</f>
        <v>699.05</v>
      </c>
      <c r="C3622" s="1">
        <f>IFERROR(__xludf.DUMMYFUNCTION("""COMPUTED_VALUE"""),703.5)</f>
        <v>703.5</v>
      </c>
      <c r="D3622" s="1">
        <f>IFERROR(__xludf.DUMMYFUNCTION("""COMPUTED_VALUE"""),695.95)</f>
        <v>695.95</v>
      </c>
      <c r="E3622" s="1">
        <f>IFERROR(__xludf.DUMMYFUNCTION("""COMPUTED_VALUE"""),702.05)</f>
        <v>702.05</v>
      </c>
      <c r="F3622" s="1">
        <f>IFERROR(__xludf.DUMMYFUNCTION("""COMPUTED_VALUE"""),747151.0)</f>
        <v>747151</v>
      </c>
    </row>
    <row r="3623">
      <c r="A3623" s="2">
        <f>IFERROR(__xludf.DUMMYFUNCTION("""COMPUTED_VALUE"""),41862.645833333336)</f>
        <v>41862.64583</v>
      </c>
      <c r="B3623" s="1">
        <f>IFERROR(__xludf.DUMMYFUNCTION("""COMPUTED_VALUE"""),702.1)</f>
        <v>702.1</v>
      </c>
      <c r="C3623" s="1">
        <f>IFERROR(__xludf.DUMMYFUNCTION("""COMPUTED_VALUE"""),706.0)</f>
        <v>706</v>
      </c>
      <c r="D3623" s="1">
        <f>IFERROR(__xludf.DUMMYFUNCTION("""COMPUTED_VALUE"""),694.3)</f>
        <v>694.3</v>
      </c>
      <c r="E3623" s="1">
        <f>IFERROR(__xludf.DUMMYFUNCTION("""COMPUTED_VALUE"""),697.95)</f>
        <v>697.95</v>
      </c>
      <c r="F3623" s="1">
        <f>IFERROR(__xludf.DUMMYFUNCTION("""COMPUTED_VALUE"""),872217.0)</f>
        <v>872217</v>
      </c>
    </row>
    <row r="3624">
      <c r="A3624" s="2">
        <f>IFERROR(__xludf.DUMMYFUNCTION("""COMPUTED_VALUE"""),41863.645833333336)</f>
        <v>41863.64583</v>
      </c>
      <c r="B3624" s="1">
        <f>IFERROR(__xludf.DUMMYFUNCTION("""COMPUTED_VALUE"""),702.9)</f>
        <v>702.9</v>
      </c>
      <c r="C3624" s="1">
        <f>IFERROR(__xludf.DUMMYFUNCTION("""COMPUTED_VALUE"""),702.9)</f>
        <v>702.9</v>
      </c>
      <c r="D3624" s="1">
        <f>IFERROR(__xludf.DUMMYFUNCTION("""COMPUTED_VALUE"""),692.5)</f>
        <v>692.5</v>
      </c>
      <c r="E3624" s="1">
        <f>IFERROR(__xludf.DUMMYFUNCTION("""COMPUTED_VALUE"""),700.9)</f>
        <v>700.9</v>
      </c>
      <c r="F3624" s="1">
        <f>IFERROR(__xludf.DUMMYFUNCTION("""COMPUTED_VALUE"""),811743.0)</f>
        <v>811743</v>
      </c>
    </row>
    <row r="3625">
      <c r="A3625" s="2">
        <f>IFERROR(__xludf.DUMMYFUNCTION("""COMPUTED_VALUE"""),41864.645833333336)</f>
        <v>41864.64583</v>
      </c>
      <c r="B3625" s="1">
        <f>IFERROR(__xludf.DUMMYFUNCTION("""COMPUTED_VALUE"""),700.95)</f>
        <v>700.95</v>
      </c>
      <c r="C3625" s="1">
        <f>IFERROR(__xludf.DUMMYFUNCTION("""COMPUTED_VALUE"""),721.7)</f>
        <v>721.7</v>
      </c>
      <c r="D3625" s="1">
        <f>IFERROR(__xludf.DUMMYFUNCTION("""COMPUTED_VALUE"""),700.0)</f>
        <v>700</v>
      </c>
      <c r="E3625" s="1">
        <f>IFERROR(__xludf.DUMMYFUNCTION("""COMPUTED_VALUE"""),718.7)</f>
        <v>718.7</v>
      </c>
      <c r="F3625" s="1">
        <f>IFERROR(__xludf.DUMMYFUNCTION("""COMPUTED_VALUE"""),1673439.0)</f>
        <v>1673439</v>
      </c>
    </row>
    <row r="3626">
      <c r="A3626" s="2">
        <f>IFERROR(__xludf.DUMMYFUNCTION("""COMPUTED_VALUE"""),41865.645833333336)</f>
        <v>41865.64583</v>
      </c>
      <c r="B3626" s="1">
        <f>IFERROR(__xludf.DUMMYFUNCTION("""COMPUTED_VALUE"""),722.0)</f>
        <v>722</v>
      </c>
      <c r="C3626" s="1">
        <f>IFERROR(__xludf.DUMMYFUNCTION("""COMPUTED_VALUE"""),725.95)</f>
        <v>725.95</v>
      </c>
      <c r="D3626" s="1">
        <f>IFERROR(__xludf.DUMMYFUNCTION("""COMPUTED_VALUE"""),709.35)</f>
        <v>709.35</v>
      </c>
      <c r="E3626" s="1">
        <f>IFERROR(__xludf.DUMMYFUNCTION("""COMPUTED_VALUE"""),714.55)</f>
        <v>714.55</v>
      </c>
      <c r="F3626" s="1">
        <f>IFERROR(__xludf.DUMMYFUNCTION("""COMPUTED_VALUE"""),845235.0)</f>
        <v>845235</v>
      </c>
    </row>
    <row r="3627">
      <c r="A3627" s="2">
        <f>IFERROR(__xludf.DUMMYFUNCTION("""COMPUTED_VALUE"""),41869.645833333336)</f>
        <v>41869.64583</v>
      </c>
      <c r="B3627" s="1">
        <f>IFERROR(__xludf.DUMMYFUNCTION("""COMPUTED_VALUE"""),721.0)</f>
        <v>721</v>
      </c>
      <c r="C3627" s="1">
        <f>IFERROR(__xludf.DUMMYFUNCTION("""COMPUTED_VALUE"""),736.8)</f>
        <v>736.8</v>
      </c>
      <c r="D3627" s="1">
        <f>IFERROR(__xludf.DUMMYFUNCTION("""COMPUTED_VALUE"""),716.1)</f>
        <v>716.1</v>
      </c>
      <c r="E3627" s="1">
        <f>IFERROR(__xludf.DUMMYFUNCTION("""COMPUTED_VALUE"""),724.8)</f>
        <v>724.8</v>
      </c>
      <c r="F3627" s="1">
        <f>IFERROR(__xludf.DUMMYFUNCTION("""COMPUTED_VALUE"""),959536.0)</f>
        <v>959536</v>
      </c>
    </row>
    <row r="3628">
      <c r="A3628" s="2">
        <f>IFERROR(__xludf.DUMMYFUNCTION("""COMPUTED_VALUE"""),41870.645833333336)</f>
        <v>41870.64583</v>
      </c>
      <c r="B3628" s="1">
        <f>IFERROR(__xludf.DUMMYFUNCTION("""COMPUTED_VALUE"""),719.1)</f>
        <v>719.1</v>
      </c>
      <c r="C3628" s="1">
        <f>IFERROR(__xludf.DUMMYFUNCTION("""COMPUTED_VALUE"""),731.0)</f>
        <v>731</v>
      </c>
      <c r="D3628" s="1">
        <f>IFERROR(__xludf.DUMMYFUNCTION("""COMPUTED_VALUE"""),715.1)</f>
        <v>715.1</v>
      </c>
      <c r="E3628" s="1">
        <f>IFERROR(__xludf.DUMMYFUNCTION("""COMPUTED_VALUE"""),719.55)</f>
        <v>719.55</v>
      </c>
      <c r="F3628" s="1">
        <f>IFERROR(__xludf.DUMMYFUNCTION("""COMPUTED_VALUE"""),735686.0)</f>
        <v>735686</v>
      </c>
    </row>
    <row r="3629">
      <c r="A3629" s="2">
        <f>IFERROR(__xludf.DUMMYFUNCTION("""COMPUTED_VALUE"""),41871.645833333336)</f>
        <v>41871.64583</v>
      </c>
      <c r="B3629" s="1">
        <f>IFERROR(__xludf.DUMMYFUNCTION("""COMPUTED_VALUE"""),719.5)</f>
        <v>719.5</v>
      </c>
      <c r="C3629" s="1">
        <f>IFERROR(__xludf.DUMMYFUNCTION("""COMPUTED_VALUE"""),721.0)</f>
        <v>721</v>
      </c>
      <c r="D3629" s="1">
        <f>IFERROR(__xludf.DUMMYFUNCTION("""COMPUTED_VALUE"""),709.5)</f>
        <v>709.5</v>
      </c>
      <c r="E3629" s="1">
        <f>IFERROR(__xludf.DUMMYFUNCTION("""COMPUTED_VALUE"""),711.85)</f>
        <v>711.85</v>
      </c>
      <c r="F3629" s="1">
        <f>IFERROR(__xludf.DUMMYFUNCTION("""COMPUTED_VALUE"""),765917.0)</f>
        <v>765917</v>
      </c>
    </row>
    <row r="3630">
      <c r="A3630" s="2">
        <f>IFERROR(__xludf.DUMMYFUNCTION("""COMPUTED_VALUE"""),41872.645833333336)</f>
        <v>41872.64583</v>
      </c>
      <c r="B3630" s="1">
        <f>IFERROR(__xludf.DUMMYFUNCTION("""COMPUTED_VALUE"""),709.8)</f>
        <v>709.8</v>
      </c>
      <c r="C3630" s="1">
        <f>IFERROR(__xludf.DUMMYFUNCTION("""COMPUTED_VALUE"""),718.6)</f>
        <v>718.6</v>
      </c>
      <c r="D3630" s="1">
        <f>IFERROR(__xludf.DUMMYFUNCTION("""COMPUTED_VALUE"""),709.05)</f>
        <v>709.05</v>
      </c>
      <c r="E3630" s="1">
        <f>IFERROR(__xludf.DUMMYFUNCTION("""COMPUTED_VALUE"""),710.35)</f>
        <v>710.35</v>
      </c>
      <c r="F3630" s="1">
        <f>IFERROR(__xludf.DUMMYFUNCTION("""COMPUTED_VALUE"""),553719.0)</f>
        <v>553719</v>
      </c>
    </row>
    <row r="3631">
      <c r="A3631" s="2">
        <f>IFERROR(__xludf.DUMMYFUNCTION("""COMPUTED_VALUE"""),41873.645833333336)</f>
        <v>41873.64583</v>
      </c>
      <c r="B3631" s="1">
        <f>IFERROR(__xludf.DUMMYFUNCTION("""COMPUTED_VALUE"""),711.95)</f>
        <v>711.95</v>
      </c>
      <c r="C3631" s="1">
        <f>IFERROR(__xludf.DUMMYFUNCTION("""COMPUTED_VALUE"""),712.8)</f>
        <v>712.8</v>
      </c>
      <c r="D3631" s="1">
        <f>IFERROR(__xludf.DUMMYFUNCTION("""COMPUTED_VALUE"""),701.35)</f>
        <v>701.35</v>
      </c>
      <c r="E3631" s="1">
        <f>IFERROR(__xludf.DUMMYFUNCTION("""COMPUTED_VALUE"""),704.2)</f>
        <v>704.2</v>
      </c>
      <c r="F3631" s="1">
        <f>IFERROR(__xludf.DUMMYFUNCTION("""COMPUTED_VALUE"""),455143.0)</f>
        <v>455143</v>
      </c>
    </row>
    <row r="3632">
      <c r="A3632" s="2">
        <f>IFERROR(__xludf.DUMMYFUNCTION("""COMPUTED_VALUE"""),41876.645833333336)</f>
        <v>41876.64583</v>
      </c>
      <c r="B3632" s="1">
        <f>IFERROR(__xludf.DUMMYFUNCTION("""COMPUTED_VALUE"""),708.2)</f>
        <v>708.2</v>
      </c>
      <c r="C3632" s="1">
        <f>IFERROR(__xludf.DUMMYFUNCTION("""COMPUTED_VALUE"""),721.45)</f>
        <v>721.45</v>
      </c>
      <c r="D3632" s="1">
        <f>IFERROR(__xludf.DUMMYFUNCTION("""COMPUTED_VALUE"""),704.2)</f>
        <v>704.2</v>
      </c>
      <c r="E3632" s="1">
        <f>IFERROR(__xludf.DUMMYFUNCTION("""COMPUTED_VALUE"""),716.7)</f>
        <v>716.7</v>
      </c>
      <c r="F3632" s="1">
        <f>IFERROR(__xludf.DUMMYFUNCTION("""COMPUTED_VALUE"""),641018.0)</f>
        <v>641018</v>
      </c>
    </row>
    <row r="3633">
      <c r="A3633" s="2">
        <f>IFERROR(__xludf.DUMMYFUNCTION("""COMPUTED_VALUE"""),41877.645833333336)</f>
        <v>41877.64583</v>
      </c>
      <c r="B3633" s="1">
        <f>IFERROR(__xludf.DUMMYFUNCTION("""COMPUTED_VALUE"""),718.95)</f>
        <v>718.95</v>
      </c>
      <c r="C3633" s="1">
        <f>IFERROR(__xludf.DUMMYFUNCTION("""COMPUTED_VALUE"""),730.85)</f>
        <v>730.85</v>
      </c>
      <c r="D3633" s="1">
        <f>IFERROR(__xludf.DUMMYFUNCTION("""COMPUTED_VALUE"""),717.65)</f>
        <v>717.65</v>
      </c>
      <c r="E3633" s="1">
        <f>IFERROR(__xludf.DUMMYFUNCTION("""COMPUTED_VALUE"""),727.35)</f>
        <v>727.35</v>
      </c>
      <c r="F3633" s="1">
        <f>IFERROR(__xludf.DUMMYFUNCTION("""COMPUTED_VALUE"""),1238950.0)</f>
        <v>1238950</v>
      </c>
    </row>
    <row r="3634">
      <c r="A3634" s="2">
        <f>IFERROR(__xludf.DUMMYFUNCTION("""COMPUTED_VALUE"""),41878.645833333336)</f>
        <v>41878.64583</v>
      </c>
      <c r="B3634" s="1">
        <f>IFERROR(__xludf.DUMMYFUNCTION("""COMPUTED_VALUE"""),727.0)</f>
        <v>727</v>
      </c>
      <c r="C3634" s="1">
        <f>IFERROR(__xludf.DUMMYFUNCTION("""COMPUTED_VALUE"""),739.55)</f>
        <v>739.55</v>
      </c>
      <c r="D3634" s="1">
        <f>IFERROR(__xludf.DUMMYFUNCTION("""COMPUTED_VALUE"""),723.4)</f>
        <v>723.4</v>
      </c>
      <c r="E3634" s="1">
        <f>IFERROR(__xludf.DUMMYFUNCTION("""COMPUTED_VALUE"""),734.85)</f>
        <v>734.85</v>
      </c>
      <c r="F3634" s="1">
        <f>IFERROR(__xludf.DUMMYFUNCTION("""COMPUTED_VALUE"""),1153834.0)</f>
        <v>1153834</v>
      </c>
    </row>
    <row r="3635">
      <c r="A3635" s="2">
        <f>IFERROR(__xludf.DUMMYFUNCTION("""COMPUTED_VALUE"""),41879.645833333336)</f>
        <v>41879.64583</v>
      </c>
      <c r="B3635" s="1">
        <f>IFERROR(__xludf.DUMMYFUNCTION("""COMPUTED_VALUE"""),736.0)</f>
        <v>736</v>
      </c>
      <c r="C3635" s="1">
        <f>IFERROR(__xludf.DUMMYFUNCTION("""COMPUTED_VALUE"""),744.9)</f>
        <v>744.9</v>
      </c>
      <c r="D3635" s="1">
        <f>IFERROR(__xludf.DUMMYFUNCTION("""COMPUTED_VALUE"""),734.05)</f>
        <v>734.05</v>
      </c>
      <c r="E3635" s="1">
        <f>IFERROR(__xludf.DUMMYFUNCTION("""COMPUTED_VALUE"""),742.45)</f>
        <v>742.45</v>
      </c>
      <c r="F3635" s="1">
        <f>IFERROR(__xludf.DUMMYFUNCTION("""COMPUTED_VALUE"""),1937220.0)</f>
        <v>1937220</v>
      </c>
    </row>
    <row r="3636">
      <c r="A3636" s="2">
        <f>IFERROR(__xludf.DUMMYFUNCTION("""COMPUTED_VALUE"""),41883.645833333336)</f>
        <v>41883.64583</v>
      </c>
      <c r="B3636" s="1">
        <f>IFERROR(__xludf.DUMMYFUNCTION("""COMPUTED_VALUE"""),743.9)</f>
        <v>743.9</v>
      </c>
      <c r="C3636" s="1">
        <f>IFERROR(__xludf.DUMMYFUNCTION("""COMPUTED_VALUE"""),747.25)</f>
        <v>747.25</v>
      </c>
      <c r="D3636" s="1">
        <f>IFERROR(__xludf.DUMMYFUNCTION("""COMPUTED_VALUE"""),736.0)</f>
        <v>736</v>
      </c>
      <c r="E3636" s="1">
        <f>IFERROR(__xludf.DUMMYFUNCTION("""COMPUTED_VALUE"""),740.4)</f>
        <v>740.4</v>
      </c>
      <c r="F3636" s="1">
        <f>IFERROR(__xludf.DUMMYFUNCTION("""COMPUTED_VALUE"""),515912.0)</f>
        <v>515912</v>
      </c>
    </row>
    <row r="3637">
      <c r="A3637" s="2">
        <f>IFERROR(__xludf.DUMMYFUNCTION("""COMPUTED_VALUE"""),41884.645833333336)</f>
        <v>41884.64583</v>
      </c>
      <c r="B3637" s="1">
        <f>IFERROR(__xludf.DUMMYFUNCTION("""COMPUTED_VALUE"""),740.0)</f>
        <v>740</v>
      </c>
      <c r="C3637" s="1">
        <f>IFERROR(__xludf.DUMMYFUNCTION("""COMPUTED_VALUE"""),740.15)</f>
        <v>740.15</v>
      </c>
      <c r="D3637" s="1">
        <f>IFERROR(__xludf.DUMMYFUNCTION("""COMPUTED_VALUE"""),730.0)</f>
        <v>730</v>
      </c>
      <c r="E3637" s="1">
        <f>IFERROR(__xludf.DUMMYFUNCTION("""COMPUTED_VALUE"""),732.7)</f>
        <v>732.7</v>
      </c>
      <c r="F3637" s="1">
        <f>IFERROR(__xludf.DUMMYFUNCTION("""COMPUTED_VALUE"""),598031.0)</f>
        <v>598031</v>
      </c>
    </row>
    <row r="3638">
      <c r="A3638" s="2">
        <f>IFERROR(__xludf.DUMMYFUNCTION("""COMPUTED_VALUE"""),41885.645833333336)</f>
        <v>41885.64583</v>
      </c>
      <c r="B3638" s="1">
        <f>IFERROR(__xludf.DUMMYFUNCTION("""COMPUTED_VALUE"""),733.5)</f>
        <v>733.5</v>
      </c>
      <c r="C3638" s="1">
        <f>IFERROR(__xludf.DUMMYFUNCTION("""COMPUTED_VALUE"""),738.9)</f>
        <v>738.9</v>
      </c>
      <c r="D3638" s="1">
        <f>IFERROR(__xludf.DUMMYFUNCTION("""COMPUTED_VALUE"""),730.25)</f>
        <v>730.25</v>
      </c>
      <c r="E3638" s="1">
        <f>IFERROR(__xludf.DUMMYFUNCTION("""COMPUTED_VALUE"""),732.8)</f>
        <v>732.8</v>
      </c>
      <c r="F3638" s="1">
        <f>IFERROR(__xludf.DUMMYFUNCTION("""COMPUTED_VALUE"""),814185.0)</f>
        <v>814185</v>
      </c>
    </row>
    <row r="3639">
      <c r="A3639" s="2">
        <f>IFERROR(__xludf.DUMMYFUNCTION("""COMPUTED_VALUE"""),41886.645833333336)</f>
        <v>41886.64583</v>
      </c>
      <c r="B3639" s="1">
        <f>IFERROR(__xludf.DUMMYFUNCTION("""COMPUTED_VALUE"""),733.0)</f>
        <v>733</v>
      </c>
      <c r="C3639" s="1">
        <f>IFERROR(__xludf.DUMMYFUNCTION("""COMPUTED_VALUE"""),742.85)</f>
        <v>742.85</v>
      </c>
      <c r="D3639" s="1">
        <f>IFERROR(__xludf.DUMMYFUNCTION("""COMPUTED_VALUE"""),730.5)</f>
        <v>730.5</v>
      </c>
      <c r="E3639" s="1">
        <f>IFERROR(__xludf.DUMMYFUNCTION("""COMPUTED_VALUE"""),737.1)</f>
        <v>737.1</v>
      </c>
      <c r="F3639" s="1">
        <f>IFERROR(__xludf.DUMMYFUNCTION("""COMPUTED_VALUE"""),1005897.0)</f>
        <v>1005897</v>
      </c>
    </row>
    <row r="3640">
      <c r="A3640" s="2">
        <f>IFERROR(__xludf.DUMMYFUNCTION("""COMPUTED_VALUE"""),41887.645833333336)</f>
        <v>41887.64583</v>
      </c>
      <c r="B3640" s="1">
        <f>IFERROR(__xludf.DUMMYFUNCTION("""COMPUTED_VALUE"""),736.4)</f>
        <v>736.4</v>
      </c>
      <c r="C3640" s="1">
        <f>IFERROR(__xludf.DUMMYFUNCTION("""COMPUTED_VALUE"""),742.2)</f>
        <v>742.2</v>
      </c>
      <c r="D3640" s="1">
        <f>IFERROR(__xludf.DUMMYFUNCTION("""COMPUTED_VALUE"""),732.85)</f>
        <v>732.85</v>
      </c>
      <c r="E3640" s="1">
        <f>IFERROR(__xludf.DUMMYFUNCTION("""COMPUTED_VALUE"""),733.75)</f>
        <v>733.75</v>
      </c>
      <c r="F3640" s="1">
        <f>IFERROR(__xludf.DUMMYFUNCTION("""COMPUTED_VALUE"""),692424.0)</f>
        <v>692424</v>
      </c>
    </row>
    <row r="3641">
      <c r="A3641" s="2">
        <f>IFERROR(__xludf.DUMMYFUNCTION("""COMPUTED_VALUE"""),41890.645833333336)</f>
        <v>41890.64583</v>
      </c>
      <c r="B3641" s="1">
        <f>IFERROR(__xludf.DUMMYFUNCTION("""COMPUTED_VALUE"""),736.0)</f>
        <v>736</v>
      </c>
      <c r="C3641" s="1">
        <f>IFERROR(__xludf.DUMMYFUNCTION("""COMPUTED_VALUE"""),748.95)</f>
        <v>748.95</v>
      </c>
      <c r="D3641" s="1">
        <f>IFERROR(__xludf.DUMMYFUNCTION("""COMPUTED_VALUE"""),733.75)</f>
        <v>733.75</v>
      </c>
      <c r="E3641" s="1">
        <f>IFERROR(__xludf.DUMMYFUNCTION("""COMPUTED_VALUE"""),745.8)</f>
        <v>745.8</v>
      </c>
      <c r="F3641" s="1">
        <f>IFERROR(__xludf.DUMMYFUNCTION("""COMPUTED_VALUE"""),978707.0)</f>
        <v>978707</v>
      </c>
    </row>
    <row r="3642">
      <c r="A3642" s="2">
        <f>IFERROR(__xludf.DUMMYFUNCTION("""COMPUTED_VALUE"""),41891.645833333336)</f>
        <v>41891.64583</v>
      </c>
      <c r="B3642" s="1">
        <f>IFERROR(__xludf.DUMMYFUNCTION("""COMPUTED_VALUE"""),745.8)</f>
        <v>745.8</v>
      </c>
      <c r="C3642" s="1">
        <f>IFERROR(__xludf.DUMMYFUNCTION("""COMPUTED_VALUE"""),756.1)</f>
        <v>756.1</v>
      </c>
      <c r="D3642" s="1">
        <f>IFERROR(__xludf.DUMMYFUNCTION("""COMPUTED_VALUE"""),744.05)</f>
        <v>744.05</v>
      </c>
      <c r="E3642" s="1">
        <f>IFERROR(__xludf.DUMMYFUNCTION("""COMPUTED_VALUE"""),751.9)</f>
        <v>751.9</v>
      </c>
      <c r="F3642" s="1">
        <f>IFERROR(__xludf.DUMMYFUNCTION("""COMPUTED_VALUE"""),726165.0)</f>
        <v>726165</v>
      </c>
    </row>
    <row r="3643">
      <c r="A3643" s="2">
        <f>IFERROR(__xludf.DUMMYFUNCTION("""COMPUTED_VALUE"""),41892.645833333336)</f>
        <v>41892.64583</v>
      </c>
      <c r="B3643" s="1">
        <f>IFERROR(__xludf.DUMMYFUNCTION("""COMPUTED_VALUE"""),749.4)</f>
        <v>749.4</v>
      </c>
      <c r="C3643" s="1">
        <f>IFERROR(__xludf.DUMMYFUNCTION("""COMPUTED_VALUE"""),753.0)</f>
        <v>753</v>
      </c>
      <c r="D3643" s="1">
        <f>IFERROR(__xludf.DUMMYFUNCTION("""COMPUTED_VALUE"""),746.0)</f>
        <v>746</v>
      </c>
      <c r="E3643" s="1">
        <f>IFERROR(__xludf.DUMMYFUNCTION("""COMPUTED_VALUE"""),749.1)</f>
        <v>749.1</v>
      </c>
      <c r="F3643" s="1">
        <f>IFERROR(__xludf.DUMMYFUNCTION("""COMPUTED_VALUE"""),437341.0)</f>
        <v>437341</v>
      </c>
    </row>
    <row r="3644">
      <c r="A3644" s="2">
        <f>IFERROR(__xludf.DUMMYFUNCTION("""COMPUTED_VALUE"""),41893.645833333336)</f>
        <v>41893.64583</v>
      </c>
      <c r="B3644" s="1">
        <f>IFERROR(__xludf.DUMMYFUNCTION("""COMPUTED_VALUE"""),748.0)</f>
        <v>748</v>
      </c>
      <c r="C3644" s="1">
        <f>IFERROR(__xludf.DUMMYFUNCTION("""COMPUTED_VALUE"""),764.45)</f>
        <v>764.45</v>
      </c>
      <c r="D3644" s="1">
        <f>IFERROR(__xludf.DUMMYFUNCTION("""COMPUTED_VALUE"""),748.0)</f>
        <v>748</v>
      </c>
      <c r="E3644" s="1">
        <f>IFERROR(__xludf.DUMMYFUNCTION("""COMPUTED_VALUE"""),755.6)</f>
        <v>755.6</v>
      </c>
      <c r="F3644" s="1">
        <f>IFERROR(__xludf.DUMMYFUNCTION("""COMPUTED_VALUE"""),1149885.0)</f>
        <v>1149885</v>
      </c>
    </row>
    <row r="3645">
      <c r="A3645" s="2">
        <f>IFERROR(__xludf.DUMMYFUNCTION("""COMPUTED_VALUE"""),41894.645833333336)</f>
        <v>41894.64583</v>
      </c>
      <c r="B3645" s="1">
        <f>IFERROR(__xludf.DUMMYFUNCTION("""COMPUTED_VALUE"""),752.9)</f>
        <v>752.9</v>
      </c>
      <c r="C3645" s="1">
        <f>IFERROR(__xludf.DUMMYFUNCTION("""COMPUTED_VALUE"""),762.9)</f>
        <v>762.9</v>
      </c>
      <c r="D3645" s="1">
        <f>IFERROR(__xludf.DUMMYFUNCTION("""COMPUTED_VALUE"""),752.9)</f>
        <v>752.9</v>
      </c>
      <c r="E3645" s="1">
        <f>IFERROR(__xludf.DUMMYFUNCTION("""COMPUTED_VALUE"""),757.5)</f>
        <v>757.5</v>
      </c>
      <c r="F3645" s="1">
        <f>IFERROR(__xludf.DUMMYFUNCTION("""COMPUTED_VALUE"""),479493.0)</f>
        <v>479493</v>
      </c>
    </row>
    <row r="3646">
      <c r="A3646" s="2">
        <f>IFERROR(__xludf.DUMMYFUNCTION("""COMPUTED_VALUE"""),41897.645833333336)</f>
        <v>41897.64583</v>
      </c>
      <c r="B3646" s="1">
        <f>IFERROR(__xludf.DUMMYFUNCTION("""COMPUTED_VALUE"""),757.5)</f>
        <v>757.5</v>
      </c>
      <c r="C3646" s="1">
        <f>IFERROR(__xludf.DUMMYFUNCTION("""COMPUTED_VALUE"""),757.5)</f>
        <v>757.5</v>
      </c>
      <c r="D3646" s="1">
        <f>IFERROR(__xludf.DUMMYFUNCTION("""COMPUTED_VALUE"""),748.5)</f>
        <v>748.5</v>
      </c>
      <c r="E3646" s="1">
        <f>IFERROR(__xludf.DUMMYFUNCTION("""COMPUTED_VALUE"""),754.85)</f>
        <v>754.85</v>
      </c>
      <c r="F3646" s="1">
        <f>IFERROR(__xludf.DUMMYFUNCTION("""COMPUTED_VALUE"""),473333.0)</f>
        <v>473333</v>
      </c>
    </row>
    <row r="3647">
      <c r="A3647" s="2">
        <f>IFERROR(__xludf.DUMMYFUNCTION("""COMPUTED_VALUE"""),41898.645833333336)</f>
        <v>41898.64583</v>
      </c>
      <c r="B3647" s="1">
        <f>IFERROR(__xludf.DUMMYFUNCTION("""COMPUTED_VALUE"""),750.6)</f>
        <v>750.6</v>
      </c>
      <c r="C3647" s="1">
        <f>IFERROR(__xludf.DUMMYFUNCTION("""COMPUTED_VALUE"""),759.8)</f>
        <v>759.8</v>
      </c>
      <c r="D3647" s="1">
        <f>IFERROR(__xludf.DUMMYFUNCTION("""COMPUTED_VALUE"""),748.75)</f>
        <v>748.75</v>
      </c>
      <c r="E3647" s="1">
        <f>IFERROR(__xludf.DUMMYFUNCTION("""COMPUTED_VALUE"""),756.0)</f>
        <v>756</v>
      </c>
      <c r="F3647" s="1">
        <f>IFERROR(__xludf.DUMMYFUNCTION("""COMPUTED_VALUE"""),563960.0)</f>
        <v>563960</v>
      </c>
    </row>
    <row r="3648">
      <c r="A3648" s="2">
        <f>IFERROR(__xludf.DUMMYFUNCTION("""COMPUTED_VALUE"""),41899.645833333336)</f>
        <v>41899.64583</v>
      </c>
      <c r="B3648" s="1">
        <f>IFERROR(__xludf.DUMMYFUNCTION("""COMPUTED_VALUE"""),759.0)</f>
        <v>759</v>
      </c>
      <c r="C3648" s="1">
        <f>IFERROR(__xludf.DUMMYFUNCTION("""COMPUTED_VALUE"""),760.85)</f>
        <v>760.85</v>
      </c>
      <c r="D3648" s="1">
        <f>IFERROR(__xludf.DUMMYFUNCTION("""COMPUTED_VALUE"""),752.75)</f>
        <v>752.75</v>
      </c>
      <c r="E3648" s="1">
        <f>IFERROR(__xludf.DUMMYFUNCTION("""COMPUTED_VALUE"""),754.65)</f>
        <v>754.65</v>
      </c>
      <c r="F3648" s="1">
        <f>IFERROR(__xludf.DUMMYFUNCTION("""COMPUTED_VALUE"""),1071944.0)</f>
        <v>1071944</v>
      </c>
    </row>
    <row r="3649">
      <c r="A3649" s="2">
        <f>IFERROR(__xludf.DUMMYFUNCTION("""COMPUTED_VALUE"""),41900.645833333336)</f>
        <v>41900.64583</v>
      </c>
      <c r="B3649" s="1">
        <f>IFERROR(__xludf.DUMMYFUNCTION("""COMPUTED_VALUE"""),753.0)</f>
        <v>753</v>
      </c>
      <c r="C3649" s="1">
        <f>IFERROR(__xludf.DUMMYFUNCTION("""COMPUTED_VALUE"""),754.4)</f>
        <v>754.4</v>
      </c>
      <c r="D3649" s="1">
        <f>IFERROR(__xludf.DUMMYFUNCTION("""COMPUTED_VALUE"""),739.45)</f>
        <v>739.45</v>
      </c>
      <c r="E3649" s="1">
        <f>IFERROR(__xludf.DUMMYFUNCTION("""COMPUTED_VALUE"""),749.65)</f>
        <v>749.65</v>
      </c>
      <c r="F3649" s="1">
        <f>IFERROR(__xludf.DUMMYFUNCTION("""COMPUTED_VALUE"""),1837614.0)</f>
        <v>1837614</v>
      </c>
    </row>
    <row r="3650">
      <c r="A3650" s="2">
        <f>IFERROR(__xludf.DUMMYFUNCTION("""COMPUTED_VALUE"""),41901.645833333336)</f>
        <v>41901.64583</v>
      </c>
      <c r="B3650" s="1">
        <f>IFERROR(__xludf.DUMMYFUNCTION("""COMPUTED_VALUE"""),750.8)</f>
        <v>750.8</v>
      </c>
      <c r="C3650" s="1">
        <f>IFERROR(__xludf.DUMMYFUNCTION("""COMPUTED_VALUE"""),751.4)</f>
        <v>751.4</v>
      </c>
      <c r="D3650" s="1">
        <f>IFERROR(__xludf.DUMMYFUNCTION("""COMPUTED_VALUE"""),730.05)</f>
        <v>730.05</v>
      </c>
      <c r="E3650" s="1">
        <f>IFERROR(__xludf.DUMMYFUNCTION("""COMPUTED_VALUE"""),737.25)</f>
        <v>737.25</v>
      </c>
      <c r="F3650" s="1">
        <f>IFERROR(__xludf.DUMMYFUNCTION("""COMPUTED_VALUE"""),1576310.0)</f>
        <v>1576310</v>
      </c>
    </row>
    <row r="3651">
      <c r="A3651" s="2">
        <f>IFERROR(__xludf.DUMMYFUNCTION("""COMPUTED_VALUE"""),41904.645833333336)</f>
        <v>41904.64583</v>
      </c>
      <c r="B3651" s="1">
        <f>IFERROR(__xludf.DUMMYFUNCTION("""COMPUTED_VALUE"""),737.0)</f>
        <v>737</v>
      </c>
      <c r="C3651" s="1">
        <f>IFERROR(__xludf.DUMMYFUNCTION("""COMPUTED_VALUE"""),746.05)</f>
        <v>746.05</v>
      </c>
      <c r="D3651" s="1">
        <f>IFERROR(__xludf.DUMMYFUNCTION("""COMPUTED_VALUE"""),721.85)</f>
        <v>721.85</v>
      </c>
      <c r="E3651" s="1">
        <f>IFERROR(__xludf.DUMMYFUNCTION("""COMPUTED_VALUE"""),741.7)</f>
        <v>741.7</v>
      </c>
      <c r="F3651" s="1">
        <f>IFERROR(__xludf.DUMMYFUNCTION("""COMPUTED_VALUE"""),1225660.0)</f>
        <v>1225660</v>
      </c>
    </row>
    <row r="3652">
      <c r="A3652" s="2">
        <f>IFERROR(__xludf.DUMMYFUNCTION("""COMPUTED_VALUE"""),41905.645833333336)</f>
        <v>41905.64583</v>
      </c>
      <c r="B3652" s="1">
        <f>IFERROR(__xludf.DUMMYFUNCTION("""COMPUTED_VALUE"""),741.0)</f>
        <v>741</v>
      </c>
      <c r="C3652" s="1">
        <f>IFERROR(__xludf.DUMMYFUNCTION("""COMPUTED_VALUE"""),755.0)</f>
        <v>755</v>
      </c>
      <c r="D3652" s="1">
        <f>IFERROR(__xludf.DUMMYFUNCTION("""COMPUTED_VALUE"""),736.15)</f>
        <v>736.15</v>
      </c>
      <c r="E3652" s="1">
        <f>IFERROR(__xludf.DUMMYFUNCTION("""COMPUTED_VALUE"""),742.05)</f>
        <v>742.05</v>
      </c>
      <c r="F3652" s="1">
        <f>IFERROR(__xludf.DUMMYFUNCTION("""COMPUTED_VALUE"""),934119.0)</f>
        <v>934119</v>
      </c>
    </row>
    <row r="3653">
      <c r="A3653" s="2">
        <f>IFERROR(__xludf.DUMMYFUNCTION("""COMPUTED_VALUE"""),41906.645833333336)</f>
        <v>41906.64583</v>
      </c>
      <c r="B3653" s="1">
        <f>IFERROR(__xludf.DUMMYFUNCTION("""COMPUTED_VALUE"""),743.0)</f>
        <v>743</v>
      </c>
      <c r="C3653" s="1">
        <f>IFERROR(__xludf.DUMMYFUNCTION("""COMPUTED_VALUE"""),766.8)</f>
        <v>766.8</v>
      </c>
      <c r="D3653" s="1">
        <f>IFERROR(__xludf.DUMMYFUNCTION("""COMPUTED_VALUE"""),743.0)</f>
        <v>743</v>
      </c>
      <c r="E3653" s="1">
        <f>IFERROR(__xludf.DUMMYFUNCTION("""COMPUTED_VALUE"""),764.1)</f>
        <v>764.1</v>
      </c>
      <c r="F3653" s="1">
        <f>IFERROR(__xludf.DUMMYFUNCTION("""COMPUTED_VALUE"""),1117480.0)</f>
        <v>1117480</v>
      </c>
    </row>
    <row r="3654">
      <c r="A3654" s="2">
        <f>IFERROR(__xludf.DUMMYFUNCTION("""COMPUTED_VALUE"""),41907.645833333336)</f>
        <v>41907.64583</v>
      </c>
      <c r="B3654" s="1">
        <f>IFERROR(__xludf.DUMMYFUNCTION("""COMPUTED_VALUE"""),767.95)</f>
        <v>767.95</v>
      </c>
      <c r="C3654" s="1">
        <f>IFERROR(__xludf.DUMMYFUNCTION("""COMPUTED_VALUE"""),771.9)</f>
        <v>771.9</v>
      </c>
      <c r="D3654" s="1">
        <f>IFERROR(__xludf.DUMMYFUNCTION("""COMPUTED_VALUE"""),756.15)</f>
        <v>756.15</v>
      </c>
      <c r="E3654" s="1">
        <f>IFERROR(__xludf.DUMMYFUNCTION("""COMPUTED_VALUE"""),759.35)</f>
        <v>759.35</v>
      </c>
      <c r="F3654" s="1">
        <f>IFERROR(__xludf.DUMMYFUNCTION("""COMPUTED_VALUE"""),1192497.0)</f>
        <v>1192497</v>
      </c>
    </row>
    <row r="3655">
      <c r="A3655" s="2">
        <f>IFERROR(__xludf.DUMMYFUNCTION("""COMPUTED_VALUE"""),41908.645833333336)</f>
        <v>41908.64583</v>
      </c>
      <c r="B3655" s="1">
        <f>IFERROR(__xludf.DUMMYFUNCTION("""COMPUTED_VALUE"""),758.15)</f>
        <v>758.15</v>
      </c>
      <c r="C3655" s="1">
        <f>IFERROR(__xludf.DUMMYFUNCTION("""COMPUTED_VALUE"""),759.9)</f>
        <v>759.9</v>
      </c>
      <c r="D3655" s="1">
        <f>IFERROR(__xludf.DUMMYFUNCTION("""COMPUTED_VALUE"""),745.25)</f>
        <v>745.25</v>
      </c>
      <c r="E3655" s="1">
        <f>IFERROR(__xludf.DUMMYFUNCTION("""COMPUTED_VALUE"""),751.45)</f>
        <v>751.45</v>
      </c>
      <c r="F3655" s="1">
        <f>IFERROR(__xludf.DUMMYFUNCTION("""COMPUTED_VALUE"""),759343.0)</f>
        <v>759343</v>
      </c>
    </row>
    <row r="3656">
      <c r="A3656" s="2">
        <f>IFERROR(__xludf.DUMMYFUNCTION("""COMPUTED_VALUE"""),41911.645833333336)</f>
        <v>41911.64583</v>
      </c>
      <c r="B3656" s="1">
        <f>IFERROR(__xludf.DUMMYFUNCTION("""COMPUTED_VALUE"""),750.0)</f>
        <v>750</v>
      </c>
      <c r="C3656" s="1">
        <f>IFERROR(__xludf.DUMMYFUNCTION("""COMPUTED_VALUE"""),753.0)</f>
        <v>753</v>
      </c>
      <c r="D3656" s="1">
        <f>IFERROR(__xludf.DUMMYFUNCTION("""COMPUTED_VALUE"""),735.5)</f>
        <v>735.5</v>
      </c>
      <c r="E3656" s="1">
        <f>IFERROR(__xludf.DUMMYFUNCTION("""COMPUTED_VALUE"""),746.5)</f>
        <v>746.5</v>
      </c>
      <c r="F3656" s="1">
        <f>IFERROR(__xludf.DUMMYFUNCTION("""COMPUTED_VALUE"""),733781.0)</f>
        <v>733781</v>
      </c>
    </row>
    <row r="3657">
      <c r="A3657" s="2">
        <f>IFERROR(__xludf.DUMMYFUNCTION("""COMPUTED_VALUE"""),41912.645833333336)</f>
        <v>41912.64583</v>
      </c>
      <c r="B3657" s="1">
        <f>IFERROR(__xludf.DUMMYFUNCTION("""COMPUTED_VALUE"""),746.0)</f>
        <v>746</v>
      </c>
      <c r="C3657" s="1">
        <f>IFERROR(__xludf.DUMMYFUNCTION("""COMPUTED_VALUE"""),751.8)</f>
        <v>751.8</v>
      </c>
      <c r="D3657" s="1">
        <f>IFERROR(__xludf.DUMMYFUNCTION("""COMPUTED_VALUE"""),740.0)</f>
        <v>740</v>
      </c>
      <c r="E3657" s="1">
        <f>IFERROR(__xludf.DUMMYFUNCTION("""COMPUTED_VALUE"""),746.0)</f>
        <v>746</v>
      </c>
      <c r="F3657" s="1">
        <f>IFERROR(__xludf.DUMMYFUNCTION("""COMPUTED_VALUE"""),1063690.0)</f>
        <v>1063690</v>
      </c>
    </row>
    <row r="3658">
      <c r="A3658" s="2">
        <f>IFERROR(__xludf.DUMMYFUNCTION("""COMPUTED_VALUE"""),41913.645833333336)</f>
        <v>41913.64583</v>
      </c>
      <c r="B3658" s="1">
        <f>IFERROR(__xludf.DUMMYFUNCTION("""COMPUTED_VALUE"""),745.0)</f>
        <v>745</v>
      </c>
      <c r="C3658" s="1">
        <f>IFERROR(__xludf.DUMMYFUNCTION("""COMPUTED_VALUE"""),748.75)</f>
        <v>748.75</v>
      </c>
      <c r="D3658" s="1">
        <f>IFERROR(__xludf.DUMMYFUNCTION("""COMPUTED_VALUE"""),733.55)</f>
        <v>733.55</v>
      </c>
      <c r="E3658" s="1">
        <f>IFERROR(__xludf.DUMMYFUNCTION("""COMPUTED_VALUE"""),736.15)</f>
        <v>736.15</v>
      </c>
      <c r="F3658" s="1">
        <f>IFERROR(__xludf.DUMMYFUNCTION("""COMPUTED_VALUE"""),478021.0)</f>
        <v>478021</v>
      </c>
    </row>
    <row r="3659">
      <c r="A3659" s="2">
        <f>IFERROR(__xludf.DUMMYFUNCTION("""COMPUTED_VALUE"""),41919.645833333336)</f>
        <v>41919.64583</v>
      </c>
      <c r="B3659" s="1">
        <f>IFERROR(__xludf.DUMMYFUNCTION("""COMPUTED_VALUE"""),733.4)</f>
        <v>733.4</v>
      </c>
      <c r="C3659" s="1">
        <f>IFERROR(__xludf.DUMMYFUNCTION("""COMPUTED_VALUE"""),744.65)</f>
        <v>744.65</v>
      </c>
      <c r="D3659" s="1">
        <f>IFERROR(__xludf.DUMMYFUNCTION("""COMPUTED_VALUE"""),725.0)</f>
        <v>725</v>
      </c>
      <c r="E3659" s="1">
        <f>IFERROR(__xludf.DUMMYFUNCTION("""COMPUTED_VALUE"""),735.8)</f>
        <v>735.8</v>
      </c>
      <c r="F3659" s="1">
        <f>IFERROR(__xludf.DUMMYFUNCTION("""COMPUTED_VALUE"""),801424.0)</f>
        <v>801424</v>
      </c>
    </row>
    <row r="3660">
      <c r="A3660" s="2">
        <f>IFERROR(__xludf.DUMMYFUNCTION("""COMPUTED_VALUE"""),41920.645833333336)</f>
        <v>41920.64583</v>
      </c>
      <c r="B3660" s="1">
        <f>IFERROR(__xludf.DUMMYFUNCTION("""COMPUTED_VALUE"""),732.05)</f>
        <v>732.05</v>
      </c>
      <c r="C3660" s="1">
        <f>IFERROR(__xludf.DUMMYFUNCTION("""COMPUTED_VALUE"""),744.0)</f>
        <v>744</v>
      </c>
      <c r="D3660" s="1">
        <f>IFERROR(__xludf.DUMMYFUNCTION("""COMPUTED_VALUE"""),728.4)</f>
        <v>728.4</v>
      </c>
      <c r="E3660" s="1">
        <f>IFERROR(__xludf.DUMMYFUNCTION("""COMPUTED_VALUE"""),734.75)</f>
        <v>734.75</v>
      </c>
      <c r="F3660" s="1">
        <f>IFERROR(__xludf.DUMMYFUNCTION("""COMPUTED_VALUE"""),951087.0)</f>
        <v>951087</v>
      </c>
    </row>
    <row r="3661">
      <c r="A3661" s="2">
        <f>IFERROR(__xludf.DUMMYFUNCTION("""COMPUTED_VALUE"""),41921.645833333336)</f>
        <v>41921.64583</v>
      </c>
      <c r="B3661" s="1">
        <f>IFERROR(__xludf.DUMMYFUNCTION("""COMPUTED_VALUE"""),735.0)</f>
        <v>735</v>
      </c>
      <c r="C3661" s="1">
        <f>IFERROR(__xludf.DUMMYFUNCTION("""COMPUTED_VALUE"""),743.95)</f>
        <v>743.95</v>
      </c>
      <c r="D3661" s="1">
        <f>IFERROR(__xludf.DUMMYFUNCTION("""COMPUTED_VALUE"""),729.5)</f>
        <v>729.5</v>
      </c>
      <c r="E3661" s="1">
        <f>IFERROR(__xludf.DUMMYFUNCTION("""COMPUTED_VALUE"""),739.1)</f>
        <v>739.1</v>
      </c>
      <c r="F3661" s="1">
        <f>IFERROR(__xludf.DUMMYFUNCTION("""COMPUTED_VALUE"""),622940.0)</f>
        <v>622940</v>
      </c>
    </row>
    <row r="3662">
      <c r="A3662" s="2">
        <f>IFERROR(__xludf.DUMMYFUNCTION("""COMPUTED_VALUE"""),41922.645833333336)</f>
        <v>41922.64583</v>
      </c>
      <c r="B3662" s="1">
        <f>IFERROR(__xludf.DUMMYFUNCTION("""COMPUTED_VALUE"""),734.35)</f>
        <v>734.35</v>
      </c>
      <c r="C3662" s="1">
        <f>IFERROR(__xludf.DUMMYFUNCTION("""COMPUTED_VALUE"""),736.8)</f>
        <v>736.8</v>
      </c>
      <c r="D3662" s="1">
        <f>IFERROR(__xludf.DUMMYFUNCTION("""COMPUTED_VALUE"""),718.65)</f>
        <v>718.65</v>
      </c>
      <c r="E3662" s="1">
        <f>IFERROR(__xludf.DUMMYFUNCTION("""COMPUTED_VALUE"""),720.35)</f>
        <v>720.35</v>
      </c>
      <c r="F3662" s="1">
        <f>IFERROR(__xludf.DUMMYFUNCTION("""COMPUTED_VALUE"""),503359.0)</f>
        <v>503359</v>
      </c>
    </row>
    <row r="3663">
      <c r="A3663" s="2">
        <f>IFERROR(__xludf.DUMMYFUNCTION("""COMPUTED_VALUE"""),41925.645833333336)</f>
        <v>41925.64583</v>
      </c>
      <c r="B3663" s="1">
        <f>IFERROR(__xludf.DUMMYFUNCTION("""COMPUTED_VALUE"""),718.0)</f>
        <v>718</v>
      </c>
      <c r="C3663" s="1">
        <f>IFERROR(__xludf.DUMMYFUNCTION("""COMPUTED_VALUE"""),724.8)</f>
        <v>724.8</v>
      </c>
      <c r="D3663" s="1">
        <f>IFERROR(__xludf.DUMMYFUNCTION("""COMPUTED_VALUE"""),714.2)</f>
        <v>714.2</v>
      </c>
      <c r="E3663" s="1">
        <f>IFERROR(__xludf.DUMMYFUNCTION("""COMPUTED_VALUE"""),720.4)</f>
        <v>720.4</v>
      </c>
      <c r="F3663" s="1">
        <f>IFERROR(__xludf.DUMMYFUNCTION("""COMPUTED_VALUE"""),495344.0)</f>
        <v>495344</v>
      </c>
    </row>
    <row r="3664">
      <c r="A3664" s="2">
        <f>IFERROR(__xludf.DUMMYFUNCTION("""COMPUTED_VALUE"""),41926.645833333336)</f>
        <v>41926.64583</v>
      </c>
      <c r="B3664" s="1">
        <f>IFERROR(__xludf.DUMMYFUNCTION("""COMPUTED_VALUE"""),720.55)</f>
        <v>720.55</v>
      </c>
      <c r="C3664" s="1">
        <f>IFERROR(__xludf.DUMMYFUNCTION("""COMPUTED_VALUE"""),736.0)</f>
        <v>736</v>
      </c>
      <c r="D3664" s="1">
        <f>IFERROR(__xludf.DUMMYFUNCTION("""COMPUTED_VALUE"""),716.6)</f>
        <v>716.6</v>
      </c>
      <c r="E3664" s="1">
        <f>IFERROR(__xludf.DUMMYFUNCTION("""COMPUTED_VALUE"""),731.25)</f>
        <v>731.25</v>
      </c>
      <c r="F3664" s="1">
        <f>IFERROR(__xludf.DUMMYFUNCTION("""COMPUTED_VALUE"""),553144.0)</f>
        <v>553144</v>
      </c>
    </row>
    <row r="3665">
      <c r="A3665" s="2">
        <f>IFERROR(__xludf.DUMMYFUNCTION("""COMPUTED_VALUE"""),41928.645833333336)</f>
        <v>41928.64583</v>
      </c>
      <c r="B3665" s="1">
        <f>IFERROR(__xludf.DUMMYFUNCTION("""COMPUTED_VALUE"""),726.05)</f>
        <v>726.05</v>
      </c>
      <c r="C3665" s="1">
        <f>IFERROR(__xludf.DUMMYFUNCTION("""COMPUTED_VALUE"""),745.6)</f>
        <v>745.6</v>
      </c>
      <c r="D3665" s="1">
        <f>IFERROR(__xludf.DUMMYFUNCTION("""COMPUTED_VALUE"""),725.0)</f>
        <v>725</v>
      </c>
      <c r="E3665" s="1">
        <f>IFERROR(__xludf.DUMMYFUNCTION("""COMPUTED_VALUE"""),730.6)</f>
        <v>730.6</v>
      </c>
      <c r="F3665" s="1">
        <f>IFERROR(__xludf.DUMMYFUNCTION("""COMPUTED_VALUE"""),1241581.0)</f>
        <v>1241581</v>
      </c>
    </row>
    <row r="3666">
      <c r="A3666" s="2">
        <f>IFERROR(__xludf.DUMMYFUNCTION("""COMPUTED_VALUE"""),41929.645833333336)</f>
        <v>41929.64583</v>
      </c>
      <c r="B3666" s="1">
        <f>IFERROR(__xludf.DUMMYFUNCTION("""COMPUTED_VALUE"""),732.0)</f>
        <v>732</v>
      </c>
      <c r="C3666" s="1">
        <f>IFERROR(__xludf.DUMMYFUNCTION("""COMPUTED_VALUE"""),740.95)</f>
        <v>740.95</v>
      </c>
      <c r="D3666" s="1">
        <f>IFERROR(__xludf.DUMMYFUNCTION("""COMPUTED_VALUE"""),723.0)</f>
        <v>723</v>
      </c>
      <c r="E3666" s="1">
        <f>IFERROR(__xludf.DUMMYFUNCTION("""COMPUTED_VALUE"""),726.3)</f>
        <v>726.3</v>
      </c>
      <c r="F3666" s="1">
        <f>IFERROR(__xludf.DUMMYFUNCTION("""COMPUTED_VALUE"""),680260.0)</f>
        <v>680260</v>
      </c>
    </row>
    <row r="3667">
      <c r="A3667" s="2">
        <f>IFERROR(__xludf.DUMMYFUNCTION("""COMPUTED_VALUE"""),41932.645833333336)</f>
        <v>41932.64583</v>
      </c>
      <c r="B3667" s="1">
        <f>IFERROR(__xludf.DUMMYFUNCTION("""COMPUTED_VALUE"""),732.0)</f>
        <v>732</v>
      </c>
      <c r="C3667" s="1">
        <f>IFERROR(__xludf.DUMMYFUNCTION("""COMPUTED_VALUE"""),739.4)</f>
        <v>739.4</v>
      </c>
      <c r="D3667" s="1">
        <f>IFERROR(__xludf.DUMMYFUNCTION("""COMPUTED_VALUE"""),728.05)</f>
        <v>728.05</v>
      </c>
      <c r="E3667" s="1">
        <f>IFERROR(__xludf.DUMMYFUNCTION("""COMPUTED_VALUE"""),736.55)</f>
        <v>736.55</v>
      </c>
      <c r="F3667" s="1">
        <f>IFERROR(__xludf.DUMMYFUNCTION("""COMPUTED_VALUE"""),453075.0)</f>
        <v>453075</v>
      </c>
    </row>
    <row r="3668">
      <c r="A3668" s="2">
        <f>IFERROR(__xludf.DUMMYFUNCTION("""COMPUTED_VALUE"""),41933.645833333336)</f>
        <v>41933.64583</v>
      </c>
      <c r="B3668" s="1">
        <f>IFERROR(__xludf.DUMMYFUNCTION("""COMPUTED_VALUE"""),738.5)</f>
        <v>738.5</v>
      </c>
      <c r="C3668" s="1">
        <f>IFERROR(__xludf.DUMMYFUNCTION("""COMPUTED_VALUE"""),754.0)</f>
        <v>754</v>
      </c>
      <c r="D3668" s="1">
        <f>IFERROR(__xludf.DUMMYFUNCTION("""COMPUTED_VALUE"""),730.85)</f>
        <v>730.85</v>
      </c>
      <c r="E3668" s="1">
        <f>IFERROR(__xludf.DUMMYFUNCTION("""COMPUTED_VALUE"""),749.75)</f>
        <v>749.75</v>
      </c>
      <c r="F3668" s="1">
        <f>IFERROR(__xludf.DUMMYFUNCTION("""COMPUTED_VALUE"""),554039.0)</f>
        <v>554039</v>
      </c>
    </row>
    <row r="3669">
      <c r="A3669" s="2">
        <f>IFERROR(__xludf.DUMMYFUNCTION("""COMPUTED_VALUE"""),41934.645833333336)</f>
        <v>41934.64583</v>
      </c>
      <c r="B3669" s="1">
        <f>IFERROR(__xludf.DUMMYFUNCTION("""COMPUTED_VALUE"""),753.9)</f>
        <v>753.9</v>
      </c>
      <c r="C3669" s="1">
        <f>IFERROR(__xludf.DUMMYFUNCTION("""COMPUTED_VALUE"""),760.0)</f>
        <v>760</v>
      </c>
      <c r="D3669" s="1">
        <f>IFERROR(__xludf.DUMMYFUNCTION("""COMPUTED_VALUE"""),748.05)</f>
        <v>748.05</v>
      </c>
      <c r="E3669" s="1">
        <f>IFERROR(__xludf.DUMMYFUNCTION("""COMPUTED_VALUE"""),757.4)</f>
        <v>757.4</v>
      </c>
      <c r="F3669" s="1">
        <f>IFERROR(__xludf.DUMMYFUNCTION("""COMPUTED_VALUE"""),436776.0)</f>
        <v>436776</v>
      </c>
    </row>
    <row r="3670">
      <c r="A3670" s="2">
        <f>IFERROR(__xludf.DUMMYFUNCTION("""COMPUTED_VALUE"""),41935.645833333336)</f>
        <v>41935.64583</v>
      </c>
      <c r="B3670" s="1">
        <f>IFERROR(__xludf.DUMMYFUNCTION("""COMPUTED_VALUE"""),757.0)</f>
        <v>757</v>
      </c>
      <c r="C3670" s="1">
        <f>IFERROR(__xludf.DUMMYFUNCTION("""COMPUTED_VALUE"""),759.0)</f>
        <v>759</v>
      </c>
      <c r="D3670" s="1">
        <f>IFERROR(__xludf.DUMMYFUNCTION("""COMPUTED_VALUE"""),753.1)</f>
        <v>753.1</v>
      </c>
      <c r="E3670" s="1">
        <f>IFERROR(__xludf.DUMMYFUNCTION("""COMPUTED_VALUE"""),757.95)</f>
        <v>757.95</v>
      </c>
      <c r="F3670" s="1">
        <f>IFERROR(__xludf.DUMMYFUNCTION("""COMPUTED_VALUE"""),52887.0)</f>
        <v>52887</v>
      </c>
    </row>
    <row r="3671">
      <c r="A3671" s="2">
        <f>IFERROR(__xludf.DUMMYFUNCTION("""COMPUTED_VALUE"""),41939.645833333336)</f>
        <v>41939.64583</v>
      </c>
      <c r="B3671" s="1">
        <f>IFERROR(__xludf.DUMMYFUNCTION("""COMPUTED_VALUE"""),765.0)</f>
        <v>765</v>
      </c>
      <c r="C3671" s="1">
        <f>IFERROR(__xludf.DUMMYFUNCTION("""COMPUTED_VALUE"""),766.05)</f>
        <v>766.05</v>
      </c>
      <c r="D3671" s="1">
        <f>IFERROR(__xludf.DUMMYFUNCTION("""COMPUTED_VALUE"""),715.5)</f>
        <v>715.5</v>
      </c>
      <c r="E3671" s="1">
        <f>IFERROR(__xludf.DUMMYFUNCTION("""COMPUTED_VALUE"""),720.45)</f>
        <v>720.45</v>
      </c>
      <c r="F3671" s="1">
        <f>IFERROR(__xludf.DUMMYFUNCTION("""COMPUTED_VALUE"""),2949098.0)</f>
        <v>2949098</v>
      </c>
    </row>
    <row r="3672">
      <c r="A3672" s="2">
        <f>IFERROR(__xludf.DUMMYFUNCTION("""COMPUTED_VALUE"""),41940.645833333336)</f>
        <v>41940.64583</v>
      </c>
      <c r="B3672" s="1">
        <f>IFERROR(__xludf.DUMMYFUNCTION("""COMPUTED_VALUE"""),716.0)</f>
        <v>716</v>
      </c>
      <c r="C3672" s="1">
        <f>IFERROR(__xludf.DUMMYFUNCTION("""COMPUTED_VALUE"""),719.3)</f>
        <v>719.3</v>
      </c>
      <c r="D3672" s="1">
        <f>IFERROR(__xludf.DUMMYFUNCTION("""COMPUTED_VALUE"""),707.15)</f>
        <v>707.15</v>
      </c>
      <c r="E3672" s="1">
        <f>IFERROR(__xludf.DUMMYFUNCTION("""COMPUTED_VALUE"""),717.05)</f>
        <v>717.05</v>
      </c>
      <c r="F3672" s="1">
        <f>IFERROR(__xludf.DUMMYFUNCTION("""COMPUTED_VALUE"""),1254748.0)</f>
        <v>1254748</v>
      </c>
    </row>
    <row r="3673">
      <c r="A3673" s="2">
        <f>IFERROR(__xludf.DUMMYFUNCTION("""COMPUTED_VALUE"""),41941.645833333336)</f>
        <v>41941.64583</v>
      </c>
      <c r="B3673" s="1">
        <f>IFERROR(__xludf.DUMMYFUNCTION("""COMPUTED_VALUE"""),722.0)</f>
        <v>722</v>
      </c>
      <c r="C3673" s="1">
        <f>IFERROR(__xludf.DUMMYFUNCTION("""COMPUTED_VALUE"""),726.95)</f>
        <v>726.95</v>
      </c>
      <c r="D3673" s="1">
        <f>IFERROR(__xludf.DUMMYFUNCTION("""COMPUTED_VALUE"""),712.8)</f>
        <v>712.8</v>
      </c>
      <c r="E3673" s="1">
        <f>IFERROR(__xludf.DUMMYFUNCTION("""COMPUTED_VALUE"""),723.95)</f>
        <v>723.95</v>
      </c>
      <c r="F3673" s="1">
        <f>IFERROR(__xludf.DUMMYFUNCTION("""COMPUTED_VALUE"""),962919.0)</f>
        <v>962919</v>
      </c>
    </row>
    <row r="3674">
      <c r="A3674" s="2">
        <f>IFERROR(__xludf.DUMMYFUNCTION("""COMPUTED_VALUE"""),41942.645833333336)</f>
        <v>41942.64583</v>
      </c>
      <c r="B3674" s="1">
        <f>IFERROR(__xludf.DUMMYFUNCTION("""COMPUTED_VALUE"""),722.0)</f>
        <v>722</v>
      </c>
      <c r="C3674" s="1">
        <f>IFERROR(__xludf.DUMMYFUNCTION("""COMPUTED_VALUE"""),734.85)</f>
        <v>734.85</v>
      </c>
      <c r="D3674" s="1">
        <f>IFERROR(__xludf.DUMMYFUNCTION("""COMPUTED_VALUE"""),717.65)</f>
        <v>717.65</v>
      </c>
      <c r="E3674" s="1">
        <f>IFERROR(__xludf.DUMMYFUNCTION("""COMPUTED_VALUE"""),731.6)</f>
        <v>731.6</v>
      </c>
      <c r="F3674" s="1">
        <f>IFERROR(__xludf.DUMMYFUNCTION("""COMPUTED_VALUE"""),1249596.0)</f>
        <v>1249596</v>
      </c>
    </row>
    <row r="3675">
      <c r="A3675" s="2">
        <f>IFERROR(__xludf.DUMMYFUNCTION("""COMPUTED_VALUE"""),41943.645833333336)</f>
        <v>41943.64583</v>
      </c>
      <c r="B3675" s="1">
        <f>IFERROR(__xludf.DUMMYFUNCTION("""COMPUTED_VALUE"""),728.7)</f>
        <v>728.7</v>
      </c>
      <c r="C3675" s="1">
        <f>IFERROR(__xludf.DUMMYFUNCTION("""COMPUTED_VALUE"""),742.0)</f>
        <v>742</v>
      </c>
      <c r="D3675" s="1">
        <f>IFERROR(__xludf.DUMMYFUNCTION("""COMPUTED_VALUE"""),722.1)</f>
        <v>722.1</v>
      </c>
      <c r="E3675" s="1">
        <f>IFERROR(__xludf.DUMMYFUNCTION("""COMPUTED_VALUE"""),738.35)</f>
        <v>738.35</v>
      </c>
      <c r="F3675" s="1">
        <f>IFERROR(__xludf.DUMMYFUNCTION("""COMPUTED_VALUE"""),1083674.0)</f>
        <v>1083674</v>
      </c>
    </row>
    <row r="3676">
      <c r="A3676" s="2">
        <f>IFERROR(__xludf.DUMMYFUNCTION("""COMPUTED_VALUE"""),41946.645833333336)</f>
        <v>41946.64583</v>
      </c>
      <c r="B3676" s="1">
        <f>IFERROR(__xludf.DUMMYFUNCTION("""COMPUTED_VALUE"""),735.05)</f>
        <v>735.05</v>
      </c>
      <c r="C3676" s="1">
        <f>IFERROR(__xludf.DUMMYFUNCTION("""COMPUTED_VALUE"""),743.0)</f>
        <v>743</v>
      </c>
      <c r="D3676" s="1">
        <f>IFERROR(__xludf.DUMMYFUNCTION("""COMPUTED_VALUE"""),728.75)</f>
        <v>728.75</v>
      </c>
      <c r="E3676" s="1">
        <f>IFERROR(__xludf.DUMMYFUNCTION("""COMPUTED_VALUE"""),739.85)</f>
        <v>739.85</v>
      </c>
      <c r="F3676" s="1">
        <f>IFERROR(__xludf.DUMMYFUNCTION("""COMPUTED_VALUE"""),733227.0)</f>
        <v>733227</v>
      </c>
    </row>
    <row r="3677">
      <c r="A3677" s="2">
        <f>IFERROR(__xludf.DUMMYFUNCTION("""COMPUTED_VALUE"""),41948.645833333336)</f>
        <v>41948.64583</v>
      </c>
      <c r="B3677" s="1">
        <f>IFERROR(__xludf.DUMMYFUNCTION("""COMPUTED_VALUE"""),739.0)</f>
        <v>739</v>
      </c>
      <c r="C3677" s="1">
        <f>IFERROR(__xludf.DUMMYFUNCTION("""COMPUTED_VALUE"""),750.0)</f>
        <v>750</v>
      </c>
      <c r="D3677" s="1">
        <f>IFERROR(__xludf.DUMMYFUNCTION("""COMPUTED_VALUE"""),738.1)</f>
        <v>738.1</v>
      </c>
      <c r="E3677" s="1">
        <f>IFERROR(__xludf.DUMMYFUNCTION("""COMPUTED_VALUE"""),747.75)</f>
        <v>747.75</v>
      </c>
      <c r="F3677" s="1">
        <f>IFERROR(__xludf.DUMMYFUNCTION("""COMPUTED_VALUE"""),746808.0)</f>
        <v>746808</v>
      </c>
    </row>
    <row r="3678">
      <c r="A3678" s="2">
        <f>IFERROR(__xludf.DUMMYFUNCTION("""COMPUTED_VALUE"""),41950.645833333336)</f>
        <v>41950.64583</v>
      </c>
      <c r="B3678" s="1">
        <f>IFERROR(__xludf.DUMMYFUNCTION("""COMPUTED_VALUE"""),750.0)</f>
        <v>750</v>
      </c>
      <c r="C3678" s="1">
        <f>IFERROR(__xludf.DUMMYFUNCTION("""COMPUTED_VALUE"""),763.45)</f>
        <v>763.45</v>
      </c>
      <c r="D3678" s="1">
        <f>IFERROR(__xludf.DUMMYFUNCTION("""COMPUTED_VALUE"""),747.25)</f>
        <v>747.25</v>
      </c>
      <c r="E3678" s="1">
        <f>IFERROR(__xludf.DUMMYFUNCTION("""COMPUTED_VALUE"""),761.5)</f>
        <v>761.5</v>
      </c>
      <c r="F3678" s="1">
        <f>IFERROR(__xludf.DUMMYFUNCTION("""COMPUTED_VALUE"""),881926.0)</f>
        <v>881926</v>
      </c>
    </row>
    <row r="3679">
      <c r="A3679" s="2">
        <f>IFERROR(__xludf.DUMMYFUNCTION("""COMPUTED_VALUE"""),41953.64583333333)</f>
        <v>41953.64583</v>
      </c>
      <c r="B3679" s="1">
        <f>IFERROR(__xludf.DUMMYFUNCTION("""COMPUTED_VALUE"""),760.0)</f>
        <v>760</v>
      </c>
      <c r="C3679" s="1">
        <f>IFERROR(__xludf.DUMMYFUNCTION("""COMPUTED_VALUE"""),774.0)</f>
        <v>774</v>
      </c>
      <c r="D3679" s="1">
        <f>IFERROR(__xludf.DUMMYFUNCTION("""COMPUTED_VALUE"""),759.95)</f>
        <v>759.95</v>
      </c>
      <c r="E3679" s="1">
        <f>IFERROR(__xludf.DUMMYFUNCTION("""COMPUTED_VALUE"""),771.0)</f>
        <v>771</v>
      </c>
      <c r="F3679" s="1">
        <f>IFERROR(__xludf.DUMMYFUNCTION("""COMPUTED_VALUE"""),768076.0)</f>
        <v>768076</v>
      </c>
    </row>
    <row r="3680">
      <c r="A3680" s="2">
        <f>IFERROR(__xludf.DUMMYFUNCTION("""COMPUTED_VALUE"""),41954.64583333333)</f>
        <v>41954.64583</v>
      </c>
      <c r="B3680" s="1">
        <f>IFERROR(__xludf.DUMMYFUNCTION("""COMPUTED_VALUE"""),773.0)</f>
        <v>773</v>
      </c>
      <c r="C3680" s="1">
        <f>IFERROR(__xludf.DUMMYFUNCTION("""COMPUTED_VALUE"""),776.75)</f>
        <v>776.75</v>
      </c>
      <c r="D3680" s="1">
        <f>IFERROR(__xludf.DUMMYFUNCTION("""COMPUTED_VALUE"""),764.8)</f>
        <v>764.8</v>
      </c>
      <c r="E3680" s="1">
        <f>IFERROR(__xludf.DUMMYFUNCTION("""COMPUTED_VALUE"""),772.3)</f>
        <v>772.3</v>
      </c>
      <c r="F3680" s="1">
        <f>IFERROR(__xludf.DUMMYFUNCTION("""COMPUTED_VALUE"""),713634.0)</f>
        <v>713634</v>
      </c>
    </row>
    <row r="3681">
      <c r="A3681" s="2">
        <f>IFERROR(__xludf.DUMMYFUNCTION("""COMPUTED_VALUE"""),41955.64583333333)</f>
        <v>41955.64583</v>
      </c>
      <c r="B3681" s="1">
        <f>IFERROR(__xludf.DUMMYFUNCTION("""COMPUTED_VALUE"""),772.0)</f>
        <v>772</v>
      </c>
      <c r="C3681" s="1">
        <f>IFERROR(__xludf.DUMMYFUNCTION("""COMPUTED_VALUE"""),772.9)</f>
        <v>772.9</v>
      </c>
      <c r="D3681" s="1">
        <f>IFERROR(__xludf.DUMMYFUNCTION("""COMPUTED_VALUE"""),763.5)</f>
        <v>763.5</v>
      </c>
      <c r="E3681" s="1">
        <f>IFERROR(__xludf.DUMMYFUNCTION("""COMPUTED_VALUE"""),770.0)</f>
        <v>770</v>
      </c>
      <c r="F3681" s="1">
        <f>IFERROR(__xludf.DUMMYFUNCTION("""COMPUTED_VALUE"""),750579.0)</f>
        <v>750579</v>
      </c>
    </row>
    <row r="3682">
      <c r="A3682" s="2">
        <f>IFERROR(__xludf.DUMMYFUNCTION("""COMPUTED_VALUE"""),41956.64583333333)</f>
        <v>41956.64583</v>
      </c>
      <c r="B3682" s="1">
        <f>IFERROR(__xludf.DUMMYFUNCTION("""COMPUTED_VALUE"""),768.0)</f>
        <v>768</v>
      </c>
      <c r="C3682" s="1">
        <f>IFERROR(__xludf.DUMMYFUNCTION("""COMPUTED_VALUE"""),773.85)</f>
        <v>773.85</v>
      </c>
      <c r="D3682" s="1">
        <f>IFERROR(__xludf.DUMMYFUNCTION("""COMPUTED_VALUE"""),761.25)</f>
        <v>761.25</v>
      </c>
      <c r="E3682" s="1">
        <f>IFERROR(__xludf.DUMMYFUNCTION("""COMPUTED_VALUE"""),764.35)</f>
        <v>764.35</v>
      </c>
      <c r="F3682" s="1">
        <f>IFERROR(__xludf.DUMMYFUNCTION("""COMPUTED_VALUE"""),1157538.0)</f>
        <v>1157538</v>
      </c>
    </row>
    <row r="3683">
      <c r="A3683" s="2">
        <f>IFERROR(__xludf.DUMMYFUNCTION("""COMPUTED_VALUE"""),41957.64583333333)</f>
        <v>41957.64583</v>
      </c>
      <c r="B3683" s="1">
        <f>IFERROR(__xludf.DUMMYFUNCTION("""COMPUTED_VALUE"""),763.0)</f>
        <v>763</v>
      </c>
      <c r="C3683" s="1">
        <f>IFERROR(__xludf.DUMMYFUNCTION("""COMPUTED_VALUE"""),763.95)</f>
        <v>763.95</v>
      </c>
      <c r="D3683" s="1">
        <f>IFERROR(__xludf.DUMMYFUNCTION("""COMPUTED_VALUE"""),753.55)</f>
        <v>753.55</v>
      </c>
      <c r="E3683" s="1">
        <f>IFERROR(__xludf.DUMMYFUNCTION("""COMPUTED_VALUE"""),756.15)</f>
        <v>756.15</v>
      </c>
      <c r="F3683" s="1">
        <f>IFERROR(__xludf.DUMMYFUNCTION("""COMPUTED_VALUE"""),409119.0)</f>
        <v>409119</v>
      </c>
    </row>
    <row r="3684">
      <c r="A3684" s="2">
        <f>IFERROR(__xludf.DUMMYFUNCTION("""COMPUTED_VALUE"""),41960.64583333333)</f>
        <v>41960.64583</v>
      </c>
      <c r="B3684" s="1">
        <f>IFERROR(__xludf.DUMMYFUNCTION("""COMPUTED_VALUE"""),756.15)</f>
        <v>756.15</v>
      </c>
      <c r="C3684" s="1">
        <f>IFERROR(__xludf.DUMMYFUNCTION("""COMPUTED_VALUE"""),765.3)</f>
        <v>765.3</v>
      </c>
      <c r="D3684" s="1">
        <f>IFERROR(__xludf.DUMMYFUNCTION("""COMPUTED_VALUE"""),750.0)</f>
        <v>750</v>
      </c>
      <c r="E3684" s="1">
        <f>IFERROR(__xludf.DUMMYFUNCTION("""COMPUTED_VALUE"""),757.2)</f>
        <v>757.2</v>
      </c>
      <c r="F3684" s="1">
        <f>IFERROR(__xludf.DUMMYFUNCTION("""COMPUTED_VALUE"""),586703.0)</f>
        <v>586703</v>
      </c>
    </row>
    <row r="3685">
      <c r="A3685" s="2">
        <f>IFERROR(__xludf.DUMMYFUNCTION("""COMPUTED_VALUE"""),41961.64583333333)</f>
        <v>41961.64583</v>
      </c>
      <c r="B3685" s="1">
        <f>IFERROR(__xludf.DUMMYFUNCTION("""COMPUTED_VALUE"""),755.2)</f>
        <v>755.2</v>
      </c>
      <c r="C3685" s="1">
        <f>IFERROR(__xludf.DUMMYFUNCTION("""COMPUTED_VALUE"""),758.95)</f>
        <v>758.95</v>
      </c>
      <c r="D3685" s="1">
        <f>IFERROR(__xludf.DUMMYFUNCTION("""COMPUTED_VALUE"""),750.0)</f>
        <v>750</v>
      </c>
      <c r="E3685" s="1">
        <f>IFERROR(__xludf.DUMMYFUNCTION("""COMPUTED_VALUE"""),751.85)</f>
        <v>751.85</v>
      </c>
      <c r="F3685" s="1">
        <f>IFERROR(__xludf.DUMMYFUNCTION("""COMPUTED_VALUE"""),448206.0)</f>
        <v>448206</v>
      </c>
    </row>
    <row r="3686">
      <c r="A3686" s="2">
        <f>IFERROR(__xludf.DUMMYFUNCTION("""COMPUTED_VALUE"""),41962.64583333333)</f>
        <v>41962.64583</v>
      </c>
      <c r="B3686" s="1">
        <f>IFERROR(__xludf.DUMMYFUNCTION("""COMPUTED_VALUE"""),754.4)</f>
        <v>754.4</v>
      </c>
      <c r="C3686" s="1">
        <f>IFERROR(__xludf.DUMMYFUNCTION("""COMPUTED_VALUE"""),766.8)</f>
        <v>766.8</v>
      </c>
      <c r="D3686" s="1">
        <f>IFERROR(__xludf.DUMMYFUNCTION("""COMPUTED_VALUE"""),752.2)</f>
        <v>752.2</v>
      </c>
      <c r="E3686" s="1">
        <f>IFERROR(__xludf.DUMMYFUNCTION("""COMPUTED_VALUE"""),760.2)</f>
        <v>760.2</v>
      </c>
      <c r="F3686" s="1">
        <f>IFERROR(__xludf.DUMMYFUNCTION("""COMPUTED_VALUE"""),941820.0)</f>
        <v>941820</v>
      </c>
    </row>
    <row r="3687">
      <c r="A3687" s="2">
        <f>IFERROR(__xludf.DUMMYFUNCTION("""COMPUTED_VALUE"""),41963.64583333333)</f>
        <v>41963.64583</v>
      </c>
      <c r="B3687" s="1">
        <f>IFERROR(__xludf.DUMMYFUNCTION("""COMPUTED_VALUE"""),761.4)</f>
        <v>761.4</v>
      </c>
      <c r="C3687" s="1">
        <f>IFERROR(__xludf.DUMMYFUNCTION("""COMPUTED_VALUE"""),765.0)</f>
        <v>765</v>
      </c>
      <c r="D3687" s="1">
        <f>IFERROR(__xludf.DUMMYFUNCTION("""COMPUTED_VALUE"""),755.1)</f>
        <v>755.1</v>
      </c>
      <c r="E3687" s="1">
        <f>IFERROR(__xludf.DUMMYFUNCTION("""COMPUTED_VALUE"""),761.25)</f>
        <v>761.25</v>
      </c>
      <c r="F3687" s="1">
        <f>IFERROR(__xludf.DUMMYFUNCTION("""COMPUTED_VALUE"""),853211.0)</f>
        <v>853211</v>
      </c>
    </row>
    <row r="3688">
      <c r="A3688" s="2">
        <f>IFERROR(__xludf.DUMMYFUNCTION("""COMPUTED_VALUE"""),41964.64583333333)</f>
        <v>41964.64583</v>
      </c>
      <c r="B3688" s="1">
        <f>IFERROR(__xludf.DUMMYFUNCTION("""COMPUTED_VALUE"""),759.0)</f>
        <v>759</v>
      </c>
      <c r="C3688" s="1">
        <f>IFERROR(__xludf.DUMMYFUNCTION("""COMPUTED_VALUE"""),762.7)</f>
        <v>762.7</v>
      </c>
      <c r="D3688" s="1">
        <f>IFERROR(__xludf.DUMMYFUNCTION("""COMPUTED_VALUE"""),751.85)</f>
        <v>751.85</v>
      </c>
      <c r="E3688" s="1">
        <f>IFERROR(__xludf.DUMMYFUNCTION("""COMPUTED_VALUE"""),753.0)</f>
        <v>753</v>
      </c>
      <c r="F3688" s="1">
        <f>IFERROR(__xludf.DUMMYFUNCTION("""COMPUTED_VALUE"""),687247.0)</f>
        <v>687247</v>
      </c>
    </row>
    <row r="3689">
      <c r="A3689" s="2">
        <f>IFERROR(__xludf.DUMMYFUNCTION("""COMPUTED_VALUE"""),41967.64583333333)</f>
        <v>41967.64583</v>
      </c>
      <c r="B3689" s="1">
        <f>IFERROR(__xludf.DUMMYFUNCTION("""COMPUTED_VALUE"""),755.5)</f>
        <v>755.5</v>
      </c>
      <c r="C3689" s="1">
        <f>IFERROR(__xludf.DUMMYFUNCTION("""COMPUTED_VALUE"""),756.5)</f>
        <v>756.5</v>
      </c>
      <c r="D3689" s="1">
        <f>IFERROR(__xludf.DUMMYFUNCTION("""COMPUTED_VALUE"""),746.0)</f>
        <v>746</v>
      </c>
      <c r="E3689" s="1">
        <f>IFERROR(__xludf.DUMMYFUNCTION("""COMPUTED_VALUE"""),750.1)</f>
        <v>750.1</v>
      </c>
      <c r="F3689" s="1">
        <f>IFERROR(__xludf.DUMMYFUNCTION("""COMPUTED_VALUE"""),540115.0)</f>
        <v>540115</v>
      </c>
    </row>
    <row r="3690">
      <c r="A3690" s="2">
        <f>IFERROR(__xludf.DUMMYFUNCTION("""COMPUTED_VALUE"""),41968.64583333333)</f>
        <v>41968.64583</v>
      </c>
      <c r="B3690" s="1">
        <f>IFERROR(__xludf.DUMMYFUNCTION("""COMPUTED_VALUE"""),750.1)</f>
        <v>750.1</v>
      </c>
      <c r="C3690" s="1">
        <f>IFERROR(__xludf.DUMMYFUNCTION("""COMPUTED_VALUE"""),774.9)</f>
        <v>774.9</v>
      </c>
      <c r="D3690" s="1">
        <f>IFERROR(__xludf.DUMMYFUNCTION("""COMPUTED_VALUE"""),747.1)</f>
        <v>747.1</v>
      </c>
      <c r="E3690" s="1">
        <f>IFERROR(__xludf.DUMMYFUNCTION("""COMPUTED_VALUE"""),765.7)</f>
        <v>765.7</v>
      </c>
      <c r="F3690" s="1">
        <f>IFERROR(__xludf.DUMMYFUNCTION("""COMPUTED_VALUE"""),1503248.0)</f>
        <v>1503248</v>
      </c>
    </row>
    <row r="3691">
      <c r="A3691" s="2">
        <f>IFERROR(__xludf.DUMMYFUNCTION("""COMPUTED_VALUE"""),41969.64583333333)</f>
        <v>41969.64583</v>
      </c>
      <c r="B3691" s="1">
        <f>IFERROR(__xludf.DUMMYFUNCTION("""COMPUTED_VALUE"""),765.0)</f>
        <v>765</v>
      </c>
      <c r="C3691" s="1">
        <f>IFERROR(__xludf.DUMMYFUNCTION("""COMPUTED_VALUE"""),771.75)</f>
        <v>771.75</v>
      </c>
      <c r="D3691" s="1">
        <f>IFERROR(__xludf.DUMMYFUNCTION("""COMPUTED_VALUE"""),762.5)</f>
        <v>762.5</v>
      </c>
      <c r="E3691" s="1">
        <f>IFERROR(__xludf.DUMMYFUNCTION("""COMPUTED_VALUE"""),769.75)</f>
        <v>769.75</v>
      </c>
      <c r="F3691" s="1">
        <f>IFERROR(__xludf.DUMMYFUNCTION("""COMPUTED_VALUE"""),685238.0)</f>
        <v>685238</v>
      </c>
    </row>
    <row r="3692">
      <c r="A3692" s="2">
        <f>IFERROR(__xludf.DUMMYFUNCTION("""COMPUTED_VALUE"""),41970.64583333333)</f>
        <v>41970.64583</v>
      </c>
      <c r="B3692" s="1">
        <f>IFERROR(__xludf.DUMMYFUNCTION("""COMPUTED_VALUE"""),771.0)</f>
        <v>771</v>
      </c>
      <c r="C3692" s="1">
        <f>IFERROR(__xludf.DUMMYFUNCTION("""COMPUTED_VALUE"""),792.7)</f>
        <v>792.7</v>
      </c>
      <c r="D3692" s="1">
        <f>IFERROR(__xludf.DUMMYFUNCTION("""COMPUTED_VALUE"""),766.8)</f>
        <v>766.8</v>
      </c>
      <c r="E3692" s="1">
        <f>IFERROR(__xludf.DUMMYFUNCTION("""COMPUTED_VALUE"""),790.05)</f>
        <v>790.05</v>
      </c>
      <c r="F3692" s="1">
        <f>IFERROR(__xludf.DUMMYFUNCTION("""COMPUTED_VALUE"""),1180496.0)</f>
        <v>1180496</v>
      </c>
    </row>
    <row r="3693">
      <c r="A3693" s="2">
        <f>IFERROR(__xludf.DUMMYFUNCTION("""COMPUTED_VALUE"""),41971.64583333333)</f>
        <v>41971.64583</v>
      </c>
      <c r="B3693" s="1">
        <f>IFERROR(__xludf.DUMMYFUNCTION("""COMPUTED_VALUE"""),794.0)</f>
        <v>794</v>
      </c>
      <c r="C3693" s="1">
        <f>IFERROR(__xludf.DUMMYFUNCTION("""COMPUTED_VALUE"""),798.85)</f>
        <v>798.85</v>
      </c>
      <c r="D3693" s="1">
        <f>IFERROR(__xludf.DUMMYFUNCTION("""COMPUTED_VALUE"""),783.1)</f>
        <v>783.1</v>
      </c>
      <c r="E3693" s="1">
        <f>IFERROR(__xludf.DUMMYFUNCTION("""COMPUTED_VALUE"""),786.1)</f>
        <v>786.1</v>
      </c>
      <c r="F3693" s="1">
        <f>IFERROR(__xludf.DUMMYFUNCTION("""COMPUTED_VALUE"""),811909.0)</f>
        <v>811909</v>
      </c>
    </row>
    <row r="3694">
      <c r="A3694" s="2">
        <f>IFERROR(__xludf.DUMMYFUNCTION("""COMPUTED_VALUE"""),41974.64583333333)</f>
        <v>41974.64583</v>
      </c>
      <c r="B3694" s="1">
        <f>IFERROR(__xludf.DUMMYFUNCTION("""COMPUTED_VALUE"""),786.0)</f>
        <v>786</v>
      </c>
      <c r="C3694" s="1">
        <f>IFERROR(__xludf.DUMMYFUNCTION("""COMPUTED_VALUE"""),814.85)</f>
        <v>814.85</v>
      </c>
      <c r="D3694" s="1">
        <f>IFERROR(__xludf.DUMMYFUNCTION("""COMPUTED_VALUE"""),783.95)</f>
        <v>783.95</v>
      </c>
      <c r="E3694" s="1">
        <f>IFERROR(__xludf.DUMMYFUNCTION("""COMPUTED_VALUE"""),808.65)</f>
        <v>808.65</v>
      </c>
      <c r="F3694" s="1">
        <f>IFERROR(__xludf.DUMMYFUNCTION("""COMPUTED_VALUE"""),1200960.0)</f>
        <v>1200960</v>
      </c>
    </row>
    <row r="3695">
      <c r="A3695" s="2">
        <f>IFERROR(__xludf.DUMMYFUNCTION("""COMPUTED_VALUE"""),41975.64583333333)</f>
        <v>41975.64583</v>
      </c>
      <c r="B3695" s="1">
        <f>IFERROR(__xludf.DUMMYFUNCTION("""COMPUTED_VALUE"""),811.5)</f>
        <v>811.5</v>
      </c>
      <c r="C3695" s="1">
        <f>IFERROR(__xludf.DUMMYFUNCTION("""COMPUTED_VALUE"""),817.15)</f>
        <v>817.15</v>
      </c>
      <c r="D3695" s="1">
        <f>IFERROR(__xludf.DUMMYFUNCTION("""COMPUTED_VALUE"""),804.25)</f>
        <v>804.25</v>
      </c>
      <c r="E3695" s="1">
        <f>IFERROR(__xludf.DUMMYFUNCTION("""COMPUTED_VALUE"""),805.8)</f>
        <v>805.8</v>
      </c>
      <c r="F3695" s="1">
        <f>IFERROR(__xludf.DUMMYFUNCTION("""COMPUTED_VALUE"""),573874.0)</f>
        <v>573874</v>
      </c>
    </row>
    <row r="3696">
      <c r="A3696" s="2">
        <f>IFERROR(__xludf.DUMMYFUNCTION("""COMPUTED_VALUE"""),41976.64583333333)</f>
        <v>41976.64583</v>
      </c>
      <c r="B3696" s="1">
        <f>IFERROR(__xludf.DUMMYFUNCTION("""COMPUTED_VALUE"""),807.4)</f>
        <v>807.4</v>
      </c>
      <c r="C3696" s="1">
        <f>IFERROR(__xludf.DUMMYFUNCTION("""COMPUTED_VALUE"""),822.3)</f>
        <v>822.3</v>
      </c>
      <c r="D3696" s="1">
        <f>IFERROR(__xludf.DUMMYFUNCTION("""COMPUTED_VALUE"""),802.35)</f>
        <v>802.35</v>
      </c>
      <c r="E3696" s="1">
        <f>IFERROR(__xludf.DUMMYFUNCTION("""COMPUTED_VALUE"""),819.0)</f>
        <v>819</v>
      </c>
      <c r="F3696" s="1">
        <f>IFERROR(__xludf.DUMMYFUNCTION("""COMPUTED_VALUE"""),937567.0)</f>
        <v>937567</v>
      </c>
    </row>
    <row r="3697">
      <c r="A3697" s="2">
        <f>IFERROR(__xludf.DUMMYFUNCTION("""COMPUTED_VALUE"""),41977.64583333333)</f>
        <v>41977.64583</v>
      </c>
      <c r="B3697" s="1">
        <f>IFERROR(__xludf.DUMMYFUNCTION("""COMPUTED_VALUE"""),816.5)</f>
        <v>816.5</v>
      </c>
      <c r="C3697" s="1">
        <f>IFERROR(__xludf.DUMMYFUNCTION("""COMPUTED_VALUE"""),829.75)</f>
        <v>829.75</v>
      </c>
      <c r="D3697" s="1">
        <f>IFERROR(__xludf.DUMMYFUNCTION("""COMPUTED_VALUE"""),814.35)</f>
        <v>814.35</v>
      </c>
      <c r="E3697" s="1">
        <f>IFERROR(__xludf.DUMMYFUNCTION("""COMPUTED_VALUE"""),824.65)</f>
        <v>824.65</v>
      </c>
      <c r="F3697" s="1">
        <f>IFERROR(__xludf.DUMMYFUNCTION("""COMPUTED_VALUE"""),1121315.0)</f>
        <v>1121315</v>
      </c>
    </row>
    <row r="3698">
      <c r="A3698" s="2">
        <f>IFERROR(__xludf.DUMMYFUNCTION("""COMPUTED_VALUE"""),41978.64583333333)</f>
        <v>41978.64583</v>
      </c>
      <c r="B3698" s="1">
        <f>IFERROR(__xludf.DUMMYFUNCTION("""COMPUTED_VALUE"""),820.0)</f>
        <v>820</v>
      </c>
      <c r="C3698" s="1">
        <f>IFERROR(__xludf.DUMMYFUNCTION("""COMPUTED_VALUE"""),827.5)</f>
        <v>827.5</v>
      </c>
      <c r="D3698" s="1">
        <f>IFERROR(__xludf.DUMMYFUNCTION("""COMPUTED_VALUE"""),812.7)</f>
        <v>812.7</v>
      </c>
      <c r="E3698" s="1">
        <f>IFERROR(__xludf.DUMMYFUNCTION("""COMPUTED_VALUE"""),820.65)</f>
        <v>820.65</v>
      </c>
      <c r="F3698" s="1">
        <f>IFERROR(__xludf.DUMMYFUNCTION("""COMPUTED_VALUE"""),688493.0)</f>
        <v>688493</v>
      </c>
    </row>
    <row r="3699">
      <c r="A3699" s="2">
        <f>IFERROR(__xludf.DUMMYFUNCTION("""COMPUTED_VALUE"""),41981.64583333333)</f>
        <v>41981.64583</v>
      </c>
      <c r="B3699" s="1">
        <f>IFERROR(__xludf.DUMMYFUNCTION("""COMPUTED_VALUE"""),820.0)</f>
        <v>820</v>
      </c>
      <c r="C3699" s="1">
        <f>IFERROR(__xludf.DUMMYFUNCTION("""COMPUTED_VALUE"""),828.45)</f>
        <v>828.45</v>
      </c>
      <c r="D3699" s="1">
        <f>IFERROR(__xludf.DUMMYFUNCTION("""COMPUTED_VALUE"""),814.25)</f>
        <v>814.25</v>
      </c>
      <c r="E3699" s="1">
        <f>IFERROR(__xludf.DUMMYFUNCTION("""COMPUTED_VALUE"""),820.0)</f>
        <v>820</v>
      </c>
      <c r="F3699" s="1">
        <f>IFERROR(__xludf.DUMMYFUNCTION("""COMPUTED_VALUE"""),1016796.0)</f>
        <v>1016796</v>
      </c>
    </row>
    <row r="3700">
      <c r="A3700" s="2">
        <f>IFERROR(__xludf.DUMMYFUNCTION("""COMPUTED_VALUE"""),41982.64583333333)</f>
        <v>41982.64583</v>
      </c>
      <c r="B3700" s="1">
        <f>IFERROR(__xludf.DUMMYFUNCTION("""COMPUTED_VALUE"""),819.0)</f>
        <v>819</v>
      </c>
      <c r="C3700" s="1">
        <f>IFERROR(__xludf.DUMMYFUNCTION("""COMPUTED_VALUE"""),819.5)</f>
        <v>819.5</v>
      </c>
      <c r="D3700" s="1">
        <f>IFERROR(__xludf.DUMMYFUNCTION("""COMPUTED_VALUE"""),810.05)</f>
        <v>810.05</v>
      </c>
      <c r="E3700" s="1">
        <f>IFERROR(__xludf.DUMMYFUNCTION("""COMPUTED_VALUE"""),812.95)</f>
        <v>812.95</v>
      </c>
      <c r="F3700" s="1">
        <f>IFERROR(__xludf.DUMMYFUNCTION("""COMPUTED_VALUE"""),945417.0)</f>
        <v>945417</v>
      </c>
    </row>
    <row r="3701">
      <c r="A3701" s="2">
        <f>IFERROR(__xludf.DUMMYFUNCTION("""COMPUTED_VALUE"""),41983.64583333333)</f>
        <v>41983.64583</v>
      </c>
      <c r="B3701" s="1">
        <f>IFERROR(__xludf.DUMMYFUNCTION("""COMPUTED_VALUE"""),811.15)</f>
        <v>811.15</v>
      </c>
      <c r="C3701" s="1">
        <f>IFERROR(__xludf.DUMMYFUNCTION("""COMPUTED_VALUE"""),815.4)</f>
        <v>815.4</v>
      </c>
      <c r="D3701" s="1">
        <f>IFERROR(__xludf.DUMMYFUNCTION("""COMPUTED_VALUE"""),795.1)</f>
        <v>795.1</v>
      </c>
      <c r="E3701" s="1">
        <f>IFERROR(__xludf.DUMMYFUNCTION("""COMPUTED_VALUE"""),797.8)</f>
        <v>797.8</v>
      </c>
      <c r="F3701" s="1">
        <f>IFERROR(__xludf.DUMMYFUNCTION("""COMPUTED_VALUE"""),1152293.0)</f>
        <v>1152293</v>
      </c>
    </row>
    <row r="3702">
      <c r="A3702" s="2">
        <f>IFERROR(__xludf.DUMMYFUNCTION("""COMPUTED_VALUE"""),41984.64583333333)</f>
        <v>41984.64583</v>
      </c>
      <c r="B3702" s="1">
        <f>IFERROR(__xludf.DUMMYFUNCTION("""COMPUTED_VALUE"""),799.35)</f>
        <v>799.35</v>
      </c>
      <c r="C3702" s="1">
        <f>IFERROR(__xludf.DUMMYFUNCTION("""COMPUTED_VALUE"""),803.0)</f>
        <v>803</v>
      </c>
      <c r="D3702" s="1">
        <f>IFERROR(__xludf.DUMMYFUNCTION("""COMPUTED_VALUE"""),790.35)</f>
        <v>790.35</v>
      </c>
      <c r="E3702" s="1">
        <f>IFERROR(__xludf.DUMMYFUNCTION("""COMPUTED_VALUE"""),796.05)</f>
        <v>796.05</v>
      </c>
      <c r="F3702" s="1">
        <f>IFERROR(__xludf.DUMMYFUNCTION("""COMPUTED_VALUE"""),1573622.0)</f>
        <v>1573622</v>
      </c>
    </row>
    <row r="3703">
      <c r="A3703" s="2">
        <f>IFERROR(__xludf.DUMMYFUNCTION("""COMPUTED_VALUE"""),41985.64583333333)</f>
        <v>41985.64583</v>
      </c>
      <c r="B3703" s="1">
        <f>IFERROR(__xludf.DUMMYFUNCTION("""COMPUTED_VALUE"""),798.4)</f>
        <v>798.4</v>
      </c>
      <c r="C3703" s="1">
        <f>IFERROR(__xludf.DUMMYFUNCTION("""COMPUTED_VALUE"""),804.3)</f>
        <v>804.3</v>
      </c>
      <c r="D3703" s="1">
        <f>IFERROR(__xludf.DUMMYFUNCTION("""COMPUTED_VALUE"""),794.0)</f>
        <v>794</v>
      </c>
      <c r="E3703" s="1">
        <f>IFERROR(__xludf.DUMMYFUNCTION("""COMPUTED_VALUE"""),797.75)</f>
        <v>797.75</v>
      </c>
      <c r="F3703" s="1">
        <f>IFERROR(__xludf.DUMMYFUNCTION("""COMPUTED_VALUE"""),767757.0)</f>
        <v>767757</v>
      </c>
    </row>
    <row r="3704">
      <c r="A3704" s="2">
        <f>IFERROR(__xludf.DUMMYFUNCTION("""COMPUTED_VALUE"""),41988.64583333333)</f>
        <v>41988.64583</v>
      </c>
      <c r="B3704" s="1">
        <f>IFERROR(__xludf.DUMMYFUNCTION("""COMPUTED_VALUE"""),795.0)</f>
        <v>795</v>
      </c>
      <c r="C3704" s="1">
        <f>IFERROR(__xludf.DUMMYFUNCTION("""COMPUTED_VALUE"""),808.85)</f>
        <v>808.85</v>
      </c>
      <c r="D3704" s="1">
        <f>IFERROR(__xludf.DUMMYFUNCTION("""COMPUTED_VALUE"""),784.65)</f>
        <v>784.65</v>
      </c>
      <c r="E3704" s="1">
        <f>IFERROR(__xludf.DUMMYFUNCTION("""COMPUTED_VALUE"""),790.1)</f>
        <v>790.1</v>
      </c>
      <c r="F3704" s="1">
        <f>IFERROR(__xludf.DUMMYFUNCTION("""COMPUTED_VALUE"""),704516.0)</f>
        <v>704516</v>
      </c>
    </row>
    <row r="3705">
      <c r="A3705" s="2">
        <f>IFERROR(__xludf.DUMMYFUNCTION("""COMPUTED_VALUE"""),41989.64583333333)</f>
        <v>41989.64583</v>
      </c>
      <c r="B3705" s="1">
        <f>IFERROR(__xludf.DUMMYFUNCTION("""COMPUTED_VALUE"""),792.4)</f>
        <v>792.4</v>
      </c>
      <c r="C3705" s="1">
        <f>IFERROR(__xludf.DUMMYFUNCTION("""COMPUTED_VALUE"""),792.4)</f>
        <v>792.4</v>
      </c>
      <c r="D3705" s="1">
        <f>IFERROR(__xludf.DUMMYFUNCTION("""COMPUTED_VALUE"""),763.0)</f>
        <v>763</v>
      </c>
      <c r="E3705" s="1">
        <f>IFERROR(__xludf.DUMMYFUNCTION("""COMPUTED_VALUE"""),766.65)</f>
        <v>766.65</v>
      </c>
      <c r="F3705" s="1">
        <f>IFERROR(__xludf.DUMMYFUNCTION("""COMPUTED_VALUE"""),1179886.0)</f>
        <v>1179886</v>
      </c>
    </row>
    <row r="3706">
      <c r="A3706" s="2">
        <f>IFERROR(__xludf.DUMMYFUNCTION("""COMPUTED_VALUE"""),41990.64583333333)</f>
        <v>41990.64583</v>
      </c>
      <c r="B3706" s="1">
        <f>IFERROR(__xludf.DUMMYFUNCTION("""COMPUTED_VALUE"""),760.25)</f>
        <v>760.25</v>
      </c>
      <c r="C3706" s="1">
        <f>IFERROR(__xludf.DUMMYFUNCTION("""COMPUTED_VALUE"""),773.05)</f>
        <v>773.05</v>
      </c>
      <c r="D3706" s="1">
        <f>IFERROR(__xludf.DUMMYFUNCTION("""COMPUTED_VALUE"""),760.25)</f>
        <v>760.25</v>
      </c>
      <c r="E3706" s="1">
        <f>IFERROR(__xludf.DUMMYFUNCTION("""COMPUTED_VALUE"""),766.35)</f>
        <v>766.35</v>
      </c>
      <c r="F3706" s="1">
        <f>IFERROR(__xludf.DUMMYFUNCTION("""COMPUTED_VALUE"""),1984735.0)</f>
        <v>1984735</v>
      </c>
    </row>
    <row r="3707">
      <c r="A3707" s="2">
        <f>IFERROR(__xludf.DUMMYFUNCTION("""COMPUTED_VALUE"""),41991.64583333333)</f>
        <v>41991.64583</v>
      </c>
      <c r="B3707" s="1">
        <f>IFERROR(__xludf.DUMMYFUNCTION("""COMPUTED_VALUE"""),767.2)</f>
        <v>767.2</v>
      </c>
      <c r="C3707" s="1">
        <f>IFERROR(__xludf.DUMMYFUNCTION("""COMPUTED_VALUE"""),770.0)</f>
        <v>770</v>
      </c>
      <c r="D3707" s="1">
        <f>IFERROR(__xludf.DUMMYFUNCTION("""COMPUTED_VALUE"""),753.05)</f>
        <v>753.05</v>
      </c>
      <c r="E3707" s="1">
        <f>IFERROR(__xludf.DUMMYFUNCTION("""COMPUTED_VALUE"""),765.95)</f>
        <v>765.95</v>
      </c>
      <c r="F3707" s="1">
        <f>IFERROR(__xludf.DUMMYFUNCTION("""COMPUTED_VALUE"""),1165188.0)</f>
        <v>1165188</v>
      </c>
    </row>
    <row r="3708">
      <c r="A3708" s="2">
        <f>IFERROR(__xludf.DUMMYFUNCTION("""COMPUTED_VALUE"""),41992.64583333333)</f>
        <v>41992.64583</v>
      </c>
      <c r="B3708" s="1">
        <f>IFERROR(__xludf.DUMMYFUNCTION("""COMPUTED_VALUE"""),771.0)</f>
        <v>771</v>
      </c>
      <c r="C3708" s="1">
        <f>IFERROR(__xludf.DUMMYFUNCTION("""COMPUTED_VALUE"""),771.0)</f>
        <v>771</v>
      </c>
      <c r="D3708" s="1">
        <f>IFERROR(__xludf.DUMMYFUNCTION("""COMPUTED_VALUE"""),750.0)</f>
        <v>750</v>
      </c>
      <c r="E3708" s="1">
        <f>IFERROR(__xludf.DUMMYFUNCTION("""COMPUTED_VALUE"""),755.15)</f>
        <v>755.15</v>
      </c>
      <c r="F3708" s="1">
        <f>IFERROR(__xludf.DUMMYFUNCTION("""COMPUTED_VALUE"""),1147950.0)</f>
        <v>1147950</v>
      </c>
    </row>
    <row r="3709">
      <c r="A3709" s="2">
        <f>IFERROR(__xludf.DUMMYFUNCTION("""COMPUTED_VALUE"""),41995.64583333333)</f>
        <v>41995.64583</v>
      </c>
      <c r="B3709" s="1">
        <f>IFERROR(__xludf.DUMMYFUNCTION("""COMPUTED_VALUE"""),758.8)</f>
        <v>758.8</v>
      </c>
      <c r="C3709" s="1">
        <f>IFERROR(__xludf.DUMMYFUNCTION("""COMPUTED_VALUE"""),769.9)</f>
        <v>769.9</v>
      </c>
      <c r="D3709" s="1">
        <f>IFERROR(__xludf.DUMMYFUNCTION("""COMPUTED_VALUE"""),752.3)</f>
        <v>752.3</v>
      </c>
      <c r="E3709" s="1">
        <f>IFERROR(__xludf.DUMMYFUNCTION("""COMPUTED_VALUE"""),767.85)</f>
        <v>767.85</v>
      </c>
      <c r="F3709" s="1">
        <f>IFERROR(__xludf.DUMMYFUNCTION("""COMPUTED_VALUE"""),958306.0)</f>
        <v>958306</v>
      </c>
    </row>
    <row r="3710">
      <c r="A3710" s="2">
        <f>IFERROR(__xludf.DUMMYFUNCTION("""COMPUTED_VALUE"""),41996.64583333333)</f>
        <v>41996.64583</v>
      </c>
      <c r="B3710" s="1">
        <f>IFERROR(__xludf.DUMMYFUNCTION("""COMPUTED_VALUE"""),769.0)</f>
        <v>769</v>
      </c>
      <c r="C3710" s="1">
        <f>IFERROR(__xludf.DUMMYFUNCTION("""COMPUTED_VALUE"""),770.8)</f>
        <v>770.8</v>
      </c>
      <c r="D3710" s="1">
        <f>IFERROR(__xludf.DUMMYFUNCTION("""COMPUTED_VALUE"""),761.15)</f>
        <v>761.15</v>
      </c>
      <c r="E3710" s="1">
        <f>IFERROR(__xludf.DUMMYFUNCTION("""COMPUTED_VALUE"""),766.1)</f>
        <v>766.1</v>
      </c>
      <c r="F3710" s="1">
        <f>IFERROR(__xludf.DUMMYFUNCTION("""COMPUTED_VALUE"""),1277960.0)</f>
        <v>1277960</v>
      </c>
    </row>
    <row r="3711">
      <c r="A3711" s="2">
        <f>IFERROR(__xludf.DUMMYFUNCTION("""COMPUTED_VALUE"""),41997.64583333333)</f>
        <v>41997.64583</v>
      </c>
      <c r="B3711" s="1">
        <f>IFERROR(__xludf.DUMMYFUNCTION("""COMPUTED_VALUE"""),763.2)</f>
        <v>763.2</v>
      </c>
      <c r="C3711" s="1">
        <f>IFERROR(__xludf.DUMMYFUNCTION("""COMPUTED_VALUE"""),767.1)</f>
        <v>767.1</v>
      </c>
      <c r="D3711" s="1">
        <f>IFERROR(__xludf.DUMMYFUNCTION("""COMPUTED_VALUE"""),752.0)</f>
        <v>752</v>
      </c>
      <c r="E3711" s="1">
        <f>IFERROR(__xludf.DUMMYFUNCTION("""COMPUTED_VALUE"""),757.0)</f>
        <v>757</v>
      </c>
      <c r="F3711" s="1">
        <f>IFERROR(__xludf.DUMMYFUNCTION("""COMPUTED_VALUE"""),2527523.0)</f>
        <v>2527523</v>
      </c>
    </row>
    <row r="3712">
      <c r="A3712" s="2">
        <f>IFERROR(__xludf.DUMMYFUNCTION("""COMPUTED_VALUE"""),41999.64583333333)</f>
        <v>41999.64583</v>
      </c>
      <c r="B3712" s="1">
        <f>IFERROR(__xludf.DUMMYFUNCTION("""COMPUTED_VALUE"""),752.6)</f>
        <v>752.6</v>
      </c>
      <c r="C3712" s="1">
        <f>IFERROR(__xludf.DUMMYFUNCTION("""COMPUTED_VALUE"""),756.0)</f>
        <v>756</v>
      </c>
      <c r="D3712" s="1">
        <f>IFERROR(__xludf.DUMMYFUNCTION("""COMPUTED_VALUE"""),744.5)</f>
        <v>744.5</v>
      </c>
      <c r="E3712" s="1">
        <f>IFERROR(__xludf.DUMMYFUNCTION("""COMPUTED_VALUE"""),750.35)</f>
        <v>750.35</v>
      </c>
      <c r="F3712" s="1">
        <f>IFERROR(__xludf.DUMMYFUNCTION("""COMPUTED_VALUE"""),625243.0)</f>
        <v>625243</v>
      </c>
    </row>
    <row r="3713">
      <c r="A3713" s="2">
        <f>IFERROR(__xludf.DUMMYFUNCTION("""COMPUTED_VALUE"""),42002.64583333333)</f>
        <v>42002.64583</v>
      </c>
      <c r="B3713" s="1">
        <f>IFERROR(__xludf.DUMMYFUNCTION("""COMPUTED_VALUE"""),753.4)</f>
        <v>753.4</v>
      </c>
      <c r="C3713" s="1">
        <f>IFERROR(__xludf.DUMMYFUNCTION("""COMPUTED_VALUE"""),763.25)</f>
        <v>763.25</v>
      </c>
      <c r="D3713" s="1">
        <f>IFERROR(__xludf.DUMMYFUNCTION("""COMPUTED_VALUE"""),752.15)</f>
        <v>752.15</v>
      </c>
      <c r="E3713" s="1">
        <f>IFERROR(__xludf.DUMMYFUNCTION("""COMPUTED_VALUE"""),758.85)</f>
        <v>758.85</v>
      </c>
      <c r="F3713" s="1">
        <f>IFERROR(__xludf.DUMMYFUNCTION("""COMPUTED_VALUE"""),616322.0)</f>
        <v>616322</v>
      </c>
    </row>
    <row r="3714">
      <c r="A3714" s="2">
        <f>IFERROR(__xludf.DUMMYFUNCTION("""COMPUTED_VALUE"""),42003.64583333333)</f>
        <v>42003.64583</v>
      </c>
      <c r="B3714" s="1">
        <f>IFERROR(__xludf.DUMMYFUNCTION("""COMPUTED_VALUE"""),761.9)</f>
        <v>761.9</v>
      </c>
      <c r="C3714" s="1">
        <f>IFERROR(__xludf.DUMMYFUNCTION("""COMPUTED_VALUE"""),767.25)</f>
        <v>767.25</v>
      </c>
      <c r="D3714" s="1">
        <f>IFERROR(__xludf.DUMMYFUNCTION("""COMPUTED_VALUE"""),758.0)</f>
        <v>758</v>
      </c>
      <c r="E3714" s="1">
        <f>IFERROR(__xludf.DUMMYFUNCTION("""COMPUTED_VALUE"""),759.5)</f>
        <v>759.5</v>
      </c>
      <c r="F3714" s="1">
        <f>IFERROR(__xludf.DUMMYFUNCTION("""COMPUTED_VALUE"""),397534.0)</f>
        <v>397534</v>
      </c>
    </row>
    <row r="3715">
      <c r="A3715" s="2">
        <f>IFERROR(__xludf.DUMMYFUNCTION("""COMPUTED_VALUE"""),42004.64583333333)</f>
        <v>42004.64583</v>
      </c>
      <c r="B3715" s="1">
        <f>IFERROR(__xludf.DUMMYFUNCTION("""COMPUTED_VALUE"""),760.9)</f>
        <v>760.9</v>
      </c>
      <c r="C3715" s="1">
        <f>IFERROR(__xludf.DUMMYFUNCTION("""COMPUTED_VALUE"""),763.4)</f>
        <v>763.4</v>
      </c>
      <c r="D3715" s="1">
        <f>IFERROR(__xludf.DUMMYFUNCTION("""COMPUTED_VALUE"""),753.3)</f>
        <v>753.3</v>
      </c>
      <c r="E3715" s="1">
        <f>IFERROR(__xludf.DUMMYFUNCTION("""COMPUTED_VALUE"""),760.1)</f>
        <v>760.1</v>
      </c>
      <c r="F3715" s="1">
        <f>IFERROR(__xludf.DUMMYFUNCTION("""COMPUTED_VALUE"""),1044950.0)</f>
        <v>1044950</v>
      </c>
    </row>
    <row r="3716">
      <c r="A3716" s="2">
        <f>IFERROR(__xludf.DUMMYFUNCTION("""COMPUTED_VALUE"""),42005.64583333333)</f>
        <v>42005.64583</v>
      </c>
      <c r="B3716" s="1">
        <f>IFERROR(__xludf.DUMMYFUNCTION("""COMPUTED_VALUE"""),759.3)</f>
        <v>759.3</v>
      </c>
      <c r="C3716" s="1">
        <f>IFERROR(__xludf.DUMMYFUNCTION("""COMPUTED_VALUE"""),761.9)</f>
        <v>761.9</v>
      </c>
      <c r="D3716" s="1">
        <f>IFERROR(__xludf.DUMMYFUNCTION("""COMPUTED_VALUE"""),754.15)</f>
        <v>754.15</v>
      </c>
      <c r="E3716" s="1">
        <f>IFERROR(__xludf.DUMMYFUNCTION("""COMPUTED_VALUE"""),758.45)</f>
        <v>758.45</v>
      </c>
      <c r="F3716" s="1">
        <f>IFERROR(__xludf.DUMMYFUNCTION("""COMPUTED_VALUE"""),372132.0)</f>
        <v>372132</v>
      </c>
    </row>
    <row r="3717">
      <c r="A3717" s="2">
        <f>IFERROR(__xludf.DUMMYFUNCTION("""COMPUTED_VALUE"""),42006.64583333333)</f>
        <v>42006.64583</v>
      </c>
      <c r="B3717" s="1">
        <f>IFERROR(__xludf.DUMMYFUNCTION("""COMPUTED_VALUE"""),757.0)</f>
        <v>757</v>
      </c>
      <c r="C3717" s="1">
        <f>IFERROR(__xludf.DUMMYFUNCTION("""COMPUTED_VALUE"""),766.0)</f>
        <v>766</v>
      </c>
      <c r="D3717" s="1">
        <f>IFERROR(__xludf.DUMMYFUNCTION("""COMPUTED_VALUE"""),752.65)</f>
        <v>752.65</v>
      </c>
      <c r="E3717" s="1">
        <f>IFERROR(__xludf.DUMMYFUNCTION("""COMPUTED_VALUE"""),755.95)</f>
        <v>755.95</v>
      </c>
      <c r="F3717" s="1">
        <f>IFERROR(__xludf.DUMMYFUNCTION("""COMPUTED_VALUE"""),1207322.0)</f>
        <v>1207322</v>
      </c>
    </row>
    <row r="3718">
      <c r="A3718" s="2">
        <f>IFERROR(__xludf.DUMMYFUNCTION("""COMPUTED_VALUE"""),42009.64583333333)</f>
        <v>42009.64583</v>
      </c>
      <c r="B3718" s="1">
        <f>IFERROR(__xludf.DUMMYFUNCTION("""COMPUTED_VALUE"""),759.75)</f>
        <v>759.75</v>
      </c>
      <c r="C3718" s="1">
        <f>IFERROR(__xludf.DUMMYFUNCTION("""COMPUTED_VALUE"""),761.9)</f>
        <v>761.9</v>
      </c>
      <c r="D3718" s="1">
        <f>IFERROR(__xludf.DUMMYFUNCTION("""COMPUTED_VALUE"""),755.1)</f>
        <v>755.1</v>
      </c>
      <c r="E3718" s="1">
        <f>IFERROR(__xludf.DUMMYFUNCTION("""COMPUTED_VALUE"""),760.3)</f>
        <v>760.3</v>
      </c>
      <c r="F3718" s="1">
        <f>IFERROR(__xludf.DUMMYFUNCTION("""COMPUTED_VALUE"""),849252.0)</f>
        <v>849252</v>
      </c>
    </row>
    <row r="3719">
      <c r="A3719" s="2">
        <f>IFERROR(__xludf.DUMMYFUNCTION("""COMPUTED_VALUE"""),42010.64583333333)</f>
        <v>42010.64583</v>
      </c>
      <c r="B3719" s="1">
        <f>IFERROR(__xludf.DUMMYFUNCTION("""COMPUTED_VALUE"""),767.0)</f>
        <v>767</v>
      </c>
      <c r="C3719" s="1">
        <f>IFERROR(__xludf.DUMMYFUNCTION("""COMPUTED_VALUE"""),779.9)</f>
        <v>779.9</v>
      </c>
      <c r="D3719" s="1">
        <f>IFERROR(__xludf.DUMMYFUNCTION("""COMPUTED_VALUE"""),755.4)</f>
        <v>755.4</v>
      </c>
      <c r="E3719" s="1">
        <f>IFERROR(__xludf.DUMMYFUNCTION("""COMPUTED_VALUE"""),774.7)</f>
        <v>774.7</v>
      </c>
      <c r="F3719" s="1">
        <f>IFERROR(__xludf.DUMMYFUNCTION("""COMPUTED_VALUE"""),2738679.0)</f>
        <v>2738679</v>
      </c>
    </row>
    <row r="3720">
      <c r="A3720" s="2">
        <f>IFERROR(__xludf.DUMMYFUNCTION("""COMPUTED_VALUE"""),42011.64583333333)</f>
        <v>42011.64583</v>
      </c>
      <c r="B3720" s="1">
        <f>IFERROR(__xludf.DUMMYFUNCTION("""COMPUTED_VALUE"""),779.0)</f>
        <v>779</v>
      </c>
      <c r="C3720" s="1">
        <f>IFERROR(__xludf.DUMMYFUNCTION("""COMPUTED_VALUE"""),806.8)</f>
        <v>806.8</v>
      </c>
      <c r="D3720" s="1">
        <f>IFERROR(__xludf.DUMMYFUNCTION("""COMPUTED_VALUE"""),779.0)</f>
        <v>779</v>
      </c>
      <c r="E3720" s="1">
        <f>IFERROR(__xludf.DUMMYFUNCTION("""COMPUTED_VALUE"""),801.9)</f>
        <v>801.9</v>
      </c>
      <c r="F3720" s="1">
        <f>IFERROR(__xludf.DUMMYFUNCTION("""COMPUTED_VALUE"""),3744143.0)</f>
        <v>3744143</v>
      </c>
    </row>
    <row r="3721">
      <c r="A3721" s="2">
        <f>IFERROR(__xludf.DUMMYFUNCTION("""COMPUTED_VALUE"""),42012.64583333333)</f>
        <v>42012.64583</v>
      </c>
      <c r="B3721" s="1">
        <f>IFERROR(__xludf.DUMMYFUNCTION("""COMPUTED_VALUE"""),803.9)</f>
        <v>803.9</v>
      </c>
      <c r="C3721" s="1">
        <f>IFERROR(__xludf.DUMMYFUNCTION("""COMPUTED_VALUE"""),825.0)</f>
        <v>825</v>
      </c>
      <c r="D3721" s="1">
        <f>IFERROR(__xludf.DUMMYFUNCTION("""COMPUTED_VALUE"""),803.15)</f>
        <v>803.15</v>
      </c>
      <c r="E3721" s="1">
        <f>IFERROR(__xludf.DUMMYFUNCTION("""COMPUTED_VALUE"""),817.05)</f>
        <v>817.05</v>
      </c>
      <c r="F3721" s="1">
        <f>IFERROR(__xludf.DUMMYFUNCTION("""COMPUTED_VALUE"""),3076833.0)</f>
        <v>3076833</v>
      </c>
    </row>
    <row r="3722">
      <c r="A3722" s="2">
        <f>IFERROR(__xludf.DUMMYFUNCTION("""COMPUTED_VALUE"""),42013.64583333333)</f>
        <v>42013.64583</v>
      </c>
      <c r="B3722" s="1">
        <f>IFERROR(__xludf.DUMMYFUNCTION("""COMPUTED_VALUE"""),818.5)</f>
        <v>818.5</v>
      </c>
      <c r="C3722" s="1">
        <f>IFERROR(__xludf.DUMMYFUNCTION("""COMPUTED_VALUE"""),868.4)</f>
        <v>868.4</v>
      </c>
      <c r="D3722" s="1">
        <f>IFERROR(__xludf.DUMMYFUNCTION("""COMPUTED_VALUE"""),817.05)</f>
        <v>817.05</v>
      </c>
      <c r="E3722" s="1">
        <f>IFERROR(__xludf.DUMMYFUNCTION("""COMPUTED_VALUE"""),864.6)</f>
        <v>864.6</v>
      </c>
      <c r="F3722" s="1">
        <f>IFERROR(__xludf.DUMMYFUNCTION("""COMPUTED_VALUE"""),3825060.0)</f>
        <v>3825060</v>
      </c>
    </row>
    <row r="3723">
      <c r="A3723" s="2">
        <f>IFERROR(__xludf.DUMMYFUNCTION("""COMPUTED_VALUE"""),42016.64583333333)</f>
        <v>42016.64583</v>
      </c>
      <c r="B3723" s="1">
        <f>IFERROR(__xludf.DUMMYFUNCTION("""COMPUTED_VALUE"""),867.5)</f>
        <v>867.5</v>
      </c>
      <c r="C3723" s="1">
        <f>IFERROR(__xludf.DUMMYFUNCTION("""COMPUTED_VALUE"""),899.8)</f>
        <v>899.8</v>
      </c>
      <c r="D3723" s="1">
        <f>IFERROR(__xludf.DUMMYFUNCTION("""COMPUTED_VALUE"""),864.25)</f>
        <v>864.25</v>
      </c>
      <c r="E3723" s="1">
        <f>IFERROR(__xludf.DUMMYFUNCTION("""COMPUTED_VALUE"""),896.6)</f>
        <v>896.6</v>
      </c>
      <c r="F3723" s="1">
        <f>IFERROR(__xludf.DUMMYFUNCTION("""COMPUTED_VALUE"""),4338065.0)</f>
        <v>4338065</v>
      </c>
    </row>
    <row r="3724">
      <c r="A3724" s="2">
        <f>IFERROR(__xludf.DUMMYFUNCTION("""COMPUTED_VALUE"""),42017.64583333333)</f>
        <v>42017.64583</v>
      </c>
      <c r="B3724" s="1">
        <f>IFERROR(__xludf.DUMMYFUNCTION("""COMPUTED_VALUE"""),899.95)</f>
        <v>899.95</v>
      </c>
      <c r="C3724" s="1">
        <f>IFERROR(__xludf.DUMMYFUNCTION("""COMPUTED_VALUE"""),908.65)</f>
        <v>908.65</v>
      </c>
      <c r="D3724" s="1">
        <f>IFERROR(__xludf.DUMMYFUNCTION("""COMPUTED_VALUE"""),876.4)</f>
        <v>876.4</v>
      </c>
      <c r="E3724" s="1">
        <f>IFERROR(__xludf.DUMMYFUNCTION("""COMPUTED_VALUE"""),884.55)</f>
        <v>884.55</v>
      </c>
      <c r="F3724" s="1">
        <f>IFERROR(__xludf.DUMMYFUNCTION("""COMPUTED_VALUE"""),3371700.0)</f>
        <v>3371700</v>
      </c>
    </row>
    <row r="3725">
      <c r="A3725" s="2">
        <f>IFERROR(__xludf.DUMMYFUNCTION("""COMPUTED_VALUE"""),42018.64583333333)</f>
        <v>42018.64583</v>
      </c>
      <c r="B3725" s="1">
        <f>IFERROR(__xludf.DUMMYFUNCTION("""COMPUTED_VALUE"""),888.8)</f>
        <v>888.8</v>
      </c>
      <c r="C3725" s="1">
        <f>IFERROR(__xludf.DUMMYFUNCTION("""COMPUTED_VALUE"""),934.5)</f>
        <v>934.5</v>
      </c>
      <c r="D3725" s="1">
        <f>IFERROR(__xludf.DUMMYFUNCTION("""COMPUTED_VALUE"""),886.0)</f>
        <v>886</v>
      </c>
      <c r="E3725" s="1">
        <f>IFERROR(__xludf.DUMMYFUNCTION("""COMPUTED_VALUE"""),924.05)</f>
        <v>924.05</v>
      </c>
      <c r="F3725" s="1">
        <f>IFERROR(__xludf.DUMMYFUNCTION("""COMPUTED_VALUE"""),4578199.0)</f>
        <v>4578199</v>
      </c>
    </row>
    <row r="3726">
      <c r="A3726" s="2">
        <f>IFERROR(__xludf.DUMMYFUNCTION("""COMPUTED_VALUE"""),42019.64583333333)</f>
        <v>42019.64583</v>
      </c>
      <c r="B3726" s="1">
        <f>IFERROR(__xludf.DUMMYFUNCTION("""COMPUTED_VALUE"""),934.95)</f>
        <v>934.95</v>
      </c>
      <c r="C3726" s="1">
        <f>IFERROR(__xludf.DUMMYFUNCTION("""COMPUTED_VALUE"""),937.4)</f>
        <v>937.4</v>
      </c>
      <c r="D3726" s="1">
        <f>IFERROR(__xludf.DUMMYFUNCTION("""COMPUTED_VALUE"""),909.7)</f>
        <v>909.7</v>
      </c>
      <c r="E3726" s="1">
        <f>IFERROR(__xludf.DUMMYFUNCTION("""COMPUTED_VALUE"""),921.55)</f>
        <v>921.55</v>
      </c>
      <c r="F3726" s="1">
        <f>IFERROR(__xludf.DUMMYFUNCTION("""COMPUTED_VALUE"""),3534537.0)</f>
        <v>3534537</v>
      </c>
    </row>
    <row r="3727">
      <c r="A3727" s="2">
        <f>IFERROR(__xludf.DUMMYFUNCTION("""COMPUTED_VALUE"""),42020.64583333333)</f>
        <v>42020.64583</v>
      </c>
      <c r="B3727" s="1">
        <f>IFERROR(__xludf.DUMMYFUNCTION("""COMPUTED_VALUE"""),928.0)</f>
        <v>928</v>
      </c>
      <c r="C3727" s="1">
        <f>IFERROR(__xludf.DUMMYFUNCTION("""COMPUTED_VALUE"""),947.0)</f>
        <v>947</v>
      </c>
      <c r="D3727" s="1">
        <f>IFERROR(__xludf.DUMMYFUNCTION("""COMPUTED_VALUE"""),925.0)</f>
        <v>925</v>
      </c>
      <c r="E3727" s="1">
        <f>IFERROR(__xludf.DUMMYFUNCTION("""COMPUTED_VALUE"""),941.05)</f>
        <v>941.05</v>
      </c>
      <c r="F3727" s="1">
        <f>IFERROR(__xludf.DUMMYFUNCTION("""COMPUTED_VALUE"""),2021113.0)</f>
        <v>2021113</v>
      </c>
    </row>
    <row r="3728">
      <c r="A3728" s="2">
        <f>IFERROR(__xludf.DUMMYFUNCTION("""COMPUTED_VALUE"""),42023.64583333333)</f>
        <v>42023.64583</v>
      </c>
      <c r="B3728" s="1">
        <f>IFERROR(__xludf.DUMMYFUNCTION("""COMPUTED_VALUE"""),946.3)</f>
        <v>946.3</v>
      </c>
      <c r="C3728" s="1">
        <f>IFERROR(__xludf.DUMMYFUNCTION("""COMPUTED_VALUE"""),947.4)</f>
        <v>947.4</v>
      </c>
      <c r="D3728" s="1">
        <f>IFERROR(__xludf.DUMMYFUNCTION("""COMPUTED_VALUE"""),886.05)</f>
        <v>886.05</v>
      </c>
      <c r="E3728" s="1">
        <f>IFERROR(__xludf.DUMMYFUNCTION("""COMPUTED_VALUE"""),892.55)</f>
        <v>892.55</v>
      </c>
      <c r="F3728" s="1">
        <f>IFERROR(__xludf.DUMMYFUNCTION("""COMPUTED_VALUE"""),7705398.0)</f>
        <v>7705398</v>
      </c>
    </row>
    <row r="3729">
      <c r="A3729" s="2">
        <f>IFERROR(__xludf.DUMMYFUNCTION("""COMPUTED_VALUE"""),42024.64583333333)</f>
        <v>42024.64583</v>
      </c>
      <c r="B3729" s="1">
        <f>IFERROR(__xludf.DUMMYFUNCTION("""COMPUTED_VALUE"""),889.9)</f>
        <v>889.9</v>
      </c>
      <c r="C3729" s="1">
        <f>IFERROR(__xludf.DUMMYFUNCTION("""COMPUTED_VALUE"""),903.0)</f>
        <v>903</v>
      </c>
      <c r="D3729" s="1">
        <f>IFERROR(__xludf.DUMMYFUNCTION("""COMPUTED_VALUE"""),877.75)</f>
        <v>877.75</v>
      </c>
      <c r="E3729" s="1">
        <f>IFERROR(__xludf.DUMMYFUNCTION("""COMPUTED_VALUE"""),895.45)</f>
        <v>895.45</v>
      </c>
      <c r="F3729" s="1">
        <f>IFERROR(__xludf.DUMMYFUNCTION("""COMPUTED_VALUE"""),4355821.0)</f>
        <v>4355821</v>
      </c>
    </row>
    <row r="3730">
      <c r="A3730" s="2">
        <f>IFERROR(__xludf.DUMMYFUNCTION("""COMPUTED_VALUE"""),42025.64583333333)</f>
        <v>42025.64583</v>
      </c>
      <c r="B3730" s="1">
        <f>IFERROR(__xludf.DUMMYFUNCTION("""COMPUTED_VALUE"""),897.0)</f>
        <v>897</v>
      </c>
      <c r="C3730" s="1">
        <f>IFERROR(__xludf.DUMMYFUNCTION("""COMPUTED_VALUE"""),948.4)</f>
        <v>948.4</v>
      </c>
      <c r="D3730" s="1">
        <f>IFERROR(__xludf.DUMMYFUNCTION("""COMPUTED_VALUE"""),888.5)</f>
        <v>888.5</v>
      </c>
      <c r="E3730" s="1">
        <f>IFERROR(__xludf.DUMMYFUNCTION("""COMPUTED_VALUE"""),941.95)</f>
        <v>941.95</v>
      </c>
      <c r="F3730" s="1">
        <f>IFERROR(__xludf.DUMMYFUNCTION("""COMPUTED_VALUE"""),4103989.0)</f>
        <v>4103989</v>
      </c>
    </row>
    <row r="3731">
      <c r="A3731" s="2">
        <f>IFERROR(__xludf.DUMMYFUNCTION("""COMPUTED_VALUE"""),42026.64583333333)</f>
        <v>42026.64583</v>
      </c>
      <c r="B3731" s="1">
        <f>IFERROR(__xludf.DUMMYFUNCTION("""COMPUTED_VALUE"""),944.0)</f>
        <v>944</v>
      </c>
      <c r="C3731" s="1">
        <f>IFERROR(__xludf.DUMMYFUNCTION("""COMPUTED_VALUE"""),961.3)</f>
        <v>961.3</v>
      </c>
      <c r="D3731" s="1">
        <f>IFERROR(__xludf.DUMMYFUNCTION("""COMPUTED_VALUE"""),931.3)</f>
        <v>931.3</v>
      </c>
      <c r="E3731" s="1">
        <f>IFERROR(__xludf.DUMMYFUNCTION("""COMPUTED_VALUE"""),944.65)</f>
        <v>944.65</v>
      </c>
      <c r="F3731" s="1">
        <f>IFERROR(__xludf.DUMMYFUNCTION("""COMPUTED_VALUE"""),3585572.0)</f>
        <v>3585572</v>
      </c>
    </row>
    <row r="3732">
      <c r="A3732" s="2">
        <f>IFERROR(__xludf.DUMMYFUNCTION("""COMPUTED_VALUE"""),42027.64583333333)</f>
        <v>42027.64583</v>
      </c>
      <c r="B3732" s="1">
        <f>IFERROR(__xludf.DUMMYFUNCTION("""COMPUTED_VALUE"""),947.0)</f>
        <v>947</v>
      </c>
      <c r="C3732" s="1">
        <f>IFERROR(__xludf.DUMMYFUNCTION("""COMPUTED_VALUE"""),968.85)</f>
        <v>968.85</v>
      </c>
      <c r="D3732" s="1">
        <f>IFERROR(__xludf.DUMMYFUNCTION("""COMPUTED_VALUE"""),944.65)</f>
        <v>944.65</v>
      </c>
      <c r="E3732" s="1">
        <f>IFERROR(__xludf.DUMMYFUNCTION("""COMPUTED_VALUE"""),965.3)</f>
        <v>965.3</v>
      </c>
      <c r="F3732" s="1">
        <f>IFERROR(__xludf.DUMMYFUNCTION("""COMPUTED_VALUE"""),2450001.0)</f>
        <v>2450001</v>
      </c>
    </row>
    <row r="3733">
      <c r="A3733" s="2">
        <f>IFERROR(__xludf.DUMMYFUNCTION("""COMPUTED_VALUE"""),42031.64583333333)</f>
        <v>42031.64583</v>
      </c>
      <c r="B3733" s="1">
        <f>IFERROR(__xludf.DUMMYFUNCTION("""COMPUTED_VALUE"""),962.1)</f>
        <v>962.1</v>
      </c>
      <c r="C3733" s="1">
        <f>IFERROR(__xludf.DUMMYFUNCTION("""COMPUTED_VALUE"""),967.9)</f>
        <v>967.9</v>
      </c>
      <c r="D3733" s="1">
        <f>IFERROR(__xludf.DUMMYFUNCTION("""COMPUTED_VALUE"""),936.6)</f>
        <v>936.6</v>
      </c>
      <c r="E3733" s="1">
        <f>IFERROR(__xludf.DUMMYFUNCTION("""COMPUTED_VALUE"""),941.95)</f>
        <v>941.95</v>
      </c>
      <c r="F3733" s="1">
        <f>IFERROR(__xludf.DUMMYFUNCTION("""COMPUTED_VALUE"""),3274894.0)</f>
        <v>3274894</v>
      </c>
    </row>
    <row r="3734">
      <c r="A3734" s="2">
        <f>IFERROR(__xludf.DUMMYFUNCTION("""COMPUTED_VALUE"""),42032.64583333333)</f>
        <v>42032.64583</v>
      </c>
      <c r="B3734" s="1">
        <f>IFERROR(__xludf.DUMMYFUNCTION("""COMPUTED_VALUE"""),938.0)</f>
        <v>938</v>
      </c>
      <c r="C3734" s="1">
        <f>IFERROR(__xludf.DUMMYFUNCTION("""COMPUTED_VALUE"""),940.8)</f>
        <v>940.8</v>
      </c>
      <c r="D3734" s="1">
        <f>IFERROR(__xludf.DUMMYFUNCTION("""COMPUTED_VALUE"""),928.15)</f>
        <v>928.15</v>
      </c>
      <c r="E3734" s="1">
        <f>IFERROR(__xludf.DUMMYFUNCTION("""COMPUTED_VALUE"""),933.85)</f>
        <v>933.85</v>
      </c>
      <c r="F3734" s="1">
        <f>IFERROR(__xludf.DUMMYFUNCTION("""COMPUTED_VALUE"""),2246526.0)</f>
        <v>2246526</v>
      </c>
    </row>
    <row r="3735">
      <c r="A3735" s="2">
        <f>IFERROR(__xludf.DUMMYFUNCTION("""COMPUTED_VALUE"""),42033.64583333333)</f>
        <v>42033.64583</v>
      </c>
      <c r="B3735" s="1">
        <f>IFERROR(__xludf.DUMMYFUNCTION("""COMPUTED_VALUE"""),931.0)</f>
        <v>931</v>
      </c>
      <c r="C3735" s="1">
        <f>IFERROR(__xludf.DUMMYFUNCTION("""COMPUTED_VALUE"""),948.0)</f>
        <v>948</v>
      </c>
      <c r="D3735" s="1">
        <f>IFERROR(__xludf.DUMMYFUNCTION("""COMPUTED_VALUE"""),926.4)</f>
        <v>926.4</v>
      </c>
      <c r="E3735" s="1">
        <f>IFERROR(__xludf.DUMMYFUNCTION("""COMPUTED_VALUE"""),941.6)</f>
        <v>941.6</v>
      </c>
      <c r="F3735" s="1">
        <f>IFERROR(__xludf.DUMMYFUNCTION("""COMPUTED_VALUE"""),3421454.0)</f>
        <v>3421454</v>
      </c>
    </row>
    <row r="3736">
      <c r="A3736" s="2">
        <f>IFERROR(__xludf.DUMMYFUNCTION("""COMPUTED_VALUE"""),42034.64583333333)</f>
        <v>42034.64583</v>
      </c>
      <c r="B3736" s="1">
        <f>IFERROR(__xludf.DUMMYFUNCTION("""COMPUTED_VALUE"""),941.0)</f>
        <v>941</v>
      </c>
      <c r="C3736" s="1">
        <f>IFERROR(__xludf.DUMMYFUNCTION("""COMPUTED_VALUE"""),941.0)</f>
        <v>941</v>
      </c>
      <c r="D3736" s="1">
        <f>IFERROR(__xludf.DUMMYFUNCTION("""COMPUTED_VALUE"""),927.8)</f>
        <v>927.8</v>
      </c>
      <c r="E3736" s="1">
        <f>IFERROR(__xludf.DUMMYFUNCTION("""COMPUTED_VALUE"""),932.55)</f>
        <v>932.55</v>
      </c>
      <c r="F3736" s="1">
        <f>IFERROR(__xludf.DUMMYFUNCTION("""COMPUTED_VALUE"""),1562161.0)</f>
        <v>1562161</v>
      </c>
    </row>
    <row r="3737">
      <c r="A3737" s="2">
        <f>IFERROR(__xludf.DUMMYFUNCTION("""COMPUTED_VALUE"""),42037.64583333333)</f>
        <v>42037.64583</v>
      </c>
      <c r="B3737" s="1">
        <f>IFERROR(__xludf.DUMMYFUNCTION("""COMPUTED_VALUE"""),926.35)</f>
        <v>926.35</v>
      </c>
      <c r="C3737" s="1">
        <f>IFERROR(__xludf.DUMMYFUNCTION("""COMPUTED_VALUE"""),929.95)</f>
        <v>929.95</v>
      </c>
      <c r="D3737" s="1">
        <f>IFERROR(__xludf.DUMMYFUNCTION("""COMPUTED_VALUE"""),904.8)</f>
        <v>904.8</v>
      </c>
      <c r="E3737" s="1">
        <f>IFERROR(__xludf.DUMMYFUNCTION("""COMPUTED_VALUE"""),908.0)</f>
        <v>908</v>
      </c>
      <c r="F3737" s="1">
        <f>IFERROR(__xludf.DUMMYFUNCTION("""COMPUTED_VALUE"""),1822825.0)</f>
        <v>1822825</v>
      </c>
    </row>
    <row r="3738">
      <c r="A3738" s="2">
        <f>IFERROR(__xludf.DUMMYFUNCTION("""COMPUTED_VALUE"""),42038.64583333333)</f>
        <v>42038.64583</v>
      </c>
      <c r="B3738" s="1">
        <f>IFERROR(__xludf.DUMMYFUNCTION("""COMPUTED_VALUE"""),910.2)</f>
        <v>910.2</v>
      </c>
      <c r="C3738" s="1">
        <f>IFERROR(__xludf.DUMMYFUNCTION("""COMPUTED_VALUE"""),930.85)</f>
        <v>930.85</v>
      </c>
      <c r="D3738" s="1">
        <f>IFERROR(__xludf.DUMMYFUNCTION("""COMPUTED_VALUE"""),908.0)</f>
        <v>908</v>
      </c>
      <c r="E3738" s="1">
        <f>IFERROR(__xludf.DUMMYFUNCTION("""COMPUTED_VALUE"""),910.85)</f>
        <v>910.85</v>
      </c>
      <c r="F3738" s="1">
        <f>IFERROR(__xludf.DUMMYFUNCTION("""COMPUTED_VALUE"""),1544881.0)</f>
        <v>1544881</v>
      </c>
    </row>
    <row r="3739">
      <c r="A3739" s="2">
        <f>IFERROR(__xludf.DUMMYFUNCTION("""COMPUTED_VALUE"""),42039.64583333333)</f>
        <v>42039.64583</v>
      </c>
      <c r="B3739" s="1">
        <f>IFERROR(__xludf.DUMMYFUNCTION("""COMPUTED_VALUE"""),910.9)</f>
        <v>910.9</v>
      </c>
      <c r="C3739" s="1">
        <f>IFERROR(__xludf.DUMMYFUNCTION("""COMPUTED_VALUE"""),919.8)</f>
        <v>919.8</v>
      </c>
      <c r="D3739" s="1">
        <f>IFERROR(__xludf.DUMMYFUNCTION("""COMPUTED_VALUE"""),895.1)</f>
        <v>895.1</v>
      </c>
      <c r="E3739" s="1">
        <f>IFERROR(__xludf.DUMMYFUNCTION("""COMPUTED_VALUE"""),899.9)</f>
        <v>899.9</v>
      </c>
      <c r="F3739" s="1">
        <f>IFERROR(__xludf.DUMMYFUNCTION("""COMPUTED_VALUE"""),1181845.0)</f>
        <v>1181845</v>
      </c>
    </row>
    <row r="3740">
      <c r="A3740" s="2">
        <f>IFERROR(__xludf.DUMMYFUNCTION("""COMPUTED_VALUE"""),42040.64583333333)</f>
        <v>42040.64583</v>
      </c>
      <c r="B3740" s="1">
        <f>IFERROR(__xludf.DUMMYFUNCTION("""COMPUTED_VALUE"""),907.3)</f>
        <v>907.3</v>
      </c>
      <c r="C3740" s="1">
        <f>IFERROR(__xludf.DUMMYFUNCTION("""COMPUTED_VALUE"""),919.8)</f>
        <v>919.8</v>
      </c>
      <c r="D3740" s="1">
        <f>IFERROR(__xludf.DUMMYFUNCTION("""COMPUTED_VALUE"""),901.2)</f>
        <v>901.2</v>
      </c>
      <c r="E3740" s="1">
        <f>IFERROR(__xludf.DUMMYFUNCTION("""COMPUTED_VALUE"""),909.05)</f>
        <v>909.05</v>
      </c>
      <c r="F3740" s="1">
        <f>IFERROR(__xludf.DUMMYFUNCTION("""COMPUTED_VALUE"""),1711139.0)</f>
        <v>1711139</v>
      </c>
    </row>
    <row r="3741">
      <c r="A3741" s="2">
        <f>IFERROR(__xludf.DUMMYFUNCTION("""COMPUTED_VALUE"""),42041.64583333333)</f>
        <v>42041.64583</v>
      </c>
      <c r="B3741" s="1">
        <f>IFERROR(__xludf.DUMMYFUNCTION("""COMPUTED_VALUE"""),906.0)</f>
        <v>906</v>
      </c>
      <c r="C3741" s="1">
        <f>IFERROR(__xludf.DUMMYFUNCTION("""COMPUTED_VALUE"""),915.85)</f>
        <v>915.85</v>
      </c>
      <c r="D3741" s="1">
        <f>IFERROR(__xludf.DUMMYFUNCTION("""COMPUTED_VALUE"""),899.4)</f>
        <v>899.4</v>
      </c>
      <c r="E3741" s="1">
        <f>IFERROR(__xludf.DUMMYFUNCTION("""COMPUTED_VALUE"""),905.75)</f>
        <v>905.75</v>
      </c>
      <c r="F3741" s="1">
        <f>IFERROR(__xludf.DUMMYFUNCTION("""COMPUTED_VALUE"""),717674.0)</f>
        <v>717674</v>
      </c>
    </row>
    <row r="3742">
      <c r="A3742" s="2">
        <f>IFERROR(__xludf.DUMMYFUNCTION("""COMPUTED_VALUE"""),42044.64583333333)</f>
        <v>42044.64583</v>
      </c>
      <c r="B3742" s="1">
        <f>IFERROR(__xludf.DUMMYFUNCTION("""COMPUTED_VALUE"""),905.75)</f>
        <v>905.75</v>
      </c>
      <c r="C3742" s="1">
        <f>IFERROR(__xludf.DUMMYFUNCTION("""COMPUTED_VALUE"""),914.6)</f>
        <v>914.6</v>
      </c>
      <c r="D3742" s="1">
        <f>IFERROR(__xludf.DUMMYFUNCTION("""COMPUTED_VALUE"""),895.9)</f>
        <v>895.9</v>
      </c>
      <c r="E3742" s="1">
        <f>IFERROR(__xludf.DUMMYFUNCTION("""COMPUTED_VALUE"""),900.15)</f>
        <v>900.15</v>
      </c>
      <c r="F3742" s="1">
        <f>IFERROR(__xludf.DUMMYFUNCTION("""COMPUTED_VALUE"""),860239.0)</f>
        <v>860239</v>
      </c>
    </row>
    <row r="3743">
      <c r="A3743" s="2">
        <f>IFERROR(__xludf.DUMMYFUNCTION("""COMPUTED_VALUE"""),42045.64583333333)</f>
        <v>42045.64583</v>
      </c>
      <c r="B3743" s="1">
        <f>IFERROR(__xludf.DUMMYFUNCTION("""COMPUTED_VALUE"""),895.0)</f>
        <v>895</v>
      </c>
      <c r="C3743" s="1">
        <f>IFERROR(__xludf.DUMMYFUNCTION("""COMPUTED_VALUE"""),907.5)</f>
        <v>907.5</v>
      </c>
      <c r="D3743" s="1">
        <f>IFERROR(__xludf.DUMMYFUNCTION("""COMPUTED_VALUE"""),885.4)</f>
        <v>885.4</v>
      </c>
      <c r="E3743" s="1">
        <f>IFERROR(__xludf.DUMMYFUNCTION("""COMPUTED_VALUE"""),887.75)</f>
        <v>887.75</v>
      </c>
      <c r="F3743" s="1">
        <f>IFERROR(__xludf.DUMMYFUNCTION("""COMPUTED_VALUE"""),1058750.0)</f>
        <v>1058750</v>
      </c>
    </row>
    <row r="3744">
      <c r="A3744" s="2">
        <f>IFERROR(__xludf.DUMMYFUNCTION("""COMPUTED_VALUE"""),42046.64583333333)</f>
        <v>42046.64583</v>
      </c>
      <c r="B3744" s="1">
        <f>IFERROR(__xludf.DUMMYFUNCTION("""COMPUTED_VALUE"""),890.35)</f>
        <v>890.35</v>
      </c>
      <c r="C3744" s="1">
        <f>IFERROR(__xludf.DUMMYFUNCTION("""COMPUTED_VALUE"""),902.95)</f>
        <v>902.95</v>
      </c>
      <c r="D3744" s="1">
        <f>IFERROR(__xludf.DUMMYFUNCTION("""COMPUTED_VALUE"""),884.6)</f>
        <v>884.6</v>
      </c>
      <c r="E3744" s="1">
        <f>IFERROR(__xludf.DUMMYFUNCTION("""COMPUTED_VALUE"""),900.3)</f>
        <v>900.3</v>
      </c>
      <c r="F3744" s="1">
        <f>IFERROR(__xludf.DUMMYFUNCTION("""COMPUTED_VALUE"""),897359.0)</f>
        <v>897359</v>
      </c>
    </row>
    <row r="3745">
      <c r="A3745" s="2">
        <f>IFERROR(__xludf.DUMMYFUNCTION("""COMPUTED_VALUE"""),42047.64583333333)</f>
        <v>42047.64583</v>
      </c>
      <c r="B3745" s="1">
        <f>IFERROR(__xludf.DUMMYFUNCTION("""COMPUTED_VALUE"""),905.0)</f>
        <v>905</v>
      </c>
      <c r="C3745" s="1">
        <f>IFERROR(__xludf.DUMMYFUNCTION("""COMPUTED_VALUE"""),910.8)</f>
        <v>910.8</v>
      </c>
      <c r="D3745" s="1">
        <f>IFERROR(__xludf.DUMMYFUNCTION("""COMPUTED_VALUE"""),885.3)</f>
        <v>885.3</v>
      </c>
      <c r="E3745" s="1">
        <f>IFERROR(__xludf.DUMMYFUNCTION("""COMPUTED_VALUE"""),887.8)</f>
        <v>887.8</v>
      </c>
      <c r="F3745" s="1">
        <f>IFERROR(__xludf.DUMMYFUNCTION("""COMPUTED_VALUE"""),1121008.0)</f>
        <v>1121008</v>
      </c>
    </row>
    <row r="3746">
      <c r="A3746" s="2">
        <f>IFERROR(__xludf.DUMMYFUNCTION("""COMPUTED_VALUE"""),42048.64583333333)</f>
        <v>42048.64583</v>
      </c>
      <c r="B3746" s="1">
        <f>IFERROR(__xludf.DUMMYFUNCTION("""COMPUTED_VALUE"""),892.4)</f>
        <v>892.4</v>
      </c>
      <c r="C3746" s="1">
        <f>IFERROR(__xludf.DUMMYFUNCTION("""COMPUTED_VALUE"""),898.8)</f>
        <v>898.8</v>
      </c>
      <c r="D3746" s="1">
        <f>IFERROR(__xludf.DUMMYFUNCTION("""COMPUTED_VALUE"""),885.2)</f>
        <v>885.2</v>
      </c>
      <c r="E3746" s="1">
        <f>IFERROR(__xludf.DUMMYFUNCTION("""COMPUTED_VALUE"""),892.8)</f>
        <v>892.8</v>
      </c>
      <c r="F3746" s="1">
        <f>IFERROR(__xludf.DUMMYFUNCTION("""COMPUTED_VALUE"""),1344229.0)</f>
        <v>1344229</v>
      </c>
    </row>
    <row r="3747">
      <c r="A3747" s="2">
        <f>IFERROR(__xludf.DUMMYFUNCTION("""COMPUTED_VALUE"""),42051.64583333333)</f>
        <v>42051.64583</v>
      </c>
      <c r="B3747" s="1">
        <f>IFERROR(__xludf.DUMMYFUNCTION("""COMPUTED_VALUE"""),886.35)</f>
        <v>886.35</v>
      </c>
      <c r="C3747" s="1">
        <f>IFERROR(__xludf.DUMMYFUNCTION("""COMPUTED_VALUE"""),920.0)</f>
        <v>920</v>
      </c>
      <c r="D3747" s="1">
        <f>IFERROR(__xludf.DUMMYFUNCTION("""COMPUTED_VALUE"""),886.35)</f>
        <v>886.35</v>
      </c>
      <c r="E3747" s="1">
        <f>IFERROR(__xludf.DUMMYFUNCTION("""COMPUTED_VALUE"""),907.0)</f>
        <v>907</v>
      </c>
      <c r="F3747" s="1">
        <f>IFERROR(__xludf.DUMMYFUNCTION("""COMPUTED_VALUE"""),1635273.0)</f>
        <v>1635273</v>
      </c>
    </row>
    <row r="3748">
      <c r="A3748" s="2">
        <f>IFERROR(__xludf.DUMMYFUNCTION("""COMPUTED_VALUE"""),42053.64583333333)</f>
        <v>42053.64583</v>
      </c>
      <c r="B3748" s="1">
        <f>IFERROR(__xludf.DUMMYFUNCTION("""COMPUTED_VALUE"""),902.0)</f>
        <v>902</v>
      </c>
      <c r="C3748" s="1">
        <f>IFERROR(__xludf.DUMMYFUNCTION("""COMPUTED_VALUE"""),923.35)</f>
        <v>923.35</v>
      </c>
      <c r="D3748" s="1">
        <f>IFERROR(__xludf.DUMMYFUNCTION("""COMPUTED_VALUE"""),902.0)</f>
        <v>902</v>
      </c>
      <c r="E3748" s="1">
        <f>IFERROR(__xludf.DUMMYFUNCTION("""COMPUTED_VALUE"""),912.9)</f>
        <v>912.9</v>
      </c>
      <c r="F3748" s="1">
        <f>IFERROR(__xludf.DUMMYFUNCTION("""COMPUTED_VALUE"""),2178775.0)</f>
        <v>2178775</v>
      </c>
    </row>
    <row r="3749">
      <c r="A3749" s="2">
        <f>IFERROR(__xludf.DUMMYFUNCTION("""COMPUTED_VALUE"""),42054.64583333333)</f>
        <v>42054.64583</v>
      </c>
      <c r="B3749" s="1">
        <f>IFERROR(__xludf.DUMMYFUNCTION("""COMPUTED_VALUE"""),919.95)</f>
        <v>919.95</v>
      </c>
      <c r="C3749" s="1">
        <f>IFERROR(__xludf.DUMMYFUNCTION("""COMPUTED_VALUE"""),922.8)</f>
        <v>922.8</v>
      </c>
      <c r="D3749" s="1">
        <f>IFERROR(__xludf.DUMMYFUNCTION("""COMPUTED_VALUE"""),895.0)</f>
        <v>895</v>
      </c>
      <c r="E3749" s="1">
        <f>IFERROR(__xludf.DUMMYFUNCTION("""COMPUTED_VALUE"""),908.15)</f>
        <v>908.15</v>
      </c>
      <c r="F3749" s="1">
        <f>IFERROR(__xludf.DUMMYFUNCTION("""COMPUTED_VALUE"""),1034454.0)</f>
        <v>1034454</v>
      </c>
    </row>
    <row r="3750">
      <c r="A3750" s="2">
        <f>IFERROR(__xludf.DUMMYFUNCTION("""COMPUTED_VALUE"""),42055.64583333333)</f>
        <v>42055.64583</v>
      </c>
      <c r="B3750" s="1">
        <f>IFERROR(__xludf.DUMMYFUNCTION("""COMPUTED_VALUE"""),905.5)</f>
        <v>905.5</v>
      </c>
      <c r="C3750" s="1">
        <f>IFERROR(__xludf.DUMMYFUNCTION("""COMPUTED_VALUE"""),909.7)</f>
        <v>909.7</v>
      </c>
      <c r="D3750" s="1">
        <f>IFERROR(__xludf.DUMMYFUNCTION("""COMPUTED_VALUE"""),899.0)</f>
        <v>899</v>
      </c>
      <c r="E3750" s="1">
        <f>IFERROR(__xludf.DUMMYFUNCTION("""COMPUTED_VALUE"""),900.25)</f>
        <v>900.25</v>
      </c>
      <c r="F3750" s="1">
        <f>IFERROR(__xludf.DUMMYFUNCTION("""COMPUTED_VALUE"""),623253.0)</f>
        <v>623253</v>
      </c>
    </row>
    <row r="3751">
      <c r="A3751" s="2">
        <f>IFERROR(__xludf.DUMMYFUNCTION("""COMPUTED_VALUE"""),42058.64583333333)</f>
        <v>42058.64583</v>
      </c>
      <c r="B3751" s="1">
        <f>IFERROR(__xludf.DUMMYFUNCTION("""COMPUTED_VALUE"""),903.0)</f>
        <v>903</v>
      </c>
      <c r="C3751" s="1">
        <f>IFERROR(__xludf.DUMMYFUNCTION("""COMPUTED_VALUE"""),913.85)</f>
        <v>913.85</v>
      </c>
      <c r="D3751" s="1">
        <f>IFERROR(__xludf.DUMMYFUNCTION("""COMPUTED_VALUE"""),883.05)</f>
        <v>883.05</v>
      </c>
      <c r="E3751" s="1">
        <f>IFERROR(__xludf.DUMMYFUNCTION("""COMPUTED_VALUE"""),886.15)</f>
        <v>886.15</v>
      </c>
      <c r="F3751" s="1">
        <f>IFERROR(__xludf.DUMMYFUNCTION("""COMPUTED_VALUE"""),1054383.0)</f>
        <v>1054383</v>
      </c>
    </row>
    <row r="3752">
      <c r="A3752" s="2">
        <f>IFERROR(__xludf.DUMMYFUNCTION("""COMPUTED_VALUE"""),42059.64583333333)</f>
        <v>42059.64583</v>
      </c>
      <c r="B3752" s="1">
        <f>IFERROR(__xludf.DUMMYFUNCTION("""COMPUTED_VALUE"""),889.0)</f>
        <v>889</v>
      </c>
      <c r="C3752" s="1">
        <f>IFERROR(__xludf.DUMMYFUNCTION("""COMPUTED_VALUE"""),915.6)</f>
        <v>915.6</v>
      </c>
      <c r="D3752" s="1">
        <f>IFERROR(__xludf.DUMMYFUNCTION("""COMPUTED_VALUE"""),887.0)</f>
        <v>887</v>
      </c>
      <c r="E3752" s="1">
        <f>IFERROR(__xludf.DUMMYFUNCTION("""COMPUTED_VALUE"""),913.7)</f>
        <v>913.7</v>
      </c>
      <c r="F3752" s="1">
        <f>IFERROR(__xludf.DUMMYFUNCTION("""COMPUTED_VALUE"""),2100402.0)</f>
        <v>2100402</v>
      </c>
    </row>
    <row r="3753">
      <c r="A3753" s="2">
        <f>IFERROR(__xludf.DUMMYFUNCTION("""COMPUTED_VALUE"""),42060.64583333333)</f>
        <v>42060.64583</v>
      </c>
      <c r="B3753" s="1">
        <f>IFERROR(__xludf.DUMMYFUNCTION("""COMPUTED_VALUE"""),916.5)</f>
        <v>916.5</v>
      </c>
      <c r="C3753" s="1">
        <f>IFERROR(__xludf.DUMMYFUNCTION("""COMPUTED_VALUE"""),917.5)</f>
        <v>917.5</v>
      </c>
      <c r="D3753" s="1">
        <f>IFERROR(__xludf.DUMMYFUNCTION("""COMPUTED_VALUE"""),894.0)</f>
        <v>894</v>
      </c>
      <c r="E3753" s="1">
        <f>IFERROR(__xludf.DUMMYFUNCTION("""COMPUTED_VALUE"""),901.9)</f>
        <v>901.9</v>
      </c>
      <c r="F3753" s="1">
        <f>IFERROR(__xludf.DUMMYFUNCTION("""COMPUTED_VALUE"""),1141174.0)</f>
        <v>1141174</v>
      </c>
    </row>
    <row r="3754">
      <c r="A3754" s="2">
        <f>IFERROR(__xludf.DUMMYFUNCTION("""COMPUTED_VALUE"""),42061.64583333333)</f>
        <v>42061.64583</v>
      </c>
      <c r="B3754" s="1">
        <f>IFERROR(__xludf.DUMMYFUNCTION("""COMPUTED_VALUE"""),905.7)</f>
        <v>905.7</v>
      </c>
      <c r="C3754" s="1">
        <f>IFERROR(__xludf.DUMMYFUNCTION("""COMPUTED_VALUE"""),905.7)</f>
        <v>905.7</v>
      </c>
      <c r="D3754" s="1">
        <f>IFERROR(__xludf.DUMMYFUNCTION("""COMPUTED_VALUE"""),883.8)</f>
        <v>883.8</v>
      </c>
      <c r="E3754" s="1">
        <f>IFERROR(__xludf.DUMMYFUNCTION("""COMPUTED_VALUE"""),886.4)</f>
        <v>886.4</v>
      </c>
      <c r="F3754" s="1">
        <f>IFERROR(__xludf.DUMMYFUNCTION("""COMPUTED_VALUE"""),1194401.0)</f>
        <v>1194401</v>
      </c>
    </row>
    <row r="3755">
      <c r="A3755" s="2">
        <f>IFERROR(__xludf.DUMMYFUNCTION("""COMPUTED_VALUE"""),42062.64583333333)</f>
        <v>42062.64583</v>
      </c>
      <c r="B3755" s="1">
        <f>IFERROR(__xludf.DUMMYFUNCTION("""COMPUTED_VALUE"""),889.8)</f>
        <v>889.8</v>
      </c>
      <c r="C3755" s="1">
        <f>IFERROR(__xludf.DUMMYFUNCTION("""COMPUTED_VALUE"""),893.0)</f>
        <v>893</v>
      </c>
      <c r="D3755" s="1">
        <f>IFERROR(__xludf.DUMMYFUNCTION("""COMPUTED_VALUE"""),880.4)</f>
        <v>880.4</v>
      </c>
      <c r="E3755" s="1">
        <f>IFERROR(__xludf.DUMMYFUNCTION("""COMPUTED_VALUE"""),887.15)</f>
        <v>887.15</v>
      </c>
      <c r="F3755" s="1">
        <f>IFERROR(__xludf.DUMMYFUNCTION("""COMPUTED_VALUE"""),1906598.0)</f>
        <v>1906598</v>
      </c>
    </row>
    <row r="3756">
      <c r="A3756" s="2">
        <f>IFERROR(__xludf.DUMMYFUNCTION("""COMPUTED_VALUE"""),42065.64583333333)</f>
        <v>42065.64583</v>
      </c>
      <c r="B3756" s="1">
        <f>IFERROR(__xludf.DUMMYFUNCTION("""COMPUTED_VALUE"""),914.0)</f>
        <v>914</v>
      </c>
      <c r="C3756" s="1">
        <f>IFERROR(__xludf.DUMMYFUNCTION("""COMPUTED_VALUE"""),939.95)</f>
        <v>939.95</v>
      </c>
      <c r="D3756" s="1">
        <f>IFERROR(__xludf.DUMMYFUNCTION("""COMPUTED_VALUE"""),906.1)</f>
        <v>906.1</v>
      </c>
      <c r="E3756" s="1">
        <f>IFERROR(__xludf.DUMMYFUNCTION("""COMPUTED_VALUE"""),935.65)</f>
        <v>935.65</v>
      </c>
      <c r="F3756" s="1">
        <f>IFERROR(__xludf.DUMMYFUNCTION("""COMPUTED_VALUE"""),2792110.0)</f>
        <v>2792110</v>
      </c>
    </row>
    <row r="3757">
      <c r="A3757" s="2">
        <f>IFERROR(__xludf.DUMMYFUNCTION("""COMPUTED_VALUE"""),42066.64583333333)</f>
        <v>42066.64583</v>
      </c>
      <c r="B3757" s="1">
        <f>IFERROR(__xludf.DUMMYFUNCTION("""COMPUTED_VALUE"""),939.9)</f>
        <v>939.9</v>
      </c>
      <c r="C3757" s="1">
        <f>IFERROR(__xludf.DUMMYFUNCTION("""COMPUTED_VALUE"""),939.9)</f>
        <v>939.9</v>
      </c>
      <c r="D3757" s="1">
        <f>IFERROR(__xludf.DUMMYFUNCTION("""COMPUTED_VALUE"""),923.25)</f>
        <v>923.25</v>
      </c>
      <c r="E3757" s="1">
        <f>IFERROR(__xludf.DUMMYFUNCTION("""COMPUTED_VALUE"""),929.7)</f>
        <v>929.7</v>
      </c>
      <c r="F3757" s="1">
        <f>IFERROR(__xludf.DUMMYFUNCTION("""COMPUTED_VALUE"""),1510436.0)</f>
        <v>1510436</v>
      </c>
    </row>
    <row r="3758">
      <c r="A3758" s="2">
        <f>IFERROR(__xludf.DUMMYFUNCTION("""COMPUTED_VALUE"""),42067.64583333333)</f>
        <v>42067.64583</v>
      </c>
      <c r="B3758" s="1">
        <f>IFERROR(__xludf.DUMMYFUNCTION("""COMPUTED_VALUE"""),931.1)</f>
        <v>931.1</v>
      </c>
      <c r="C3758" s="1">
        <f>IFERROR(__xludf.DUMMYFUNCTION("""COMPUTED_VALUE"""),945.3)</f>
        <v>945.3</v>
      </c>
      <c r="D3758" s="1">
        <f>IFERROR(__xludf.DUMMYFUNCTION("""COMPUTED_VALUE"""),913.0)</f>
        <v>913</v>
      </c>
      <c r="E3758" s="1">
        <f>IFERROR(__xludf.DUMMYFUNCTION("""COMPUTED_VALUE"""),916.1)</f>
        <v>916.1</v>
      </c>
      <c r="F3758" s="1">
        <f>IFERROR(__xludf.DUMMYFUNCTION("""COMPUTED_VALUE"""),1202376.0)</f>
        <v>1202376</v>
      </c>
    </row>
    <row r="3759">
      <c r="A3759" s="2">
        <f>IFERROR(__xludf.DUMMYFUNCTION("""COMPUTED_VALUE"""),42068.64583333333)</f>
        <v>42068.64583</v>
      </c>
      <c r="B3759" s="1">
        <f>IFERROR(__xludf.DUMMYFUNCTION("""COMPUTED_VALUE"""),913.45)</f>
        <v>913.45</v>
      </c>
      <c r="C3759" s="1">
        <f>IFERROR(__xludf.DUMMYFUNCTION("""COMPUTED_VALUE"""),946.35)</f>
        <v>946.35</v>
      </c>
      <c r="D3759" s="1">
        <f>IFERROR(__xludf.DUMMYFUNCTION("""COMPUTED_VALUE"""),913.45)</f>
        <v>913.45</v>
      </c>
      <c r="E3759" s="1">
        <f>IFERROR(__xludf.DUMMYFUNCTION("""COMPUTED_VALUE"""),939.7)</f>
        <v>939.7</v>
      </c>
      <c r="F3759" s="1">
        <f>IFERROR(__xludf.DUMMYFUNCTION("""COMPUTED_VALUE"""),2301603.0)</f>
        <v>2301603</v>
      </c>
    </row>
    <row r="3760">
      <c r="A3760" s="2">
        <f>IFERROR(__xludf.DUMMYFUNCTION("""COMPUTED_VALUE"""),42072.64583333333)</f>
        <v>42072.64583</v>
      </c>
      <c r="B3760" s="1">
        <f>IFERROR(__xludf.DUMMYFUNCTION("""COMPUTED_VALUE"""),936.0)</f>
        <v>936</v>
      </c>
      <c r="C3760" s="1">
        <f>IFERROR(__xludf.DUMMYFUNCTION("""COMPUTED_VALUE"""),981.0)</f>
        <v>981</v>
      </c>
      <c r="D3760" s="1">
        <f>IFERROR(__xludf.DUMMYFUNCTION("""COMPUTED_VALUE"""),931.0)</f>
        <v>931</v>
      </c>
      <c r="E3760" s="1">
        <f>IFERROR(__xludf.DUMMYFUNCTION("""COMPUTED_VALUE"""),976.0)</f>
        <v>976</v>
      </c>
      <c r="F3760" s="1">
        <f>IFERROR(__xludf.DUMMYFUNCTION("""COMPUTED_VALUE"""),3529726.0)</f>
        <v>3529726</v>
      </c>
    </row>
    <row r="3761">
      <c r="A3761" s="2">
        <f>IFERROR(__xludf.DUMMYFUNCTION("""COMPUTED_VALUE"""),42073.64583333333)</f>
        <v>42073.64583</v>
      </c>
      <c r="B3761" s="1">
        <f>IFERROR(__xludf.DUMMYFUNCTION("""COMPUTED_VALUE"""),978.3)</f>
        <v>978.3</v>
      </c>
      <c r="C3761" s="1">
        <f>IFERROR(__xludf.DUMMYFUNCTION("""COMPUTED_VALUE"""),978.65)</f>
        <v>978.65</v>
      </c>
      <c r="D3761" s="1">
        <f>IFERROR(__xludf.DUMMYFUNCTION("""COMPUTED_VALUE"""),951.05)</f>
        <v>951.05</v>
      </c>
      <c r="E3761" s="1">
        <f>IFERROR(__xludf.DUMMYFUNCTION("""COMPUTED_VALUE"""),957.15)</f>
        <v>957.15</v>
      </c>
      <c r="F3761" s="1">
        <f>IFERROR(__xludf.DUMMYFUNCTION("""COMPUTED_VALUE"""),1323330.0)</f>
        <v>1323330</v>
      </c>
    </row>
    <row r="3762">
      <c r="A3762" s="2">
        <f>IFERROR(__xludf.DUMMYFUNCTION("""COMPUTED_VALUE"""),42074.64583333333)</f>
        <v>42074.64583</v>
      </c>
      <c r="B3762" s="1">
        <f>IFERROR(__xludf.DUMMYFUNCTION("""COMPUTED_VALUE"""),957.15)</f>
        <v>957.15</v>
      </c>
      <c r="C3762" s="1">
        <f>IFERROR(__xludf.DUMMYFUNCTION("""COMPUTED_VALUE"""),978.9)</f>
        <v>978.9</v>
      </c>
      <c r="D3762" s="1">
        <f>IFERROR(__xludf.DUMMYFUNCTION("""COMPUTED_VALUE"""),949.45)</f>
        <v>949.45</v>
      </c>
      <c r="E3762" s="1">
        <f>IFERROR(__xludf.DUMMYFUNCTION("""COMPUTED_VALUE"""),968.9)</f>
        <v>968.9</v>
      </c>
      <c r="F3762" s="1">
        <f>IFERROR(__xludf.DUMMYFUNCTION("""COMPUTED_VALUE"""),1742798.0)</f>
        <v>1742798</v>
      </c>
    </row>
    <row r="3763">
      <c r="A3763" s="2">
        <f>IFERROR(__xludf.DUMMYFUNCTION("""COMPUTED_VALUE"""),42075.64583333333)</f>
        <v>42075.64583</v>
      </c>
      <c r="B3763" s="1">
        <f>IFERROR(__xludf.DUMMYFUNCTION("""COMPUTED_VALUE"""),968.0)</f>
        <v>968</v>
      </c>
      <c r="C3763" s="1">
        <f>IFERROR(__xludf.DUMMYFUNCTION("""COMPUTED_VALUE"""),972.8)</f>
        <v>972.8</v>
      </c>
      <c r="D3763" s="1">
        <f>IFERROR(__xludf.DUMMYFUNCTION("""COMPUTED_VALUE"""),955.6)</f>
        <v>955.6</v>
      </c>
      <c r="E3763" s="1">
        <f>IFERROR(__xludf.DUMMYFUNCTION("""COMPUTED_VALUE"""),960.55)</f>
        <v>960.55</v>
      </c>
      <c r="F3763" s="1">
        <f>IFERROR(__xludf.DUMMYFUNCTION("""COMPUTED_VALUE"""),1358419.0)</f>
        <v>1358419</v>
      </c>
    </row>
    <row r="3764">
      <c r="A3764" s="2">
        <f>IFERROR(__xludf.DUMMYFUNCTION("""COMPUTED_VALUE"""),42076.64583333333)</f>
        <v>42076.64583</v>
      </c>
      <c r="B3764" s="1">
        <f>IFERROR(__xludf.DUMMYFUNCTION("""COMPUTED_VALUE"""),963.7)</f>
        <v>963.7</v>
      </c>
      <c r="C3764" s="1">
        <f>IFERROR(__xludf.DUMMYFUNCTION("""COMPUTED_VALUE"""),964.9)</f>
        <v>964.9</v>
      </c>
      <c r="D3764" s="1">
        <f>IFERROR(__xludf.DUMMYFUNCTION("""COMPUTED_VALUE"""),938.95)</f>
        <v>938.95</v>
      </c>
      <c r="E3764" s="1">
        <f>IFERROR(__xludf.DUMMYFUNCTION("""COMPUTED_VALUE"""),941.7)</f>
        <v>941.7</v>
      </c>
      <c r="F3764" s="1">
        <f>IFERROR(__xludf.DUMMYFUNCTION("""COMPUTED_VALUE"""),1466001.0)</f>
        <v>1466001</v>
      </c>
    </row>
    <row r="3765">
      <c r="A3765" s="2">
        <f>IFERROR(__xludf.DUMMYFUNCTION("""COMPUTED_VALUE"""),42079.64583333333)</f>
        <v>42079.64583</v>
      </c>
      <c r="B3765" s="1">
        <f>IFERROR(__xludf.DUMMYFUNCTION("""COMPUTED_VALUE"""),939.45)</f>
        <v>939.45</v>
      </c>
      <c r="C3765" s="1">
        <f>IFERROR(__xludf.DUMMYFUNCTION("""COMPUTED_VALUE"""),957.25)</f>
        <v>957.25</v>
      </c>
      <c r="D3765" s="1">
        <f>IFERROR(__xludf.DUMMYFUNCTION("""COMPUTED_VALUE"""),902.5)</f>
        <v>902.5</v>
      </c>
      <c r="E3765" s="1">
        <f>IFERROR(__xludf.DUMMYFUNCTION("""COMPUTED_VALUE"""),931.75)</f>
        <v>931.75</v>
      </c>
      <c r="F3765" s="1">
        <f>IFERROR(__xludf.DUMMYFUNCTION("""COMPUTED_VALUE"""),1244490.0)</f>
        <v>1244490</v>
      </c>
    </row>
    <row r="3766">
      <c r="A3766" s="2">
        <f>IFERROR(__xludf.DUMMYFUNCTION("""COMPUTED_VALUE"""),42080.64583333333)</f>
        <v>42080.64583</v>
      </c>
      <c r="B3766" s="1">
        <f>IFERROR(__xludf.DUMMYFUNCTION("""COMPUTED_VALUE"""),934.95)</f>
        <v>934.95</v>
      </c>
      <c r="C3766" s="1">
        <f>IFERROR(__xludf.DUMMYFUNCTION("""COMPUTED_VALUE"""),946.8)</f>
        <v>946.8</v>
      </c>
      <c r="D3766" s="1">
        <f>IFERROR(__xludf.DUMMYFUNCTION("""COMPUTED_VALUE"""),921.4)</f>
        <v>921.4</v>
      </c>
      <c r="E3766" s="1">
        <f>IFERROR(__xludf.DUMMYFUNCTION("""COMPUTED_VALUE"""),931.8)</f>
        <v>931.8</v>
      </c>
      <c r="F3766" s="1">
        <f>IFERROR(__xludf.DUMMYFUNCTION("""COMPUTED_VALUE"""),1239535.0)</f>
        <v>1239535</v>
      </c>
    </row>
    <row r="3767">
      <c r="A3767" s="2">
        <f>IFERROR(__xludf.DUMMYFUNCTION("""COMPUTED_VALUE"""),42081.64583333333)</f>
        <v>42081.64583</v>
      </c>
      <c r="B3767" s="1">
        <f>IFERROR(__xludf.DUMMYFUNCTION("""COMPUTED_VALUE"""),932.4)</f>
        <v>932.4</v>
      </c>
      <c r="C3767" s="1">
        <f>IFERROR(__xludf.DUMMYFUNCTION("""COMPUTED_VALUE"""),937.25)</f>
        <v>937.25</v>
      </c>
      <c r="D3767" s="1">
        <f>IFERROR(__xludf.DUMMYFUNCTION("""COMPUTED_VALUE"""),911.5)</f>
        <v>911.5</v>
      </c>
      <c r="E3767" s="1">
        <f>IFERROR(__xludf.DUMMYFUNCTION("""COMPUTED_VALUE"""),922.1)</f>
        <v>922.1</v>
      </c>
      <c r="F3767" s="1">
        <f>IFERROR(__xludf.DUMMYFUNCTION("""COMPUTED_VALUE"""),1436285.0)</f>
        <v>1436285</v>
      </c>
    </row>
    <row r="3768">
      <c r="A3768" s="2">
        <f>IFERROR(__xludf.DUMMYFUNCTION("""COMPUTED_VALUE"""),42082.64583333333)</f>
        <v>42082.64583</v>
      </c>
      <c r="B3768" s="1">
        <f>IFERROR(__xludf.DUMMYFUNCTION("""COMPUTED_VALUE"""),931.0)</f>
        <v>931</v>
      </c>
      <c r="C3768" s="1">
        <f>IFERROR(__xludf.DUMMYFUNCTION("""COMPUTED_VALUE"""),940.8)</f>
        <v>940.8</v>
      </c>
      <c r="D3768" s="1">
        <f>IFERROR(__xludf.DUMMYFUNCTION("""COMPUTED_VALUE"""),916.65)</f>
        <v>916.65</v>
      </c>
      <c r="E3768" s="1">
        <f>IFERROR(__xludf.DUMMYFUNCTION("""COMPUTED_VALUE"""),922.65)</f>
        <v>922.65</v>
      </c>
      <c r="F3768" s="1">
        <f>IFERROR(__xludf.DUMMYFUNCTION("""COMPUTED_VALUE"""),1249067.0)</f>
        <v>1249067</v>
      </c>
    </row>
    <row r="3769">
      <c r="A3769" s="2">
        <f>IFERROR(__xludf.DUMMYFUNCTION("""COMPUTED_VALUE"""),42083.64583333333)</f>
        <v>42083.64583</v>
      </c>
      <c r="B3769" s="1">
        <f>IFERROR(__xludf.DUMMYFUNCTION("""COMPUTED_VALUE"""),922.0)</f>
        <v>922</v>
      </c>
      <c r="C3769" s="1">
        <f>IFERROR(__xludf.DUMMYFUNCTION("""COMPUTED_VALUE"""),922.0)</f>
        <v>922</v>
      </c>
      <c r="D3769" s="1">
        <f>IFERROR(__xludf.DUMMYFUNCTION("""COMPUTED_VALUE"""),892.0)</f>
        <v>892</v>
      </c>
      <c r="E3769" s="1">
        <f>IFERROR(__xludf.DUMMYFUNCTION("""COMPUTED_VALUE"""),895.75)</f>
        <v>895.75</v>
      </c>
      <c r="F3769" s="1">
        <f>IFERROR(__xludf.DUMMYFUNCTION("""COMPUTED_VALUE"""),1854369.0)</f>
        <v>1854369</v>
      </c>
    </row>
    <row r="3770">
      <c r="A3770" s="2">
        <f>IFERROR(__xludf.DUMMYFUNCTION("""COMPUTED_VALUE"""),42086.64583333333)</f>
        <v>42086.64583</v>
      </c>
      <c r="B3770" s="1">
        <f>IFERROR(__xludf.DUMMYFUNCTION("""COMPUTED_VALUE"""),899.7)</f>
        <v>899.7</v>
      </c>
      <c r="C3770" s="1">
        <f>IFERROR(__xludf.DUMMYFUNCTION("""COMPUTED_VALUE"""),910.0)</f>
        <v>910</v>
      </c>
      <c r="D3770" s="1">
        <f>IFERROR(__xludf.DUMMYFUNCTION("""COMPUTED_VALUE"""),892.35)</f>
        <v>892.35</v>
      </c>
      <c r="E3770" s="1">
        <f>IFERROR(__xludf.DUMMYFUNCTION("""COMPUTED_VALUE"""),902.4)</f>
        <v>902.4</v>
      </c>
      <c r="F3770" s="1">
        <f>IFERROR(__xludf.DUMMYFUNCTION("""COMPUTED_VALUE"""),989354.0)</f>
        <v>989354</v>
      </c>
    </row>
    <row r="3771">
      <c r="A3771" s="2">
        <f>IFERROR(__xludf.DUMMYFUNCTION("""COMPUTED_VALUE"""),42087.64583333333)</f>
        <v>42087.64583</v>
      </c>
      <c r="B3771" s="1">
        <f>IFERROR(__xludf.DUMMYFUNCTION("""COMPUTED_VALUE"""),896.2)</f>
        <v>896.2</v>
      </c>
      <c r="C3771" s="1">
        <f>IFERROR(__xludf.DUMMYFUNCTION("""COMPUTED_VALUE"""),901.15)</f>
        <v>901.15</v>
      </c>
      <c r="D3771" s="1">
        <f>IFERROR(__xludf.DUMMYFUNCTION("""COMPUTED_VALUE"""),885.35)</f>
        <v>885.35</v>
      </c>
      <c r="E3771" s="1">
        <f>IFERROR(__xludf.DUMMYFUNCTION("""COMPUTED_VALUE"""),887.2)</f>
        <v>887.2</v>
      </c>
      <c r="F3771" s="1">
        <f>IFERROR(__xludf.DUMMYFUNCTION("""COMPUTED_VALUE"""),1288989.0)</f>
        <v>1288989</v>
      </c>
    </row>
    <row r="3772">
      <c r="A3772" s="2">
        <f>IFERROR(__xludf.DUMMYFUNCTION("""COMPUTED_VALUE"""),42088.64583333333)</f>
        <v>42088.64583</v>
      </c>
      <c r="B3772" s="1">
        <f>IFERROR(__xludf.DUMMYFUNCTION("""COMPUTED_VALUE"""),889.75)</f>
        <v>889.75</v>
      </c>
      <c r="C3772" s="1">
        <f>IFERROR(__xludf.DUMMYFUNCTION("""COMPUTED_VALUE"""),897.6)</f>
        <v>897.6</v>
      </c>
      <c r="D3772" s="1">
        <f>IFERROR(__xludf.DUMMYFUNCTION("""COMPUTED_VALUE"""),883.0)</f>
        <v>883</v>
      </c>
      <c r="E3772" s="1">
        <f>IFERROR(__xludf.DUMMYFUNCTION("""COMPUTED_VALUE"""),886.4)</f>
        <v>886.4</v>
      </c>
      <c r="F3772" s="1">
        <f>IFERROR(__xludf.DUMMYFUNCTION("""COMPUTED_VALUE"""),2848966.0)</f>
        <v>2848966</v>
      </c>
    </row>
    <row r="3773">
      <c r="A3773" s="2">
        <f>IFERROR(__xludf.DUMMYFUNCTION("""COMPUTED_VALUE"""),42089.64583333333)</f>
        <v>42089.64583</v>
      </c>
      <c r="B3773" s="1">
        <f>IFERROR(__xludf.DUMMYFUNCTION("""COMPUTED_VALUE"""),884.85)</f>
        <v>884.85</v>
      </c>
      <c r="C3773" s="1">
        <f>IFERROR(__xludf.DUMMYFUNCTION("""COMPUTED_VALUE"""),885.0)</f>
        <v>885</v>
      </c>
      <c r="D3773" s="1">
        <f>IFERROR(__xludf.DUMMYFUNCTION("""COMPUTED_VALUE"""),858.2)</f>
        <v>858.2</v>
      </c>
      <c r="E3773" s="1">
        <f>IFERROR(__xludf.DUMMYFUNCTION("""COMPUTED_VALUE"""),865.9)</f>
        <v>865.9</v>
      </c>
      <c r="F3773" s="1">
        <f>IFERROR(__xludf.DUMMYFUNCTION("""COMPUTED_VALUE"""),2570353.0)</f>
        <v>2570353</v>
      </c>
    </row>
    <row r="3774">
      <c r="A3774" s="2">
        <f>IFERROR(__xludf.DUMMYFUNCTION("""COMPUTED_VALUE"""),42090.64583333333)</f>
        <v>42090.64583</v>
      </c>
      <c r="B3774" s="1">
        <f>IFERROR(__xludf.DUMMYFUNCTION("""COMPUTED_VALUE"""),870.5)</f>
        <v>870.5</v>
      </c>
      <c r="C3774" s="1">
        <f>IFERROR(__xludf.DUMMYFUNCTION("""COMPUTED_VALUE"""),870.9)</f>
        <v>870.9</v>
      </c>
      <c r="D3774" s="1">
        <f>IFERROR(__xludf.DUMMYFUNCTION("""COMPUTED_VALUE"""),848.95)</f>
        <v>848.95</v>
      </c>
      <c r="E3774" s="1">
        <f>IFERROR(__xludf.DUMMYFUNCTION("""COMPUTED_VALUE"""),851.3)</f>
        <v>851.3</v>
      </c>
      <c r="F3774" s="1">
        <f>IFERROR(__xludf.DUMMYFUNCTION("""COMPUTED_VALUE"""),2023538.0)</f>
        <v>2023538</v>
      </c>
    </row>
    <row r="3775">
      <c r="A3775" s="2">
        <f>IFERROR(__xludf.DUMMYFUNCTION("""COMPUTED_VALUE"""),42093.64583333333)</f>
        <v>42093.64583</v>
      </c>
      <c r="B3775" s="1">
        <f>IFERROR(__xludf.DUMMYFUNCTION("""COMPUTED_VALUE"""),857.95)</f>
        <v>857.95</v>
      </c>
      <c r="C3775" s="1">
        <f>IFERROR(__xludf.DUMMYFUNCTION("""COMPUTED_VALUE"""),871.0)</f>
        <v>871</v>
      </c>
      <c r="D3775" s="1">
        <f>IFERROR(__xludf.DUMMYFUNCTION("""COMPUTED_VALUE"""),852.0)</f>
        <v>852</v>
      </c>
      <c r="E3775" s="1">
        <f>IFERROR(__xludf.DUMMYFUNCTION("""COMPUTED_VALUE"""),862.05)</f>
        <v>862.05</v>
      </c>
      <c r="F3775" s="1">
        <f>IFERROR(__xludf.DUMMYFUNCTION("""COMPUTED_VALUE"""),1415143.0)</f>
        <v>1415143</v>
      </c>
    </row>
    <row r="3776">
      <c r="A3776" s="2">
        <f>IFERROR(__xludf.DUMMYFUNCTION("""COMPUTED_VALUE"""),42094.64583333333)</f>
        <v>42094.64583</v>
      </c>
      <c r="B3776" s="1">
        <f>IFERROR(__xludf.DUMMYFUNCTION("""COMPUTED_VALUE"""),862.95)</f>
        <v>862.95</v>
      </c>
      <c r="C3776" s="1">
        <f>IFERROR(__xludf.DUMMYFUNCTION("""COMPUTED_VALUE"""),884.0)</f>
        <v>884</v>
      </c>
      <c r="D3776" s="1">
        <f>IFERROR(__xludf.DUMMYFUNCTION("""COMPUTED_VALUE"""),858.0)</f>
        <v>858</v>
      </c>
      <c r="E3776" s="1">
        <f>IFERROR(__xludf.DUMMYFUNCTION("""COMPUTED_VALUE"""),873.55)</f>
        <v>873.55</v>
      </c>
      <c r="F3776" s="1">
        <f>IFERROR(__xludf.DUMMYFUNCTION("""COMPUTED_VALUE"""),1503993.0)</f>
        <v>1503993</v>
      </c>
    </row>
    <row r="3777">
      <c r="A3777" s="2">
        <f>IFERROR(__xludf.DUMMYFUNCTION("""COMPUTED_VALUE"""),42095.64583333333)</f>
        <v>42095.64583</v>
      </c>
      <c r="B3777" s="1">
        <f>IFERROR(__xludf.DUMMYFUNCTION("""COMPUTED_VALUE"""),873.5)</f>
        <v>873.5</v>
      </c>
      <c r="C3777" s="1">
        <f>IFERROR(__xludf.DUMMYFUNCTION("""COMPUTED_VALUE"""),885.8)</f>
        <v>885.8</v>
      </c>
      <c r="D3777" s="1">
        <f>IFERROR(__xludf.DUMMYFUNCTION("""COMPUTED_VALUE"""),871.5)</f>
        <v>871.5</v>
      </c>
      <c r="E3777" s="1">
        <f>IFERROR(__xludf.DUMMYFUNCTION("""COMPUTED_VALUE"""),883.5)</f>
        <v>883.5</v>
      </c>
      <c r="F3777" s="1">
        <f>IFERROR(__xludf.DUMMYFUNCTION("""COMPUTED_VALUE"""),865861.0)</f>
        <v>865861</v>
      </c>
    </row>
    <row r="3778">
      <c r="A3778" s="2">
        <f>IFERROR(__xludf.DUMMYFUNCTION("""COMPUTED_VALUE"""),42100.64583333333)</f>
        <v>42100.64583</v>
      </c>
      <c r="B3778" s="1">
        <f>IFERROR(__xludf.DUMMYFUNCTION("""COMPUTED_VALUE"""),883.65)</f>
        <v>883.65</v>
      </c>
      <c r="C3778" s="1">
        <f>IFERROR(__xludf.DUMMYFUNCTION("""COMPUTED_VALUE"""),910.8)</f>
        <v>910.8</v>
      </c>
      <c r="D3778" s="1">
        <f>IFERROR(__xludf.DUMMYFUNCTION("""COMPUTED_VALUE"""),882.5)</f>
        <v>882.5</v>
      </c>
      <c r="E3778" s="1">
        <f>IFERROR(__xludf.DUMMYFUNCTION("""COMPUTED_VALUE"""),907.95)</f>
        <v>907.95</v>
      </c>
      <c r="F3778" s="1">
        <f>IFERROR(__xludf.DUMMYFUNCTION("""COMPUTED_VALUE"""),1482378.0)</f>
        <v>1482378</v>
      </c>
    </row>
    <row r="3779">
      <c r="A3779" s="2">
        <f>IFERROR(__xludf.DUMMYFUNCTION("""COMPUTED_VALUE"""),42101.64583333333)</f>
        <v>42101.64583</v>
      </c>
      <c r="B3779" s="1">
        <f>IFERROR(__xludf.DUMMYFUNCTION("""COMPUTED_VALUE"""),911.35)</f>
        <v>911.35</v>
      </c>
      <c r="C3779" s="1">
        <f>IFERROR(__xludf.DUMMYFUNCTION("""COMPUTED_VALUE"""),919.05)</f>
        <v>919.05</v>
      </c>
      <c r="D3779" s="1">
        <f>IFERROR(__xludf.DUMMYFUNCTION("""COMPUTED_VALUE"""),897.6)</f>
        <v>897.6</v>
      </c>
      <c r="E3779" s="1">
        <f>IFERROR(__xludf.DUMMYFUNCTION("""COMPUTED_VALUE"""),913.45)</f>
        <v>913.45</v>
      </c>
      <c r="F3779" s="1">
        <f>IFERROR(__xludf.DUMMYFUNCTION("""COMPUTED_VALUE"""),1212932.0)</f>
        <v>1212932</v>
      </c>
    </row>
    <row r="3780">
      <c r="A3780" s="2">
        <f>IFERROR(__xludf.DUMMYFUNCTION("""COMPUTED_VALUE"""),42102.64583333333)</f>
        <v>42102.64583</v>
      </c>
      <c r="B3780" s="1">
        <f>IFERROR(__xludf.DUMMYFUNCTION("""COMPUTED_VALUE"""),914.9)</f>
        <v>914.9</v>
      </c>
      <c r="C3780" s="1">
        <f>IFERROR(__xludf.DUMMYFUNCTION("""COMPUTED_VALUE"""),921.65)</f>
        <v>921.65</v>
      </c>
      <c r="D3780" s="1">
        <f>IFERROR(__xludf.DUMMYFUNCTION("""COMPUTED_VALUE"""),909.4)</f>
        <v>909.4</v>
      </c>
      <c r="E3780" s="1">
        <f>IFERROR(__xludf.DUMMYFUNCTION("""COMPUTED_VALUE"""),912.55)</f>
        <v>912.55</v>
      </c>
      <c r="F3780" s="1">
        <f>IFERROR(__xludf.DUMMYFUNCTION("""COMPUTED_VALUE"""),1296825.0)</f>
        <v>1296825</v>
      </c>
    </row>
    <row r="3781">
      <c r="A3781" s="2">
        <f>IFERROR(__xludf.DUMMYFUNCTION("""COMPUTED_VALUE"""),42103.64583333333)</f>
        <v>42103.64583</v>
      </c>
      <c r="B3781" s="1">
        <f>IFERROR(__xludf.DUMMYFUNCTION("""COMPUTED_VALUE"""),913.9)</f>
        <v>913.9</v>
      </c>
      <c r="C3781" s="1">
        <f>IFERROR(__xludf.DUMMYFUNCTION("""COMPUTED_VALUE"""),932.0)</f>
        <v>932</v>
      </c>
      <c r="D3781" s="1">
        <f>IFERROR(__xludf.DUMMYFUNCTION("""COMPUTED_VALUE"""),913.6)</f>
        <v>913.6</v>
      </c>
      <c r="E3781" s="1">
        <f>IFERROR(__xludf.DUMMYFUNCTION("""COMPUTED_VALUE"""),926.45)</f>
        <v>926.45</v>
      </c>
      <c r="F3781" s="1">
        <f>IFERROR(__xludf.DUMMYFUNCTION("""COMPUTED_VALUE"""),1237632.0)</f>
        <v>1237632</v>
      </c>
    </row>
    <row r="3782">
      <c r="A3782" s="2">
        <f>IFERROR(__xludf.DUMMYFUNCTION("""COMPUTED_VALUE"""),42104.64583333333)</f>
        <v>42104.64583</v>
      </c>
      <c r="B3782" s="1">
        <f>IFERROR(__xludf.DUMMYFUNCTION("""COMPUTED_VALUE"""),929.9)</f>
        <v>929.9</v>
      </c>
      <c r="C3782" s="1">
        <f>IFERROR(__xludf.DUMMYFUNCTION("""COMPUTED_VALUE"""),935.8)</f>
        <v>935.8</v>
      </c>
      <c r="D3782" s="1">
        <f>IFERROR(__xludf.DUMMYFUNCTION("""COMPUTED_VALUE"""),916.35)</f>
        <v>916.35</v>
      </c>
      <c r="E3782" s="1">
        <f>IFERROR(__xludf.DUMMYFUNCTION("""COMPUTED_VALUE"""),933.8)</f>
        <v>933.8</v>
      </c>
      <c r="F3782" s="1">
        <f>IFERROR(__xludf.DUMMYFUNCTION("""COMPUTED_VALUE"""),1161659.0)</f>
        <v>1161659</v>
      </c>
    </row>
    <row r="3783">
      <c r="A3783" s="2">
        <f>IFERROR(__xludf.DUMMYFUNCTION("""COMPUTED_VALUE"""),42107.64583333333)</f>
        <v>42107.64583</v>
      </c>
      <c r="B3783" s="1">
        <f>IFERROR(__xludf.DUMMYFUNCTION("""COMPUTED_VALUE"""),931.35)</f>
        <v>931.35</v>
      </c>
      <c r="C3783" s="1">
        <f>IFERROR(__xludf.DUMMYFUNCTION("""COMPUTED_VALUE"""),950.95)</f>
        <v>950.95</v>
      </c>
      <c r="D3783" s="1">
        <f>IFERROR(__xludf.DUMMYFUNCTION("""COMPUTED_VALUE"""),928.0)</f>
        <v>928</v>
      </c>
      <c r="E3783" s="1">
        <f>IFERROR(__xludf.DUMMYFUNCTION("""COMPUTED_VALUE"""),949.15)</f>
        <v>949.15</v>
      </c>
      <c r="F3783" s="1">
        <f>IFERROR(__xludf.DUMMYFUNCTION("""COMPUTED_VALUE"""),1374251.0)</f>
        <v>1374251</v>
      </c>
    </row>
    <row r="3784">
      <c r="A3784" s="2">
        <f>IFERROR(__xludf.DUMMYFUNCTION("""COMPUTED_VALUE"""),42109.64583333333)</f>
        <v>42109.64583</v>
      </c>
      <c r="B3784" s="1">
        <f>IFERROR(__xludf.DUMMYFUNCTION("""COMPUTED_VALUE"""),942.9)</f>
        <v>942.9</v>
      </c>
      <c r="C3784" s="1">
        <f>IFERROR(__xludf.DUMMYFUNCTION("""COMPUTED_VALUE"""),948.95)</f>
        <v>948.95</v>
      </c>
      <c r="D3784" s="1">
        <f>IFERROR(__xludf.DUMMYFUNCTION("""COMPUTED_VALUE"""),933.0)</f>
        <v>933</v>
      </c>
      <c r="E3784" s="1">
        <f>IFERROR(__xludf.DUMMYFUNCTION("""COMPUTED_VALUE"""),934.7)</f>
        <v>934.7</v>
      </c>
      <c r="F3784" s="1">
        <f>IFERROR(__xludf.DUMMYFUNCTION("""COMPUTED_VALUE"""),924855.0)</f>
        <v>924855</v>
      </c>
    </row>
    <row r="3785">
      <c r="A3785" s="2">
        <f>IFERROR(__xludf.DUMMYFUNCTION("""COMPUTED_VALUE"""),42110.64583333333)</f>
        <v>42110.64583</v>
      </c>
      <c r="B3785" s="1">
        <f>IFERROR(__xludf.DUMMYFUNCTION("""COMPUTED_VALUE"""),932.5)</f>
        <v>932.5</v>
      </c>
      <c r="C3785" s="1">
        <f>IFERROR(__xludf.DUMMYFUNCTION("""COMPUTED_VALUE"""),937.8)</f>
        <v>937.8</v>
      </c>
      <c r="D3785" s="1">
        <f>IFERROR(__xludf.DUMMYFUNCTION("""COMPUTED_VALUE"""),918.1)</f>
        <v>918.1</v>
      </c>
      <c r="E3785" s="1">
        <f>IFERROR(__xludf.DUMMYFUNCTION("""COMPUTED_VALUE"""),933.1)</f>
        <v>933.1</v>
      </c>
      <c r="F3785" s="1">
        <f>IFERROR(__xludf.DUMMYFUNCTION("""COMPUTED_VALUE"""),1071747.0)</f>
        <v>1071747</v>
      </c>
    </row>
    <row r="3786">
      <c r="A3786" s="2">
        <f>IFERROR(__xludf.DUMMYFUNCTION("""COMPUTED_VALUE"""),42111.64583333333)</f>
        <v>42111.64583</v>
      </c>
      <c r="B3786" s="1">
        <f>IFERROR(__xludf.DUMMYFUNCTION("""COMPUTED_VALUE"""),936.7)</f>
        <v>936.7</v>
      </c>
      <c r="C3786" s="1">
        <f>IFERROR(__xludf.DUMMYFUNCTION("""COMPUTED_VALUE"""),944.2)</f>
        <v>944.2</v>
      </c>
      <c r="D3786" s="1">
        <f>IFERROR(__xludf.DUMMYFUNCTION("""COMPUTED_VALUE"""),928.85)</f>
        <v>928.85</v>
      </c>
      <c r="E3786" s="1">
        <f>IFERROR(__xludf.DUMMYFUNCTION("""COMPUTED_VALUE"""),937.65)</f>
        <v>937.65</v>
      </c>
      <c r="F3786" s="1">
        <f>IFERROR(__xludf.DUMMYFUNCTION("""COMPUTED_VALUE"""),764984.0)</f>
        <v>764984</v>
      </c>
    </row>
    <row r="3787">
      <c r="A3787" s="2">
        <f>IFERROR(__xludf.DUMMYFUNCTION("""COMPUTED_VALUE"""),42114.64583333333)</f>
        <v>42114.64583</v>
      </c>
      <c r="B3787" s="1">
        <f>IFERROR(__xludf.DUMMYFUNCTION("""COMPUTED_VALUE"""),938.4)</f>
        <v>938.4</v>
      </c>
      <c r="C3787" s="1">
        <f>IFERROR(__xludf.DUMMYFUNCTION("""COMPUTED_VALUE"""),940.75)</f>
        <v>940.75</v>
      </c>
      <c r="D3787" s="1">
        <f>IFERROR(__xludf.DUMMYFUNCTION("""COMPUTED_VALUE"""),905.6)</f>
        <v>905.6</v>
      </c>
      <c r="E3787" s="1">
        <f>IFERROR(__xludf.DUMMYFUNCTION("""COMPUTED_VALUE"""),913.45)</f>
        <v>913.45</v>
      </c>
      <c r="F3787" s="1">
        <f>IFERROR(__xludf.DUMMYFUNCTION("""COMPUTED_VALUE"""),879556.0)</f>
        <v>879556</v>
      </c>
    </row>
    <row r="3788">
      <c r="A3788" s="2">
        <f>IFERROR(__xludf.DUMMYFUNCTION("""COMPUTED_VALUE"""),42115.64583333333)</f>
        <v>42115.64583</v>
      </c>
      <c r="B3788" s="1">
        <f>IFERROR(__xludf.DUMMYFUNCTION("""COMPUTED_VALUE"""),914.05)</f>
        <v>914.05</v>
      </c>
      <c r="C3788" s="1">
        <f>IFERROR(__xludf.DUMMYFUNCTION("""COMPUTED_VALUE"""),919.85)</f>
        <v>919.85</v>
      </c>
      <c r="D3788" s="1">
        <f>IFERROR(__xludf.DUMMYFUNCTION("""COMPUTED_VALUE"""),870.35)</f>
        <v>870.35</v>
      </c>
      <c r="E3788" s="1">
        <f>IFERROR(__xludf.DUMMYFUNCTION("""COMPUTED_VALUE"""),873.1)</f>
        <v>873.1</v>
      </c>
      <c r="F3788" s="1">
        <f>IFERROR(__xludf.DUMMYFUNCTION("""COMPUTED_VALUE"""),2535704.0)</f>
        <v>2535704</v>
      </c>
    </row>
    <row r="3789">
      <c r="A3789" s="2">
        <f>IFERROR(__xludf.DUMMYFUNCTION("""COMPUTED_VALUE"""),42116.64583333333)</f>
        <v>42116.64583</v>
      </c>
      <c r="B3789" s="1">
        <f>IFERROR(__xludf.DUMMYFUNCTION("""COMPUTED_VALUE"""),887.45)</f>
        <v>887.45</v>
      </c>
      <c r="C3789" s="1">
        <f>IFERROR(__xludf.DUMMYFUNCTION("""COMPUTED_VALUE"""),913.0)</f>
        <v>913</v>
      </c>
      <c r="D3789" s="1">
        <f>IFERROR(__xludf.DUMMYFUNCTION("""COMPUTED_VALUE"""),875.0)</f>
        <v>875</v>
      </c>
      <c r="E3789" s="1">
        <f>IFERROR(__xludf.DUMMYFUNCTION("""COMPUTED_VALUE"""),907.15)</f>
        <v>907.15</v>
      </c>
      <c r="F3789" s="1">
        <f>IFERROR(__xludf.DUMMYFUNCTION("""COMPUTED_VALUE"""),2106687.0)</f>
        <v>2106687</v>
      </c>
    </row>
    <row r="3790">
      <c r="A3790" s="2">
        <f>IFERROR(__xludf.DUMMYFUNCTION("""COMPUTED_VALUE"""),42117.64583333333)</f>
        <v>42117.64583</v>
      </c>
      <c r="B3790" s="1">
        <f>IFERROR(__xludf.DUMMYFUNCTION("""COMPUTED_VALUE"""),911.0)</f>
        <v>911</v>
      </c>
      <c r="C3790" s="1">
        <f>IFERROR(__xludf.DUMMYFUNCTION("""COMPUTED_VALUE"""),922.0)</f>
        <v>922</v>
      </c>
      <c r="D3790" s="1">
        <f>IFERROR(__xludf.DUMMYFUNCTION("""COMPUTED_VALUE"""),892.8)</f>
        <v>892.8</v>
      </c>
      <c r="E3790" s="1">
        <f>IFERROR(__xludf.DUMMYFUNCTION("""COMPUTED_VALUE"""),902.65)</f>
        <v>902.65</v>
      </c>
      <c r="F3790" s="1">
        <f>IFERROR(__xludf.DUMMYFUNCTION("""COMPUTED_VALUE"""),1027886.0)</f>
        <v>1027886</v>
      </c>
    </row>
    <row r="3791">
      <c r="A3791" s="2">
        <f>IFERROR(__xludf.DUMMYFUNCTION("""COMPUTED_VALUE"""),42118.64583333333)</f>
        <v>42118.64583</v>
      </c>
      <c r="B3791" s="1">
        <f>IFERROR(__xludf.DUMMYFUNCTION("""COMPUTED_VALUE"""),903.95)</f>
        <v>903.95</v>
      </c>
      <c r="C3791" s="1">
        <f>IFERROR(__xludf.DUMMYFUNCTION("""COMPUTED_VALUE"""),903.95)</f>
        <v>903.95</v>
      </c>
      <c r="D3791" s="1">
        <f>IFERROR(__xludf.DUMMYFUNCTION("""COMPUTED_VALUE"""),873.75)</f>
        <v>873.75</v>
      </c>
      <c r="E3791" s="1">
        <f>IFERROR(__xludf.DUMMYFUNCTION("""COMPUTED_VALUE"""),889.5)</f>
        <v>889.5</v>
      </c>
      <c r="F3791" s="1">
        <f>IFERROR(__xludf.DUMMYFUNCTION("""COMPUTED_VALUE"""),1122637.0)</f>
        <v>1122637</v>
      </c>
    </row>
    <row r="3792">
      <c r="A3792" s="2">
        <f>IFERROR(__xludf.DUMMYFUNCTION("""COMPUTED_VALUE"""),42121.64583333333)</f>
        <v>42121.64583</v>
      </c>
      <c r="B3792" s="1">
        <f>IFERROR(__xludf.DUMMYFUNCTION("""COMPUTED_VALUE"""),885.0)</f>
        <v>885</v>
      </c>
      <c r="C3792" s="1">
        <f>IFERROR(__xludf.DUMMYFUNCTION("""COMPUTED_VALUE"""),901.8)</f>
        <v>901.8</v>
      </c>
      <c r="D3792" s="1">
        <f>IFERROR(__xludf.DUMMYFUNCTION("""COMPUTED_VALUE"""),860.25)</f>
        <v>860.25</v>
      </c>
      <c r="E3792" s="1">
        <f>IFERROR(__xludf.DUMMYFUNCTION("""COMPUTED_VALUE"""),866.65)</f>
        <v>866.65</v>
      </c>
      <c r="F3792" s="1">
        <f>IFERROR(__xludf.DUMMYFUNCTION("""COMPUTED_VALUE"""),945769.0)</f>
        <v>945769</v>
      </c>
    </row>
    <row r="3793">
      <c r="A3793" s="2">
        <f>IFERROR(__xludf.DUMMYFUNCTION("""COMPUTED_VALUE"""),42122.64583333333)</f>
        <v>42122.64583</v>
      </c>
      <c r="B3793" s="1">
        <f>IFERROR(__xludf.DUMMYFUNCTION("""COMPUTED_VALUE"""),863.35)</f>
        <v>863.35</v>
      </c>
      <c r="C3793" s="1">
        <f>IFERROR(__xludf.DUMMYFUNCTION("""COMPUTED_VALUE"""),873.9)</f>
        <v>873.9</v>
      </c>
      <c r="D3793" s="1">
        <f>IFERROR(__xludf.DUMMYFUNCTION("""COMPUTED_VALUE"""),851.5)</f>
        <v>851.5</v>
      </c>
      <c r="E3793" s="1">
        <f>IFERROR(__xludf.DUMMYFUNCTION("""COMPUTED_VALUE"""),860.6)</f>
        <v>860.6</v>
      </c>
      <c r="F3793" s="1">
        <f>IFERROR(__xludf.DUMMYFUNCTION("""COMPUTED_VALUE"""),1844291.0)</f>
        <v>1844291</v>
      </c>
    </row>
    <row r="3794">
      <c r="A3794" s="2">
        <f>IFERROR(__xludf.DUMMYFUNCTION("""COMPUTED_VALUE"""),42123.64583333333)</f>
        <v>42123.64583</v>
      </c>
      <c r="B3794" s="1">
        <f>IFERROR(__xludf.DUMMYFUNCTION("""COMPUTED_VALUE"""),860.4)</f>
        <v>860.4</v>
      </c>
      <c r="C3794" s="1">
        <f>IFERROR(__xludf.DUMMYFUNCTION("""COMPUTED_VALUE"""),875.0)</f>
        <v>875</v>
      </c>
      <c r="D3794" s="1">
        <f>IFERROR(__xludf.DUMMYFUNCTION("""COMPUTED_VALUE"""),852.15)</f>
        <v>852.15</v>
      </c>
      <c r="E3794" s="1">
        <f>IFERROR(__xludf.DUMMYFUNCTION("""COMPUTED_VALUE"""),857.7)</f>
        <v>857.7</v>
      </c>
      <c r="F3794" s="1">
        <f>IFERROR(__xludf.DUMMYFUNCTION("""COMPUTED_VALUE"""),1323821.0)</f>
        <v>1323821</v>
      </c>
    </row>
    <row r="3795">
      <c r="A3795" s="2">
        <f>IFERROR(__xludf.DUMMYFUNCTION("""COMPUTED_VALUE"""),42124.64583333333)</f>
        <v>42124.64583</v>
      </c>
      <c r="B3795" s="1">
        <f>IFERROR(__xludf.DUMMYFUNCTION("""COMPUTED_VALUE"""),857.25)</f>
        <v>857.25</v>
      </c>
      <c r="C3795" s="1">
        <f>IFERROR(__xludf.DUMMYFUNCTION("""COMPUTED_VALUE"""),859.45)</f>
        <v>859.45</v>
      </c>
      <c r="D3795" s="1">
        <f>IFERROR(__xludf.DUMMYFUNCTION("""COMPUTED_VALUE"""),832.2)</f>
        <v>832.2</v>
      </c>
      <c r="E3795" s="1">
        <f>IFERROR(__xludf.DUMMYFUNCTION("""COMPUTED_VALUE"""),850.35)</f>
        <v>850.35</v>
      </c>
      <c r="F3795" s="1">
        <f>IFERROR(__xludf.DUMMYFUNCTION("""COMPUTED_VALUE"""),3001302.0)</f>
        <v>3001302</v>
      </c>
    </row>
    <row r="3796">
      <c r="A3796" s="2">
        <f>IFERROR(__xludf.DUMMYFUNCTION("""COMPUTED_VALUE"""),42128.64583333333)</f>
        <v>42128.64583</v>
      </c>
      <c r="B3796" s="1">
        <f>IFERROR(__xludf.DUMMYFUNCTION("""COMPUTED_VALUE"""),860.0)</f>
        <v>860</v>
      </c>
      <c r="C3796" s="1">
        <f>IFERROR(__xludf.DUMMYFUNCTION("""COMPUTED_VALUE"""),865.7)</f>
        <v>865.7</v>
      </c>
      <c r="D3796" s="1">
        <f>IFERROR(__xludf.DUMMYFUNCTION("""COMPUTED_VALUE"""),844.15)</f>
        <v>844.15</v>
      </c>
      <c r="E3796" s="1">
        <f>IFERROR(__xludf.DUMMYFUNCTION("""COMPUTED_VALUE"""),861.75)</f>
        <v>861.75</v>
      </c>
      <c r="F3796" s="1">
        <f>IFERROR(__xludf.DUMMYFUNCTION("""COMPUTED_VALUE"""),558193.0)</f>
        <v>558193</v>
      </c>
    </row>
    <row r="3797">
      <c r="A3797" s="2">
        <f>IFERROR(__xludf.DUMMYFUNCTION("""COMPUTED_VALUE"""),42129.64583333333)</f>
        <v>42129.64583</v>
      </c>
      <c r="B3797" s="1">
        <f>IFERROR(__xludf.DUMMYFUNCTION("""COMPUTED_VALUE"""),858.0)</f>
        <v>858</v>
      </c>
      <c r="C3797" s="1">
        <f>IFERROR(__xludf.DUMMYFUNCTION("""COMPUTED_VALUE"""),883.4)</f>
        <v>883.4</v>
      </c>
      <c r="D3797" s="1">
        <f>IFERROR(__xludf.DUMMYFUNCTION("""COMPUTED_VALUE"""),854.0)</f>
        <v>854</v>
      </c>
      <c r="E3797" s="1">
        <f>IFERROR(__xludf.DUMMYFUNCTION("""COMPUTED_VALUE"""),879.05)</f>
        <v>879.05</v>
      </c>
      <c r="F3797" s="1">
        <f>IFERROR(__xludf.DUMMYFUNCTION("""COMPUTED_VALUE"""),1663346.0)</f>
        <v>1663346</v>
      </c>
    </row>
    <row r="3798">
      <c r="A3798" s="2">
        <f>IFERROR(__xludf.DUMMYFUNCTION("""COMPUTED_VALUE"""),42130.64583333333)</f>
        <v>42130.64583</v>
      </c>
      <c r="B3798" s="1">
        <f>IFERROR(__xludf.DUMMYFUNCTION("""COMPUTED_VALUE"""),879.0)</f>
        <v>879</v>
      </c>
      <c r="C3798" s="1">
        <f>IFERROR(__xludf.DUMMYFUNCTION("""COMPUTED_VALUE"""),879.0)</f>
        <v>879</v>
      </c>
      <c r="D3798" s="1">
        <f>IFERROR(__xludf.DUMMYFUNCTION("""COMPUTED_VALUE"""),850.1)</f>
        <v>850.1</v>
      </c>
      <c r="E3798" s="1">
        <f>IFERROR(__xludf.DUMMYFUNCTION("""COMPUTED_VALUE"""),858.2)</f>
        <v>858.2</v>
      </c>
      <c r="F3798" s="1">
        <f>IFERROR(__xludf.DUMMYFUNCTION("""COMPUTED_VALUE"""),1989322.0)</f>
        <v>1989322</v>
      </c>
    </row>
    <row r="3799">
      <c r="A3799" s="2">
        <f>IFERROR(__xludf.DUMMYFUNCTION("""COMPUTED_VALUE"""),42131.64583333333)</f>
        <v>42131.64583</v>
      </c>
      <c r="B3799" s="1">
        <f>IFERROR(__xludf.DUMMYFUNCTION("""COMPUTED_VALUE"""),860.0)</f>
        <v>860</v>
      </c>
      <c r="C3799" s="1">
        <f>IFERROR(__xludf.DUMMYFUNCTION("""COMPUTED_VALUE"""),871.75)</f>
        <v>871.75</v>
      </c>
      <c r="D3799" s="1">
        <f>IFERROR(__xludf.DUMMYFUNCTION("""COMPUTED_VALUE"""),853.7)</f>
        <v>853.7</v>
      </c>
      <c r="E3799" s="1">
        <f>IFERROR(__xludf.DUMMYFUNCTION("""COMPUTED_VALUE"""),866.25)</f>
        <v>866.25</v>
      </c>
      <c r="F3799" s="1">
        <f>IFERROR(__xludf.DUMMYFUNCTION("""COMPUTED_VALUE"""),982642.0)</f>
        <v>982642</v>
      </c>
    </row>
    <row r="3800">
      <c r="A3800" s="2">
        <f>IFERROR(__xludf.DUMMYFUNCTION("""COMPUTED_VALUE"""),42132.64583333333)</f>
        <v>42132.64583</v>
      </c>
      <c r="B3800" s="1">
        <f>IFERROR(__xludf.DUMMYFUNCTION("""COMPUTED_VALUE"""),875.7)</f>
        <v>875.7</v>
      </c>
      <c r="C3800" s="1">
        <f>IFERROR(__xludf.DUMMYFUNCTION("""COMPUTED_VALUE"""),907.05)</f>
        <v>907.05</v>
      </c>
      <c r="D3800" s="1">
        <f>IFERROR(__xludf.DUMMYFUNCTION("""COMPUTED_VALUE"""),854.5)</f>
        <v>854.5</v>
      </c>
      <c r="E3800" s="1">
        <f>IFERROR(__xludf.DUMMYFUNCTION("""COMPUTED_VALUE"""),895.2)</f>
        <v>895.2</v>
      </c>
      <c r="F3800" s="1">
        <f>IFERROR(__xludf.DUMMYFUNCTION("""COMPUTED_VALUE"""),5244650.0)</f>
        <v>5244650</v>
      </c>
    </row>
    <row r="3801">
      <c r="A3801" s="2">
        <f>IFERROR(__xludf.DUMMYFUNCTION("""COMPUTED_VALUE"""),42135.64583333333)</f>
        <v>42135.64583</v>
      </c>
      <c r="B3801" s="1">
        <f>IFERROR(__xludf.DUMMYFUNCTION("""COMPUTED_VALUE"""),899.8)</f>
        <v>899.8</v>
      </c>
      <c r="C3801" s="1">
        <f>IFERROR(__xludf.DUMMYFUNCTION("""COMPUTED_VALUE"""),901.0)</f>
        <v>901</v>
      </c>
      <c r="D3801" s="1">
        <f>IFERROR(__xludf.DUMMYFUNCTION("""COMPUTED_VALUE"""),862.2)</f>
        <v>862.2</v>
      </c>
      <c r="E3801" s="1">
        <f>IFERROR(__xludf.DUMMYFUNCTION("""COMPUTED_VALUE"""),864.7)</f>
        <v>864.7</v>
      </c>
      <c r="F3801" s="1">
        <f>IFERROR(__xludf.DUMMYFUNCTION("""COMPUTED_VALUE"""),2712131.0)</f>
        <v>2712131</v>
      </c>
    </row>
    <row r="3802">
      <c r="A3802" s="2">
        <f>IFERROR(__xludf.DUMMYFUNCTION("""COMPUTED_VALUE"""),42136.64583333333)</f>
        <v>42136.64583</v>
      </c>
      <c r="B3802" s="1">
        <f>IFERROR(__xludf.DUMMYFUNCTION("""COMPUTED_VALUE"""),867.0)</f>
        <v>867</v>
      </c>
      <c r="C3802" s="1">
        <f>IFERROR(__xludf.DUMMYFUNCTION("""COMPUTED_VALUE"""),873.55)</f>
        <v>873.55</v>
      </c>
      <c r="D3802" s="1">
        <f>IFERROR(__xludf.DUMMYFUNCTION("""COMPUTED_VALUE"""),841.65)</f>
        <v>841.65</v>
      </c>
      <c r="E3802" s="1">
        <f>IFERROR(__xludf.DUMMYFUNCTION("""COMPUTED_VALUE"""),843.95)</f>
        <v>843.95</v>
      </c>
      <c r="F3802" s="1">
        <f>IFERROR(__xludf.DUMMYFUNCTION("""COMPUTED_VALUE"""),1837756.0)</f>
        <v>1837756</v>
      </c>
    </row>
    <row r="3803">
      <c r="A3803" s="2">
        <f>IFERROR(__xludf.DUMMYFUNCTION("""COMPUTED_VALUE"""),42137.64583333333)</f>
        <v>42137.64583</v>
      </c>
      <c r="B3803" s="1">
        <f>IFERROR(__xludf.DUMMYFUNCTION("""COMPUTED_VALUE"""),850.1)</f>
        <v>850.1</v>
      </c>
      <c r="C3803" s="1">
        <f>IFERROR(__xludf.DUMMYFUNCTION("""COMPUTED_VALUE"""),855.65)</f>
        <v>855.65</v>
      </c>
      <c r="D3803" s="1">
        <f>IFERROR(__xludf.DUMMYFUNCTION("""COMPUTED_VALUE"""),827.1)</f>
        <v>827.1</v>
      </c>
      <c r="E3803" s="1">
        <f>IFERROR(__xludf.DUMMYFUNCTION("""COMPUTED_VALUE"""),841.05)</f>
        <v>841.05</v>
      </c>
      <c r="F3803" s="1">
        <f>IFERROR(__xludf.DUMMYFUNCTION("""COMPUTED_VALUE"""),1842567.0)</f>
        <v>1842567</v>
      </c>
    </row>
    <row r="3804">
      <c r="A3804" s="2">
        <f>IFERROR(__xludf.DUMMYFUNCTION("""COMPUTED_VALUE"""),42138.64583333333)</f>
        <v>42138.64583</v>
      </c>
      <c r="B3804" s="1">
        <f>IFERROR(__xludf.DUMMYFUNCTION("""COMPUTED_VALUE"""),842.8)</f>
        <v>842.8</v>
      </c>
      <c r="C3804" s="1">
        <f>IFERROR(__xludf.DUMMYFUNCTION("""COMPUTED_VALUE"""),850.85)</f>
        <v>850.85</v>
      </c>
      <c r="D3804" s="1">
        <f>IFERROR(__xludf.DUMMYFUNCTION("""COMPUTED_VALUE"""),831.0)</f>
        <v>831</v>
      </c>
      <c r="E3804" s="1">
        <f>IFERROR(__xludf.DUMMYFUNCTION("""COMPUTED_VALUE"""),846.45)</f>
        <v>846.45</v>
      </c>
      <c r="F3804" s="1">
        <f>IFERROR(__xludf.DUMMYFUNCTION("""COMPUTED_VALUE"""),1458520.0)</f>
        <v>1458520</v>
      </c>
    </row>
    <row r="3805">
      <c r="A3805" s="2">
        <f>IFERROR(__xludf.DUMMYFUNCTION("""COMPUTED_VALUE"""),42139.64583333333)</f>
        <v>42139.64583</v>
      </c>
      <c r="B3805" s="1">
        <f>IFERROR(__xludf.DUMMYFUNCTION("""COMPUTED_VALUE"""),848.0)</f>
        <v>848</v>
      </c>
      <c r="C3805" s="1">
        <f>IFERROR(__xludf.DUMMYFUNCTION("""COMPUTED_VALUE"""),852.3)</f>
        <v>852.3</v>
      </c>
      <c r="D3805" s="1">
        <f>IFERROR(__xludf.DUMMYFUNCTION("""COMPUTED_VALUE"""),840.1)</f>
        <v>840.1</v>
      </c>
      <c r="E3805" s="1">
        <f>IFERROR(__xludf.DUMMYFUNCTION("""COMPUTED_VALUE"""),844.8)</f>
        <v>844.8</v>
      </c>
      <c r="F3805" s="1">
        <f>IFERROR(__xludf.DUMMYFUNCTION("""COMPUTED_VALUE"""),861417.0)</f>
        <v>861417</v>
      </c>
    </row>
    <row r="3806">
      <c r="A3806" s="2">
        <f>IFERROR(__xludf.DUMMYFUNCTION("""COMPUTED_VALUE"""),42142.64583333333)</f>
        <v>42142.64583</v>
      </c>
      <c r="B3806" s="1">
        <f>IFERROR(__xludf.DUMMYFUNCTION("""COMPUTED_VALUE"""),848.0)</f>
        <v>848</v>
      </c>
      <c r="C3806" s="1">
        <f>IFERROR(__xludf.DUMMYFUNCTION("""COMPUTED_VALUE"""),854.9)</f>
        <v>854.9</v>
      </c>
      <c r="D3806" s="1">
        <f>IFERROR(__xludf.DUMMYFUNCTION("""COMPUTED_VALUE"""),837.5)</f>
        <v>837.5</v>
      </c>
      <c r="E3806" s="1">
        <f>IFERROR(__xludf.DUMMYFUNCTION("""COMPUTED_VALUE"""),852.7)</f>
        <v>852.7</v>
      </c>
      <c r="F3806" s="1">
        <f>IFERROR(__xludf.DUMMYFUNCTION("""COMPUTED_VALUE"""),794940.0)</f>
        <v>794940</v>
      </c>
    </row>
    <row r="3807">
      <c r="A3807" s="2">
        <f>IFERROR(__xludf.DUMMYFUNCTION("""COMPUTED_VALUE"""),42143.64583333333)</f>
        <v>42143.64583</v>
      </c>
      <c r="B3807" s="1">
        <f>IFERROR(__xludf.DUMMYFUNCTION("""COMPUTED_VALUE"""),852.4)</f>
        <v>852.4</v>
      </c>
      <c r="C3807" s="1">
        <f>IFERROR(__xludf.DUMMYFUNCTION("""COMPUTED_VALUE"""),855.85)</f>
        <v>855.85</v>
      </c>
      <c r="D3807" s="1">
        <f>IFERROR(__xludf.DUMMYFUNCTION("""COMPUTED_VALUE"""),841.25)</f>
        <v>841.25</v>
      </c>
      <c r="E3807" s="1">
        <f>IFERROR(__xludf.DUMMYFUNCTION("""COMPUTED_VALUE"""),844.75)</f>
        <v>844.75</v>
      </c>
      <c r="F3807" s="1">
        <f>IFERROR(__xludf.DUMMYFUNCTION("""COMPUTED_VALUE"""),1115144.0)</f>
        <v>1115144</v>
      </c>
    </row>
    <row r="3808">
      <c r="A3808" s="2">
        <f>IFERROR(__xludf.DUMMYFUNCTION("""COMPUTED_VALUE"""),42144.64583333333)</f>
        <v>42144.64583</v>
      </c>
      <c r="B3808" s="1">
        <f>IFERROR(__xludf.DUMMYFUNCTION("""COMPUTED_VALUE"""),847.2)</f>
        <v>847.2</v>
      </c>
      <c r="C3808" s="1">
        <f>IFERROR(__xludf.DUMMYFUNCTION("""COMPUTED_VALUE"""),858.15)</f>
        <v>858.15</v>
      </c>
      <c r="D3808" s="1">
        <f>IFERROR(__xludf.DUMMYFUNCTION("""COMPUTED_VALUE"""),846.0)</f>
        <v>846</v>
      </c>
      <c r="E3808" s="1">
        <f>IFERROR(__xludf.DUMMYFUNCTION("""COMPUTED_VALUE"""),855.6)</f>
        <v>855.6</v>
      </c>
      <c r="F3808" s="1">
        <f>IFERROR(__xludf.DUMMYFUNCTION("""COMPUTED_VALUE"""),1051609.0)</f>
        <v>1051609</v>
      </c>
    </row>
    <row r="3809">
      <c r="A3809" s="2">
        <f>IFERROR(__xludf.DUMMYFUNCTION("""COMPUTED_VALUE"""),42145.64583333333)</f>
        <v>42145.64583</v>
      </c>
      <c r="B3809" s="1">
        <f>IFERROR(__xludf.DUMMYFUNCTION("""COMPUTED_VALUE"""),856.4)</f>
        <v>856.4</v>
      </c>
      <c r="C3809" s="1">
        <f>IFERROR(__xludf.DUMMYFUNCTION("""COMPUTED_VALUE"""),865.9)</f>
        <v>865.9</v>
      </c>
      <c r="D3809" s="1">
        <f>IFERROR(__xludf.DUMMYFUNCTION("""COMPUTED_VALUE"""),848.05)</f>
        <v>848.05</v>
      </c>
      <c r="E3809" s="1">
        <f>IFERROR(__xludf.DUMMYFUNCTION("""COMPUTED_VALUE"""),864.35)</f>
        <v>864.35</v>
      </c>
      <c r="F3809" s="1">
        <f>IFERROR(__xludf.DUMMYFUNCTION("""COMPUTED_VALUE"""),998351.0)</f>
        <v>998351</v>
      </c>
    </row>
    <row r="3810">
      <c r="A3810" s="2">
        <f>IFERROR(__xludf.DUMMYFUNCTION("""COMPUTED_VALUE"""),42146.64583333333)</f>
        <v>42146.64583</v>
      </c>
      <c r="B3810" s="1">
        <f>IFERROR(__xludf.DUMMYFUNCTION("""COMPUTED_VALUE"""),867.45)</f>
        <v>867.45</v>
      </c>
      <c r="C3810" s="1">
        <f>IFERROR(__xludf.DUMMYFUNCTION("""COMPUTED_VALUE"""),868.85)</f>
        <v>868.85</v>
      </c>
      <c r="D3810" s="1">
        <f>IFERROR(__xludf.DUMMYFUNCTION("""COMPUTED_VALUE"""),853.95)</f>
        <v>853.95</v>
      </c>
      <c r="E3810" s="1">
        <f>IFERROR(__xludf.DUMMYFUNCTION("""COMPUTED_VALUE"""),863.75)</f>
        <v>863.75</v>
      </c>
      <c r="F3810" s="1">
        <f>IFERROR(__xludf.DUMMYFUNCTION("""COMPUTED_VALUE"""),1369038.0)</f>
        <v>1369038</v>
      </c>
    </row>
    <row r="3811">
      <c r="A3811" s="2">
        <f>IFERROR(__xludf.DUMMYFUNCTION("""COMPUTED_VALUE"""),42149.64583333333)</f>
        <v>42149.64583</v>
      </c>
      <c r="B3811" s="1">
        <f>IFERROR(__xludf.DUMMYFUNCTION("""COMPUTED_VALUE"""),864.95)</f>
        <v>864.95</v>
      </c>
      <c r="C3811" s="1">
        <f>IFERROR(__xludf.DUMMYFUNCTION("""COMPUTED_VALUE"""),864.95)</f>
        <v>864.95</v>
      </c>
      <c r="D3811" s="1">
        <f>IFERROR(__xludf.DUMMYFUNCTION("""COMPUTED_VALUE"""),847.55)</f>
        <v>847.55</v>
      </c>
      <c r="E3811" s="1">
        <f>IFERROR(__xludf.DUMMYFUNCTION("""COMPUTED_VALUE"""),852.45)</f>
        <v>852.45</v>
      </c>
      <c r="F3811" s="1">
        <f>IFERROR(__xludf.DUMMYFUNCTION("""COMPUTED_VALUE"""),642231.0)</f>
        <v>642231</v>
      </c>
    </row>
    <row r="3812">
      <c r="A3812" s="2">
        <f>IFERROR(__xludf.DUMMYFUNCTION("""COMPUTED_VALUE"""),42150.64583333333)</f>
        <v>42150.64583</v>
      </c>
      <c r="B3812" s="1">
        <f>IFERROR(__xludf.DUMMYFUNCTION("""COMPUTED_VALUE"""),855.0)</f>
        <v>855</v>
      </c>
      <c r="C3812" s="1">
        <f>IFERROR(__xludf.DUMMYFUNCTION("""COMPUTED_VALUE"""),858.15)</f>
        <v>858.15</v>
      </c>
      <c r="D3812" s="1">
        <f>IFERROR(__xludf.DUMMYFUNCTION("""COMPUTED_VALUE"""),845.95)</f>
        <v>845.95</v>
      </c>
      <c r="E3812" s="1">
        <f>IFERROR(__xludf.DUMMYFUNCTION("""COMPUTED_VALUE"""),855.35)</f>
        <v>855.35</v>
      </c>
      <c r="F3812" s="1">
        <f>IFERROR(__xludf.DUMMYFUNCTION("""COMPUTED_VALUE"""),732655.0)</f>
        <v>732655</v>
      </c>
    </row>
    <row r="3813">
      <c r="A3813" s="2">
        <f>IFERROR(__xludf.DUMMYFUNCTION("""COMPUTED_VALUE"""),42151.64583333333)</f>
        <v>42151.64583</v>
      </c>
      <c r="B3813" s="1">
        <f>IFERROR(__xludf.DUMMYFUNCTION("""COMPUTED_VALUE"""),855.5)</f>
        <v>855.5</v>
      </c>
      <c r="C3813" s="1">
        <f>IFERROR(__xludf.DUMMYFUNCTION("""COMPUTED_VALUE"""),860.0)</f>
        <v>860</v>
      </c>
      <c r="D3813" s="1">
        <f>IFERROR(__xludf.DUMMYFUNCTION("""COMPUTED_VALUE"""),845.7)</f>
        <v>845.7</v>
      </c>
      <c r="E3813" s="1">
        <f>IFERROR(__xludf.DUMMYFUNCTION("""COMPUTED_VALUE"""),857.7)</f>
        <v>857.7</v>
      </c>
      <c r="F3813" s="1">
        <f>IFERROR(__xludf.DUMMYFUNCTION("""COMPUTED_VALUE"""),530542.0)</f>
        <v>530542</v>
      </c>
    </row>
    <row r="3814">
      <c r="A3814" s="2">
        <f>IFERROR(__xludf.DUMMYFUNCTION("""COMPUTED_VALUE"""),42152.64583333333)</f>
        <v>42152.64583</v>
      </c>
      <c r="B3814" s="1">
        <f>IFERROR(__xludf.DUMMYFUNCTION("""COMPUTED_VALUE"""),858.7)</f>
        <v>858.7</v>
      </c>
      <c r="C3814" s="1">
        <f>IFERROR(__xludf.DUMMYFUNCTION("""COMPUTED_VALUE"""),860.0)</f>
        <v>860</v>
      </c>
      <c r="D3814" s="1">
        <f>IFERROR(__xludf.DUMMYFUNCTION("""COMPUTED_VALUE"""),842.35)</f>
        <v>842.35</v>
      </c>
      <c r="E3814" s="1">
        <f>IFERROR(__xludf.DUMMYFUNCTION("""COMPUTED_VALUE"""),846.2)</f>
        <v>846.2</v>
      </c>
      <c r="F3814" s="1">
        <f>IFERROR(__xludf.DUMMYFUNCTION("""COMPUTED_VALUE"""),2062630.0)</f>
        <v>2062630</v>
      </c>
    </row>
    <row r="3815">
      <c r="A3815" s="2">
        <f>IFERROR(__xludf.DUMMYFUNCTION("""COMPUTED_VALUE"""),42153.64583333333)</f>
        <v>42153.64583</v>
      </c>
      <c r="B3815" s="1">
        <f>IFERROR(__xludf.DUMMYFUNCTION("""COMPUTED_VALUE"""),847.5)</f>
        <v>847.5</v>
      </c>
      <c r="C3815" s="1">
        <f>IFERROR(__xludf.DUMMYFUNCTION("""COMPUTED_VALUE"""),860.7)</f>
        <v>860.7</v>
      </c>
      <c r="D3815" s="1">
        <f>IFERROR(__xludf.DUMMYFUNCTION("""COMPUTED_VALUE"""),843.1)</f>
        <v>843.1</v>
      </c>
      <c r="E3815" s="1">
        <f>IFERROR(__xludf.DUMMYFUNCTION("""COMPUTED_VALUE"""),859.55)</f>
        <v>859.55</v>
      </c>
      <c r="F3815" s="1">
        <f>IFERROR(__xludf.DUMMYFUNCTION("""COMPUTED_VALUE"""),3787109.0)</f>
        <v>3787109</v>
      </c>
    </row>
    <row r="3816">
      <c r="A3816" s="2">
        <f>IFERROR(__xludf.DUMMYFUNCTION("""COMPUTED_VALUE"""),42156.64583333333)</f>
        <v>42156.64583</v>
      </c>
      <c r="B3816" s="1">
        <f>IFERROR(__xludf.DUMMYFUNCTION("""COMPUTED_VALUE"""),859.55)</f>
        <v>859.55</v>
      </c>
      <c r="C3816" s="1">
        <f>IFERROR(__xludf.DUMMYFUNCTION("""COMPUTED_VALUE"""),883.5)</f>
        <v>883.5</v>
      </c>
      <c r="D3816" s="1">
        <f>IFERROR(__xludf.DUMMYFUNCTION("""COMPUTED_VALUE"""),852.45)</f>
        <v>852.45</v>
      </c>
      <c r="E3816" s="1">
        <f>IFERROR(__xludf.DUMMYFUNCTION("""COMPUTED_VALUE"""),880.8)</f>
        <v>880.8</v>
      </c>
      <c r="F3816" s="1">
        <f>IFERROR(__xludf.DUMMYFUNCTION("""COMPUTED_VALUE"""),950336.0)</f>
        <v>950336</v>
      </c>
    </row>
    <row r="3817">
      <c r="A3817" s="2">
        <f>IFERROR(__xludf.DUMMYFUNCTION("""COMPUTED_VALUE"""),42157.64583333333)</f>
        <v>42157.64583</v>
      </c>
      <c r="B3817" s="1">
        <f>IFERROR(__xludf.DUMMYFUNCTION("""COMPUTED_VALUE"""),884.0)</f>
        <v>884</v>
      </c>
      <c r="C3817" s="1">
        <f>IFERROR(__xludf.DUMMYFUNCTION("""COMPUTED_VALUE"""),884.65)</f>
        <v>884.65</v>
      </c>
      <c r="D3817" s="1">
        <f>IFERROR(__xludf.DUMMYFUNCTION("""COMPUTED_VALUE"""),850.9)</f>
        <v>850.9</v>
      </c>
      <c r="E3817" s="1">
        <f>IFERROR(__xludf.DUMMYFUNCTION("""COMPUTED_VALUE"""),852.75)</f>
        <v>852.75</v>
      </c>
      <c r="F3817" s="1">
        <f>IFERROR(__xludf.DUMMYFUNCTION("""COMPUTED_VALUE"""),928603.0)</f>
        <v>928603</v>
      </c>
    </row>
    <row r="3818">
      <c r="A3818" s="2">
        <f>IFERROR(__xludf.DUMMYFUNCTION("""COMPUTED_VALUE"""),42158.64583333333)</f>
        <v>42158.64583</v>
      </c>
      <c r="B3818" s="1">
        <f>IFERROR(__xludf.DUMMYFUNCTION("""COMPUTED_VALUE"""),853.0)</f>
        <v>853</v>
      </c>
      <c r="C3818" s="1">
        <f>IFERROR(__xludf.DUMMYFUNCTION("""COMPUTED_VALUE"""),854.7)</f>
        <v>854.7</v>
      </c>
      <c r="D3818" s="1">
        <f>IFERROR(__xludf.DUMMYFUNCTION("""COMPUTED_VALUE"""),828.6)</f>
        <v>828.6</v>
      </c>
      <c r="E3818" s="1">
        <f>IFERROR(__xludf.DUMMYFUNCTION("""COMPUTED_VALUE"""),831.45)</f>
        <v>831.45</v>
      </c>
      <c r="F3818" s="1">
        <f>IFERROR(__xludf.DUMMYFUNCTION("""COMPUTED_VALUE"""),1074518.0)</f>
        <v>1074518</v>
      </c>
    </row>
    <row r="3819">
      <c r="A3819" s="2">
        <f>IFERROR(__xludf.DUMMYFUNCTION("""COMPUTED_VALUE"""),42159.64583333333)</f>
        <v>42159.64583</v>
      </c>
      <c r="B3819" s="1">
        <f>IFERROR(__xludf.DUMMYFUNCTION("""COMPUTED_VALUE"""),833.5)</f>
        <v>833.5</v>
      </c>
      <c r="C3819" s="1">
        <f>IFERROR(__xludf.DUMMYFUNCTION("""COMPUTED_VALUE"""),835.0)</f>
        <v>835</v>
      </c>
      <c r="D3819" s="1">
        <f>IFERROR(__xludf.DUMMYFUNCTION("""COMPUTED_VALUE"""),820.05)</f>
        <v>820.05</v>
      </c>
      <c r="E3819" s="1">
        <f>IFERROR(__xludf.DUMMYFUNCTION("""COMPUTED_VALUE"""),822.65)</f>
        <v>822.65</v>
      </c>
      <c r="F3819" s="1">
        <f>IFERROR(__xludf.DUMMYFUNCTION("""COMPUTED_VALUE"""),1273078.0)</f>
        <v>1273078</v>
      </c>
    </row>
    <row r="3820">
      <c r="A3820" s="2">
        <f>IFERROR(__xludf.DUMMYFUNCTION("""COMPUTED_VALUE"""),42160.64583333333)</f>
        <v>42160.64583</v>
      </c>
      <c r="B3820" s="1">
        <f>IFERROR(__xludf.DUMMYFUNCTION("""COMPUTED_VALUE"""),821.6)</f>
        <v>821.6</v>
      </c>
      <c r="C3820" s="1">
        <f>IFERROR(__xludf.DUMMYFUNCTION("""COMPUTED_VALUE"""),847.3)</f>
        <v>847.3</v>
      </c>
      <c r="D3820" s="1">
        <f>IFERROR(__xludf.DUMMYFUNCTION("""COMPUTED_VALUE"""),816.35)</f>
        <v>816.35</v>
      </c>
      <c r="E3820" s="1">
        <f>IFERROR(__xludf.DUMMYFUNCTION("""COMPUTED_VALUE"""),829.1)</f>
        <v>829.1</v>
      </c>
      <c r="F3820" s="1">
        <f>IFERROR(__xludf.DUMMYFUNCTION("""COMPUTED_VALUE"""),1564172.0)</f>
        <v>1564172</v>
      </c>
    </row>
    <row r="3821">
      <c r="A3821" s="2">
        <f>IFERROR(__xludf.DUMMYFUNCTION("""COMPUTED_VALUE"""),42163.64583333333)</f>
        <v>42163.64583</v>
      </c>
      <c r="B3821" s="1">
        <f>IFERROR(__xludf.DUMMYFUNCTION("""COMPUTED_VALUE"""),828.0)</f>
        <v>828</v>
      </c>
      <c r="C3821" s="1">
        <f>IFERROR(__xludf.DUMMYFUNCTION("""COMPUTED_VALUE"""),829.0)</f>
        <v>829</v>
      </c>
      <c r="D3821" s="1">
        <f>IFERROR(__xludf.DUMMYFUNCTION("""COMPUTED_VALUE"""),809.0)</f>
        <v>809</v>
      </c>
      <c r="E3821" s="1">
        <f>IFERROR(__xludf.DUMMYFUNCTION("""COMPUTED_VALUE"""),812.25)</f>
        <v>812.25</v>
      </c>
      <c r="F3821" s="1">
        <f>IFERROR(__xludf.DUMMYFUNCTION("""COMPUTED_VALUE"""),1108643.0)</f>
        <v>1108643</v>
      </c>
    </row>
    <row r="3822">
      <c r="A3822" s="2">
        <f>IFERROR(__xludf.DUMMYFUNCTION("""COMPUTED_VALUE"""),42164.64583333333)</f>
        <v>42164.64583</v>
      </c>
      <c r="B3822" s="1">
        <f>IFERROR(__xludf.DUMMYFUNCTION("""COMPUTED_VALUE"""),807.0)</f>
        <v>807</v>
      </c>
      <c r="C3822" s="1">
        <f>IFERROR(__xludf.DUMMYFUNCTION("""COMPUTED_VALUE"""),828.55)</f>
        <v>828.55</v>
      </c>
      <c r="D3822" s="1">
        <f>IFERROR(__xludf.DUMMYFUNCTION("""COMPUTED_VALUE"""),806.1)</f>
        <v>806.1</v>
      </c>
      <c r="E3822" s="1">
        <f>IFERROR(__xludf.DUMMYFUNCTION("""COMPUTED_VALUE"""),819.75)</f>
        <v>819.75</v>
      </c>
      <c r="F3822" s="1">
        <f>IFERROR(__xludf.DUMMYFUNCTION("""COMPUTED_VALUE"""),769058.0)</f>
        <v>769058</v>
      </c>
    </row>
    <row r="3823">
      <c r="A3823" s="2">
        <f>IFERROR(__xludf.DUMMYFUNCTION("""COMPUTED_VALUE"""),42165.64583333333)</f>
        <v>42165.64583</v>
      </c>
      <c r="B3823" s="1">
        <f>IFERROR(__xludf.DUMMYFUNCTION("""COMPUTED_VALUE"""),818.25)</f>
        <v>818.25</v>
      </c>
      <c r="C3823" s="1">
        <f>IFERROR(__xludf.DUMMYFUNCTION("""COMPUTED_VALUE"""),825.0)</f>
        <v>825</v>
      </c>
      <c r="D3823" s="1">
        <f>IFERROR(__xludf.DUMMYFUNCTION("""COMPUTED_VALUE"""),814.0)</f>
        <v>814</v>
      </c>
      <c r="E3823" s="1">
        <f>IFERROR(__xludf.DUMMYFUNCTION("""COMPUTED_VALUE"""),820.45)</f>
        <v>820.45</v>
      </c>
      <c r="F3823" s="1">
        <f>IFERROR(__xludf.DUMMYFUNCTION("""COMPUTED_VALUE"""),959272.0)</f>
        <v>959272</v>
      </c>
    </row>
    <row r="3824">
      <c r="A3824" s="2">
        <f>IFERROR(__xludf.DUMMYFUNCTION("""COMPUTED_VALUE"""),42166.64583333333)</f>
        <v>42166.64583</v>
      </c>
      <c r="B3824" s="1">
        <f>IFERROR(__xludf.DUMMYFUNCTION("""COMPUTED_VALUE"""),820.0)</f>
        <v>820</v>
      </c>
      <c r="C3824" s="1">
        <f>IFERROR(__xludf.DUMMYFUNCTION("""COMPUTED_VALUE"""),836.5)</f>
        <v>836.5</v>
      </c>
      <c r="D3824" s="1">
        <f>IFERROR(__xludf.DUMMYFUNCTION("""COMPUTED_VALUE"""),816.0)</f>
        <v>816</v>
      </c>
      <c r="E3824" s="1">
        <f>IFERROR(__xludf.DUMMYFUNCTION("""COMPUTED_VALUE"""),816.7)</f>
        <v>816.7</v>
      </c>
      <c r="F3824" s="1">
        <f>IFERROR(__xludf.DUMMYFUNCTION("""COMPUTED_VALUE"""),1263695.0)</f>
        <v>1263695</v>
      </c>
    </row>
    <row r="3825">
      <c r="A3825" s="2">
        <f>IFERROR(__xludf.DUMMYFUNCTION("""COMPUTED_VALUE"""),42167.64583333333)</f>
        <v>42167.64583</v>
      </c>
      <c r="B3825" s="1">
        <f>IFERROR(__xludf.DUMMYFUNCTION("""COMPUTED_VALUE"""),813.35)</f>
        <v>813.35</v>
      </c>
      <c r="C3825" s="1">
        <f>IFERROR(__xludf.DUMMYFUNCTION("""COMPUTED_VALUE"""),821.5)</f>
        <v>821.5</v>
      </c>
      <c r="D3825" s="1">
        <f>IFERROR(__xludf.DUMMYFUNCTION("""COMPUTED_VALUE"""),810.85)</f>
        <v>810.85</v>
      </c>
      <c r="E3825" s="1">
        <f>IFERROR(__xludf.DUMMYFUNCTION("""COMPUTED_VALUE"""),814.5)</f>
        <v>814.5</v>
      </c>
      <c r="F3825" s="1">
        <f>IFERROR(__xludf.DUMMYFUNCTION("""COMPUTED_VALUE"""),833644.0)</f>
        <v>833644</v>
      </c>
    </row>
    <row r="3826">
      <c r="A3826" s="2">
        <f>IFERROR(__xludf.DUMMYFUNCTION("""COMPUTED_VALUE"""),42170.64583333333)</f>
        <v>42170.64583</v>
      </c>
      <c r="B3826" s="1">
        <f>IFERROR(__xludf.DUMMYFUNCTION("""COMPUTED_VALUE"""),814.0)</f>
        <v>814</v>
      </c>
      <c r="C3826" s="1">
        <f>IFERROR(__xludf.DUMMYFUNCTION("""COMPUTED_VALUE"""),827.45)</f>
        <v>827.45</v>
      </c>
      <c r="D3826" s="1">
        <f>IFERROR(__xludf.DUMMYFUNCTION("""COMPUTED_VALUE"""),808.45)</f>
        <v>808.45</v>
      </c>
      <c r="E3826" s="1">
        <f>IFERROR(__xludf.DUMMYFUNCTION("""COMPUTED_VALUE"""),821.75)</f>
        <v>821.75</v>
      </c>
      <c r="F3826" s="1">
        <f>IFERROR(__xludf.DUMMYFUNCTION("""COMPUTED_VALUE"""),626620.0)</f>
        <v>626620</v>
      </c>
    </row>
    <row r="3827">
      <c r="A3827" s="2">
        <f>IFERROR(__xludf.DUMMYFUNCTION("""COMPUTED_VALUE"""),42171.64583333333)</f>
        <v>42171.64583</v>
      </c>
      <c r="B3827" s="1">
        <f>IFERROR(__xludf.DUMMYFUNCTION("""COMPUTED_VALUE"""),818.1)</f>
        <v>818.1</v>
      </c>
      <c r="C3827" s="1">
        <f>IFERROR(__xludf.DUMMYFUNCTION("""COMPUTED_VALUE"""),839.35)</f>
        <v>839.35</v>
      </c>
      <c r="D3827" s="1">
        <f>IFERROR(__xludf.DUMMYFUNCTION("""COMPUTED_VALUE"""),817.3)</f>
        <v>817.3</v>
      </c>
      <c r="E3827" s="1">
        <f>IFERROR(__xludf.DUMMYFUNCTION("""COMPUTED_VALUE"""),834.95)</f>
        <v>834.95</v>
      </c>
      <c r="F3827" s="1">
        <f>IFERROR(__xludf.DUMMYFUNCTION("""COMPUTED_VALUE"""),864766.0)</f>
        <v>864766</v>
      </c>
    </row>
    <row r="3828">
      <c r="A3828" s="2">
        <f>IFERROR(__xludf.DUMMYFUNCTION("""COMPUTED_VALUE"""),42172.64583333333)</f>
        <v>42172.64583</v>
      </c>
      <c r="B3828" s="1">
        <f>IFERROR(__xludf.DUMMYFUNCTION("""COMPUTED_VALUE"""),840.0)</f>
        <v>840</v>
      </c>
      <c r="C3828" s="1">
        <f>IFERROR(__xludf.DUMMYFUNCTION("""COMPUTED_VALUE"""),868.85)</f>
        <v>868.85</v>
      </c>
      <c r="D3828" s="1">
        <f>IFERROR(__xludf.DUMMYFUNCTION("""COMPUTED_VALUE"""),840.0)</f>
        <v>840</v>
      </c>
      <c r="E3828" s="1">
        <f>IFERROR(__xludf.DUMMYFUNCTION("""COMPUTED_VALUE"""),862.05)</f>
        <v>862.05</v>
      </c>
      <c r="F3828" s="1">
        <f>IFERROR(__xludf.DUMMYFUNCTION("""COMPUTED_VALUE"""),2574818.0)</f>
        <v>2574818</v>
      </c>
    </row>
    <row r="3829">
      <c r="A3829" s="2">
        <f>IFERROR(__xludf.DUMMYFUNCTION("""COMPUTED_VALUE"""),42173.64583333333)</f>
        <v>42173.64583</v>
      </c>
      <c r="B3829" s="1">
        <f>IFERROR(__xludf.DUMMYFUNCTION("""COMPUTED_VALUE"""),862.0)</f>
        <v>862</v>
      </c>
      <c r="C3829" s="1">
        <f>IFERROR(__xludf.DUMMYFUNCTION("""COMPUTED_VALUE"""),868.0)</f>
        <v>868</v>
      </c>
      <c r="D3829" s="1">
        <f>IFERROR(__xludf.DUMMYFUNCTION("""COMPUTED_VALUE"""),857.1)</f>
        <v>857.1</v>
      </c>
      <c r="E3829" s="1">
        <f>IFERROR(__xludf.DUMMYFUNCTION("""COMPUTED_VALUE"""),862.6)</f>
        <v>862.6</v>
      </c>
      <c r="F3829" s="1">
        <f>IFERROR(__xludf.DUMMYFUNCTION("""COMPUTED_VALUE"""),1234051.0)</f>
        <v>1234051</v>
      </c>
    </row>
    <row r="3830">
      <c r="A3830" s="2">
        <f>IFERROR(__xludf.DUMMYFUNCTION("""COMPUTED_VALUE"""),42174.64583333333)</f>
        <v>42174.64583</v>
      </c>
      <c r="B3830" s="1">
        <f>IFERROR(__xludf.DUMMYFUNCTION("""COMPUTED_VALUE"""),851.1)</f>
        <v>851.1</v>
      </c>
      <c r="C3830" s="1">
        <f>IFERROR(__xludf.DUMMYFUNCTION("""COMPUTED_VALUE"""),864.9)</f>
        <v>864.9</v>
      </c>
      <c r="D3830" s="1">
        <f>IFERROR(__xludf.DUMMYFUNCTION("""COMPUTED_VALUE"""),844.85)</f>
        <v>844.85</v>
      </c>
      <c r="E3830" s="1">
        <f>IFERROR(__xludf.DUMMYFUNCTION("""COMPUTED_VALUE"""),857.7)</f>
        <v>857.7</v>
      </c>
      <c r="F3830" s="1">
        <f>IFERROR(__xludf.DUMMYFUNCTION("""COMPUTED_VALUE"""),1376406.0)</f>
        <v>1376406</v>
      </c>
    </row>
    <row r="3831">
      <c r="A3831" s="2">
        <f>IFERROR(__xludf.DUMMYFUNCTION("""COMPUTED_VALUE"""),42177.64583333333)</f>
        <v>42177.64583</v>
      </c>
      <c r="B3831" s="1">
        <f>IFERROR(__xludf.DUMMYFUNCTION("""COMPUTED_VALUE"""),863.9)</f>
        <v>863.9</v>
      </c>
      <c r="C3831" s="1">
        <f>IFERROR(__xludf.DUMMYFUNCTION("""COMPUTED_VALUE"""),876.0)</f>
        <v>876</v>
      </c>
      <c r="D3831" s="1">
        <f>IFERROR(__xludf.DUMMYFUNCTION("""COMPUTED_VALUE"""),858.45)</f>
        <v>858.45</v>
      </c>
      <c r="E3831" s="1">
        <f>IFERROR(__xludf.DUMMYFUNCTION("""COMPUTED_VALUE"""),873.45)</f>
        <v>873.45</v>
      </c>
      <c r="F3831" s="1">
        <f>IFERROR(__xludf.DUMMYFUNCTION("""COMPUTED_VALUE"""),1039509.0)</f>
        <v>1039509</v>
      </c>
    </row>
    <row r="3832">
      <c r="A3832" s="2">
        <f>IFERROR(__xludf.DUMMYFUNCTION("""COMPUTED_VALUE"""),42178.64583333333)</f>
        <v>42178.64583</v>
      </c>
      <c r="B3832" s="1">
        <f>IFERROR(__xludf.DUMMYFUNCTION("""COMPUTED_VALUE"""),878.0)</f>
        <v>878</v>
      </c>
      <c r="C3832" s="1">
        <f>IFERROR(__xludf.DUMMYFUNCTION("""COMPUTED_VALUE"""),879.8)</f>
        <v>879.8</v>
      </c>
      <c r="D3832" s="1">
        <f>IFERROR(__xludf.DUMMYFUNCTION("""COMPUTED_VALUE"""),871.35)</f>
        <v>871.35</v>
      </c>
      <c r="E3832" s="1">
        <f>IFERROR(__xludf.DUMMYFUNCTION("""COMPUTED_VALUE"""),875.7)</f>
        <v>875.7</v>
      </c>
      <c r="F3832" s="1">
        <f>IFERROR(__xludf.DUMMYFUNCTION("""COMPUTED_VALUE"""),741773.0)</f>
        <v>741773</v>
      </c>
    </row>
    <row r="3833">
      <c r="A3833" s="2">
        <f>IFERROR(__xludf.DUMMYFUNCTION("""COMPUTED_VALUE"""),42179.64583333333)</f>
        <v>42179.64583</v>
      </c>
      <c r="B3833" s="1">
        <f>IFERROR(__xludf.DUMMYFUNCTION("""COMPUTED_VALUE"""),877.5)</f>
        <v>877.5</v>
      </c>
      <c r="C3833" s="1">
        <f>IFERROR(__xludf.DUMMYFUNCTION("""COMPUTED_VALUE"""),908.9)</f>
        <v>908.9</v>
      </c>
      <c r="D3833" s="1">
        <f>IFERROR(__xludf.DUMMYFUNCTION("""COMPUTED_VALUE"""),877.0)</f>
        <v>877</v>
      </c>
      <c r="E3833" s="1">
        <f>IFERROR(__xludf.DUMMYFUNCTION("""COMPUTED_VALUE"""),896.55)</f>
        <v>896.55</v>
      </c>
      <c r="F3833" s="1">
        <f>IFERROR(__xludf.DUMMYFUNCTION("""COMPUTED_VALUE"""),1812148.0)</f>
        <v>1812148</v>
      </c>
    </row>
    <row r="3834">
      <c r="A3834" s="2">
        <f>IFERROR(__xludf.DUMMYFUNCTION("""COMPUTED_VALUE"""),42180.64583333333)</f>
        <v>42180.64583</v>
      </c>
      <c r="B3834" s="1">
        <f>IFERROR(__xludf.DUMMYFUNCTION("""COMPUTED_VALUE"""),888.55)</f>
        <v>888.55</v>
      </c>
      <c r="C3834" s="1">
        <f>IFERROR(__xludf.DUMMYFUNCTION("""COMPUTED_VALUE"""),897.9)</f>
        <v>897.9</v>
      </c>
      <c r="D3834" s="1">
        <f>IFERROR(__xludf.DUMMYFUNCTION("""COMPUTED_VALUE"""),879.1)</f>
        <v>879.1</v>
      </c>
      <c r="E3834" s="1">
        <f>IFERROR(__xludf.DUMMYFUNCTION("""COMPUTED_VALUE"""),883.25)</f>
        <v>883.25</v>
      </c>
      <c r="F3834" s="1">
        <f>IFERROR(__xludf.DUMMYFUNCTION("""COMPUTED_VALUE"""),1257404.0)</f>
        <v>1257404</v>
      </c>
    </row>
    <row r="3835">
      <c r="A3835" s="2">
        <f>IFERROR(__xludf.DUMMYFUNCTION("""COMPUTED_VALUE"""),42181.64583333333)</f>
        <v>42181.64583</v>
      </c>
      <c r="B3835" s="1">
        <f>IFERROR(__xludf.DUMMYFUNCTION("""COMPUTED_VALUE"""),884.0)</f>
        <v>884</v>
      </c>
      <c r="C3835" s="1">
        <f>IFERROR(__xludf.DUMMYFUNCTION("""COMPUTED_VALUE"""),891.4)</f>
        <v>891.4</v>
      </c>
      <c r="D3835" s="1">
        <f>IFERROR(__xludf.DUMMYFUNCTION("""COMPUTED_VALUE"""),875.0)</f>
        <v>875</v>
      </c>
      <c r="E3835" s="1">
        <f>IFERROR(__xludf.DUMMYFUNCTION("""COMPUTED_VALUE"""),887.95)</f>
        <v>887.95</v>
      </c>
      <c r="F3835" s="1">
        <f>IFERROR(__xludf.DUMMYFUNCTION("""COMPUTED_VALUE"""),758668.0)</f>
        <v>758668</v>
      </c>
    </row>
    <row r="3836">
      <c r="A3836" s="2">
        <f>IFERROR(__xludf.DUMMYFUNCTION("""COMPUTED_VALUE"""),42184.64583333333)</f>
        <v>42184.64583</v>
      </c>
      <c r="B3836" s="1">
        <f>IFERROR(__xludf.DUMMYFUNCTION("""COMPUTED_VALUE"""),872.0)</f>
        <v>872</v>
      </c>
      <c r="C3836" s="1">
        <f>IFERROR(__xludf.DUMMYFUNCTION("""COMPUTED_VALUE"""),905.0)</f>
        <v>905</v>
      </c>
      <c r="D3836" s="1">
        <f>IFERROR(__xludf.DUMMYFUNCTION("""COMPUTED_VALUE"""),868.35)</f>
        <v>868.35</v>
      </c>
      <c r="E3836" s="1">
        <f>IFERROR(__xludf.DUMMYFUNCTION("""COMPUTED_VALUE"""),900.4)</f>
        <v>900.4</v>
      </c>
      <c r="F3836" s="1">
        <f>IFERROR(__xludf.DUMMYFUNCTION("""COMPUTED_VALUE"""),1221747.0)</f>
        <v>1221747</v>
      </c>
    </row>
    <row r="3837">
      <c r="A3837" s="2">
        <f>IFERROR(__xludf.DUMMYFUNCTION("""COMPUTED_VALUE"""),42185.64583333333)</f>
        <v>42185.64583</v>
      </c>
      <c r="B3837" s="1">
        <f>IFERROR(__xludf.DUMMYFUNCTION("""COMPUTED_VALUE"""),907.0)</f>
        <v>907</v>
      </c>
      <c r="C3837" s="1">
        <f>IFERROR(__xludf.DUMMYFUNCTION("""COMPUTED_VALUE"""),923.1)</f>
        <v>923.1</v>
      </c>
      <c r="D3837" s="1">
        <f>IFERROR(__xludf.DUMMYFUNCTION("""COMPUTED_VALUE"""),906.0)</f>
        <v>906</v>
      </c>
      <c r="E3837" s="1">
        <f>IFERROR(__xludf.DUMMYFUNCTION("""COMPUTED_VALUE"""),916.7)</f>
        <v>916.7</v>
      </c>
      <c r="F3837" s="1">
        <f>IFERROR(__xludf.DUMMYFUNCTION("""COMPUTED_VALUE"""),2318253.0)</f>
        <v>2318253</v>
      </c>
    </row>
    <row r="3838">
      <c r="A3838" s="2">
        <f>IFERROR(__xludf.DUMMYFUNCTION("""COMPUTED_VALUE"""),42186.64583333333)</f>
        <v>42186.64583</v>
      </c>
      <c r="B3838" s="1">
        <f>IFERROR(__xludf.DUMMYFUNCTION("""COMPUTED_VALUE"""),916.7)</f>
        <v>916.7</v>
      </c>
      <c r="C3838" s="1">
        <f>IFERROR(__xludf.DUMMYFUNCTION("""COMPUTED_VALUE"""),926.0)</f>
        <v>926</v>
      </c>
      <c r="D3838" s="1">
        <f>IFERROR(__xludf.DUMMYFUNCTION("""COMPUTED_VALUE"""),912.0)</f>
        <v>912</v>
      </c>
      <c r="E3838" s="1">
        <f>IFERROR(__xludf.DUMMYFUNCTION("""COMPUTED_VALUE"""),918.3)</f>
        <v>918.3</v>
      </c>
      <c r="F3838" s="1">
        <f>IFERROR(__xludf.DUMMYFUNCTION("""COMPUTED_VALUE"""),1456248.0)</f>
        <v>1456248</v>
      </c>
    </row>
    <row r="3839">
      <c r="A3839" s="2">
        <f>IFERROR(__xludf.DUMMYFUNCTION("""COMPUTED_VALUE"""),42187.64583333333)</f>
        <v>42187.64583</v>
      </c>
      <c r="B3839" s="1">
        <f>IFERROR(__xludf.DUMMYFUNCTION("""COMPUTED_VALUE"""),919.8)</f>
        <v>919.8</v>
      </c>
      <c r="C3839" s="1">
        <f>IFERROR(__xludf.DUMMYFUNCTION("""COMPUTED_VALUE"""),929.2)</f>
        <v>929.2</v>
      </c>
      <c r="D3839" s="1">
        <f>IFERROR(__xludf.DUMMYFUNCTION("""COMPUTED_VALUE"""),912.0)</f>
        <v>912</v>
      </c>
      <c r="E3839" s="1">
        <f>IFERROR(__xludf.DUMMYFUNCTION("""COMPUTED_VALUE"""),923.45)</f>
        <v>923.45</v>
      </c>
      <c r="F3839" s="1">
        <f>IFERROR(__xludf.DUMMYFUNCTION("""COMPUTED_VALUE"""),962649.0)</f>
        <v>962649</v>
      </c>
    </row>
    <row r="3840">
      <c r="A3840" s="2">
        <f>IFERROR(__xludf.DUMMYFUNCTION("""COMPUTED_VALUE"""),42188.64583333333)</f>
        <v>42188.64583</v>
      </c>
      <c r="B3840" s="1">
        <f>IFERROR(__xludf.DUMMYFUNCTION("""COMPUTED_VALUE"""),922.0)</f>
        <v>922</v>
      </c>
      <c r="C3840" s="1">
        <f>IFERROR(__xludf.DUMMYFUNCTION("""COMPUTED_VALUE"""),929.5)</f>
        <v>929.5</v>
      </c>
      <c r="D3840" s="1">
        <f>IFERROR(__xludf.DUMMYFUNCTION("""COMPUTED_VALUE"""),917.05)</f>
        <v>917.05</v>
      </c>
      <c r="E3840" s="1">
        <f>IFERROR(__xludf.DUMMYFUNCTION("""COMPUTED_VALUE"""),924.5)</f>
        <v>924.5</v>
      </c>
      <c r="F3840" s="1">
        <f>IFERROR(__xludf.DUMMYFUNCTION("""COMPUTED_VALUE"""),512931.0)</f>
        <v>512931</v>
      </c>
    </row>
    <row r="3841">
      <c r="A3841" s="2">
        <f>IFERROR(__xludf.DUMMYFUNCTION("""COMPUTED_VALUE"""),42191.64583333333)</f>
        <v>42191.64583</v>
      </c>
      <c r="B3841" s="1">
        <f>IFERROR(__xludf.DUMMYFUNCTION("""COMPUTED_VALUE"""),917.0)</f>
        <v>917</v>
      </c>
      <c r="C3841" s="1">
        <f>IFERROR(__xludf.DUMMYFUNCTION("""COMPUTED_VALUE"""),930.0)</f>
        <v>930</v>
      </c>
      <c r="D3841" s="1">
        <f>IFERROR(__xludf.DUMMYFUNCTION("""COMPUTED_VALUE"""),914.65)</f>
        <v>914.65</v>
      </c>
      <c r="E3841" s="1">
        <f>IFERROR(__xludf.DUMMYFUNCTION("""COMPUTED_VALUE"""),927.45)</f>
        <v>927.45</v>
      </c>
      <c r="F3841" s="1">
        <f>IFERROR(__xludf.DUMMYFUNCTION("""COMPUTED_VALUE"""),595187.0)</f>
        <v>595187</v>
      </c>
    </row>
    <row r="3842">
      <c r="A3842" s="2">
        <f>IFERROR(__xludf.DUMMYFUNCTION("""COMPUTED_VALUE"""),42192.64583333333)</f>
        <v>42192.64583</v>
      </c>
      <c r="B3842" s="1">
        <f>IFERROR(__xludf.DUMMYFUNCTION("""COMPUTED_VALUE"""),921.6)</f>
        <v>921.6</v>
      </c>
      <c r="C3842" s="1">
        <f>IFERROR(__xludf.DUMMYFUNCTION("""COMPUTED_VALUE"""),927.4)</f>
        <v>927.4</v>
      </c>
      <c r="D3842" s="1">
        <f>IFERROR(__xludf.DUMMYFUNCTION("""COMPUTED_VALUE"""),915.6)</f>
        <v>915.6</v>
      </c>
      <c r="E3842" s="1">
        <f>IFERROR(__xludf.DUMMYFUNCTION("""COMPUTED_VALUE"""),924.35)</f>
        <v>924.35</v>
      </c>
      <c r="F3842" s="1">
        <f>IFERROR(__xludf.DUMMYFUNCTION("""COMPUTED_VALUE"""),715696.0)</f>
        <v>715696</v>
      </c>
    </row>
    <row r="3843">
      <c r="A3843" s="2">
        <f>IFERROR(__xludf.DUMMYFUNCTION("""COMPUTED_VALUE"""),42193.64583333333)</f>
        <v>42193.64583</v>
      </c>
      <c r="B3843" s="1">
        <f>IFERROR(__xludf.DUMMYFUNCTION("""COMPUTED_VALUE"""),920.0)</f>
        <v>920</v>
      </c>
      <c r="C3843" s="1">
        <f>IFERROR(__xludf.DUMMYFUNCTION("""COMPUTED_VALUE"""),944.0)</f>
        <v>944</v>
      </c>
      <c r="D3843" s="1">
        <f>IFERROR(__xludf.DUMMYFUNCTION("""COMPUTED_VALUE"""),918.1)</f>
        <v>918.1</v>
      </c>
      <c r="E3843" s="1">
        <f>IFERROR(__xludf.DUMMYFUNCTION("""COMPUTED_VALUE"""),927.65)</f>
        <v>927.65</v>
      </c>
      <c r="F3843" s="1">
        <f>IFERROR(__xludf.DUMMYFUNCTION("""COMPUTED_VALUE"""),1791894.0)</f>
        <v>1791894</v>
      </c>
    </row>
    <row r="3844">
      <c r="A3844" s="2">
        <f>IFERROR(__xludf.DUMMYFUNCTION("""COMPUTED_VALUE"""),42194.64583333333)</f>
        <v>42194.64583</v>
      </c>
      <c r="B3844" s="1">
        <f>IFERROR(__xludf.DUMMYFUNCTION("""COMPUTED_VALUE"""),927.65)</f>
        <v>927.65</v>
      </c>
      <c r="C3844" s="1">
        <f>IFERROR(__xludf.DUMMYFUNCTION("""COMPUTED_VALUE"""),934.8)</f>
        <v>934.8</v>
      </c>
      <c r="D3844" s="1">
        <f>IFERROR(__xludf.DUMMYFUNCTION("""COMPUTED_VALUE"""),912.4)</f>
        <v>912.4</v>
      </c>
      <c r="E3844" s="1">
        <f>IFERROR(__xludf.DUMMYFUNCTION("""COMPUTED_VALUE"""),921.55)</f>
        <v>921.55</v>
      </c>
      <c r="F3844" s="1">
        <f>IFERROR(__xludf.DUMMYFUNCTION("""COMPUTED_VALUE"""),1153644.0)</f>
        <v>1153644</v>
      </c>
    </row>
    <row r="3845">
      <c r="A3845" s="2">
        <f>IFERROR(__xludf.DUMMYFUNCTION("""COMPUTED_VALUE"""),42195.64583333333)</f>
        <v>42195.64583</v>
      </c>
      <c r="B3845" s="1">
        <f>IFERROR(__xludf.DUMMYFUNCTION("""COMPUTED_VALUE"""),924.5)</f>
        <v>924.5</v>
      </c>
      <c r="C3845" s="1">
        <f>IFERROR(__xludf.DUMMYFUNCTION("""COMPUTED_VALUE"""),924.5)</f>
        <v>924.5</v>
      </c>
      <c r="D3845" s="1">
        <f>IFERROR(__xludf.DUMMYFUNCTION("""COMPUTED_VALUE"""),891.3)</f>
        <v>891.3</v>
      </c>
      <c r="E3845" s="1">
        <f>IFERROR(__xludf.DUMMYFUNCTION("""COMPUTED_VALUE"""),900.25)</f>
        <v>900.25</v>
      </c>
      <c r="F3845" s="1">
        <f>IFERROR(__xludf.DUMMYFUNCTION("""COMPUTED_VALUE"""),2198242.0)</f>
        <v>2198242</v>
      </c>
    </row>
    <row r="3846">
      <c r="A3846" s="2">
        <f>IFERROR(__xludf.DUMMYFUNCTION("""COMPUTED_VALUE"""),42198.64583333333)</f>
        <v>42198.64583</v>
      </c>
      <c r="B3846" s="1">
        <f>IFERROR(__xludf.DUMMYFUNCTION("""COMPUTED_VALUE"""),900.8)</f>
        <v>900.8</v>
      </c>
      <c r="C3846" s="1">
        <f>IFERROR(__xludf.DUMMYFUNCTION("""COMPUTED_VALUE"""),914.5)</f>
        <v>914.5</v>
      </c>
      <c r="D3846" s="1">
        <f>IFERROR(__xludf.DUMMYFUNCTION("""COMPUTED_VALUE"""),890.5)</f>
        <v>890.5</v>
      </c>
      <c r="E3846" s="1">
        <f>IFERROR(__xludf.DUMMYFUNCTION("""COMPUTED_VALUE"""),910.7)</f>
        <v>910.7</v>
      </c>
      <c r="F3846" s="1">
        <f>IFERROR(__xludf.DUMMYFUNCTION("""COMPUTED_VALUE"""),1103160.0)</f>
        <v>1103160</v>
      </c>
    </row>
    <row r="3847">
      <c r="A3847" s="2">
        <f>IFERROR(__xludf.DUMMYFUNCTION("""COMPUTED_VALUE"""),42199.64583333333)</f>
        <v>42199.64583</v>
      </c>
      <c r="B3847" s="1">
        <f>IFERROR(__xludf.DUMMYFUNCTION("""COMPUTED_VALUE"""),910.5)</f>
        <v>910.5</v>
      </c>
      <c r="C3847" s="1">
        <f>IFERROR(__xludf.DUMMYFUNCTION("""COMPUTED_VALUE"""),929.1)</f>
        <v>929.1</v>
      </c>
      <c r="D3847" s="1">
        <f>IFERROR(__xludf.DUMMYFUNCTION("""COMPUTED_VALUE"""),902.8)</f>
        <v>902.8</v>
      </c>
      <c r="E3847" s="1">
        <f>IFERROR(__xludf.DUMMYFUNCTION("""COMPUTED_VALUE"""),927.3)</f>
        <v>927.3</v>
      </c>
      <c r="F3847" s="1">
        <f>IFERROR(__xludf.DUMMYFUNCTION("""COMPUTED_VALUE"""),662369.0)</f>
        <v>662369</v>
      </c>
    </row>
    <row r="3848">
      <c r="A3848" s="2">
        <f>IFERROR(__xludf.DUMMYFUNCTION("""COMPUTED_VALUE"""),42200.64583333333)</f>
        <v>42200.64583</v>
      </c>
      <c r="B3848" s="1">
        <f>IFERROR(__xludf.DUMMYFUNCTION("""COMPUTED_VALUE"""),927.0)</f>
        <v>927</v>
      </c>
      <c r="C3848" s="1">
        <f>IFERROR(__xludf.DUMMYFUNCTION("""COMPUTED_VALUE"""),935.0)</f>
        <v>935</v>
      </c>
      <c r="D3848" s="1">
        <f>IFERROR(__xludf.DUMMYFUNCTION("""COMPUTED_VALUE"""),920.35)</f>
        <v>920.35</v>
      </c>
      <c r="E3848" s="1">
        <f>IFERROR(__xludf.DUMMYFUNCTION("""COMPUTED_VALUE"""),929.0)</f>
        <v>929</v>
      </c>
      <c r="F3848" s="1">
        <f>IFERROR(__xludf.DUMMYFUNCTION("""COMPUTED_VALUE"""),980533.0)</f>
        <v>980533</v>
      </c>
    </row>
    <row r="3849">
      <c r="A3849" s="2">
        <f>IFERROR(__xludf.DUMMYFUNCTION("""COMPUTED_VALUE"""),42201.64583333333)</f>
        <v>42201.64583</v>
      </c>
      <c r="B3849" s="1">
        <f>IFERROR(__xludf.DUMMYFUNCTION("""COMPUTED_VALUE"""),930.0)</f>
        <v>930</v>
      </c>
      <c r="C3849" s="1">
        <f>IFERROR(__xludf.DUMMYFUNCTION("""COMPUTED_VALUE"""),939.5)</f>
        <v>939.5</v>
      </c>
      <c r="D3849" s="1">
        <f>IFERROR(__xludf.DUMMYFUNCTION("""COMPUTED_VALUE"""),923.25)</f>
        <v>923.25</v>
      </c>
      <c r="E3849" s="1">
        <f>IFERROR(__xludf.DUMMYFUNCTION("""COMPUTED_VALUE"""),936.85)</f>
        <v>936.85</v>
      </c>
      <c r="F3849" s="1">
        <f>IFERROR(__xludf.DUMMYFUNCTION("""COMPUTED_VALUE"""),667588.0)</f>
        <v>667588</v>
      </c>
    </row>
    <row r="3850">
      <c r="A3850" s="2">
        <f>IFERROR(__xludf.DUMMYFUNCTION("""COMPUTED_VALUE"""),42202.64583333333)</f>
        <v>42202.64583</v>
      </c>
      <c r="B3850" s="1">
        <f>IFERROR(__xludf.DUMMYFUNCTION("""COMPUTED_VALUE"""),937.05)</f>
        <v>937.05</v>
      </c>
      <c r="C3850" s="1">
        <f>IFERROR(__xludf.DUMMYFUNCTION("""COMPUTED_VALUE"""),941.95)</f>
        <v>941.95</v>
      </c>
      <c r="D3850" s="1">
        <f>IFERROR(__xludf.DUMMYFUNCTION("""COMPUTED_VALUE"""),922.25)</f>
        <v>922.25</v>
      </c>
      <c r="E3850" s="1">
        <f>IFERROR(__xludf.DUMMYFUNCTION("""COMPUTED_VALUE"""),924.3)</f>
        <v>924.3</v>
      </c>
      <c r="F3850" s="1">
        <f>IFERROR(__xludf.DUMMYFUNCTION("""COMPUTED_VALUE"""),848156.0)</f>
        <v>848156</v>
      </c>
    </row>
    <row r="3851">
      <c r="A3851" s="2">
        <f>IFERROR(__xludf.DUMMYFUNCTION("""COMPUTED_VALUE"""),42205.64583333333)</f>
        <v>42205.64583</v>
      </c>
      <c r="B3851" s="1">
        <f>IFERROR(__xludf.DUMMYFUNCTION("""COMPUTED_VALUE"""),924.0)</f>
        <v>924</v>
      </c>
      <c r="C3851" s="1">
        <f>IFERROR(__xludf.DUMMYFUNCTION("""COMPUTED_VALUE"""),931.5)</f>
        <v>931.5</v>
      </c>
      <c r="D3851" s="1">
        <f>IFERROR(__xludf.DUMMYFUNCTION("""COMPUTED_VALUE"""),909.05)</f>
        <v>909.05</v>
      </c>
      <c r="E3851" s="1">
        <f>IFERROR(__xludf.DUMMYFUNCTION("""COMPUTED_VALUE"""),913.1)</f>
        <v>913.1</v>
      </c>
      <c r="F3851" s="1">
        <f>IFERROR(__xludf.DUMMYFUNCTION("""COMPUTED_VALUE"""),738505.0)</f>
        <v>738505</v>
      </c>
    </row>
    <row r="3852">
      <c r="A3852" s="2">
        <f>IFERROR(__xludf.DUMMYFUNCTION("""COMPUTED_VALUE"""),42206.64583333333)</f>
        <v>42206.64583</v>
      </c>
      <c r="B3852" s="1">
        <f>IFERROR(__xludf.DUMMYFUNCTION("""COMPUTED_VALUE"""),915.0)</f>
        <v>915</v>
      </c>
      <c r="C3852" s="1">
        <f>IFERROR(__xludf.DUMMYFUNCTION("""COMPUTED_VALUE"""),916.85)</f>
        <v>916.85</v>
      </c>
      <c r="D3852" s="1">
        <f>IFERROR(__xludf.DUMMYFUNCTION("""COMPUTED_VALUE"""),871.1)</f>
        <v>871.1</v>
      </c>
      <c r="E3852" s="1">
        <f>IFERROR(__xludf.DUMMYFUNCTION("""COMPUTED_VALUE"""),891.3)</f>
        <v>891.3</v>
      </c>
      <c r="F3852" s="1">
        <f>IFERROR(__xludf.DUMMYFUNCTION("""COMPUTED_VALUE"""),4915170.0)</f>
        <v>4915170</v>
      </c>
    </row>
    <row r="3853">
      <c r="A3853" s="2">
        <f>IFERROR(__xludf.DUMMYFUNCTION("""COMPUTED_VALUE"""),42207.64583333333)</f>
        <v>42207.64583</v>
      </c>
      <c r="B3853" s="1">
        <f>IFERROR(__xludf.DUMMYFUNCTION("""COMPUTED_VALUE"""),894.0)</f>
        <v>894</v>
      </c>
      <c r="C3853" s="1">
        <f>IFERROR(__xludf.DUMMYFUNCTION("""COMPUTED_VALUE"""),923.0)</f>
        <v>923</v>
      </c>
      <c r="D3853" s="1">
        <f>IFERROR(__xludf.DUMMYFUNCTION("""COMPUTED_VALUE"""),891.15)</f>
        <v>891.15</v>
      </c>
      <c r="E3853" s="1">
        <f>IFERROR(__xludf.DUMMYFUNCTION("""COMPUTED_VALUE"""),920.5)</f>
        <v>920.5</v>
      </c>
      <c r="F3853" s="1">
        <f>IFERROR(__xludf.DUMMYFUNCTION("""COMPUTED_VALUE"""),1433553.0)</f>
        <v>1433553</v>
      </c>
    </row>
    <row r="3854">
      <c r="A3854" s="2">
        <f>IFERROR(__xludf.DUMMYFUNCTION("""COMPUTED_VALUE"""),42208.64583333333)</f>
        <v>42208.64583</v>
      </c>
      <c r="B3854" s="1">
        <f>IFERROR(__xludf.DUMMYFUNCTION("""COMPUTED_VALUE"""),919.0)</f>
        <v>919</v>
      </c>
      <c r="C3854" s="1">
        <f>IFERROR(__xludf.DUMMYFUNCTION("""COMPUTED_VALUE"""),919.0)</f>
        <v>919</v>
      </c>
      <c r="D3854" s="1">
        <f>IFERROR(__xludf.DUMMYFUNCTION("""COMPUTED_VALUE"""),895.2)</f>
        <v>895.2</v>
      </c>
      <c r="E3854" s="1">
        <f>IFERROR(__xludf.DUMMYFUNCTION("""COMPUTED_VALUE"""),904.25)</f>
        <v>904.25</v>
      </c>
      <c r="F3854" s="1">
        <f>IFERROR(__xludf.DUMMYFUNCTION("""COMPUTED_VALUE"""),1049783.0)</f>
        <v>1049783</v>
      </c>
    </row>
    <row r="3855">
      <c r="A3855" s="2">
        <f>IFERROR(__xludf.DUMMYFUNCTION("""COMPUTED_VALUE"""),42209.64583333333)</f>
        <v>42209.64583</v>
      </c>
      <c r="B3855" s="1">
        <f>IFERROR(__xludf.DUMMYFUNCTION("""COMPUTED_VALUE"""),905.0)</f>
        <v>905</v>
      </c>
      <c r="C3855" s="1">
        <f>IFERROR(__xludf.DUMMYFUNCTION("""COMPUTED_VALUE"""),911.45)</f>
        <v>911.45</v>
      </c>
      <c r="D3855" s="1">
        <f>IFERROR(__xludf.DUMMYFUNCTION("""COMPUTED_VALUE"""),897.6)</f>
        <v>897.6</v>
      </c>
      <c r="E3855" s="1">
        <f>IFERROR(__xludf.DUMMYFUNCTION("""COMPUTED_VALUE"""),906.8)</f>
        <v>906.8</v>
      </c>
      <c r="F3855" s="1">
        <f>IFERROR(__xludf.DUMMYFUNCTION("""COMPUTED_VALUE"""),624104.0)</f>
        <v>624104</v>
      </c>
    </row>
    <row r="3856">
      <c r="A3856" s="2">
        <f>IFERROR(__xludf.DUMMYFUNCTION("""COMPUTED_VALUE"""),42212.64583333333)</f>
        <v>42212.64583</v>
      </c>
      <c r="B3856" s="1">
        <f>IFERROR(__xludf.DUMMYFUNCTION("""COMPUTED_VALUE"""),906.0)</f>
        <v>906</v>
      </c>
      <c r="C3856" s="1">
        <f>IFERROR(__xludf.DUMMYFUNCTION("""COMPUTED_VALUE"""),910.15)</f>
        <v>910.15</v>
      </c>
      <c r="D3856" s="1">
        <f>IFERROR(__xludf.DUMMYFUNCTION("""COMPUTED_VALUE"""),895.0)</f>
        <v>895</v>
      </c>
      <c r="E3856" s="1">
        <f>IFERROR(__xludf.DUMMYFUNCTION("""COMPUTED_VALUE"""),900.1)</f>
        <v>900.1</v>
      </c>
      <c r="F3856" s="1">
        <f>IFERROR(__xludf.DUMMYFUNCTION("""COMPUTED_VALUE"""),1305606.0)</f>
        <v>1305606</v>
      </c>
    </row>
    <row r="3857">
      <c r="A3857" s="2">
        <f>IFERROR(__xludf.DUMMYFUNCTION("""COMPUTED_VALUE"""),42213.64583333333)</f>
        <v>42213.64583</v>
      </c>
      <c r="B3857" s="1">
        <f>IFERROR(__xludf.DUMMYFUNCTION("""COMPUTED_VALUE"""),893.25)</f>
        <v>893.25</v>
      </c>
      <c r="C3857" s="1">
        <f>IFERROR(__xludf.DUMMYFUNCTION("""COMPUTED_VALUE"""),916.0)</f>
        <v>916</v>
      </c>
      <c r="D3857" s="1">
        <f>IFERROR(__xludf.DUMMYFUNCTION("""COMPUTED_VALUE"""),891.5)</f>
        <v>891.5</v>
      </c>
      <c r="E3857" s="1">
        <f>IFERROR(__xludf.DUMMYFUNCTION("""COMPUTED_VALUE"""),904.75)</f>
        <v>904.75</v>
      </c>
      <c r="F3857" s="1">
        <f>IFERROR(__xludf.DUMMYFUNCTION("""COMPUTED_VALUE"""),1648693.0)</f>
        <v>1648693</v>
      </c>
    </row>
    <row r="3858">
      <c r="A3858" s="2">
        <f>IFERROR(__xludf.DUMMYFUNCTION("""COMPUTED_VALUE"""),42214.64583333333)</f>
        <v>42214.64583</v>
      </c>
      <c r="B3858" s="1">
        <f>IFERROR(__xludf.DUMMYFUNCTION("""COMPUTED_VALUE"""),906.15)</f>
        <v>906.15</v>
      </c>
      <c r="C3858" s="1">
        <f>IFERROR(__xludf.DUMMYFUNCTION("""COMPUTED_VALUE"""),919.05)</f>
        <v>919.05</v>
      </c>
      <c r="D3858" s="1">
        <f>IFERROR(__xludf.DUMMYFUNCTION("""COMPUTED_VALUE"""),897.0)</f>
        <v>897</v>
      </c>
      <c r="E3858" s="1">
        <f>IFERROR(__xludf.DUMMYFUNCTION("""COMPUTED_VALUE"""),899.2)</f>
        <v>899.2</v>
      </c>
      <c r="F3858" s="1">
        <f>IFERROR(__xludf.DUMMYFUNCTION("""COMPUTED_VALUE"""),1332413.0)</f>
        <v>1332413</v>
      </c>
    </row>
    <row r="3859">
      <c r="A3859" s="2">
        <f>IFERROR(__xludf.DUMMYFUNCTION("""COMPUTED_VALUE"""),42215.64583333333)</f>
        <v>42215.64583</v>
      </c>
      <c r="B3859" s="1">
        <f>IFERROR(__xludf.DUMMYFUNCTION("""COMPUTED_VALUE"""),905.0)</f>
        <v>905</v>
      </c>
      <c r="C3859" s="1">
        <f>IFERROR(__xludf.DUMMYFUNCTION("""COMPUTED_VALUE"""),934.45)</f>
        <v>934.45</v>
      </c>
      <c r="D3859" s="1">
        <f>IFERROR(__xludf.DUMMYFUNCTION("""COMPUTED_VALUE"""),899.2)</f>
        <v>899.2</v>
      </c>
      <c r="E3859" s="1">
        <f>IFERROR(__xludf.DUMMYFUNCTION("""COMPUTED_VALUE"""),920.7)</f>
        <v>920.7</v>
      </c>
      <c r="F3859" s="1">
        <f>IFERROR(__xludf.DUMMYFUNCTION("""COMPUTED_VALUE"""),1997547.0)</f>
        <v>1997547</v>
      </c>
    </row>
    <row r="3860">
      <c r="A3860" s="2">
        <f>IFERROR(__xludf.DUMMYFUNCTION("""COMPUTED_VALUE"""),42216.64583333333)</f>
        <v>42216.64583</v>
      </c>
      <c r="B3860" s="1">
        <f>IFERROR(__xludf.DUMMYFUNCTION("""COMPUTED_VALUE"""),920.3)</f>
        <v>920.3</v>
      </c>
      <c r="C3860" s="1">
        <f>IFERROR(__xludf.DUMMYFUNCTION("""COMPUTED_VALUE"""),928.2)</f>
        <v>928.2</v>
      </c>
      <c r="D3860" s="1">
        <f>IFERROR(__xludf.DUMMYFUNCTION("""COMPUTED_VALUE"""),913.2)</f>
        <v>913.2</v>
      </c>
      <c r="E3860" s="1">
        <f>IFERROR(__xludf.DUMMYFUNCTION("""COMPUTED_VALUE"""),921.65)</f>
        <v>921.65</v>
      </c>
      <c r="F3860" s="1">
        <f>IFERROR(__xludf.DUMMYFUNCTION("""COMPUTED_VALUE"""),1616033.0)</f>
        <v>1616033</v>
      </c>
    </row>
    <row r="3861">
      <c r="A3861" s="2">
        <f>IFERROR(__xludf.DUMMYFUNCTION("""COMPUTED_VALUE"""),42219.64583333333)</f>
        <v>42219.64583</v>
      </c>
      <c r="B3861" s="1">
        <f>IFERROR(__xludf.DUMMYFUNCTION("""COMPUTED_VALUE"""),921.0)</f>
        <v>921</v>
      </c>
      <c r="C3861" s="1">
        <f>IFERROR(__xludf.DUMMYFUNCTION("""COMPUTED_VALUE"""),924.8)</f>
        <v>924.8</v>
      </c>
      <c r="D3861" s="1">
        <f>IFERROR(__xludf.DUMMYFUNCTION("""COMPUTED_VALUE"""),906.5)</f>
        <v>906.5</v>
      </c>
      <c r="E3861" s="1">
        <f>IFERROR(__xludf.DUMMYFUNCTION("""COMPUTED_VALUE"""),909.7)</f>
        <v>909.7</v>
      </c>
      <c r="F3861" s="1">
        <f>IFERROR(__xludf.DUMMYFUNCTION("""COMPUTED_VALUE"""),1813626.0)</f>
        <v>1813626</v>
      </c>
    </row>
    <row r="3862">
      <c r="A3862" s="2">
        <f>IFERROR(__xludf.DUMMYFUNCTION("""COMPUTED_VALUE"""),42220.64583333333)</f>
        <v>42220.64583</v>
      </c>
      <c r="B3862" s="1">
        <f>IFERROR(__xludf.DUMMYFUNCTION("""COMPUTED_VALUE"""),910.5)</f>
        <v>910.5</v>
      </c>
      <c r="C3862" s="1">
        <f>IFERROR(__xludf.DUMMYFUNCTION("""COMPUTED_VALUE"""),914.45)</f>
        <v>914.45</v>
      </c>
      <c r="D3862" s="1">
        <f>IFERROR(__xludf.DUMMYFUNCTION("""COMPUTED_VALUE"""),900.05)</f>
        <v>900.05</v>
      </c>
      <c r="E3862" s="1">
        <f>IFERROR(__xludf.DUMMYFUNCTION("""COMPUTED_VALUE"""),908.1)</f>
        <v>908.1</v>
      </c>
      <c r="F3862" s="1">
        <f>IFERROR(__xludf.DUMMYFUNCTION("""COMPUTED_VALUE"""),2728548.0)</f>
        <v>2728548</v>
      </c>
    </row>
    <row r="3863">
      <c r="A3863" s="2">
        <f>IFERROR(__xludf.DUMMYFUNCTION("""COMPUTED_VALUE"""),42221.64583333333)</f>
        <v>42221.64583</v>
      </c>
      <c r="B3863" s="1">
        <f>IFERROR(__xludf.DUMMYFUNCTION("""COMPUTED_VALUE"""),910.7)</f>
        <v>910.7</v>
      </c>
      <c r="C3863" s="1">
        <f>IFERROR(__xludf.DUMMYFUNCTION("""COMPUTED_VALUE"""),912.85)</f>
        <v>912.85</v>
      </c>
      <c r="D3863" s="1">
        <f>IFERROR(__xludf.DUMMYFUNCTION("""COMPUTED_VALUE"""),905.0)</f>
        <v>905</v>
      </c>
      <c r="E3863" s="1">
        <f>IFERROR(__xludf.DUMMYFUNCTION("""COMPUTED_VALUE"""),908.6)</f>
        <v>908.6</v>
      </c>
      <c r="F3863" s="1">
        <f>IFERROR(__xludf.DUMMYFUNCTION("""COMPUTED_VALUE"""),2869226.0)</f>
        <v>2869226</v>
      </c>
    </row>
    <row r="3864">
      <c r="A3864" s="2">
        <f>IFERROR(__xludf.DUMMYFUNCTION("""COMPUTED_VALUE"""),42222.64583333333)</f>
        <v>42222.64583</v>
      </c>
      <c r="B3864" s="1">
        <f>IFERROR(__xludf.DUMMYFUNCTION("""COMPUTED_VALUE"""),910.0)</f>
        <v>910</v>
      </c>
      <c r="C3864" s="1">
        <f>IFERROR(__xludf.DUMMYFUNCTION("""COMPUTED_VALUE"""),910.4)</f>
        <v>910.4</v>
      </c>
      <c r="D3864" s="1">
        <f>IFERROR(__xludf.DUMMYFUNCTION("""COMPUTED_VALUE"""),902.55)</f>
        <v>902.55</v>
      </c>
      <c r="E3864" s="1">
        <f>IFERROR(__xludf.DUMMYFUNCTION("""COMPUTED_VALUE"""),907.75)</f>
        <v>907.75</v>
      </c>
      <c r="F3864" s="1">
        <f>IFERROR(__xludf.DUMMYFUNCTION("""COMPUTED_VALUE"""),1105175.0)</f>
        <v>1105175</v>
      </c>
    </row>
    <row r="3865">
      <c r="A3865" s="2">
        <f>IFERROR(__xludf.DUMMYFUNCTION("""COMPUTED_VALUE"""),42223.64583333333)</f>
        <v>42223.64583</v>
      </c>
      <c r="B3865" s="1">
        <f>IFERROR(__xludf.DUMMYFUNCTION("""COMPUTED_VALUE"""),907.75)</f>
        <v>907.75</v>
      </c>
      <c r="C3865" s="1">
        <f>IFERROR(__xludf.DUMMYFUNCTION("""COMPUTED_VALUE"""),909.05)</f>
        <v>909.05</v>
      </c>
      <c r="D3865" s="1">
        <f>IFERROR(__xludf.DUMMYFUNCTION("""COMPUTED_VALUE"""),900.9)</f>
        <v>900.9</v>
      </c>
      <c r="E3865" s="1">
        <f>IFERROR(__xludf.DUMMYFUNCTION("""COMPUTED_VALUE"""),904.85)</f>
        <v>904.85</v>
      </c>
      <c r="F3865" s="1">
        <f>IFERROR(__xludf.DUMMYFUNCTION("""COMPUTED_VALUE"""),849340.0)</f>
        <v>849340</v>
      </c>
    </row>
    <row r="3866">
      <c r="A3866" s="2">
        <f>IFERROR(__xludf.DUMMYFUNCTION("""COMPUTED_VALUE"""),42226.64583333333)</f>
        <v>42226.64583</v>
      </c>
      <c r="B3866" s="1">
        <f>IFERROR(__xludf.DUMMYFUNCTION("""COMPUTED_VALUE"""),905.0)</f>
        <v>905</v>
      </c>
      <c r="C3866" s="1">
        <f>IFERROR(__xludf.DUMMYFUNCTION("""COMPUTED_VALUE"""),909.0)</f>
        <v>909</v>
      </c>
      <c r="D3866" s="1">
        <f>IFERROR(__xludf.DUMMYFUNCTION("""COMPUTED_VALUE"""),901.0)</f>
        <v>901</v>
      </c>
      <c r="E3866" s="1">
        <f>IFERROR(__xludf.DUMMYFUNCTION("""COMPUTED_VALUE"""),906.15)</f>
        <v>906.15</v>
      </c>
      <c r="F3866" s="1">
        <f>IFERROR(__xludf.DUMMYFUNCTION("""COMPUTED_VALUE"""),1089645.0)</f>
        <v>1089645</v>
      </c>
    </row>
    <row r="3867">
      <c r="A3867" s="2">
        <f>IFERROR(__xludf.DUMMYFUNCTION("""COMPUTED_VALUE"""),42227.64583333333)</f>
        <v>42227.64583</v>
      </c>
      <c r="B3867" s="1">
        <f>IFERROR(__xludf.DUMMYFUNCTION("""COMPUTED_VALUE"""),903.0)</f>
        <v>903</v>
      </c>
      <c r="C3867" s="1">
        <f>IFERROR(__xludf.DUMMYFUNCTION("""COMPUTED_VALUE"""),905.85)</f>
        <v>905.85</v>
      </c>
      <c r="D3867" s="1">
        <f>IFERROR(__xludf.DUMMYFUNCTION("""COMPUTED_VALUE"""),885.0)</f>
        <v>885</v>
      </c>
      <c r="E3867" s="1">
        <f>IFERROR(__xludf.DUMMYFUNCTION("""COMPUTED_VALUE"""),888.2)</f>
        <v>888.2</v>
      </c>
      <c r="F3867" s="1">
        <f>IFERROR(__xludf.DUMMYFUNCTION("""COMPUTED_VALUE"""),1430428.0)</f>
        <v>1430428</v>
      </c>
    </row>
    <row r="3868">
      <c r="A3868" s="2">
        <f>IFERROR(__xludf.DUMMYFUNCTION("""COMPUTED_VALUE"""),42228.64583333333)</f>
        <v>42228.64583</v>
      </c>
      <c r="B3868" s="1">
        <f>IFERROR(__xludf.DUMMYFUNCTION("""COMPUTED_VALUE"""),889.0)</f>
        <v>889</v>
      </c>
      <c r="C3868" s="1">
        <f>IFERROR(__xludf.DUMMYFUNCTION("""COMPUTED_VALUE"""),0.0)</f>
        <v>0</v>
      </c>
      <c r="D3868" s="1">
        <f>IFERROR(__xludf.DUMMYFUNCTION("""COMPUTED_VALUE"""),0.0)</f>
        <v>0</v>
      </c>
      <c r="E3868" s="1">
        <f>IFERROR(__xludf.DUMMYFUNCTION("""COMPUTED_VALUE"""),886.95)</f>
        <v>886.95</v>
      </c>
      <c r="F3868" s="1">
        <f>IFERROR(__xludf.DUMMYFUNCTION("""COMPUTED_VALUE"""),0.0)</f>
        <v>0</v>
      </c>
    </row>
    <row r="3869">
      <c r="A3869" s="2">
        <f>IFERROR(__xludf.DUMMYFUNCTION("""COMPUTED_VALUE"""),42229.64583333333)</f>
        <v>42229.64583</v>
      </c>
      <c r="B3869" s="1">
        <f>IFERROR(__xludf.DUMMYFUNCTION("""COMPUTED_VALUE"""),866.0)</f>
        <v>866</v>
      </c>
      <c r="C3869" s="1">
        <f>IFERROR(__xludf.DUMMYFUNCTION("""COMPUTED_VALUE"""),879.0)</f>
        <v>879</v>
      </c>
      <c r="D3869" s="1">
        <f>IFERROR(__xludf.DUMMYFUNCTION("""COMPUTED_VALUE"""),850.0)</f>
        <v>850</v>
      </c>
      <c r="E3869" s="1">
        <f>IFERROR(__xludf.DUMMYFUNCTION("""COMPUTED_VALUE"""),866.55)</f>
        <v>866.55</v>
      </c>
      <c r="F3869" s="1">
        <f>IFERROR(__xludf.DUMMYFUNCTION("""COMPUTED_VALUE"""),976700.0)</f>
        <v>976700</v>
      </c>
    </row>
    <row r="3870">
      <c r="A3870" s="2">
        <f>IFERROR(__xludf.DUMMYFUNCTION("""COMPUTED_VALUE"""),42230.64583333333)</f>
        <v>42230.64583</v>
      </c>
      <c r="B3870" s="1">
        <f>IFERROR(__xludf.DUMMYFUNCTION("""COMPUTED_VALUE"""),871.0)</f>
        <v>871</v>
      </c>
      <c r="C3870" s="1">
        <f>IFERROR(__xludf.DUMMYFUNCTION("""COMPUTED_VALUE"""),879.0)</f>
        <v>879</v>
      </c>
      <c r="D3870" s="1">
        <f>IFERROR(__xludf.DUMMYFUNCTION("""COMPUTED_VALUE"""),857.5)</f>
        <v>857.5</v>
      </c>
      <c r="E3870" s="1">
        <f>IFERROR(__xludf.DUMMYFUNCTION("""COMPUTED_VALUE"""),870.55)</f>
        <v>870.55</v>
      </c>
      <c r="F3870" s="1">
        <f>IFERROR(__xludf.DUMMYFUNCTION("""COMPUTED_VALUE"""),742844.0)</f>
        <v>742844</v>
      </c>
    </row>
    <row r="3871">
      <c r="A3871" s="2">
        <f>IFERROR(__xludf.DUMMYFUNCTION("""COMPUTED_VALUE"""),42233.64583333333)</f>
        <v>42233.64583</v>
      </c>
      <c r="B3871" s="1">
        <f>IFERROR(__xludf.DUMMYFUNCTION("""COMPUTED_VALUE"""),874.45)</f>
        <v>874.45</v>
      </c>
      <c r="C3871" s="1">
        <f>IFERROR(__xludf.DUMMYFUNCTION("""COMPUTED_VALUE"""),879.0)</f>
        <v>879</v>
      </c>
      <c r="D3871" s="1">
        <f>IFERROR(__xludf.DUMMYFUNCTION("""COMPUTED_VALUE"""),860.0)</f>
        <v>860</v>
      </c>
      <c r="E3871" s="1">
        <f>IFERROR(__xludf.DUMMYFUNCTION("""COMPUTED_VALUE"""),872.65)</f>
        <v>872.65</v>
      </c>
      <c r="F3871" s="1">
        <f>IFERROR(__xludf.DUMMYFUNCTION("""COMPUTED_VALUE"""),373170.0)</f>
        <v>373170</v>
      </c>
    </row>
    <row r="3872">
      <c r="A3872" s="2">
        <f>IFERROR(__xludf.DUMMYFUNCTION("""COMPUTED_VALUE"""),42234.64583333333)</f>
        <v>42234.64583</v>
      </c>
      <c r="B3872" s="1">
        <f>IFERROR(__xludf.DUMMYFUNCTION("""COMPUTED_VALUE"""),872.0)</f>
        <v>872</v>
      </c>
      <c r="C3872" s="1">
        <f>IFERROR(__xludf.DUMMYFUNCTION("""COMPUTED_VALUE"""),877.85)</f>
        <v>877.85</v>
      </c>
      <c r="D3872" s="1">
        <f>IFERROR(__xludf.DUMMYFUNCTION("""COMPUTED_VALUE"""),868.05)</f>
        <v>868.05</v>
      </c>
      <c r="E3872" s="1">
        <f>IFERROR(__xludf.DUMMYFUNCTION("""COMPUTED_VALUE"""),872.85)</f>
        <v>872.85</v>
      </c>
      <c r="F3872" s="1">
        <f>IFERROR(__xludf.DUMMYFUNCTION("""COMPUTED_VALUE"""),606035.0)</f>
        <v>606035</v>
      </c>
    </row>
    <row r="3873">
      <c r="A3873" s="2">
        <f>IFERROR(__xludf.DUMMYFUNCTION("""COMPUTED_VALUE"""),42235.64583333333)</f>
        <v>42235.64583</v>
      </c>
      <c r="B3873" s="1">
        <f>IFERROR(__xludf.DUMMYFUNCTION("""COMPUTED_VALUE"""),869.35)</f>
        <v>869.35</v>
      </c>
      <c r="C3873" s="1">
        <f>IFERROR(__xludf.DUMMYFUNCTION("""COMPUTED_VALUE"""),885.25)</f>
        <v>885.25</v>
      </c>
      <c r="D3873" s="1">
        <f>IFERROR(__xludf.DUMMYFUNCTION("""COMPUTED_VALUE"""),861.4)</f>
        <v>861.4</v>
      </c>
      <c r="E3873" s="1">
        <f>IFERROR(__xludf.DUMMYFUNCTION("""COMPUTED_VALUE"""),876.2)</f>
        <v>876.2</v>
      </c>
      <c r="F3873" s="1">
        <f>IFERROR(__xludf.DUMMYFUNCTION("""COMPUTED_VALUE"""),548163.0)</f>
        <v>548163</v>
      </c>
    </row>
    <row r="3874">
      <c r="A3874" s="2">
        <f>IFERROR(__xludf.DUMMYFUNCTION("""COMPUTED_VALUE"""),42236.64583333333)</f>
        <v>42236.64583</v>
      </c>
      <c r="B3874" s="1">
        <f>IFERROR(__xludf.DUMMYFUNCTION("""COMPUTED_VALUE"""),870.0)</f>
        <v>870</v>
      </c>
      <c r="C3874" s="1">
        <f>IFERROR(__xludf.DUMMYFUNCTION("""COMPUTED_VALUE"""),901.85)</f>
        <v>901.85</v>
      </c>
      <c r="D3874" s="1">
        <f>IFERROR(__xludf.DUMMYFUNCTION("""COMPUTED_VALUE"""),867.0)</f>
        <v>867</v>
      </c>
      <c r="E3874" s="1">
        <f>IFERROR(__xludf.DUMMYFUNCTION("""COMPUTED_VALUE"""),872.05)</f>
        <v>872.05</v>
      </c>
      <c r="F3874" s="1">
        <f>IFERROR(__xludf.DUMMYFUNCTION("""COMPUTED_VALUE"""),1086427.0)</f>
        <v>1086427</v>
      </c>
    </row>
    <row r="3875">
      <c r="A3875" s="2">
        <f>IFERROR(__xludf.DUMMYFUNCTION("""COMPUTED_VALUE"""),42237.64583333333)</f>
        <v>42237.64583</v>
      </c>
      <c r="B3875" s="1">
        <f>IFERROR(__xludf.DUMMYFUNCTION("""COMPUTED_VALUE"""),867.0)</f>
        <v>867</v>
      </c>
      <c r="C3875" s="1">
        <f>IFERROR(__xludf.DUMMYFUNCTION("""COMPUTED_VALUE"""),888.0)</f>
        <v>888</v>
      </c>
      <c r="D3875" s="1">
        <f>IFERROR(__xludf.DUMMYFUNCTION("""COMPUTED_VALUE"""),860.95)</f>
        <v>860.95</v>
      </c>
      <c r="E3875" s="1">
        <f>IFERROR(__xludf.DUMMYFUNCTION("""COMPUTED_VALUE"""),884.15)</f>
        <v>884.15</v>
      </c>
      <c r="F3875" s="1">
        <f>IFERROR(__xludf.DUMMYFUNCTION("""COMPUTED_VALUE"""),1428246.0)</f>
        <v>1428246</v>
      </c>
    </row>
    <row r="3876">
      <c r="A3876" s="2">
        <f>IFERROR(__xludf.DUMMYFUNCTION("""COMPUTED_VALUE"""),42240.64583333333)</f>
        <v>42240.64583</v>
      </c>
      <c r="B3876" s="1">
        <f>IFERROR(__xludf.DUMMYFUNCTION("""COMPUTED_VALUE"""),865.35)</f>
        <v>865.35</v>
      </c>
      <c r="C3876" s="1">
        <f>IFERROR(__xludf.DUMMYFUNCTION("""COMPUTED_VALUE"""),880.0)</f>
        <v>880</v>
      </c>
      <c r="D3876" s="1">
        <f>IFERROR(__xludf.DUMMYFUNCTION("""COMPUTED_VALUE"""),844.95)</f>
        <v>844.95</v>
      </c>
      <c r="E3876" s="1">
        <f>IFERROR(__xludf.DUMMYFUNCTION("""COMPUTED_VALUE"""),851.15)</f>
        <v>851.15</v>
      </c>
      <c r="F3876" s="1">
        <f>IFERROR(__xludf.DUMMYFUNCTION("""COMPUTED_VALUE"""),2392818.0)</f>
        <v>2392818</v>
      </c>
    </row>
    <row r="3877">
      <c r="A3877" s="2">
        <f>IFERROR(__xludf.DUMMYFUNCTION("""COMPUTED_VALUE"""),42241.64583333333)</f>
        <v>42241.64583</v>
      </c>
      <c r="B3877" s="1">
        <f>IFERROR(__xludf.DUMMYFUNCTION("""COMPUTED_VALUE"""),861.0)</f>
        <v>861</v>
      </c>
      <c r="C3877" s="1">
        <f>IFERROR(__xludf.DUMMYFUNCTION("""COMPUTED_VALUE"""),878.0)</f>
        <v>878</v>
      </c>
      <c r="D3877" s="1">
        <f>IFERROR(__xludf.DUMMYFUNCTION("""COMPUTED_VALUE"""),855.1)</f>
        <v>855.1</v>
      </c>
      <c r="E3877" s="1">
        <f>IFERROR(__xludf.DUMMYFUNCTION("""COMPUTED_VALUE"""),865.95)</f>
        <v>865.95</v>
      </c>
      <c r="F3877" s="1">
        <f>IFERROR(__xludf.DUMMYFUNCTION("""COMPUTED_VALUE"""),2303018.0)</f>
        <v>2303018</v>
      </c>
    </row>
    <row r="3878">
      <c r="A3878" s="2">
        <f>IFERROR(__xludf.DUMMYFUNCTION("""COMPUTED_VALUE"""),42242.64583333333)</f>
        <v>42242.64583</v>
      </c>
      <c r="B3878" s="1">
        <f>IFERROR(__xludf.DUMMYFUNCTION("""COMPUTED_VALUE"""),866.25)</f>
        <v>866.25</v>
      </c>
      <c r="C3878" s="1">
        <f>IFERROR(__xludf.DUMMYFUNCTION("""COMPUTED_VALUE"""),868.55)</f>
        <v>868.55</v>
      </c>
      <c r="D3878" s="1">
        <f>IFERROR(__xludf.DUMMYFUNCTION("""COMPUTED_VALUE"""),850.0)</f>
        <v>850</v>
      </c>
      <c r="E3878" s="1">
        <f>IFERROR(__xludf.DUMMYFUNCTION("""COMPUTED_VALUE"""),855.0)</f>
        <v>855</v>
      </c>
      <c r="F3878" s="1">
        <f>IFERROR(__xludf.DUMMYFUNCTION("""COMPUTED_VALUE"""),1894521.0)</f>
        <v>1894521</v>
      </c>
    </row>
    <row r="3879">
      <c r="A3879" s="2">
        <f>IFERROR(__xludf.DUMMYFUNCTION("""COMPUTED_VALUE"""),42243.64583333333)</f>
        <v>42243.64583</v>
      </c>
      <c r="B3879" s="1">
        <f>IFERROR(__xludf.DUMMYFUNCTION("""COMPUTED_VALUE"""),860.65)</f>
        <v>860.65</v>
      </c>
      <c r="C3879" s="1">
        <f>IFERROR(__xludf.DUMMYFUNCTION("""COMPUTED_VALUE"""),864.45)</f>
        <v>864.45</v>
      </c>
      <c r="D3879" s="1">
        <f>IFERROR(__xludf.DUMMYFUNCTION("""COMPUTED_VALUE"""),851.0)</f>
        <v>851</v>
      </c>
      <c r="E3879" s="1">
        <f>IFERROR(__xludf.DUMMYFUNCTION("""COMPUTED_VALUE"""),857.8)</f>
        <v>857.8</v>
      </c>
      <c r="F3879" s="1">
        <f>IFERROR(__xludf.DUMMYFUNCTION("""COMPUTED_VALUE"""),2087603.0)</f>
        <v>2087603</v>
      </c>
    </row>
    <row r="3880">
      <c r="A3880" s="2">
        <f>IFERROR(__xludf.DUMMYFUNCTION("""COMPUTED_VALUE"""),42244.64583333333)</f>
        <v>42244.64583</v>
      </c>
      <c r="B3880" s="1">
        <f>IFERROR(__xludf.DUMMYFUNCTION("""COMPUTED_VALUE"""),870.0)</f>
        <v>870</v>
      </c>
      <c r="C3880" s="1">
        <f>IFERROR(__xludf.DUMMYFUNCTION("""COMPUTED_VALUE"""),870.5)</f>
        <v>870.5</v>
      </c>
      <c r="D3880" s="1">
        <f>IFERROR(__xludf.DUMMYFUNCTION("""COMPUTED_VALUE"""),852.0)</f>
        <v>852</v>
      </c>
      <c r="E3880" s="1">
        <f>IFERROR(__xludf.DUMMYFUNCTION("""COMPUTED_VALUE"""),854.5)</f>
        <v>854.5</v>
      </c>
      <c r="F3880" s="1">
        <f>IFERROR(__xludf.DUMMYFUNCTION("""COMPUTED_VALUE"""),1427528.0)</f>
        <v>1427528</v>
      </c>
    </row>
    <row r="3881">
      <c r="A3881" s="2">
        <f>IFERROR(__xludf.DUMMYFUNCTION("""COMPUTED_VALUE"""),42247.64583333333)</f>
        <v>42247.64583</v>
      </c>
      <c r="B3881" s="1">
        <f>IFERROR(__xludf.DUMMYFUNCTION("""COMPUTED_VALUE"""),862.9)</f>
        <v>862.9</v>
      </c>
      <c r="C3881" s="1">
        <f>IFERROR(__xludf.DUMMYFUNCTION("""COMPUTED_VALUE"""),870.0)</f>
        <v>870</v>
      </c>
      <c r="D3881" s="1">
        <f>IFERROR(__xludf.DUMMYFUNCTION("""COMPUTED_VALUE"""),848.8)</f>
        <v>848.8</v>
      </c>
      <c r="E3881" s="1">
        <f>IFERROR(__xludf.DUMMYFUNCTION("""COMPUTED_VALUE"""),860.9)</f>
        <v>860.9</v>
      </c>
      <c r="F3881" s="1">
        <f>IFERROR(__xludf.DUMMYFUNCTION("""COMPUTED_VALUE"""),1990625.0)</f>
        <v>1990625</v>
      </c>
    </row>
    <row r="3882">
      <c r="A3882" s="2">
        <f>IFERROR(__xludf.DUMMYFUNCTION("""COMPUTED_VALUE"""),42248.64583333333)</f>
        <v>42248.64583</v>
      </c>
      <c r="B3882" s="1">
        <f>IFERROR(__xludf.DUMMYFUNCTION("""COMPUTED_VALUE"""),855.0)</f>
        <v>855</v>
      </c>
      <c r="C3882" s="1">
        <f>IFERROR(__xludf.DUMMYFUNCTION("""COMPUTED_VALUE"""),861.35)</f>
        <v>861.35</v>
      </c>
      <c r="D3882" s="1">
        <f>IFERROR(__xludf.DUMMYFUNCTION("""COMPUTED_VALUE"""),848.35)</f>
        <v>848.35</v>
      </c>
      <c r="E3882" s="1">
        <f>IFERROR(__xludf.DUMMYFUNCTION("""COMPUTED_VALUE"""),853.75)</f>
        <v>853.75</v>
      </c>
      <c r="F3882" s="1">
        <f>IFERROR(__xludf.DUMMYFUNCTION("""COMPUTED_VALUE"""),1483369.0)</f>
        <v>1483369</v>
      </c>
    </row>
    <row r="3883">
      <c r="A3883" s="2">
        <f>IFERROR(__xludf.DUMMYFUNCTION("""COMPUTED_VALUE"""),42249.64583333333)</f>
        <v>42249.64583</v>
      </c>
      <c r="B3883" s="1">
        <f>IFERROR(__xludf.DUMMYFUNCTION("""COMPUTED_VALUE"""),857.0)</f>
        <v>857</v>
      </c>
      <c r="C3883" s="1">
        <f>IFERROR(__xludf.DUMMYFUNCTION("""COMPUTED_VALUE"""),862.4)</f>
        <v>862.4</v>
      </c>
      <c r="D3883" s="1">
        <f>IFERROR(__xludf.DUMMYFUNCTION("""COMPUTED_VALUE"""),824.2)</f>
        <v>824.2</v>
      </c>
      <c r="E3883" s="1">
        <f>IFERROR(__xludf.DUMMYFUNCTION("""COMPUTED_VALUE"""),830.6)</f>
        <v>830.6</v>
      </c>
      <c r="F3883" s="1">
        <f>IFERROR(__xludf.DUMMYFUNCTION("""COMPUTED_VALUE"""),1463479.0)</f>
        <v>1463479</v>
      </c>
    </row>
    <row r="3884">
      <c r="A3884" s="2">
        <f>IFERROR(__xludf.DUMMYFUNCTION("""COMPUTED_VALUE"""),42250.64583333333)</f>
        <v>42250.64583</v>
      </c>
      <c r="B3884" s="1">
        <f>IFERROR(__xludf.DUMMYFUNCTION("""COMPUTED_VALUE"""),830.5)</f>
        <v>830.5</v>
      </c>
      <c r="C3884" s="1">
        <f>IFERROR(__xludf.DUMMYFUNCTION("""COMPUTED_VALUE"""),841.75)</f>
        <v>841.75</v>
      </c>
      <c r="D3884" s="1">
        <f>IFERROR(__xludf.DUMMYFUNCTION("""COMPUTED_VALUE"""),815.1)</f>
        <v>815.1</v>
      </c>
      <c r="E3884" s="1">
        <f>IFERROR(__xludf.DUMMYFUNCTION("""COMPUTED_VALUE"""),833.75)</f>
        <v>833.75</v>
      </c>
      <c r="F3884" s="1">
        <f>IFERROR(__xludf.DUMMYFUNCTION("""COMPUTED_VALUE"""),1228866.0)</f>
        <v>1228866</v>
      </c>
    </row>
    <row r="3885">
      <c r="A3885" s="2">
        <f>IFERROR(__xludf.DUMMYFUNCTION("""COMPUTED_VALUE"""),42251.64583333333)</f>
        <v>42251.64583</v>
      </c>
      <c r="B3885" s="1">
        <f>IFERROR(__xludf.DUMMYFUNCTION("""COMPUTED_VALUE"""),831.35)</f>
        <v>831.35</v>
      </c>
      <c r="C3885" s="1">
        <f>IFERROR(__xludf.DUMMYFUNCTION("""COMPUTED_VALUE"""),840.75)</f>
        <v>840.75</v>
      </c>
      <c r="D3885" s="1">
        <f>IFERROR(__xludf.DUMMYFUNCTION("""COMPUTED_VALUE"""),823.2)</f>
        <v>823.2</v>
      </c>
      <c r="E3885" s="1">
        <f>IFERROR(__xludf.DUMMYFUNCTION("""COMPUTED_VALUE"""),830.0)</f>
        <v>830</v>
      </c>
      <c r="F3885" s="1">
        <f>IFERROR(__xludf.DUMMYFUNCTION("""COMPUTED_VALUE"""),1332041.0)</f>
        <v>1332041</v>
      </c>
    </row>
    <row r="3886">
      <c r="A3886" s="2">
        <f>IFERROR(__xludf.DUMMYFUNCTION("""COMPUTED_VALUE"""),42254.64583333333)</f>
        <v>42254.64583</v>
      </c>
      <c r="B3886" s="1">
        <f>IFERROR(__xludf.DUMMYFUNCTION("""COMPUTED_VALUE"""),831.0)</f>
        <v>831</v>
      </c>
      <c r="C3886" s="1">
        <f>IFERROR(__xludf.DUMMYFUNCTION("""COMPUTED_VALUE"""),834.0)</f>
        <v>834</v>
      </c>
      <c r="D3886" s="1">
        <f>IFERROR(__xludf.DUMMYFUNCTION("""COMPUTED_VALUE"""),817.4)</f>
        <v>817.4</v>
      </c>
      <c r="E3886" s="1">
        <f>IFERROR(__xludf.DUMMYFUNCTION("""COMPUTED_VALUE"""),819.85)</f>
        <v>819.85</v>
      </c>
      <c r="F3886" s="1">
        <f>IFERROR(__xludf.DUMMYFUNCTION("""COMPUTED_VALUE"""),868619.0)</f>
        <v>868619</v>
      </c>
    </row>
    <row r="3887">
      <c r="A3887" s="2">
        <f>IFERROR(__xludf.DUMMYFUNCTION("""COMPUTED_VALUE"""),42255.64583333333)</f>
        <v>42255.64583</v>
      </c>
      <c r="B3887" s="1">
        <f>IFERROR(__xludf.DUMMYFUNCTION("""COMPUTED_VALUE"""),827.8)</f>
        <v>827.8</v>
      </c>
      <c r="C3887" s="1">
        <f>IFERROR(__xludf.DUMMYFUNCTION("""COMPUTED_VALUE"""),827.8)</f>
        <v>827.8</v>
      </c>
      <c r="D3887" s="1">
        <f>IFERROR(__xludf.DUMMYFUNCTION("""COMPUTED_VALUE"""),785.0)</f>
        <v>785</v>
      </c>
      <c r="E3887" s="1">
        <f>IFERROR(__xludf.DUMMYFUNCTION("""COMPUTED_VALUE"""),801.1)</f>
        <v>801.1</v>
      </c>
      <c r="F3887" s="1">
        <f>IFERROR(__xludf.DUMMYFUNCTION("""COMPUTED_VALUE"""),2511604.0)</f>
        <v>2511604</v>
      </c>
    </row>
    <row r="3888">
      <c r="A3888" s="2">
        <f>IFERROR(__xludf.DUMMYFUNCTION("""COMPUTED_VALUE"""),42256.64583333333)</f>
        <v>42256.64583</v>
      </c>
      <c r="B3888" s="1">
        <f>IFERROR(__xludf.DUMMYFUNCTION("""COMPUTED_VALUE"""),806.0)</f>
        <v>806</v>
      </c>
      <c r="C3888" s="1">
        <f>IFERROR(__xludf.DUMMYFUNCTION("""COMPUTED_VALUE"""),812.45)</f>
        <v>812.45</v>
      </c>
      <c r="D3888" s="1">
        <f>IFERROR(__xludf.DUMMYFUNCTION("""COMPUTED_VALUE"""),790.9)</f>
        <v>790.9</v>
      </c>
      <c r="E3888" s="1">
        <f>IFERROR(__xludf.DUMMYFUNCTION("""COMPUTED_VALUE"""),803.05)</f>
        <v>803.05</v>
      </c>
      <c r="F3888" s="1">
        <f>IFERROR(__xludf.DUMMYFUNCTION("""COMPUTED_VALUE"""),1519952.0)</f>
        <v>1519952</v>
      </c>
    </row>
    <row r="3889">
      <c r="A3889" s="2">
        <f>IFERROR(__xludf.DUMMYFUNCTION("""COMPUTED_VALUE"""),42257.64583333333)</f>
        <v>42257.64583</v>
      </c>
      <c r="B3889" s="1">
        <f>IFERROR(__xludf.DUMMYFUNCTION("""COMPUTED_VALUE"""),801.0)</f>
        <v>801</v>
      </c>
      <c r="C3889" s="1">
        <f>IFERROR(__xludf.DUMMYFUNCTION("""COMPUTED_VALUE"""),801.0)</f>
        <v>801</v>
      </c>
      <c r="D3889" s="1">
        <f>IFERROR(__xludf.DUMMYFUNCTION("""COMPUTED_VALUE"""),777.6)</f>
        <v>777.6</v>
      </c>
      <c r="E3889" s="1">
        <f>IFERROR(__xludf.DUMMYFUNCTION("""COMPUTED_VALUE"""),790.15)</f>
        <v>790.15</v>
      </c>
      <c r="F3889" s="1">
        <f>IFERROR(__xludf.DUMMYFUNCTION("""COMPUTED_VALUE"""),2651147.0)</f>
        <v>2651147</v>
      </c>
    </row>
    <row r="3890">
      <c r="A3890" s="2">
        <f>IFERROR(__xludf.DUMMYFUNCTION("""COMPUTED_VALUE"""),42258.64583333333)</f>
        <v>42258.64583</v>
      </c>
      <c r="B3890" s="1">
        <f>IFERROR(__xludf.DUMMYFUNCTION("""COMPUTED_VALUE"""),792.0)</f>
        <v>792</v>
      </c>
      <c r="C3890" s="1">
        <f>IFERROR(__xludf.DUMMYFUNCTION("""COMPUTED_VALUE"""),799.7)</f>
        <v>799.7</v>
      </c>
      <c r="D3890" s="1">
        <f>IFERROR(__xludf.DUMMYFUNCTION("""COMPUTED_VALUE"""),784.05)</f>
        <v>784.05</v>
      </c>
      <c r="E3890" s="1">
        <f>IFERROR(__xludf.DUMMYFUNCTION("""COMPUTED_VALUE"""),795.25)</f>
        <v>795.25</v>
      </c>
      <c r="F3890" s="1">
        <f>IFERROR(__xludf.DUMMYFUNCTION("""COMPUTED_VALUE"""),1368043.0)</f>
        <v>1368043</v>
      </c>
    </row>
    <row r="3891">
      <c r="A3891" s="2">
        <f>IFERROR(__xludf.DUMMYFUNCTION("""COMPUTED_VALUE"""),42261.64583333333)</f>
        <v>42261.64583</v>
      </c>
      <c r="B3891" s="1">
        <f>IFERROR(__xludf.DUMMYFUNCTION("""COMPUTED_VALUE"""),800.9)</f>
        <v>800.9</v>
      </c>
      <c r="C3891" s="1">
        <f>IFERROR(__xludf.DUMMYFUNCTION("""COMPUTED_VALUE"""),800.9)</f>
        <v>800.9</v>
      </c>
      <c r="D3891" s="1">
        <f>IFERROR(__xludf.DUMMYFUNCTION("""COMPUTED_VALUE"""),788.1)</f>
        <v>788.1</v>
      </c>
      <c r="E3891" s="1">
        <f>IFERROR(__xludf.DUMMYFUNCTION("""COMPUTED_VALUE"""),794.75)</f>
        <v>794.75</v>
      </c>
      <c r="F3891" s="1">
        <f>IFERROR(__xludf.DUMMYFUNCTION("""COMPUTED_VALUE"""),1115042.0)</f>
        <v>1115042</v>
      </c>
    </row>
    <row r="3892">
      <c r="A3892" s="2">
        <f>IFERROR(__xludf.DUMMYFUNCTION("""COMPUTED_VALUE"""),42262.64583333333)</f>
        <v>42262.64583</v>
      </c>
      <c r="B3892" s="1">
        <f>IFERROR(__xludf.DUMMYFUNCTION("""COMPUTED_VALUE"""),794.75)</f>
        <v>794.75</v>
      </c>
      <c r="C3892" s="1">
        <f>IFERROR(__xludf.DUMMYFUNCTION("""COMPUTED_VALUE"""),808.65)</f>
        <v>808.65</v>
      </c>
      <c r="D3892" s="1">
        <f>IFERROR(__xludf.DUMMYFUNCTION("""COMPUTED_VALUE"""),791.15)</f>
        <v>791.15</v>
      </c>
      <c r="E3892" s="1">
        <f>IFERROR(__xludf.DUMMYFUNCTION("""COMPUTED_VALUE"""),804.6)</f>
        <v>804.6</v>
      </c>
      <c r="F3892" s="1">
        <f>IFERROR(__xludf.DUMMYFUNCTION("""COMPUTED_VALUE"""),1239118.0)</f>
        <v>1239118</v>
      </c>
    </row>
    <row r="3893">
      <c r="A3893" s="2">
        <f>IFERROR(__xludf.DUMMYFUNCTION("""COMPUTED_VALUE"""),42263.64583333333)</f>
        <v>42263.64583</v>
      </c>
      <c r="B3893" s="1">
        <f>IFERROR(__xludf.DUMMYFUNCTION("""COMPUTED_VALUE"""),811.0)</f>
        <v>811</v>
      </c>
      <c r="C3893" s="1">
        <f>IFERROR(__xludf.DUMMYFUNCTION("""COMPUTED_VALUE"""),811.8)</f>
        <v>811.8</v>
      </c>
      <c r="D3893" s="1">
        <f>IFERROR(__xludf.DUMMYFUNCTION("""COMPUTED_VALUE"""),796.75)</f>
        <v>796.75</v>
      </c>
      <c r="E3893" s="1">
        <f>IFERROR(__xludf.DUMMYFUNCTION("""COMPUTED_VALUE"""),806.85)</f>
        <v>806.85</v>
      </c>
      <c r="F3893" s="1">
        <f>IFERROR(__xludf.DUMMYFUNCTION("""COMPUTED_VALUE"""),1000450.0)</f>
        <v>1000450</v>
      </c>
    </row>
    <row r="3894">
      <c r="A3894" s="2">
        <f>IFERROR(__xludf.DUMMYFUNCTION("""COMPUTED_VALUE"""),42265.64583333333)</f>
        <v>42265.64583</v>
      </c>
      <c r="B3894" s="1">
        <f>IFERROR(__xludf.DUMMYFUNCTION("""COMPUTED_VALUE"""),807.0)</f>
        <v>807</v>
      </c>
      <c r="C3894" s="1">
        <f>IFERROR(__xludf.DUMMYFUNCTION("""COMPUTED_VALUE"""),816.8)</f>
        <v>816.8</v>
      </c>
      <c r="D3894" s="1">
        <f>IFERROR(__xludf.DUMMYFUNCTION("""COMPUTED_VALUE"""),793.0)</f>
        <v>793</v>
      </c>
      <c r="E3894" s="1">
        <f>IFERROR(__xludf.DUMMYFUNCTION("""COMPUTED_VALUE"""),797.85)</f>
        <v>797.85</v>
      </c>
      <c r="F3894" s="1">
        <f>IFERROR(__xludf.DUMMYFUNCTION("""COMPUTED_VALUE"""),3196079.0)</f>
        <v>3196079</v>
      </c>
    </row>
    <row r="3895">
      <c r="A3895" s="2">
        <f>IFERROR(__xludf.DUMMYFUNCTION("""COMPUTED_VALUE"""),42268.64583333333)</f>
        <v>42268.64583</v>
      </c>
      <c r="B3895" s="1">
        <f>IFERROR(__xludf.DUMMYFUNCTION("""COMPUTED_VALUE"""),795.0)</f>
        <v>795</v>
      </c>
      <c r="C3895" s="1">
        <f>IFERROR(__xludf.DUMMYFUNCTION("""COMPUTED_VALUE"""),799.9)</f>
        <v>799.9</v>
      </c>
      <c r="D3895" s="1">
        <f>IFERROR(__xludf.DUMMYFUNCTION("""COMPUTED_VALUE"""),788.4)</f>
        <v>788.4</v>
      </c>
      <c r="E3895" s="1">
        <f>IFERROR(__xludf.DUMMYFUNCTION("""COMPUTED_VALUE"""),790.7)</f>
        <v>790.7</v>
      </c>
      <c r="F3895" s="1">
        <f>IFERROR(__xludf.DUMMYFUNCTION("""COMPUTED_VALUE"""),1097798.0)</f>
        <v>1097798</v>
      </c>
    </row>
    <row r="3896">
      <c r="A3896" s="2">
        <f>IFERROR(__xludf.DUMMYFUNCTION("""COMPUTED_VALUE"""),42269.64583333333)</f>
        <v>42269.64583</v>
      </c>
      <c r="B3896" s="1">
        <f>IFERROR(__xludf.DUMMYFUNCTION("""COMPUTED_VALUE"""),792.0)</f>
        <v>792</v>
      </c>
      <c r="C3896" s="1">
        <f>IFERROR(__xludf.DUMMYFUNCTION("""COMPUTED_VALUE"""),796.85)</f>
        <v>796.85</v>
      </c>
      <c r="D3896" s="1">
        <f>IFERROR(__xludf.DUMMYFUNCTION("""COMPUTED_VALUE"""),783.2)</f>
        <v>783.2</v>
      </c>
      <c r="E3896" s="1">
        <f>IFERROR(__xludf.DUMMYFUNCTION("""COMPUTED_VALUE"""),785.9)</f>
        <v>785.9</v>
      </c>
      <c r="F3896" s="1">
        <f>IFERROR(__xludf.DUMMYFUNCTION("""COMPUTED_VALUE"""),1900127.0)</f>
        <v>1900127</v>
      </c>
    </row>
    <row r="3897">
      <c r="A3897" s="2">
        <f>IFERROR(__xludf.DUMMYFUNCTION("""COMPUTED_VALUE"""),42270.64583333333)</f>
        <v>42270.64583</v>
      </c>
      <c r="B3897" s="1">
        <f>IFERROR(__xludf.DUMMYFUNCTION("""COMPUTED_VALUE"""),788.8)</f>
        <v>788.8</v>
      </c>
      <c r="C3897" s="1">
        <f>IFERROR(__xludf.DUMMYFUNCTION("""COMPUTED_VALUE"""),789.4)</f>
        <v>789.4</v>
      </c>
      <c r="D3897" s="1">
        <f>IFERROR(__xludf.DUMMYFUNCTION("""COMPUTED_VALUE"""),780.15)</f>
        <v>780.15</v>
      </c>
      <c r="E3897" s="1">
        <f>IFERROR(__xludf.DUMMYFUNCTION("""COMPUTED_VALUE"""),785.0)</f>
        <v>785</v>
      </c>
      <c r="F3897" s="1">
        <f>IFERROR(__xludf.DUMMYFUNCTION("""COMPUTED_VALUE"""),1108731.0)</f>
        <v>1108731</v>
      </c>
    </row>
    <row r="3898">
      <c r="A3898" s="2">
        <f>IFERROR(__xludf.DUMMYFUNCTION("""COMPUTED_VALUE"""),42271.64583333333)</f>
        <v>42271.64583</v>
      </c>
      <c r="B3898" s="1">
        <f>IFERROR(__xludf.DUMMYFUNCTION("""COMPUTED_VALUE"""),789.0)</f>
        <v>789</v>
      </c>
      <c r="C3898" s="1">
        <f>IFERROR(__xludf.DUMMYFUNCTION("""COMPUTED_VALUE"""),789.0)</f>
        <v>789</v>
      </c>
      <c r="D3898" s="1">
        <f>IFERROR(__xludf.DUMMYFUNCTION("""COMPUTED_VALUE"""),776.25)</f>
        <v>776.25</v>
      </c>
      <c r="E3898" s="1">
        <f>IFERROR(__xludf.DUMMYFUNCTION("""COMPUTED_VALUE"""),781.7)</f>
        <v>781.7</v>
      </c>
      <c r="F3898" s="1">
        <f>IFERROR(__xludf.DUMMYFUNCTION("""COMPUTED_VALUE"""),2627897.0)</f>
        <v>2627897</v>
      </c>
    </row>
    <row r="3899">
      <c r="A3899" s="2">
        <f>IFERROR(__xludf.DUMMYFUNCTION("""COMPUTED_VALUE"""),42275.64583333333)</f>
        <v>42275.64583</v>
      </c>
      <c r="B3899" s="1">
        <f>IFERROR(__xludf.DUMMYFUNCTION("""COMPUTED_VALUE"""),785.0)</f>
        <v>785</v>
      </c>
      <c r="C3899" s="1">
        <f>IFERROR(__xludf.DUMMYFUNCTION("""COMPUTED_VALUE"""),802.5)</f>
        <v>802.5</v>
      </c>
      <c r="D3899" s="1">
        <f>IFERROR(__xludf.DUMMYFUNCTION("""COMPUTED_VALUE"""),780.8)</f>
        <v>780.8</v>
      </c>
      <c r="E3899" s="1">
        <f>IFERROR(__xludf.DUMMYFUNCTION("""COMPUTED_VALUE"""),790.65)</f>
        <v>790.65</v>
      </c>
      <c r="F3899" s="1">
        <f>IFERROR(__xludf.DUMMYFUNCTION("""COMPUTED_VALUE"""),1121534.0)</f>
        <v>1121534</v>
      </c>
    </row>
    <row r="3900">
      <c r="A3900" s="2">
        <f>IFERROR(__xludf.DUMMYFUNCTION("""COMPUTED_VALUE"""),42276.64583333333)</f>
        <v>42276.64583</v>
      </c>
      <c r="B3900" s="1">
        <f>IFERROR(__xludf.DUMMYFUNCTION("""COMPUTED_VALUE"""),782.6)</f>
        <v>782.6</v>
      </c>
      <c r="C3900" s="1">
        <f>IFERROR(__xludf.DUMMYFUNCTION("""COMPUTED_VALUE"""),801.0)</f>
        <v>801</v>
      </c>
      <c r="D3900" s="1">
        <f>IFERROR(__xludf.DUMMYFUNCTION("""COMPUTED_VALUE"""),781.35)</f>
        <v>781.35</v>
      </c>
      <c r="E3900" s="1">
        <f>IFERROR(__xludf.DUMMYFUNCTION("""COMPUTED_VALUE"""),784.35)</f>
        <v>784.35</v>
      </c>
      <c r="F3900" s="1">
        <f>IFERROR(__xludf.DUMMYFUNCTION("""COMPUTED_VALUE"""),2377821.0)</f>
        <v>2377821</v>
      </c>
    </row>
    <row r="3901">
      <c r="A3901" s="2">
        <f>IFERROR(__xludf.DUMMYFUNCTION("""COMPUTED_VALUE"""),42277.64583333333)</f>
        <v>42277.64583</v>
      </c>
      <c r="B3901" s="1">
        <f>IFERROR(__xludf.DUMMYFUNCTION("""COMPUTED_VALUE"""),799.8)</f>
        <v>799.8</v>
      </c>
      <c r="C3901" s="1">
        <f>IFERROR(__xludf.DUMMYFUNCTION("""COMPUTED_VALUE"""),818.0)</f>
        <v>818</v>
      </c>
      <c r="D3901" s="1">
        <f>IFERROR(__xludf.DUMMYFUNCTION("""COMPUTED_VALUE"""),787.0)</f>
        <v>787</v>
      </c>
      <c r="E3901" s="1">
        <f>IFERROR(__xludf.DUMMYFUNCTION("""COMPUTED_VALUE"""),814.75)</f>
        <v>814.75</v>
      </c>
      <c r="F3901" s="1">
        <f>IFERROR(__xludf.DUMMYFUNCTION("""COMPUTED_VALUE"""),2321962.0)</f>
        <v>2321962</v>
      </c>
    </row>
    <row r="3902">
      <c r="A3902" s="2">
        <f>IFERROR(__xludf.DUMMYFUNCTION("""COMPUTED_VALUE"""),42278.64583333333)</f>
        <v>42278.64583</v>
      </c>
      <c r="B3902" s="1">
        <f>IFERROR(__xludf.DUMMYFUNCTION("""COMPUTED_VALUE"""),817.8)</f>
        <v>817.8</v>
      </c>
      <c r="C3902" s="1">
        <f>IFERROR(__xludf.DUMMYFUNCTION("""COMPUTED_VALUE"""),827.25)</f>
        <v>827.25</v>
      </c>
      <c r="D3902" s="1">
        <f>IFERROR(__xludf.DUMMYFUNCTION("""COMPUTED_VALUE"""),811.2)</f>
        <v>811.2</v>
      </c>
      <c r="E3902" s="1">
        <f>IFERROR(__xludf.DUMMYFUNCTION("""COMPUTED_VALUE"""),816.4)</f>
        <v>816.4</v>
      </c>
      <c r="F3902" s="1">
        <f>IFERROR(__xludf.DUMMYFUNCTION("""COMPUTED_VALUE"""),903859.0)</f>
        <v>903859</v>
      </c>
    </row>
    <row r="3903">
      <c r="A3903" s="2">
        <f>IFERROR(__xludf.DUMMYFUNCTION("""COMPUTED_VALUE"""),42282.64583333333)</f>
        <v>42282.64583</v>
      </c>
      <c r="B3903" s="1">
        <f>IFERROR(__xludf.DUMMYFUNCTION("""COMPUTED_VALUE"""),820.55)</f>
        <v>820.55</v>
      </c>
      <c r="C3903" s="1">
        <f>IFERROR(__xludf.DUMMYFUNCTION("""COMPUTED_VALUE"""),824.0)</f>
        <v>824</v>
      </c>
      <c r="D3903" s="1">
        <f>IFERROR(__xludf.DUMMYFUNCTION("""COMPUTED_VALUE"""),801.0)</f>
        <v>801</v>
      </c>
      <c r="E3903" s="1">
        <f>IFERROR(__xludf.DUMMYFUNCTION("""COMPUTED_VALUE"""),809.8)</f>
        <v>809.8</v>
      </c>
      <c r="F3903" s="1">
        <f>IFERROR(__xludf.DUMMYFUNCTION("""COMPUTED_VALUE"""),1344972.0)</f>
        <v>1344972</v>
      </c>
    </row>
    <row r="3904">
      <c r="A3904" s="2">
        <f>IFERROR(__xludf.DUMMYFUNCTION("""COMPUTED_VALUE"""),42283.64583333333)</f>
        <v>42283.64583</v>
      </c>
      <c r="B3904" s="1">
        <f>IFERROR(__xludf.DUMMYFUNCTION("""COMPUTED_VALUE"""),816.95)</f>
        <v>816.95</v>
      </c>
      <c r="C3904" s="1">
        <f>IFERROR(__xludf.DUMMYFUNCTION("""COMPUTED_VALUE"""),832.0)</f>
        <v>832</v>
      </c>
      <c r="D3904" s="1">
        <f>IFERROR(__xludf.DUMMYFUNCTION("""COMPUTED_VALUE"""),811.9)</f>
        <v>811.9</v>
      </c>
      <c r="E3904" s="1">
        <f>IFERROR(__xludf.DUMMYFUNCTION("""COMPUTED_VALUE"""),829.3)</f>
        <v>829.3</v>
      </c>
      <c r="F3904" s="1">
        <f>IFERROR(__xludf.DUMMYFUNCTION("""COMPUTED_VALUE"""),1470601.0)</f>
        <v>1470601</v>
      </c>
    </row>
    <row r="3905">
      <c r="A3905" s="2">
        <f>IFERROR(__xludf.DUMMYFUNCTION("""COMPUTED_VALUE"""),42284.64583333333)</f>
        <v>42284.64583</v>
      </c>
      <c r="B3905" s="1">
        <f>IFERROR(__xludf.DUMMYFUNCTION("""COMPUTED_VALUE"""),818.0)</f>
        <v>818</v>
      </c>
      <c r="C3905" s="1">
        <f>IFERROR(__xludf.DUMMYFUNCTION("""COMPUTED_VALUE"""),828.0)</f>
        <v>828</v>
      </c>
      <c r="D3905" s="1">
        <f>IFERROR(__xludf.DUMMYFUNCTION("""COMPUTED_VALUE"""),816.0)</f>
        <v>816</v>
      </c>
      <c r="E3905" s="1">
        <f>IFERROR(__xludf.DUMMYFUNCTION("""COMPUTED_VALUE"""),823.55)</f>
        <v>823.55</v>
      </c>
      <c r="F3905" s="1">
        <f>IFERROR(__xludf.DUMMYFUNCTION("""COMPUTED_VALUE"""),1126929.0)</f>
        <v>1126929</v>
      </c>
    </row>
    <row r="3906">
      <c r="A3906" s="2">
        <f>IFERROR(__xludf.DUMMYFUNCTION("""COMPUTED_VALUE"""),42285.64583333333)</f>
        <v>42285.64583</v>
      </c>
      <c r="B3906" s="1">
        <f>IFERROR(__xludf.DUMMYFUNCTION("""COMPUTED_VALUE"""),827.0)</f>
        <v>827</v>
      </c>
      <c r="C3906" s="1">
        <f>IFERROR(__xludf.DUMMYFUNCTION("""COMPUTED_VALUE"""),831.95)</f>
        <v>831.95</v>
      </c>
      <c r="D3906" s="1">
        <f>IFERROR(__xludf.DUMMYFUNCTION("""COMPUTED_VALUE"""),817.5)</f>
        <v>817.5</v>
      </c>
      <c r="E3906" s="1">
        <f>IFERROR(__xludf.DUMMYFUNCTION("""COMPUTED_VALUE"""),821.9)</f>
        <v>821.9</v>
      </c>
      <c r="F3906" s="1">
        <f>IFERROR(__xludf.DUMMYFUNCTION("""COMPUTED_VALUE"""),673062.0)</f>
        <v>673062</v>
      </c>
    </row>
    <row r="3907">
      <c r="A3907" s="2">
        <f>IFERROR(__xludf.DUMMYFUNCTION("""COMPUTED_VALUE"""),42286.64583333333)</f>
        <v>42286.64583</v>
      </c>
      <c r="B3907" s="1">
        <f>IFERROR(__xludf.DUMMYFUNCTION("""COMPUTED_VALUE"""),826.0)</f>
        <v>826</v>
      </c>
      <c r="C3907" s="1">
        <f>IFERROR(__xludf.DUMMYFUNCTION("""COMPUTED_VALUE"""),830.4)</f>
        <v>830.4</v>
      </c>
      <c r="D3907" s="1">
        <f>IFERROR(__xludf.DUMMYFUNCTION("""COMPUTED_VALUE"""),810.0)</f>
        <v>810</v>
      </c>
      <c r="E3907" s="1">
        <f>IFERROR(__xludf.DUMMYFUNCTION("""COMPUTED_VALUE"""),818.0)</f>
        <v>818</v>
      </c>
      <c r="F3907" s="1">
        <f>IFERROR(__xludf.DUMMYFUNCTION("""COMPUTED_VALUE"""),740404.0)</f>
        <v>740404</v>
      </c>
    </row>
    <row r="3908">
      <c r="A3908" s="2">
        <f>IFERROR(__xludf.DUMMYFUNCTION("""COMPUTED_VALUE"""),42289.64583333333)</f>
        <v>42289.64583</v>
      </c>
      <c r="B3908" s="1">
        <f>IFERROR(__xludf.DUMMYFUNCTION("""COMPUTED_VALUE"""),819.0)</f>
        <v>819</v>
      </c>
      <c r="C3908" s="1">
        <f>IFERROR(__xludf.DUMMYFUNCTION("""COMPUTED_VALUE"""),822.5)</f>
        <v>822.5</v>
      </c>
      <c r="D3908" s="1">
        <f>IFERROR(__xludf.DUMMYFUNCTION("""COMPUTED_VALUE"""),807.35)</f>
        <v>807.35</v>
      </c>
      <c r="E3908" s="1">
        <f>IFERROR(__xludf.DUMMYFUNCTION("""COMPUTED_VALUE"""),814.85)</f>
        <v>814.85</v>
      </c>
      <c r="F3908" s="1">
        <f>IFERROR(__xludf.DUMMYFUNCTION("""COMPUTED_VALUE"""),760378.0)</f>
        <v>760378</v>
      </c>
    </row>
    <row r="3909">
      <c r="A3909" s="2">
        <f>IFERROR(__xludf.DUMMYFUNCTION("""COMPUTED_VALUE"""),42290.64583333333)</f>
        <v>42290.64583</v>
      </c>
      <c r="B3909" s="1">
        <f>IFERROR(__xludf.DUMMYFUNCTION("""COMPUTED_VALUE"""),817.0)</f>
        <v>817</v>
      </c>
      <c r="C3909" s="1">
        <f>IFERROR(__xludf.DUMMYFUNCTION("""COMPUTED_VALUE"""),819.0)</f>
        <v>819</v>
      </c>
      <c r="D3909" s="1">
        <f>IFERROR(__xludf.DUMMYFUNCTION("""COMPUTED_VALUE"""),805.8)</f>
        <v>805.8</v>
      </c>
      <c r="E3909" s="1">
        <f>IFERROR(__xludf.DUMMYFUNCTION("""COMPUTED_VALUE"""),812.9)</f>
        <v>812.9</v>
      </c>
      <c r="F3909" s="1">
        <f>IFERROR(__xludf.DUMMYFUNCTION("""COMPUTED_VALUE"""),860797.0)</f>
        <v>860797</v>
      </c>
    </row>
    <row r="3910">
      <c r="A3910" s="2">
        <f>IFERROR(__xludf.DUMMYFUNCTION("""COMPUTED_VALUE"""),42291.64583333333)</f>
        <v>42291.64583</v>
      </c>
      <c r="B3910" s="1">
        <f>IFERROR(__xludf.DUMMYFUNCTION("""COMPUTED_VALUE"""),814.05)</f>
        <v>814.05</v>
      </c>
      <c r="C3910" s="1">
        <f>IFERROR(__xludf.DUMMYFUNCTION("""COMPUTED_VALUE"""),815.0)</f>
        <v>815</v>
      </c>
      <c r="D3910" s="1">
        <f>IFERROR(__xludf.DUMMYFUNCTION("""COMPUTED_VALUE"""),787.0)</f>
        <v>787</v>
      </c>
      <c r="E3910" s="1">
        <f>IFERROR(__xludf.DUMMYFUNCTION("""COMPUTED_VALUE"""),797.2)</f>
        <v>797.2</v>
      </c>
      <c r="F3910" s="1">
        <f>IFERROR(__xludf.DUMMYFUNCTION("""COMPUTED_VALUE"""),3479601.0)</f>
        <v>3479601</v>
      </c>
    </row>
    <row r="3911">
      <c r="A3911" s="2">
        <f>IFERROR(__xludf.DUMMYFUNCTION("""COMPUTED_VALUE"""),42292.64583333333)</f>
        <v>42292.64583</v>
      </c>
      <c r="B3911" s="1">
        <f>IFERROR(__xludf.DUMMYFUNCTION("""COMPUTED_VALUE"""),783.0)</f>
        <v>783</v>
      </c>
      <c r="C3911" s="1">
        <f>IFERROR(__xludf.DUMMYFUNCTION("""COMPUTED_VALUE"""),801.0)</f>
        <v>801</v>
      </c>
      <c r="D3911" s="1">
        <f>IFERROR(__xludf.DUMMYFUNCTION("""COMPUTED_VALUE"""),769.0)</f>
        <v>769</v>
      </c>
      <c r="E3911" s="1">
        <f>IFERROR(__xludf.DUMMYFUNCTION("""COMPUTED_VALUE"""),791.55)</f>
        <v>791.55</v>
      </c>
      <c r="F3911" s="1">
        <f>IFERROR(__xludf.DUMMYFUNCTION("""COMPUTED_VALUE"""),4110634.0)</f>
        <v>4110634</v>
      </c>
    </row>
    <row r="3912">
      <c r="A3912" s="2">
        <f>IFERROR(__xludf.DUMMYFUNCTION("""COMPUTED_VALUE"""),42293.64583333333)</f>
        <v>42293.64583</v>
      </c>
      <c r="B3912" s="1">
        <f>IFERROR(__xludf.DUMMYFUNCTION("""COMPUTED_VALUE"""),788.0)</f>
        <v>788</v>
      </c>
      <c r="C3912" s="1">
        <f>IFERROR(__xludf.DUMMYFUNCTION("""COMPUTED_VALUE"""),790.9)</f>
        <v>790.9</v>
      </c>
      <c r="D3912" s="1">
        <f>IFERROR(__xludf.DUMMYFUNCTION("""COMPUTED_VALUE"""),782.0)</f>
        <v>782</v>
      </c>
      <c r="E3912" s="1">
        <f>IFERROR(__xludf.DUMMYFUNCTION("""COMPUTED_VALUE"""),785.0)</f>
        <v>785</v>
      </c>
      <c r="F3912" s="1">
        <f>IFERROR(__xludf.DUMMYFUNCTION("""COMPUTED_VALUE"""),2121262.0)</f>
        <v>2121262</v>
      </c>
    </row>
    <row r="3913">
      <c r="A3913" s="2">
        <f>IFERROR(__xludf.DUMMYFUNCTION("""COMPUTED_VALUE"""),42296.64583333333)</f>
        <v>42296.64583</v>
      </c>
      <c r="B3913" s="1">
        <f>IFERROR(__xludf.DUMMYFUNCTION("""COMPUTED_VALUE"""),784.9)</f>
        <v>784.9</v>
      </c>
      <c r="C3913" s="1">
        <f>IFERROR(__xludf.DUMMYFUNCTION("""COMPUTED_VALUE"""),796.95)</f>
        <v>796.95</v>
      </c>
      <c r="D3913" s="1">
        <f>IFERROR(__xludf.DUMMYFUNCTION("""COMPUTED_VALUE"""),778.0)</f>
        <v>778</v>
      </c>
      <c r="E3913" s="1">
        <f>IFERROR(__xludf.DUMMYFUNCTION("""COMPUTED_VALUE"""),793.9)</f>
        <v>793.9</v>
      </c>
      <c r="F3913" s="1">
        <f>IFERROR(__xludf.DUMMYFUNCTION("""COMPUTED_VALUE"""),1733760.0)</f>
        <v>1733760</v>
      </c>
    </row>
    <row r="3914">
      <c r="A3914" s="2">
        <f>IFERROR(__xludf.DUMMYFUNCTION("""COMPUTED_VALUE"""),42297.64583333333)</f>
        <v>42297.64583</v>
      </c>
      <c r="B3914" s="1">
        <f>IFERROR(__xludf.DUMMYFUNCTION("""COMPUTED_VALUE"""),797.45)</f>
        <v>797.45</v>
      </c>
      <c r="C3914" s="1">
        <f>IFERROR(__xludf.DUMMYFUNCTION("""COMPUTED_VALUE"""),797.45)</f>
        <v>797.45</v>
      </c>
      <c r="D3914" s="1">
        <f>IFERROR(__xludf.DUMMYFUNCTION("""COMPUTED_VALUE"""),783.0)</f>
        <v>783</v>
      </c>
      <c r="E3914" s="1">
        <f>IFERROR(__xludf.DUMMYFUNCTION("""COMPUTED_VALUE"""),787.1)</f>
        <v>787.1</v>
      </c>
      <c r="F3914" s="1">
        <f>IFERROR(__xludf.DUMMYFUNCTION("""COMPUTED_VALUE"""),1428531.0)</f>
        <v>1428531</v>
      </c>
    </row>
    <row r="3915">
      <c r="A3915" s="2">
        <f>IFERROR(__xludf.DUMMYFUNCTION("""COMPUTED_VALUE"""),42298.64583333333)</f>
        <v>42298.64583</v>
      </c>
      <c r="B3915" s="1">
        <f>IFERROR(__xludf.DUMMYFUNCTION("""COMPUTED_VALUE"""),788.0)</f>
        <v>788</v>
      </c>
      <c r="C3915" s="1">
        <f>IFERROR(__xludf.DUMMYFUNCTION("""COMPUTED_VALUE"""),794.45)</f>
        <v>794.45</v>
      </c>
      <c r="D3915" s="1">
        <f>IFERROR(__xludf.DUMMYFUNCTION("""COMPUTED_VALUE"""),787.0)</f>
        <v>787</v>
      </c>
      <c r="E3915" s="1">
        <f>IFERROR(__xludf.DUMMYFUNCTION("""COMPUTED_VALUE"""),790.35)</f>
        <v>790.35</v>
      </c>
      <c r="F3915" s="1">
        <f>IFERROR(__xludf.DUMMYFUNCTION("""COMPUTED_VALUE"""),879891.0)</f>
        <v>879891</v>
      </c>
    </row>
    <row r="3916">
      <c r="A3916" s="2">
        <f>IFERROR(__xludf.DUMMYFUNCTION("""COMPUTED_VALUE"""),42300.64583333333)</f>
        <v>42300.64583</v>
      </c>
      <c r="B3916" s="1">
        <f>IFERROR(__xludf.DUMMYFUNCTION("""COMPUTED_VALUE"""),795.0)</f>
        <v>795</v>
      </c>
      <c r="C3916" s="1">
        <f>IFERROR(__xludf.DUMMYFUNCTION("""COMPUTED_VALUE"""),805.6)</f>
        <v>805.6</v>
      </c>
      <c r="D3916" s="1">
        <f>IFERROR(__xludf.DUMMYFUNCTION("""COMPUTED_VALUE"""),791.25)</f>
        <v>791.25</v>
      </c>
      <c r="E3916" s="1">
        <f>IFERROR(__xludf.DUMMYFUNCTION("""COMPUTED_VALUE"""),800.2)</f>
        <v>800.2</v>
      </c>
      <c r="F3916" s="1">
        <f>IFERROR(__xludf.DUMMYFUNCTION("""COMPUTED_VALUE"""),1956438.0)</f>
        <v>1956438</v>
      </c>
    </row>
    <row r="3917">
      <c r="A3917" s="2">
        <f>IFERROR(__xludf.DUMMYFUNCTION("""COMPUTED_VALUE"""),42303.64583333333)</f>
        <v>42303.64583</v>
      </c>
      <c r="B3917" s="1">
        <f>IFERROR(__xludf.DUMMYFUNCTION("""COMPUTED_VALUE"""),802.8)</f>
        <v>802.8</v>
      </c>
      <c r="C3917" s="1">
        <f>IFERROR(__xludf.DUMMYFUNCTION("""COMPUTED_VALUE"""),810.0)</f>
        <v>810</v>
      </c>
      <c r="D3917" s="1">
        <f>IFERROR(__xludf.DUMMYFUNCTION("""COMPUTED_VALUE"""),800.65)</f>
        <v>800.65</v>
      </c>
      <c r="E3917" s="1">
        <f>IFERROR(__xludf.DUMMYFUNCTION("""COMPUTED_VALUE"""),808.6)</f>
        <v>808.6</v>
      </c>
      <c r="F3917" s="1">
        <f>IFERROR(__xludf.DUMMYFUNCTION("""COMPUTED_VALUE"""),754383.0)</f>
        <v>754383</v>
      </c>
    </row>
    <row r="3918">
      <c r="A3918" s="2">
        <f>IFERROR(__xludf.DUMMYFUNCTION("""COMPUTED_VALUE"""),42304.64583333333)</f>
        <v>42304.64583</v>
      </c>
      <c r="B3918" s="1">
        <f>IFERROR(__xludf.DUMMYFUNCTION("""COMPUTED_VALUE"""),806.75)</f>
        <v>806.75</v>
      </c>
      <c r="C3918" s="1">
        <f>IFERROR(__xludf.DUMMYFUNCTION("""COMPUTED_VALUE"""),814.85)</f>
        <v>814.85</v>
      </c>
      <c r="D3918" s="1">
        <f>IFERROR(__xludf.DUMMYFUNCTION("""COMPUTED_VALUE"""),799.2)</f>
        <v>799.2</v>
      </c>
      <c r="E3918" s="1">
        <f>IFERROR(__xludf.DUMMYFUNCTION("""COMPUTED_VALUE"""),812.15)</f>
        <v>812.15</v>
      </c>
      <c r="F3918" s="1">
        <f>IFERROR(__xludf.DUMMYFUNCTION("""COMPUTED_VALUE"""),876427.0)</f>
        <v>876427</v>
      </c>
    </row>
    <row r="3919">
      <c r="A3919" s="2">
        <f>IFERROR(__xludf.DUMMYFUNCTION("""COMPUTED_VALUE"""),42305.64583333333)</f>
        <v>42305.64583</v>
      </c>
      <c r="B3919" s="1">
        <f>IFERROR(__xludf.DUMMYFUNCTION("""COMPUTED_VALUE"""),811.6)</f>
        <v>811.6</v>
      </c>
      <c r="C3919" s="1">
        <f>IFERROR(__xludf.DUMMYFUNCTION("""COMPUTED_VALUE"""),820.5)</f>
        <v>820.5</v>
      </c>
      <c r="D3919" s="1">
        <f>IFERROR(__xludf.DUMMYFUNCTION("""COMPUTED_VALUE"""),807.9)</f>
        <v>807.9</v>
      </c>
      <c r="E3919" s="1">
        <f>IFERROR(__xludf.DUMMYFUNCTION("""COMPUTED_VALUE"""),818.5)</f>
        <v>818.5</v>
      </c>
      <c r="F3919" s="1">
        <f>IFERROR(__xludf.DUMMYFUNCTION("""COMPUTED_VALUE"""),1123867.0)</f>
        <v>1123867</v>
      </c>
    </row>
    <row r="3920">
      <c r="A3920" s="2">
        <f>IFERROR(__xludf.DUMMYFUNCTION("""COMPUTED_VALUE"""),42306.64583333333)</f>
        <v>42306.64583</v>
      </c>
      <c r="B3920" s="1">
        <f>IFERROR(__xludf.DUMMYFUNCTION("""COMPUTED_VALUE"""),811.0)</f>
        <v>811</v>
      </c>
      <c r="C3920" s="1">
        <f>IFERROR(__xludf.DUMMYFUNCTION("""COMPUTED_VALUE"""),818.0)</f>
        <v>818</v>
      </c>
      <c r="D3920" s="1">
        <f>IFERROR(__xludf.DUMMYFUNCTION("""COMPUTED_VALUE"""),799.2)</f>
        <v>799.2</v>
      </c>
      <c r="E3920" s="1">
        <f>IFERROR(__xludf.DUMMYFUNCTION("""COMPUTED_VALUE"""),801.45)</f>
        <v>801.45</v>
      </c>
      <c r="F3920" s="1">
        <f>IFERROR(__xludf.DUMMYFUNCTION("""COMPUTED_VALUE"""),1558590.0)</f>
        <v>1558590</v>
      </c>
    </row>
    <row r="3921">
      <c r="A3921" s="2">
        <f>IFERROR(__xludf.DUMMYFUNCTION("""COMPUTED_VALUE"""),42307.64583333333)</f>
        <v>42307.64583</v>
      </c>
      <c r="B3921" s="1">
        <f>IFERROR(__xludf.DUMMYFUNCTION("""COMPUTED_VALUE"""),802.0)</f>
        <v>802</v>
      </c>
      <c r="C3921" s="1">
        <f>IFERROR(__xludf.DUMMYFUNCTION("""COMPUTED_VALUE"""),810.95)</f>
        <v>810.95</v>
      </c>
      <c r="D3921" s="1">
        <f>IFERROR(__xludf.DUMMYFUNCTION("""COMPUTED_VALUE"""),795.0)</f>
        <v>795</v>
      </c>
      <c r="E3921" s="1">
        <f>IFERROR(__xludf.DUMMYFUNCTION("""COMPUTED_VALUE"""),800.65)</f>
        <v>800.65</v>
      </c>
      <c r="F3921" s="1">
        <f>IFERROR(__xludf.DUMMYFUNCTION("""COMPUTED_VALUE"""),1209468.0)</f>
        <v>1209468</v>
      </c>
    </row>
    <row r="3922">
      <c r="A3922" s="2">
        <f>IFERROR(__xludf.DUMMYFUNCTION("""COMPUTED_VALUE"""),42310.64583333333)</f>
        <v>42310.64583</v>
      </c>
      <c r="B3922" s="1">
        <f>IFERROR(__xludf.DUMMYFUNCTION("""COMPUTED_VALUE"""),799.25)</f>
        <v>799.25</v>
      </c>
      <c r="C3922" s="1">
        <f>IFERROR(__xludf.DUMMYFUNCTION("""COMPUTED_VALUE"""),804.85)</f>
        <v>804.85</v>
      </c>
      <c r="D3922" s="1">
        <f>IFERROR(__xludf.DUMMYFUNCTION("""COMPUTED_VALUE"""),791.55)</f>
        <v>791.55</v>
      </c>
      <c r="E3922" s="1">
        <f>IFERROR(__xludf.DUMMYFUNCTION("""COMPUTED_VALUE"""),802.75)</f>
        <v>802.75</v>
      </c>
      <c r="F3922" s="1">
        <f>IFERROR(__xludf.DUMMYFUNCTION("""COMPUTED_VALUE"""),553599.0)</f>
        <v>553599</v>
      </c>
    </row>
    <row r="3923">
      <c r="A3923" s="2">
        <f>IFERROR(__xludf.DUMMYFUNCTION("""COMPUTED_VALUE"""),42311.64583333333)</f>
        <v>42311.64583</v>
      </c>
      <c r="B3923" s="1">
        <f>IFERROR(__xludf.DUMMYFUNCTION("""COMPUTED_VALUE"""),805.0)</f>
        <v>805</v>
      </c>
      <c r="C3923" s="1">
        <f>IFERROR(__xludf.DUMMYFUNCTION("""COMPUTED_VALUE"""),808.5)</f>
        <v>808.5</v>
      </c>
      <c r="D3923" s="1">
        <f>IFERROR(__xludf.DUMMYFUNCTION("""COMPUTED_VALUE"""),801.2)</f>
        <v>801.2</v>
      </c>
      <c r="E3923" s="1">
        <f>IFERROR(__xludf.DUMMYFUNCTION("""COMPUTED_VALUE"""),804.45)</f>
        <v>804.45</v>
      </c>
      <c r="F3923" s="1">
        <f>IFERROR(__xludf.DUMMYFUNCTION("""COMPUTED_VALUE"""),349296.0)</f>
        <v>349296</v>
      </c>
    </row>
    <row r="3924">
      <c r="A3924" s="2">
        <f>IFERROR(__xludf.DUMMYFUNCTION("""COMPUTED_VALUE"""),42312.64583333333)</f>
        <v>42312.64583</v>
      </c>
      <c r="B3924" s="1">
        <f>IFERROR(__xludf.DUMMYFUNCTION("""COMPUTED_VALUE"""),806.8)</f>
        <v>806.8</v>
      </c>
      <c r="C3924" s="1">
        <f>IFERROR(__xludf.DUMMYFUNCTION("""COMPUTED_VALUE"""),818.1)</f>
        <v>818.1</v>
      </c>
      <c r="D3924" s="1">
        <f>IFERROR(__xludf.DUMMYFUNCTION("""COMPUTED_VALUE"""),799.2)</f>
        <v>799.2</v>
      </c>
      <c r="E3924" s="1">
        <f>IFERROR(__xludf.DUMMYFUNCTION("""COMPUTED_VALUE"""),801.0)</f>
        <v>801</v>
      </c>
      <c r="F3924" s="1">
        <f>IFERROR(__xludf.DUMMYFUNCTION("""COMPUTED_VALUE"""),945881.0)</f>
        <v>945881</v>
      </c>
    </row>
    <row r="3925">
      <c r="A3925" s="2">
        <f>IFERROR(__xludf.DUMMYFUNCTION("""COMPUTED_VALUE"""),42313.64583333333)</f>
        <v>42313.64583</v>
      </c>
      <c r="B3925" s="1">
        <f>IFERROR(__xludf.DUMMYFUNCTION("""COMPUTED_VALUE"""),801.0)</f>
        <v>801</v>
      </c>
      <c r="C3925" s="1">
        <f>IFERROR(__xludf.DUMMYFUNCTION("""COMPUTED_VALUE"""),811.6)</f>
        <v>811.6</v>
      </c>
      <c r="D3925" s="1">
        <f>IFERROR(__xludf.DUMMYFUNCTION("""COMPUTED_VALUE"""),797.75)</f>
        <v>797.75</v>
      </c>
      <c r="E3925" s="1">
        <f>IFERROR(__xludf.DUMMYFUNCTION("""COMPUTED_VALUE"""),802.65)</f>
        <v>802.65</v>
      </c>
      <c r="F3925" s="1">
        <f>IFERROR(__xludf.DUMMYFUNCTION("""COMPUTED_VALUE"""),462520.0)</f>
        <v>462520</v>
      </c>
    </row>
    <row r="3926">
      <c r="A3926" s="2">
        <f>IFERROR(__xludf.DUMMYFUNCTION("""COMPUTED_VALUE"""),42314.64583333333)</f>
        <v>42314.64583</v>
      </c>
      <c r="B3926" s="1">
        <f>IFERROR(__xludf.DUMMYFUNCTION("""COMPUTED_VALUE"""),806.7)</f>
        <v>806.7</v>
      </c>
      <c r="C3926" s="1">
        <f>IFERROR(__xludf.DUMMYFUNCTION("""COMPUTED_VALUE"""),806.95)</f>
        <v>806.95</v>
      </c>
      <c r="D3926" s="1">
        <f>IFERROR(__xludf.DUMMYFUNCTION("""COMPUTED_VALUE"""),796.3)</f>
        <v>796.3</v>
      </c>
      <c r="E3926" s="1">
        <f>IFERROR(__xludf.DUMMYFUNCTION("""COMPUTED_VALUE"""),799.05)</f>
        <v>799.05</v>
      </c>
      <c r="F3926" s="1">
        <f>IFERROR(__xludf.DUMMYFUNCTION("""COMPUTED_VALUE"""),726024.0)</f>
        <v>726024</v>
      </c>
    </row>
    <row r="3927">
      <c r="A3927" s="2">
        <f>IFERROR(__xludf.DUMMYFUNCTION("""COMPUTED_VALUE"""),42317.64583333333)</f>
        <v>42317.64583</v>
      </c>
      <c r="B3927" s="1">
        <f>IFERROR(__xludf.DUMMYFUNCTION("""COMPUTED_VALUE"""),794.0)</f>
        <v>794</v>
      </c>
      <c r="C3927" s="1">
        <f>IFERROR(__xludf.DUMMYFUNCTION("""COMPUTED_VALUE"""),807.0)</f>
        <v>807</v>
      </c>
      <c r="D3927" s="1">
        <f>IFERROR(__xludf.DUMMYFUNCTION("""COMPUTED_VALUE"""),784.0)</f>
        <v>784</v>
      </c>
      <c r="E3927" s="1">
        <f>IFERROR(__xludf.DUMMYFUNCTION("""COMPUTED_VALUE"""),802.6)</f>
        <v>802.6</v>
      </c>
      <c r="F3927" s="1">
        <f>IFERROR(__xludf.DUMMYFUNCTION("""COMPUTED_VALUE"""),1247468.0)</f>
        <v>1247468</v>
      </c>
    </row>
    <row r="3928">
      <c r="A3928" s="2">
        <f>IFERROR(__xludf.DUMMYFUNCTION("""COMPUTED_VALUE"""),42318.64583333333)</f>
        <v>42318.64583</v>
      </c>
      <c r="B3928" s="1">
        <f>IFERROR(__xludf.DUMMYFUNCTION("""COMPUTED_VALUE"""),802.0)</f>
        <v>802</v>
      </c>
      <c r="C3928" s="1">
        <f>IFERROR(__xludf.DUMMYFUNCTION("""COMPUTED_VALUE"""),809.6)</f>
        <v>809.6</v>
      </c>
      <c r="D3928" s="1">
        <f>IFERROR(__xludf.DUMMYFUNCTION("""COMPUTED_VALUE"""),793.4)</f>
        <v>793.4</v>
      </c>
      <c r="E3928" s="1">
        <f>IFERROR(__xludf.DUMMYFUNCTION("""COMPUTED_VALUE"""),803.55)</f>
        <v>803.55</v>
      </c>
      <c r="F3928" s="1">
        <f>IFERROR(__xludf.DUMMYFUNCTION("""COMPUTED_VALUE"""),880293.0)</f>
        <v>880293</v>
      </c>
    </row>
    <row r="3929">
      <c r="A3929" s="2">
        <f>IFERROR(__xludf.DUMMYFUNCTION("""COMPUTED_VALUE"""),42321.64583333333)</f>
        <v>42321.64583</v>
      </c>
      <c r="B3929" s="1">
        <f>IFERROR(__xludf.DUMMYFUNCTION("""COMPUTED_VALUE"""),792.35)</f>
        <v>792.35</v>
      </c>
      <c r="C3929" s="1">
        <f>IFERROR(__xludf.DUMMYFUNCTION("""COMPUTED_VALUE"""),799.5)</f>
        <v>799.5</v>
      </c>
      <c r="D3929" s="1">
        <f>IFERROR(__xludf.DUMMYFUNCTION("""COMPUTED_VALUE"""),792.35)</f>
        <v>792.35</v>
      </c>
      <c r="E3929" s="1">
        <f>IFERROR(__xludf.DUMMYFUNCTION("""COMPUTED_VALUE"""),796.7)</f>
        <v>796.7</v>
      </c>
      <c r="F3929" s="1">
        <f>IFERROR(__xludf.DUMMYFUNCTION("""COMPUTED_VALUE"""),1029232.0)</f>
        <v>1029232</v>
      </c>
    </row>
    <row r="3930">
      <c r="A3930" s="2">
        <f>IFERROR(__xludf.DUMMYFUNCTION("""COMPUTED_VALUE"""),42324.64583333333)</f>
        <v>42324.64583</v>
      </c>
      <c r="B3930" s="1">
        <f>IFERROR(__xludf.DUMMYFUNCTION("""COMPUTED_VALUE"""),794.0)</f>
        <v>794</v>
      </c>
      <c r="C3930" s="1">
        <f>IFERROR(__xludf.DUMMYFUNCTION("""COMPUTED_VALUE"""),802.1)</f>
        <v>802.1</v>
      </c>
      <c r="D3930" s="1">
        <f>IFERROR(__xludf.DUMMYFUNCTION("""COMPUTED_VALUE"""),780.1)</f>
        <v>780.1</v>
      </c>
      <c r="E3930" s="1">
        <f>IFERROR(__xludf.DUMMYFUNCTION("""COMPUTED_VALUE"""),784.1)</f>
        <v>784.1</v>
      </c>
      <c r="F3930" s="1">
        <f>IFERROR(__xludf.DUMMYFUNCTION("""COMPUTED_VALUE"""),1186659.0)</f>
        <v>1186659</v>
      </c>
    </row>
    <row r="3931">
      <c r="A3931" s="2">
        <f>IFERROR(__xludf.DUMMYFUNCTION("""COMPUTED_VALUE"""),42325.64583333333)</f>
        <v>42325.64583</v>
      </c>
      <c r="B3931" s="1">
        <f>IFERROR(__xludf.DUMMYFUNCTION("""COMPUTED_VALUE"""),785.9)</f>
        <v>785.9</v>
      </c>
      <c r="C3931" s="1">
        <f>IFERROR(__xludf.DUMMYFUNCTION("""COMPUTED_VALUE"""),800.0)</f>
        <v>800</v>
      </c>
      <c r="D3931" s="1">
        <f>IFERROR(__xludf.DUMMYFUNCTION("""COMPUTED_VALUE"""),782.0)</f>
        <v>782</v>
      </c>
      <c r="E3931" s="1">
        <f>IFERROR(__xludf.DUMMYFUNCTION("""COMPUTED_VALUE"""),798.3)</f>
        <v>798.3</v>
      </c>
      <c r="F3931" s="1">
        <f>IFERROR(__xludf.DUMMYFUNCTION("""COMPUTED_VALUE"""),792593.0)</f>
        <v>792593</v>
      </c>
    </row>
    <row r="3932">
      <c r="A3932" s="2">
        <f>IFERROR(__xludf.DUMMYFUNCTION("""COMPUTED_VALUE"""),42326.64583333333)</f>
        <v>42326.64583</v>
      </c>
      <c r="B3932" s="1">
        <f>IFERROR(__xludf.DUMMYFUNCTION("""COMPUTED_VALUE"""),798.0)</f>
        <v>798</v>
      </c>
      <c r="C3932" s="1">
        <f>IFERROR(__xludf.DUMMYFUNCTION("""COMPUTED_VALUE"""),806.85)</f>
        <v>806.85</v>
      </c>
      <c r="D3932" s="1">
        <f>IFERROR(__xludf.DUMMYFUNCTION("""COMPUTED_VALUE"""),790.45)</f>
        <v>790.45</v>
      </c>
      <c r="E3932" s="1">
        <f>IFERROR(__xludf.DUMMYFUNCTION("""COMPUTED_VALUE"""),793.5)</f>
        <v>793.5</v>
      </c>
      <c r="F3932" s="1">
        <f>IFERROR(__xludf.DUMMYFUNCTION("""COMPUTED_VALUE"""),721764.0)</f>
        <v>721764</v>
      </c>
    </row>
    <row r="3933">
      <c r="A3933" s="2">
        <f>IFERROR(__xludf.DUMMYFUNCTION("""COMPUTED_VALUE"""),42327.64583333333)</f>
        <v>42327.64583</v>
      </c>
      <c r="B3933" s="1">
        <f>IFERROR(__xludf.DUMMYFUNCTION("""COMPUTED_VALUE"""),797.5)</f>
        <v>797.5</v>
      </c>
      <c r="C3933" s="1">
        <f>IFERROR(__xludf.DUMMYFUNCTION("""COMPUTED_VALUE"""),801.85)</f>
        <v>801.85</v>
      </c>
      <c r="D3933" s="1">
        <f>IFERROR(__xludf.DUMMYFUNCTION("""COMPUTED_VALUE"""),792.3)</f>
        <v>792.3</v>
      </c>
      <c r="E3933" s="1">
        <f>IFERROR(__xludf.DUMMYFUNCTION("""COMPUTED_VALUE"""),794.6)</f>
        <v>794.6</v>
      </c>
      <c r="F3933" s="1">
        <f>IFERROR(__xludf.DUMMYFUNCTION("""COMPUTED_VALUE"""),861404.0)</f>
        <v>861404</v>
      </c>
    </row>
    <row r="3934">
      <c r="A3934" s="2">
        <f>IFERROR(__xludf.DUMMYFUNCTION("""COMPUTED_VALUE"""),42328.64583333333)</f>
        <v>42328.64583</v>
      </c>
      <c r="B3934" s="1">
        <f>IFERROR(__xludf.DUMMYFUNCTION("""COMPUTED_VALUE"""),799.85)</f>
        <v>799.85</v>
      </c>
      <c r="C3934" s="1">
        <f>IFERROR(__xludf.DUMMYFUNCTION("""COMPUTED_VALUE"""),803.45)</f>
        <v>803.45</v>
      </c>
      <c r="D3934" s="1">
        <f>IFERROR(__xludf.DUMMYFUNCTION("""COMPUTED_VALUE"""),794.3)</f>
        <v>794.3</v>
      </c>
      <c r="E3934" s="1">
        <f>IFERROR(__xludf.DUMMYFUNCTION("""COMPUTED_VALUE"""),798.15)</f>
        <v>798.15</v>
      </c>
      <c r="F3934" s="1">
        <f>IFERROR(__xludf.DUMMYFUNCTION("""COMPUTED_VALUE"""),845026.0)</f>
        <v>845026</v>
      </c>
    </row>
    <row r="3935">
      <c r="A3935" s="2">
        <f>IFERROR(__xludf.DUMMYFUNCTION("""COMPUTED_VALUE"""),42331.64583333333)</f>
        <v>42331.64583</v>
      </c>
      <c r="B3935" s="1">
        <f>IFERROR(__xludf.DUMMYFUNCTION("""COMPUTED_VALUE"""),795.05)</f>
        <v>795.05</v>
      </c>
      <c r="C3935" s="1">
        <f>IFERROR(__xludf.DUMMYFUNCTION("""COMPUTED_VALUE"""),800.7)</f>
        <v>800.7</v>
      </c>
      <c r="D3935" s="1">
        <f>IFERROR(__xludf.DUMMYFUNCTION("""COMPUTED_VALUE"""),787.0)</f>
        <v>787</v>
      </c>
      <c r="E3935" s="1">
        <f>IFERROR(__xludf.DUMMYFUNCTION("""COMPUTED_VALUE"""),791.2)</f>
        <v>791.2</v>
      </c>
      <c r="F3935" s="1">
        <f>IFERROR(__xludf.DUMMYFUNCTION("""COMPUTED_VALUE"""),692990.0)</f>
        <v>692990</v>
      </c>
    </row>
    <row r="3936">
      <c r="A3936" s="2">
        <f>IFERROR(__xludf.DUMMYFUNCTION("""COMPUTED_VALUE"""),42332.64583333333)</f>
        <v>42332.64583</v>
      </c>
      <c r="B3936" s="1">
        <f>IFERROR(__xludf.DUMMYFUNCTION("""COMPUTED_VALUE"""),794.0)</f>
        <v>794</v>
      </c>
      <c r="C3936" s="1">
        <f>IFERROR(__xludf.DUMMYFUNCTION("""COMPUTED_VALUE"""),813.5)</f>
        <v>813.5</v>
      </c>
      <c r="D3936" s="1">
        <f>IFERROR(__xludf.DUMMYFUNCTION("""COMPUTED_VALUE"""),790.75)</f>
        <v>790.75</v>
      </c>
      <c r="E3936" s="1">
        <f>IFERROR(__xludf.DUMMYFUNCTION("""COMPUTED_VALUE"""),811.95)</f>
        <v>811.95</v>
      </c>
      <c r="F3936" s="1">
        <f>IFERROR(__xludf.DUMMYFUNCTION("""COMPUTED_VALUE"""),1188716.0)</f>
        <v>1188716</v>
      </c>
    </row>
    <row r="3937">
      <c r="A3937" s="2">
        <f>IFERROR(__xludf.DUMMYFUNCTION("""COMPUTED_VALUE"""),42334.64583333333)</f>
        <v>42334.64583</v>
      </c>
      <c r="B3937" s="1">
        <f>IFERROR(__xludf.DUMMYFUNCTION("""COMPUTED_VALUE"""),814.7)</f>
        <v>814.7</v>
      </c>
      <c r="C3937" s="1">
        <f>IFERROR(__xludf.DUMMYFUNCTION("""COMPUTED_VALUE"""),821.5)</f>
        <v>821.5</v>
      </c>
      <c r="D3937" s="1">
        <f>IFERROR(__xludf.DUMMYFUNCTION("""COMPUTED_VALUE"""),808.15)</f>
        <v>808.15</v>
      </c>
      <c r="E3937" s="1">
        <f>IFERROR(__xludf.DUMMYFUNCTION("""COMPUTED_VALUE"""),812.45)</f>
        <v>812.45</v>
      </c>
      <c r="F3937" s="1">
        <f>IFERROR(__xludf.DUMMYFUNCTION("""COMPUTED_VALUE"""),1282221.0)</f>
        <v>1282221</v>
      </c>
    </row>
    <row r="3938">
      <c r="A3938" s="2">
        <f>IFERROR(__xludf.DUMMYFUNCTION("""COMPUTED_VALUE"""),42335.64583333333)</f>
        <v>42335.64583</v>
      </c>
      <c r="B3938" s="1">
        <f>IFERROR(__xludf.DUMMYFUNCTION("""COMPUTED_VALUE"""),812.5)</f>
        <v>812.5</v>
      </c>
      <c r="C3938" s="1">
        <f>IFERROR(__xludf.DUMMYFUNCTION("""COMPUTED_VALUE"""),820.75)</f>
        <v>820.75</v>
      </c>
      <c r="D3938" s="1">
        <f>IFERROR(__xludf.DUMMYFUNCTION("""COMPUTED_VALUE"""),808.0)</f>
        <v>808</v>
      </c>
      <c r="E3938" s="1">
        <f>IFERROR(__xludf.DUMMYFUNCTION("""COMPUTED_VALUE"""),816.2)</f>
        <v>816.2</v>
      </c>
      <c r="F3938" s="1">
        <f>IFERROR(__xludf.DUMMYFUNCTION("""COMPUTED_VALUE"""),897445.0)</f>
        <v>897445</v>
      </c>
    </row>
    <row r="3939">
      <c r="A3939" s="2">
        <f>IFERROR(__xludf.DUMMYFUNCTION("""COMPUTED_VALUE"""),42338.64583333333)</f>
        <v>42338.64583</v>
      </c>
      <c r="B3939" s="1">
        <f>IFERROR(__xludf.DUMMYFUNCTION("""COMPUTED_VALUE"""),813.5)</f>
        <v>813.5</v>
      </c>
      <c r="C3939" s="1">
        <f>IFERROR(__xludf.DUMMYFUNCTION("""COMPUTED_VALUE"""),826.0)</f>
        <v>826</v>
      </c>
      <c r="D3939" s="1">
        <f>IFERROR(__xludf.DUMMYFUNCTION("""COMPUTED_VALUE"""),804.1)</f>
        <v>804.1</v>
      </c>
      <c r="E3939" s="1">
        <f>IFERROR(__xludf.DUMMYFUNCTION("""COMPUTED_VALUE"""),812.0)</f>
        <v>812</v>
      </c>
      <c r="F3939" s="1">
        <f>IFERROR(__xludf.DUMMYFUNCTION("""COMPUTED_VALUE"""),2959644.0)</f>
        <v>2959644</v>
      </c>
    </row>
    <row r="3940">
      <c r="A3940" s="2">
        <f>IFERROR(__xludf.DUMMYFUNCTION("""COMPUTED_VALUE"""),42339.64583333333)</f>
        <v>42339.64583</v>
      </c>
      <c r="B3940" s="1">
        <f>IFERROR(__xludf.DUMMYFUNCTION("""COMPUTED_VALUE"""),811.85)</f>
        <v>811.85</v>
      </c>
      <c r="C3940" s="1">
        <f>IFERROR(__xludf.DUMMYFUNCTION("""COMPUTED_VALUE"""),836.8)</f>
        <v>836.8</v>
      </c>
      <c r="D3940" s="1">
        <f>IFERROR(__xludf.DUMMYFUNCTION("""COMPUTED_VALUE"""),811.85)</f>
        <v>811.85</v>
      </c>
      <c r="E3940" s="1">
        <f>IFERROR(__xludf.DUMMYFUNCTION("""COMPUTED_VALUE"""),833.4)</f>
        <v>833.4</v>
      </c>
      <c r="F3940" s="1">
        <f>IFERROR(__xludf.DUMMYFUNCTION("""COMPUTED_VALUE"""),1404347.0)</f>
        <v>1404347</v>
      </c>
    </row>
    <row r="3941">
      <c r="A3941" s="2">
        <f>IFERROR(__xludf.DUMMYFUNCTION("""COMPUTED_VALUE"""),42340.64583333333)</f>
        <v>42340.64583</v>
      </c>
      <c r="B3941" s="1">
        <f>IFERROR(__xludf.DUMMYFUNCTION("""COMPUTED_VALUE"""),832.9)</f>
        <v>832.9</v>
      </c>
      <c r="C3941" s="1">
        <f>IFERROR(__xludf.DUMMYFUNCTION("""COMPUTED_VALUE"""),835.7)</f>
        <v>835.7</v>
      </c>
      <c r="D3941" s="1">
        <f>IFERROR(__xludf.DUMMYFUNCTION("""COMPUTED_VALUE"""),823.4)</f>
        <v>823.4</v>
      </c>
      <c r="E3941" s="1">
        <f>IFERROR(__xludf.DUMMYFUNCTION("""COMPUTED_VALUE"""),829.9)</f>
        <v>829.9</v>
      </c>
      <c r="F3941" s="1">
        <f>IFERROR(__xludf.DUMMYFUNCTION("""COMPUTED_VALUE"""),983626.0)</f>
        <v>983626</v>
      </c>
    </row>
    <row r="3942">
      <c r="A3942" s="2">
        <f>IFERROR(__xludf.DUMMYFUNCTION("""COMPUTED_VALUE"""),42341.64583333333)</f>
        <v>42341.64583</v>
      </c>
      <c r="B3942" s="1">
        <f>IFERROR(__xludf.DUMMYFUNCTION("""COMPUTED_VALUE"""),827.85)</f>
        <v>827.85</v>
      </c>
      <c r="C3942" s="1">
        <f>IFERROR(__xludf.DUMMYFUNCTION("""COMPUTED_VALUE"""),827.9)</f>
        <v>827.9</v>
      </c>
      <c r="D3942" s="1">
        <f>IFERROR(__xludf.DUMMYFUNCTION("""COMPUTED_VALUE"""),814.0)</f>
        <v>814</v>
      </c>
      <c r="E3942" s="1">
        <f>IFERROR(__xludf.DUMMYFUNCTION("""COMPUTED_VALUE"""),816.6)</f>
        <v>816.6</v>
      </c>
      <c r="F3942" s="1">
        <f>IFERROR(__xludf.DUMMYFUNCTION("""COMPUTED_VALUE"""),680102.0)</f>
        <v>680102</v>
      </c>
    </row>
    <row r="3943">
      <c r="A3943" s="2">
        <f>IFERROR(__xludf.DUMMYFUNCTION("""COMPUTED_VALUE"""),42342.64583333333)</f>
        <v>42342.64583</v>
      </c>
      <c r="B3943" s="1">
        <f>IFERROR(__xludf.DUMMYFUNCTION("""COMPUTED_VALUE"""),813.35)</f>
        <v>813.35</v>
      </c>
      <c r="C3943" s="1">
        <f>IFERROR(__xludf.DUMMYFUNCTION("""COMPUTED_VALUE"""),824.45)</f>
        <v>824.45</v>
      </c>
      <c r="D3943" s="1">
        <f>IFERROR(__xludf.DUMMYFUNCTION("""COMPUTED_VALUE"""),805.0)</f>
        <v>805</v>
      </c>
      <c r="E3943" s="1">
        <f>IFERROR(__xludf.DUMMYFUNCTION("""COMPUTED_VALUE"""),814.95)</f>
        <v>814.95</v>
      </c>
      <c r="F3943" s="1">
        <f>IFERROR(__xludf.DUMMYFUNCTION("""COMPUTED_VALUE"""),1445988.0)</f>
        <v>1445988</v>
      </c>
    </row>
    <row r="3944">
      <c r="A3944" s="2">
        <f>IFERROR(__xludf.DUMMYFUNCTION("""COMPUTED_VALUE"""),42345.64583333333)</f>
        <v>42345.64583</v>
      </c>
      <c r="B3944" s="1">
        <f>IFERROR(__xludf.DUMMYFUNCTION("""COMPUTED_VALUE"""),815.0)</f>
        <v>815</v>
      </c>
      <c r="C3944" s="1">
        <f>IFERROR(__xludf.DUMMYFUNCTION("""COMPUTED_VALUE"""),835.5)</f>
        <v>835.5</v>
      </c>
      <c r="D3944" s="1">
        <f>IFERROR(__xludf.DUMMYFUNCTION("""COMPUTED_VALUE"""),815.0)</f>
        <v>815</v>
      </c>
      <c r="E3944" s="1">
        <f>IFERROR(__xludf.DUMMYFUNCTION("""COMPUTED_VALUE"""),833.5)</f>
        <v>833.5</v>
      </c>
      <c r="F3944" s="1">
        <f>IFERROR(__xludf.DUMMYFUNCTION("""COMPUTED_VALUE"""),1273142.0)</f>
        <v>1273142</v>
      </c>
    </row>
    <row r="3945">
      <c r="A3945" s="2">
        <f>IFERROR(__xludf.DUMMYFUNCTION("""COMPUTED_VALUE"""),42346.64583333333)</f>
        <v>42346.64583</v>
      </c>
      <c r="B3945" s="1">
        <f>IFERROR(__xludf.DUMMYFUNCTION("""COMPUTED_VALUE"""),831.9)</f>
        <v>831.9</v>
      </c>
      <c r="C3945" s="1">
        <f>IFERROR(__xludf.DUMMYFUNCTION("""COMPUTED_VALUE"""),839.8)</f>
        <v>839.8</v>
      </c>
      <c r="D3945" s="1">
        <f>IFERROR(__xludf.DUMMYFUNCTION("""COMPUTED_VALUE"""),822.6)</f>
        <v>822.6</v>
      </c>
      <c r="E3945" s="1">
        <f>IFERROR(__xludf.DUMMYFUNCTION("""COMPUTED_VALUE"""),825.75)</f>
        <v>825.75</v>
      </c>
      <c r="F3945" s="1">
        <f>IFERROR(__xludf.DUMMYFUNCTION("""COMPUTED_VALUE"""),1136199.0)</f>
        <v>1136199</v>
      </c>
    </row>
    <row r="3946">
      <c r="A3946" s="2">
        <f>IFERROR(__xludf.DUMMYFUNCTION("""COMPUTED_VALUE"""),42347.64583333333)</f>
        <v>42347.64583</v>
      </c>
      <c r="B3946" s="1">
        <f>IFERROR(__xludf.DUMMYFUNCTION("""COMPUTED_VALUE"""),827.0)</f>
        <v>827</v>
      </c>
      <c r="C3946" s="1">
        <f>IFERROR(__xludf.DUMMYFUNCTION("""COMPUTED_VALUE"""),835.0)</f>
        <v>835</v>
      </c>
      <c r="D3946" s="1">
        <f>IFERROR(__xludf.DUMMYFUNCTION("""COMPUTED_VALUE"""),816.15)</f>
        <v>816.15</v>
      </c>
      <c r="E3946" s="1">
        <f>IFERROR(__xludf.DUMMYFUNCTION("""COMPUTED_VALUE"""),820.15)</f>
        <v>820.15</v>
      </c>
      <c r="F3946" s="1">
        <f>IFERROR(__xludf.DUMMYFUNCTION("""COMPUTED_VALUE"""),1028736.0)</f>
        <v>1028736</v>
      </c>
    </row>
    <row r="3947">
      <c r="A3947" s="2">
        <f>IFERROR(__xludf.DUMMYFUNCTION("""COMPUTED_VALUE"""),42348.64583333333)</f>
        <v>42348.64583</v>
      </c>
      <c r="B3947" s="1">
        <f>IFERROR(__xludf.DUMMYFUNCTION("""COMPUTED_VALUE"""),823.0)</f>
        <v>823</v>
      </c>
      <c r="C3947" s="1">
        <f>IFERROR(__xludf.DUMMYFUNCTION("""COMPUTED_VALUE"""),830.85)</f>
        <v>830.85</v>
      </c>
      <c r="D3947" s="1">
        <f>IFERROR(__xludf.DUMMYFUNCTION("""COMPUTED_VALUE"""),812.25)</f>
        <v>812.25</v>
      </c>
      <c r="E3947" s="1">
        <f>IFERROR(__xludf.DUMMYFUNCTION("""COMPUTED_VALUE"""),815.9)</f>
        <v>815.9</v>
      </c>
      <c r="F3947" s="1">
        <f>IFERROR(__xludf.DUMMYFUNCTION("""COMPUTED_VALUE"""),1144862.0)</f>
        <v>1144862</v>
      </c>
    </row>
    <row r="3948">
      <c r="A3948" s="2">
        <f>IFERROR(__xludf.DUMMYFUNCTION("""COMPUTED_VALUE"""),42349.64583333333)</f>
        <v>42349.64583</v>
      </c>
      <c r="B3948" s="1">
        <f>IFERROR(__xludf.DUMMYFUNCTION("""COMPUTED_VALUE"""),818.3)</f>
        <v>818.3</v>
      </c>
      <c r="C3948" s="1">
        <f>IFERROR(__xludf.DUMMYFUNCTION("""COMPUTED_VALUE"""),831.95)</f>
        <v>831.95</v>
      </c>
      <c r="D3948" s="1">
        <f>IFERROR(__xludf.DUMMYFUNCTION("""COMPUTED_VALUE"""),816.65)</f>
        <v>816.65</v>
      </c>
      <c r="E3948" s="1">
        <f>IFERROR(__xludf.DUMMYFUNCTION("""COMPUTED_VALUE"""),822.1)</f>
        <v>822.1</v>
      </c>
      <c r="F3948" s="1">
        <f>IFERROR(__xludf.DUMMYFUNCTION("""COMPUTED_VALUE"""),1214169.0)</f>
        <v>1214169</v>
      </c>
    </row>
    <row r="3949">
      <c r="A3949" s="2">
        <f>IFERROR(__xludf.DUMMYFUNCTION("""COMPUTED_VALUE"""),42352.64583333333)</f>
        <v>42352.64583</v>
      </c>
      <c r="B3949" s="1">
        <f>IFERROR(__xludf.DUMMYFUNCTION("""COMPUTED_VALUE"""),825.0)</f>
        <v>825</v>
      </c>
      <c r="C3949" s="1">
        <f>IFERROR(__xludf.DUMMYFUNCTION("""COMPUTED_VALUE"""),842.5)</f>
        <v>842.5</v>
      </c>
      <c r="D3949" s="1">
        <f>IFERROR(__xludf.DUMMYFUNCTION("""COMPUTED_VALUE"""),813.45)</f>
        <v>813.45</v>
      </c>
      <c r="E3949" s="1">
        <f>IFERROR(__xludf.DUMMYFUNCTION("""COMPUTED_VALUE"""),839.0)</f>
        <v>839</v>
      </c>
      <c r="F3949" s="1">
        <f>IFERROR(__xludf.DUMMYFUNCTION("""COMPUTED_VALUE"""),1307321.0)</f>
        <v>1307321</v>
      </c>
    </row>
    <row r="3950">
      <c r="A3950" s="2">
        <f>IFERROR(__xludf.DUMMYFUNCTION("""COMPUTED_VALUE"""),42353.64583333333)</f>
        <v>42353.64583</v>
      </c>
      <c r="B3950" s="1">
        <f>IFERROR(__xludf.DUMMYFUNCTION("""COMPUTED_VALUE"""),839.2)</f>
        <v>839.2</v>
      </c>
      <c r="C3950" s="1">
        <f>IFERROR(__xludf.DUMMYFUNCTION("""COMPUTED_VALUE"""),862.5)</f>
        <v>862.5</v>
      </c>
      <c r="D3950" s="1">
        <f>IFERROR(__xludf.DUMMYFUNCTION("""COMPUTED_VALUE"""),839.2)</f>
        <v>839.2</v>
      </c>
      <c r="E3950" s="1">
        <f>IFERROR(__xludf.DUMMYFUNCTION("""COMPUTED_VALUE"""),858.6)</f>
        <v>858.6</v>
      </c>
      <c r="F3950" s="1">
        <f>IFERROR(__xludf.DUMMYFUNCTION("""COMPUTED_VALUE"""),2303845.0)</f>
        <v>2303845</v>
      </c>
    </row>
    <row r="3951">
      <c r="A3951" s="2">
        <f>IFERROR(__xludf.DUMMYFUNCTION("""COMPUTED_VALUE"""),42354.64583333333)</f>
        <v>42354.64583</v>
      </c>
      <c r="B3951" s="1">
        <f>IFERROR(__xludf.DUMMYFUNCTION("""COMPUTED_VALUE"""),865.0)</f>
        <v>865</v>
      </c>
      <c r="C3951" s="1">
        <f>IFERROR(__xludf.DUMMYFUNCTION("""COMPUTED_VALUE"""),868.4)</f>
        <v>868.4</v>
      </c>
      <c r="D3951" s="1">
        <f>IFERROR(__xludf.DUMMYFUNCTION("""COMPUTED_VALUE"""),852.7)</f>
        <v>852.7</v>
      </c>
      <c r="E3951" s="1">
        <f>IFERROR(__xludf.DUMMYFUNCTION("""COMPUTED_VALUE"""),855.4)</f>
        <v>855.4</v>
      </c>
      <c r="F3951" s="1">
        <f>IFERROR(__xludf.DUMMYFUNCTION("""COMPUTED_VALUE"""),1101128.0)</f>
        <v>1101128</v>
      </c>
    </row>
    <row r="3952">
      <c r="A3952" s="2">
        <f>IFERROR(__xludf.DUMMYFUNCTION("""COMPUTED_VALUE"""),42355.64583333333)</f>
        <v>42355.64583</v>
      </c>
      <c r="B3952" s="1">
        <f>IFERROR(__xludf.DUMMYFUNCTION("""COMPUTED_VALUE"""),840.0)</f>
        <v>840</v>
      </c>
      <c r="C3952" s="1">
        <f>IFERROR(__xludf.DUMMYFUNCTION("""COMPUTED_VALUE"""),865.7)</f>
        <v>865.7</v>
      </c>
      <c r="D3952" s="1">
        <f>IFERROR(__xludf.DUMMYFUNCTION("""COMPUTED_VALUE"""),840.0)</f>
        <v>840</v>
      </c>
      <c r="E3952" s="1">
        <f>IFERROR(__xludf.DUMMYFUNCTION("""COMPUTED_VALUE"""),864.25)</f>
        <v>864.25</v>
      </c>
      <c r="F3952" s="1">
        <f>IFERROR(__xludf.DUMMYFUNCTION("""COMPUTED_VALUE"""),1214526.0)</f>
        <v>1214526</v>
      </c>
    </row>
    <row r="3953">
      <c r="A3953" s="2">
        <f>IFERROR(__xludf.DUMMYFUNCTION("""COMPUTED_VALUE"""),42356.64583333333)</f>
        <v>42356.64583</v>
      </c>
      <c r="B3953" s="1">
        <f>IFERROR(__xludf.DUMMYFUNCTION("""COMPUTED_VALUE"""),865.6)</f>
        <v>865.6</v>
      </c>
      <c r="C3953" s="1">
        <f>IFERROR(__xludf.DUMMYFUNCTION("""COMPUTED_VALUE"""),875.6)</f>
        <v>875.6</v>
      </c>
      <c r="D3953" s="1">
        <f>IFERROR(__xludf.DUMMYFUNCTION("""COMPUTED_VALUE"""),852.15)</f>
        <v>852.15</v>
      </c>
      <c r="E3953" s="1">
        <f>IFERROR(__xludf.DUMMYFUNCTION("""COMPUTED_VALUE"""),857.05)</f>
        <v>857.05</v>
      </c>
      <c r="F3953" s="1">
        <f>IFERROR(__xludf.DUMMYFUNCTION("""COMPUTED_VALUE"""),2114632.0)</f>
        <v>2114632</v>
      </c>
    </row>
    <row r="3954">
      <c r="A3954" s="2">
        <f>IFERROR(__xludf.DUMMYFUNCTION("""COMPUTED_VALUE"""),42359.64583333333)</f>
        <v>42359.64583</v>
      </c>
      <c r="B3954" s="1">
        <f>IFERROR(__xludf.DUMMYFUNCTION("""COMPUTED_VALUE"""),861.95)</f>
        <v>861.95</v>
      </c>
      <c r="C3954" s="1">
        <f>IFERROR(__xludf.DUMMYFUNCTION("""COMPUTED_VALUE"""),861.95)</f>
        <v>861.95</v>
      </c>
      <c r="D3954" s="1">
        <f>IFERROR(__xludf.DUMMYFUNCTION("""COMPUTED_VALUE"""),849.75)</f>
        <v>849.75</v>
      </c>
      <c r="E3954" s="1">
        <f>IFERROR(__xludf.DUMMYFUNCTION("""COMPUTED_VALUE"""),851.6)</f>
        <v>851.6</v>
      </c>
      <c r="F3954" s="1">
        <f>IFERROR(__xludf.DUMMYFUNCTION("""COMPUTED_VALUE"""),1112136.0)</f>
        <v>1112136</v>
      </c>
    </row>
    <row r="3955">
      <c r="A3955" s="2">
        <f>IFERROR(__xludf.DUMMYFUNCTION("""COMPUTED_VALUE"""),42360.64583333333)</f>
        <v>42360.64583</v>
      </c>
      <c r="B3955" s="1">
        <f>IFERROR(__xludf.DUMMYFUNCTION("""COMPUTED_VALUE"""),852.95)</f>
        <v>852.95</v>
      </c>
      <c r="C3955" s="1">
        <f>IFERROR(__xludf.DUMMYFUNCTION("""COMPUTED_VALUE"""),857.9)</f>
        <v>857.9</v>
      </c>
      <c r="D3955" s="1">
        <f>IFERROR(__xludf.DUMMYFUNCTION("""COMPUTED_VALUE"""),843.2)</f>
        <v>843.2</v>
      </c>
      <c r="E3955" s="1">
        <f>IFERROR(__xludf.DUMMYFUNCTION("""COMPUTED_VALUE"""),851.45)</f>
        <v>851.45</v>
      </c>
      <c r="F3955" s="1">
        <f>IFERROR(__xludf.DUMMYFUNCTION("""COMPUTED_VALUE"""),913032.0)</f>
        <v>913032</v>
      </c>
    </row>
    <row r="3956">
      <c r="A3956" s="2">
        <f>IFERROR(__xludf.DUMMYFUNCTION("""COMPUTED_VALUE"""),42361.64583333333)</f>
        <v>42361.64583</v>
      </c>
      <c r="B3956" s="1">
        <f>IFERROR(__xludf.DUMMYFUNCTION("""COMPUTED_VALUE"""),859.45)</f>
        <v>859.45</v>
      </c>
      <c r="C3956" s="1">
        <f>IFERROR(__xludf.DUMMYFUNCTION("""COMPUTED_VALUE"""),870.5)</f>
        <v>870.5</v>
      </c>
      <c r="D3956" s="1">
        <f>IFERROR(__xludf.DUMMYFUNCTION("""COMPUTED_VALUE"""),856.05)</f>
        <v>856.05</v>
      </c>
      <c r="E3956" s="1">
        <f>IFERROR(__xludf.DUMMYFUNCTION("""COMPUTED_VALUE"""),863.25)</f>
        <v>863.25</v>
      </c>
      <c r="F3956" s="1">
        <f>IFERROR(__xludf.DUMMYFUNCTION("""COMPUTED_VALUE"""),770192.0)</f>
        <v>770192</v>
      </c>
    </row>
    <row r="3957">
      <c r="A3957" s="2">
        <f>IFERROR(__xludf.DUMMYFUNCTION("""COMPUTED_VALUE"""),42362.64583333333)</f>
        <v>42362.64583</v>
      </c>
      <c r="B3957" s="1">
        <f>IFERROR(__xludf.DUMMYFUNCTION("""COMPUTED_VALUE"""),868.0)</f>
        <v>868</v>
      </c>
      <c r="C3957" s="1">
        <f>IFERROR(__xludf.DUMMYFUNCTION("""COMPUTED_VALUE"""),869.3)</f>
        <v>869.3</v>
      </c>
      <c r="D3957" s="1">
        <f>IFERROR(__xludf.DUMMYFUNCTION("""COMPUTED_VALUE"""),862.0)</f>
        <v>862</v>
      </c>
      <c r="E3957" s="1">
        <f>IFERROR(__xludf.DUMMYFUNCTION("""COMPUTED_VALUE"""),864.25)</f>
        <v>864.25</v>
      </c>
      <c r="F3957" s="1">
        <f>IFERROR(__xludf.DUMMYFUNCTION("""COMPUTED_VALUE"""),538736.0)</f>
        <v>538736</v>
      </c>
    </row>
    <row r="3958">
      <c r="A3958" s="2">
        <f>IFERROR(__xludf.DUMMYFUNCTION("""COMPUTED_VALUE"""),42366.64583333333)</f>
        <v>42366.64583</v>
      </c>
      <c r="B3958" s="1">
        <f>IFERROR(__xludf.DUMMYFUNCTION("""COMPUTED_VALUE"""),865.0)</f>
        <v>865</v>
      </c>
      <c r="C3958" s="1">
        <f>IFERROR(__xludf.DUMMYFUNCTION("""COMPUTED_VALUE"""),873.0)</f>
        <v>873</v>
      </c>
      <c r="D3958" s="1">
        <f>IFERROR(__xludf.DUMMYFUNCTION("""COMPUTED_VALUE"""),862.5)</f>
        <v>862.5</v>
      </c>
      <c r="E3958" s="1">
        <f>IFERROR(__xludf.DUMMYFUNCTION("""COMPUTED_VALUE"""),865.85)</f>
        <v>865.85</v>
      </c>
      <c r="F3958" s="1">
        <f>IFERROR(__xludf.DUMMYFUNCTION("""COMPUTED_VALUE"""),976331.0)</f>
        <v>976331</v>
      </c>
    </row>
    <row r="3959">
      <c r="A3959" s="2">
        <f>IFERROR(__xludf.DUMMYFUNCTION("""COMPUTED_VALUE"""),42367.64583333333)</f>
        <v>42367.64583</v>
      </c>
      <c r="B3959" s="1">
        <f>IFERROR(__xludf.DUMMYFUNCTION("""COMPUTED_VALUE"""),867.0)</f>
        <v>867</v>
      </c>
      <c r="C3959" s="1">
        <f>IFERROR(__xludf.DUMMYFUNCTION("""COMPUTED_VALUE"""),867.0)</f>
        <v>867</v>
      </c>
      <c r="D3959" s="1">
        <f>IFERROR(__xludf.DUMMYFUNCTION("""COMPUTED_VALUE"""),855.0)</f>
        <v>855</v>
      </c>
      <c r="E3959" s="1">
        <f>IFERROR(__xludf.DUMMYFUNCTION("""COMPUTED_VALUE"""),857.9)</f>
        <v>857.9</v>
      </c>
      <c r="F3959" s="1">
        <f>IFERROR(__xludf.DUMMYFUNCTION("""COMPUTED_VALUE"""),754046.0)</f>
        <v>754046</v>
      </c>
    </row>
    <row r="3960">
      <c r="A3960" s="2">
        <f>IFERROR(__xludf.DUMMYFUNCTION("""COMPUTED_VALUE"""),42368.64583333333)</f>
        <v>42368.64583</v>
      </c>
      <c r="B3960" s="1">
        <f>IFERROR(__xludf.DUMMYFUNCTION("""COMPUTED_VALUE"""),858.0)</f>
        <v>858</v>
      </c>
      <c r="C3960" s="1">
        <f>IFERROR(__xludf.DUMMYFUNCTION("""COMPUTED_VALUE"""),862.9)</f>
        <v>862.9</v>
      </c>
      <c r="D3960" s="1">
        <f>IFERROR(__xludf.DUMMYFUNCTION("""COMPUTED_VALUE"""),854.7)</f>
        <v>854.7</v>
      </c>
      <c r="E3960" s="1">
        <f>IFERROR(__xludf.DUMMYFUNCTION("""COMPUTED_VALUE"""),857.45)</f>
        <v>857.45</v>
      </c>
      <c r="F3960" s="1">
        <f>IFERROR(__xludf.DUMMYFUNCTION("""COMPUTED_VALUE"""),677471.0)</f>
        <v>677471</v>
      </c>
    </row>
    <row r="3961">
      <c r="A3961" s="2">
        <f>IFERROR(__xludf.DUMMYFUNCTION("""COMPUTED_VALUE"""),42369.64583333333)</f>
        <v>42369.64583</v>
      </c>
      <c r="B3961" s="1">
        <f>IFERROR(__xludf.DUMMYFUNCTION("""COMPUTED_VALUE"""),857.45)</f>
        <v>857.45</v>
      </c>
      <c r="C3961" s="1">
        <f>IFERROR(__xludf.DUMMYFUNCTION("""COMPUTED_VALUE"""),866.45)</f>
        <v>866.45</v>
      </c>
      <c r="D3961" s="1">
        <f>IFERROR(__xludf.DUMMYFUNCTION("""COMPUTED_VALUE"""),851.5)</f>
        <v>851.5</v>
      </c>
      <c r="E3961" s="1">
        <f>IFERROR(__xludf.DUMMYFUNCTION("""COMPUTED_VALUE"""),862.75)</f>
        <v>862.75</v>
      </c>
      <c r="F3961" s="1">
        <f>IFERROR(__xludf.DUMMYFUNCTION("""COMPUTED_VALUE"""),743363.0)</f>
        <v>743363</v>
      </c>
    </row>
    <row r="3962">
      <c r="A3962" s="2">
        <f>IFERROR(__xludf.DUMMYFUNCTION("""COMPUTED_VALUE"""),42370.64583333333)</f>
        <v>42370.64583</v>
      </c>
      <c r="B3962" s="1">
        <f>IFERROR(__xludf.DUMMYFUNCTION("""COMPUTED_VALUE"""),860.0)</f>
        <v>860</v>
      </c>
      <c r="C3962" s="1">
        <f>IFERROR(__xludf.DUMMYFUNCTION("""COMPUTED_VALUE"""),862.0)</f>
        <v>862</v>
      </c>
      <c r="D3962" s="1">
        <f>IFERROR(__xludf.DUMMYFUNCTION("""COMPUTED_VALUE"""),853.5)</f>
        <v>853.5</v>
      </c>
      <c r="E3962" s="1">
        <f>IFERROR(__xludf.DUMMYFUNCTION("""COMPUTED_VALUE"""),856.55)</f>
        <v>856.55</v>
      </c>
      <c r="F3962" s="1">
        <f>IFERROR(__xludf.DUMMYFUNCTION("""COMPUTED_VALUE"""),230366.0)</f>
        <v>230366</v>
      </c>
    </row>
    <row r="3963">
      <c r="A3963" s="2">
        <f>IFERROR(__xludf.DUMMYFUNCTION("""COMPUTED_VALUE"""),42373.64583333333)</f>
        <v>42373.64583</v>
      </c>
      <c r="B3963" s="1">
        <f>IFERROR(__xludf.DUMMYFUNCTION("""COMPUTED_VALUE"""),856.55)</f>
        <v>856.55</v>
      </c>
      <c r="C3963" s="1">
        <f>IFERROR(__xludf.DUMMYFUNCTION("""COMPUTED_VALUE"""),868.7)</f>
        <v>868.7</v>
      </c>
      <c r="D3963" s="1">
        <f>IFERROR(__xludf.DUMMYFUNCTION("""COMPUTED_VALUE"""),851.15)</f>
        <v>851.15</v>
      </c>
      <c r="E3963" s="1">
        <f>IFERROR(__xludf.DUMMYFUNCTION("""COMPUTED_VALUE"""),859.0)</f>
        <v>859</v>
      </c>
      <c r="F3963" s="1">
        <f>IFERROR(__xludf.DUMMYFUNCTION("""COMPUTED_VALUE"""),828876.0)</f>
        <v>828876</v>
      </c>
    </row>
    <row r="3964">
      <c r="A3964" s="2">
        <f>IFERROR(__xludf.DUMMYFUNCTION("""COMPUTED_VALUE"""),42374.64583333333)</f>
        <v>42374.64583</v>
      </c>
      <c r="B3964" s="1">
        <f>IFERROR(__xludf.DUMMYFUNCTION("""COMPUTED_VALUE"""),857.3)</f>
        <v>857.3</v>
      </c>
      <c r="C3964" s="1">
        <f>IFERROR(__xludf.DUMMYFUNCTION("""COMPUTED_VALUE"""),859.05)</f>
        <v>859.05</v>
      </c>
      <c r="D3964" s="1">
        <f>IFERROR(__xludf.DUMMYFUNCTION("""COMPUTED_VALUE"""),845.5)</f>
        <v>845.5</v>
      </c>
      <c r="E3964" s="1">
        <f>IFERROR(__xludf.DUMMYFUNCTION("""COMPUTED_VALUE"""),847.95)</f>
        <v>847.95</v>
      </c>
      <c r="F3964" s="1">
        <f>IFERROR(__xludf.DUMMYFUNCTION("""COMPUTED_VALUE"""),1118709.0)</f>
        <v>1118709</v>
      </c>
    </row>
    <row r="3965">
      <c r="A3965" s="2">
        <f>IFERROR(__xludf.DUMMYFUNCTION("""COMPUTED_VALUE"""),42375.64583333333)</f>
        <v>42375.64583</v>
      </c>
      <c r="B3965" s="1">
        <f>IFERROR(__xludf.DUMMYFUNCTION("""COMPUTED_VALUE"""),850.0)</f>
        <v>850</v>
      </c>
      <c r="C3965" s="1">
        <f>IFERROR(__xludf.DUMMYFUNCTION("""COMPUTED_VALUE"""),850.0)</f>
        <v>850</v>
      </c>
      <c r="D3965" s="1">
        <f>IFERROR(__xludf.DUMMYFUNCTION("""COMPUTED_VALUE"""),840.95)</f>
        <v>840.95</v>
      </c>
      <c r="E3965" s="1">
        <f>IFERROR(__xludf.DUMMYFUNCTION("""COMPUTED_VALUE"""),843.05)</f>
        <v>843.05</v>
      </c>
      <c r="F3965" s="1">
        <f>IFERROR(__xludf.DUMMYFUNCTION("""COMPUTED_VALUE"""),2135092.0)</f>
        <v>2135092</v>
      </c>
    </row>
    <row r="3966">
      <c r="A3966" s="2">
        <f>IFERROR(__xludf.DUMMYFUNCTION("""COMPUTED_VALUE"""),42376.64583333333)</f>
        <v>42376.64583</v>
      </c>
      <c r="B3966" s="1">
        <f>IFERROR(__xludf.DUMMYFUNCTION("""COMPUTED_VALUE"""),840.0)</f>
        <v>840</v>
      </c>
      <c r="C3966" s="1">
        <f>IFERROR(__xludf.DUMMYFUNCTION("""COMPUTED_VALUE"""),840.95)</f>
        <v>840.95</v>
      </c>
      <c r="D3966" s="1">
        <f>IFERROR(__xludf.DUMMYFUNCTION("""COMPUTED_VALUE"""),817.5)</f>
        <v>817.5</v>
      </c>
      <c r="E3966" s="1">
        <f>IFERROR(__xludf.DUMMYFUNCTION("""COMPUTED_VALUE"""),820.25)</f>
        <v>820.25</v>
      </c>
      <c r="F3966" s="1">
        <f>IFERROR(__xludf.DUMMYFUNCTION("""COMPUTED_VALUE"""),1353969.0)</f>
        <v>1353969</v>
      </c>
    </row>
    <row r="3967">
      <c r="A3967" s="2">
        <f>IFERROR(__xludf.DUMMYFUNCTION("""COMPUTED_VALUE"""),42377.64583333333)</f>
        <v>42377.64583</v>
      </c>
      <c r="B3967" s="1">
        <f>IFERROR(__xludf.DUMMYFUNCTION("""COMPUTED_VALUE"""),819.0)</f>
        <v>819</v>
      </c>
      <c r="C3967" s="1">
        <f>IFERROR(__xludf.DUMMYFUNCTION("""COMPUTED_VALUE"""),831.5)</f>
        <v>831.5</v>
      </c>
      <c r="D3967" s="1">
        <f>IFERROR(__xludf.DUMMYFUNCTION("""COMPUTED_VALUE"""),807.7)</f>
        <v>807.7</v>
      </c>
      <c r="E3967" s="1">
        <f>IFERROR(__xludf.DUMMYFUNCTION("""COMPUTED_VALUE"""),809.85)</f>
        <v>809.85</v>
      </c>
      <c r="F3967" s="1">
        <f>IFERROR(__xludf.DUMMYFUNCTION("""COMPUTED_VALUE"""),1324046.0)</f>
        <v>1324046</v>
      </c>
    </row>
    <row r="3968">
      <c r="A3968" s="2">
        <f>IFERROR(__xludf.DUMMYFUNCTION("""COMPUTED_VALUE"""),42380.64583333333)</f>
        <v>42380.64583</v>
      </c>
      <c r="B3968" s="1">
        <f>IFERROR(__xludf.DUMMYFUNCTION("""COMPUTED_VALUE"""),806.0)</f>
        <v>806</v>
      </c>
      <c r="C3968" s="1">
        <f>IFERROR(__xludf.DUMMYFUNCTION("""COMPUTED_VALUE"""),819.7)</f>
        <v>819.7</v>
      </c>
      <c r="D3968" s="1">
        <f>IFERROR(__xludf.DUMMYFUNCTION("""COMPUTED_VALUE"""),801.35)</f>
        <v>801.35</v>
      </c>
      <c r="E3968" s="1">
        <f>IFERROR(__xludf.DUMMYFUNCTION("""COMPUTED_VALUE"""),811.75)</f>
        <v>811.75</v>
      </c>
      <c r="F3968" s="1">
        <f>IFERROR(__xludf.DUMMYFUNCTION("""COMPUTED_VALUE"""),1514504.0)</f>
        <v>1514504</v>
      </c>
    </row>
    <row r="3969">
      <c r="A3969" s="2">
        <f>IFERROR(__xludf.DUMMYFUNCTION("""COMPUTED_VALUE"""),42381.64583333333)</f>
        <v>42381.64583</v>
      </c>
      <c r="B3969" s="1">
        <f>IFERROR(__xludf.DUMMYFUNCTION("""COMPUTED_VALUE"""),808.5)</f>
        <v>808.5</v>
      </c>
      <c r="C3969" s="1">
        <f>IFERROR(__xludf.DUMMYFUNCTION("""COMPUTED_VALUE"""),822.15)</f>
        <v>822.15</v>
      </c>
      <c r="D3969" s="1">
        <f>IFERROR(__xludf.DUMMYFUNCTION("""COMPUTED_VALUE"""),804.55)</f>
        <v>804.55</v>
      </c>
      <c r="E3969" s="1">
        <f>IFERROR(__xludf.DUMMYFUNCTION("""COMPUTED_VALUE"""),818.0)</f>
        <v>818</v>
      </c>
      <c r="F3969" s="1">
        <f>IFERROR(__xludf.DUMMYFUNCTION("""COMPUTED_VALUE"""),1110037.0)</f>
        <v>1110037</v>
      </c>
    </row>
    <row r="3970">
      <c r="A3970" s="2">
        <f>IFERROR(__xludf.DUMMYFUNCTION("""COMPUTED_VALUE"""),42382.64583333333)</f>
        <v>42382.64583</v>
      </c>
      <c r="B3970" s="1">
        <f>IFERROR(__xludf.DUMMYFUNCTION("""COMPUTED_VALUE"""),821.8)</f>
        <v>821.8</v>
      </c>
      <c r="C3970" s="1">
        <f>IFERROR(__xludf.DUMMYFUNCTION("""COMPUTED_VALUE"""),836.2)</f>
        <v>836.2</v>
      </c>
      <c r="D3970" s="1">
        <f>IFERROR(__xludf.DUMMYFUNCTION("""COMPUTED_VALUE"""),813.75)</f>
        <v>813.75</v>
      </c>
      <c r="E3970" s="1">
        <f>IFERROR(__xludf.DUMMYFUNCTION("""COMPUTED_VALUE"""),832.75)</f>
        <v>832.75</v>
      </c>
      <c r="F3970" s="1">
        <f>IFERROR(__xludf.DUMMYFUNCTION("""COMPUTED_VALUE"""),1338356.0)</f>
        <v>1338356</v>
      </c>
    </row>
    <row r="3971">
      <c r="A3971" s="2">
        <f>IFERROR(__xludf.DUMMYFUNCTION("""COMPUTED_VALUE"""),42383.64583333333)</f>
        <v>42383.64583</v>
      </c>
      <c r="B3971" s="1">
        <f>IFERROR(__xludf.DUMMYFUNCTION("""COMPUTED_VALUE"""),829.5)</f>
        <v>829.5</v>
      </c>
      <c r="C3971" s="1">
        <f>IFERROR(__xludf.DUMMYFUNCTION("""COMPUTED_VALUE"""),837.9)</f>
        <v>837.9</v>
      </c>
      <c r="D3971" s="1">
        <f>IFERROR(__xludf.DUMMYFUNCTION("""COMPUTED_VALUE"""),818.55)</f>
        <v>818.55</v>
      </c>
      <c r="E3971" s="1">
        <f>IFERROR(__xludf.DUMMYFUNCTION("""COMPUTED_VALUE"""),827.25)</f>
        <v>827.25</v>
      </c>
      <c r="F3971" s="1">
        <f>IFERROR(__xludf.DUMMYFUNCTION("""COMPUTED_VALUE"""),1531002.0)</f>
        <v>1531002</v>
      </c>
    </row>
    <row r="3972">
      <c r="A3972" s="2">
        <f>IFERROR(__xludf.DUMMYFUNCTION("""COMPUTED_VALUE"""),42384.64583333333)</f>
        <v>42384.64583</v>
      </c>
      <c r="B3972" s="1">
        <f>IFERROR(__xludf.DUMMYFUNCTION("""COMPUTED_VALUE"""),827.25)</f>
        <v>827.25</v>
      </c>
      <c r="C3972" s="1">
        <f>IFERROR(__xludf.DUMMYFUNCTION("""COMPUTED_VALUE"""),828.95)</f>
        <v>828.95</v>
      </c>
      <c r="D3972" s="1">
        <f>IFERROR(__xludf.DUMMYFUNCTION("""COMPUTED_VALUE"""),776.65)</f>
        <v>776.65</v>
      </c>
      <c r="E3972" s="1">
        <f>IFERROR(__xludf.DUMMYFUNCTION("""COMPUTED_VALUE"""),804.25)</f>
        <v>804.25</v>
      </c>
      <c r="F3972" s="1">
        <f>IFERROR(__xludf.DUMMYFUNCTION("""COMPUTED_VALUE"""),3249884.0)</f>
        <v>3249884</v>
      </c>
    </row>
    <row r="3973">
      <c r="A3973" s="2">
        <f>IFERROR(__xludf.DUMMYFUNCTION("""COMPUTED_VALUE"""),42387.64583333333)</f>
        <v>42387.64583</v>
      </c>
      <c r="B3973" s="1">
        <f>IFERROR(__xludf.DUMMYFUNCTION("""COMPUTED_VALUE"""),796.3)</f>
        <v>796.3</v>
      </c>
      <c r="C3973" s="1">
        <f>IFERROR(__xludf.DUMMYFUNCTION("""COMPUTED_VALUE"""),816.65)</f>
        <v>816.65</v>
      </c>
      <c r="D3973" s="1">
        <f>IFERROR(__xludf.DUMMYFUNCTION("""COMPUTED_VALUE"""),795.0)</f>
        <v>795</v>
      </c>
      <c r="E3973" s="1">
        <f>IFERROR(__xludf.DUMMYFUNCTION("""COMPUTED_VALUE"""),809.95)</f>
        <v>809.95</v>
      </c>
      <c r="F3973" s="1">
        <f>IFERROR(__xludf.DUMMYFUNCTION("""COMPUTED_VALUE"""),1525578.0)</f>
        <v>1525578</v>
      </c>
    </row>
    <row r="3974">
      <c r="A3974" s="2">
        <f>IFERROR(__xludf.DUMMYFUNCTION("""COMPUTED_VALUE"""),42388.64583333333)</f>
        <v>42388.64583</v>
      </c>
      <c r="B3974" s="1">
        <f>IFERROR(__xludf.DUMMYFUNCTION("""COMPUTED_VALUE"""),813.0)</f>
        <v>813</v>
      </c>
      <c r="C3974" s="1">
        <f>IFERROR(__xludf.DUMMYFUNCTION("""COMPUTED_VALUE"""),821.75)</f>
        <v>821.75</v>
      </c>
      <c r="D3974" s="1">
        <f>IFERROR(__xludf.DUMMYFUNCTION("""COMPUTED_VALUE"""),807.65)</f>
        <v>807.65</v>
      </c>
      <c r="E3974" s="1">
        <f>IFERROR(__xludf.DUMMYFUNCTION("""COMPUTED_VALUE"""),810.45)</f>
        <v>810.45</v>
      </c>
      <c r="F3974" s="1">
        <f>IFERROR(__xludf.DUMMYFUNCTION("""COMPUTED_VALUE"""),867289.0)</f>
        <v>867289</v>
      </c>
    </row>
    <row r="3975">
      <c r="A3975" s="2">
        <f>IFERROR(__xludf.DUMMYFUNCTION("""COMPUTED_VALUE"""),42389.64583333333)</f>
        <v>42389.64583</v>
      </c>
      <c r="B3975" s="1">
        <f>IFERROR(__xludf.DUMMYFUNCTION("""COMPUTED_VALUE"""),805.0)</f>
        <v>805</v>
      </c>
      <c r="C3975" s="1">
        <f>IFERROR(__xludf.DUMMYFUNCTION("""COMPUTED_VALUE"""),815.0)</f>
        <v>815</v>
      </c>
      <c r="D3975" s="1">
        <f>IFERROR(__xludf.DUMMYFUNCTION("""COMPUTED_VALUE"""),785.0)</f>
        <v>785</v>
      </c>
      <c r="E3975" s="1">
        <f>IFERROR(__xludf.DUMMYFUNCTION("""COMPUTED_VALUE"""),795.05)</f>
        <v>795.05</v>
      </c>
      <c r="F3975" s="1">
        <f>IFERROR(__xludf.DUMMYFUNCTION("""COMPUTED_VALUE"""),1543575.0)</f>
        <v>1543575</v>
      </c>
    </row>
    <row r="3976">
      <c r="A3976" s="2">
        <f>IFERROR(__xludf.DUMMYFUNCTION("""COMPUTED_VALUE"""),42390.64583333333)</f>
        <v>42390.64583</v>
      </c>
      <c r="B3976" s="1">
        <f>IFERROR(__xludf.DUMMYFUNCTION("""COMPUTED_VALUE"""),797.2)</f>
        <v>797.2</v>
      </c>
      <c r="C3976" s="1">
        <f>IFERROR(__xludf.DUMMYFUNCTION("""COMPUTED_VALUE"""),799.0)</f>
        <v>799</v>
      </c>
      <c r="D3976" s="1">
        <f>IFERROR(__xludf.DUMMYFUNCTION("""COMPUTED_VALUE"""),774.2)</f>
        <v>774.2</v>
      </c>
      <c r="E3976" s="1">
        <f>IFERROR(__xludf.DUMMYFUNCTION("""COMPUTED_VALUE"""),775.6)</f>
        <v>775.6</v>
      </c>
      <c r="F3976" s="1">
        <f>IFERROR(__xludf.DUMMYFUNCTION("""COMPUTED_VALUE"""),1679165.0)</f>
        <v>1679165</v>
      </c>
    </row>
    <row r="3977">
      <c r="A3977" s="2">
        <f>IFERROR(__xludf.DUMMYFUNCTION("""COMPUTED_VALUE"""),42391.64583333333)</f>
        <v>42391.64583</v>
      </c>
      <c r="B3977" s="1">
        <f>IFERROR(__xludf.DUMMYFUNCTION("""COMPUTED_VALUE"""),780.5)</f>
        <v>780.5</v>
      </c>
      <c r="C3977" s="1">
        <f>IFERROR(__xludf.DUMMYFUNCTION("""COMPUTED_VALUE"""),783.5)</f>
        <v>783.5</v>
      </c>
      <c r="D3977" s="1">
        <f>IFERROR(__xludf.DUMMYFUNCTION("""COMPUTED_VALUE"""),770.0)</f>
        <v>770</v>
      </c>
      <c r="E3977" s="1">
        <f>IFERROR(__xludf.DUMMYFUNCTION("""COMPUTED_VALUE"""),771.5)</f>
        <v>771.5</v>
      </c>
      <c r="F3977" s="1">
        <f>IFERROR(__xludf.DUMMYFUNCTION("""COMPUTED_VALUE"""),1465143.0)</f>
        <v>1465143</v>
      </c>
    </row>
    <row r="3978">
      <c r="A3978" s="2">
        <f>IFERROR(__xludf.DUMMYFUNCTION("""COMPUTED_VALUE"""),42394.64583333333)</f>
        <v>42394.64583</v>
      </c>
      <c r="B3978" s="1">
        <f>IFERROR(__xludf.DUMMYFUNCTION("""COMPUTED_VALUE"""),772.0)</f>
        <v>772</v>
      </c>
      <c r="C3978" s="1">
        <f>IFERROR(__xludf.DUMMYFUNCTION("""COMPUTED_VALUE"""),784.75)</f>
        <v>784.75</v>
      </c>
      <c r="D3978" s="1">
        <f>IFERROR(__xludf.DUMMYFUNCTION("""COMPUTED_VALUE"""),769.7)</f>
        <v>769.7</v>
      </c>
      <c r="E3978" s="1">
        <f>IFERROR(__xludf.DUMMYFUNCTION("""COMPUTED_VALUE"""),783.3)</f>
        <v>783.3</v>
      </c>
      <c r="F3978" s="1">
        <f>IFERROR(__xludf.DUMMYFUNCTION("""COMPUTED_VALUE"""),1036869.0)</f>
        <v>1036869</v>
      </c>
    </row>
    <row r="3979">
      <c r="A3979" s="2">
        <f>IFERROR(__xludf.DUMMYFUNCTION("""COMPUTED_VALUE"""),42396.64583333333)</f>
        <v>42396.64583</v>
      </c>
      <c r="B3979" s="1">
        <f>IFERROR(__xludf.DUMMYFUNCTION("""COMPUTED_VALUE"""),781.0)</f>
        <v>781</v>
      </c>
      <c r="C3979" s="1">
        <f>IFERROR(__xludf.DUMMYFUNCTION("""COMPUTED_VALUE"""),783.85)</f>
        <v>783.85</v>
      </c>
      <c r="D3979" s="1">
        <f>IFERROR(__xludf.DUMMYFUNCTION("""COMPUTED_VALUE"""),766.4)</f>
        <v>766.4</v>
      </c>
      <c r="E3979" s="1">
        <f>IFERROR(__xludf.DUMMYFUNCTION("""COMPUTED_VALUE"""),767.9)</f>
        <v>767.9</v>
      </c>
      <c r="F3979" s="1">
        <f>IFERROR(__xludf.DUMMYFUNCTION("""COMPUTED_VALUE"""),1291178.0)</f>
        <v>1291178</v>
      </c>
    </row>
    <row r="3980">
      <c r="A3980" s="2">
        <f>IFERROR(__xludf.DUMMYFUNCTION("""COMPUTED_VALUE"""),42397.64583333333)</f>
        <v>42397.64583</v>
      </c>
      <c r="B3980" s="1">
        <f>IFERROR(__xludf.DUMMYFUNCTION("""COMPUTED_VALUE"""),769.8)</f>
        <v>769.8</v>
      </c>
      <c r="C3980" s="1">
        <f>IFERROR(__xludf.DUMMYFUNCTION("""COMPUTED_VALUE"""),797.0)</f>
        <v>797</v>
      </c>
      <c r="D3980" s="1">
        <f>IFERROR(__xludf.DUMMYFUNCTION("""COMPUTED_VALUE"""),766.5)</f>
        <v>766.5</v>
      </c>
      <c r="E3980" s="1">
        <f>IFERROR(__xludf.DUMMYFUNCTION("""COMPUTED_VALUE"""),791.75)</f>
        <v>791.75</v>
      </c>
      <c r="F3980" s="1">
        <f>IFERROR(__xludf.DUMMYFUNCTION("""COMPUTED_VALUE"""),1967418.0)</f>
        <v>1967418</v>
      </c>
    </row>
    <row r="3981">
      <c r="A3981" s="2">
        <f>IFERROR(__xludf.DUMMYFUNCTION("""COMPUTED_VALUE"""),42398.64583333333)</f>
        <v>42398.64583</v>
      </c>
      <c r="B3981" s="1">
        <f>IFERROR(__xludf.DUMMYFUNCTION("""COMPUTED_VALUE"""),791.1)</f>
        <v>791.1</v>
      </c>
      <c r="C3981" s="1">
        <f>IFERROR(__xludf.DUMMYFUNCTION("""COMPUTED_VALUE"""),820.0)</f>
        <v>820</v>
      </c>
      <c r="D3981" s="1">
        <f>IFERROR(__xludf.DUMMYFUNCTION("""COMPUTED_VALUE"""),791.1)</f>
        <v>791.1</v>
      </c>
      <c r="E3981" s="1">
        <f>IFERROR(__xludf.DUMMYFUNCTION("""COMPUTED_VALUE"""),816.9)</f>
        <v>816.9</v>
      </c>
      <c r="F3981" s="1">
        <f>IFERROR(__xludf.DUMMYFUNCTION("""COMPUTED_VALUE"""),1733695.0)</f>
        <v>1733695</v>
      </c>
    </row>
    <row r="3982">
      <c r="A3982" s="2">
        <f>IFERROR(__xludf.DUMMYFUNCTION("""COMPUTED_VALUE"""),42401.64583333333)</f>
        <v>42401.64583</v>
      </c>
      <c r="B3982" s="1">
        <f>IFERROR(__xludf.DUMMYFUNCTION("""COMPUTED_VALUE"""),816.0)</f>
        <v>816</v>
      </c>
      <c r="C3982" s="1">
        <f>IFERROR(__xludf.DUMMYFUNCTION("""COMPUTED_VALUE"""),817.4)</f>
        <v>817.4</v>
      </c>
      <c r="D3982" s="1">
        <f>IFERROR(__xludf.DUMMYFUNCTION("""COMPUTED_VALUE"""),799.0)</f>
        <v>799</v>
      </c>
      <c r="E3982" s="1">
        <f>IFERROR(__xludf.DUMMYFUNCTION("""COMPUTED_VALUE"""),800.95)</f>
        <v>800.95</v>
      </c>
      <c r="F3982" s="1">
        <f>IFERROR(__xludf.DUMMYFUNCTION("""COMPUTED_VALUE"""),1025869.0)</f>
        <v>1025869</v>
      </c>
    </row>
    <row r="3983">
      <c r="A3983" s="2">
        <f>IFERROR(__xludf.DUMMYFUNCTION("""COMPUTED_VALUE"""),42402.64583333333)</f>
        <v>42402.64583</v>
      </c>
      <c r="B3983" s="1">
        <f>IFERROR(__xludf.DUMMYFUNCTION("""COMPUTED_VALUE"""),809.5)</f>
        <v>809.5</v>
      </c>
      <c r="C3983" s="1">
        <f>IFERROR(__xludf.DUMMYFUNCTION("""COMPUTED_VALUE"""),809.95)</f>
        <v>809.95</v>
      </c>
      <c r="D3983" s="1">
        <f>IFERROR(__xludf.DUMMYFUNCTION("""COMPUTED_VALUE"""),796.95)</f>
        <v>796.95</v>
      </c>
      <c r="E3983" s="1">
        <f>IFERROR(__xludf.DUMMYFUNCTION("""COMPUTED_VALUE"""),800.1)</f>
        <v>800.1</v>
      </c>
      <c r="F3983" s="1">
        <f>IFERROR(__xludf.DUMMYFUNCTION("""COMPUTED_VALUE"""),960236.0)</f>
        <v>960236</v>
      </c>
    </row>
    <row r="3984">
      <c r="A3984" s="2">
        <f>IFERROR(__xludf.DUMMYFUNCTION("""COMPUTED_VALUE"""),42403.64583333333)</f>
        <v>42403.64583</v>
      </c>
      <c r="B3984" s="1">
        <f>IFERROR(__xludf.DUMMYFUNCTION("""COMPUTED_VALUE"""),795.5)</f>
        <v>795.5</v>
      </c>
      <c r="C3984" s="1">
        <f>IFERROR(__xludf.DUMMYFUNCTION("""COMPUTED_VALUE"""),828.5)</f>
        <v>828.5</v>
      </c>
      <c r="D3984" s="1">
        <f>IFERROR(__xludf.DUMMYFUNCTION("""COMPUTED_VALUE"""),795.5)</f>
        <v>795.5</v>
      </c>
      <c r="E3984" s="1">
        <f>IFERROR(__xludf.DUMMYFUNCTION("""COMPUTED_VALUE"""),821.6)</f>
        <v>821.6</v>
      </c>
      <c r="F3984" s="1">
        <f>IFERROR(__xludf.DUMMYFUNCTION("""COMPUTED_VALUE"""),1843081.0)</f>
        <v>1843081</v>
      </c>
    </row>
    <row r="3985">
      <c r="A3985" s="2">
        <f>IFERROR(__xludf.DUMMYFUNCTION("""COMPUTED_VALUE"""),42404.64583333333)</f>
        <v>42404.64583</v>
      </c>
      <c r="B3985" s="1">
        <f>IFERROR(__xludf.DUMMYFUNCTION("""COMPUTED_VALUE"""),824.5)</f>
        <v>824.5</v>
      </c>
      <c r="C3985" s="1">
        <f>IFERROR(__xludf.DUMMYFUNCTION("""COMPUTED_VALUE"""),838.4)</f>
        <v>838.4</v>
      </c>
      <c r="D3985" s="1">
        <f>IFERROR(__xludf.DUMMYFUNCTION("""COMPUTED_VALUE"""),816.55)</f>
        <v>816.55</v>
      </c>
      <c r="E3985" s="1">
        <f>IFERROR(__xludf.DUMMYFUNCTION("""COMPUTED_VALUE"""),834.8)</f>
        <v>834.8</v>
      </c>
      <c r="F3985" s="1">
        <f>IFERROR(__xludf.DUMMYFUNCTION("""COMPUTED_VALUE"""),1698770.0)</f>
        <v>1698770</v>
      </c>
    </row>
    <row r="3986">
      <c r="A3986" s="2">
        <f>IFERROR(__xludf.DUMMYFUNCTION("""COMPUTED_VALUE"""),42405.64583333333)</f>
        <v>42405.64583</v>
      </c>
      <c r="B3986" s="1">
        <f>IFERROR(__xludf.DUMMYFUNCTION("""COMPUTED_VALUE"""),830.0)</f>
        <v>830</v>
      </c>
      <c r="C3986" s="1">
        <f>IFERROR(__xludf.DUMMYFUNCTION("""COMPUTED_VALUE"""),855.5)</f>
        <v>855.5</v>
      </c>
      <c r="D3986" s="1">
        <f>IFERROR(__xludf.DUMMYFUNCTION("""COMPUTED_VALUE"""),830.0)</f>
        <v>830</v>
      </c>
      <c r="E3986" s="1">
        <f>IFERROR(__xludf.DUMMYFUNCTION("""COMPUTED_VALUE"""),844.95)</f>
        <v>844.95</v>
      </c>
      <c r="F3986" s="1">
        <f>IFERROR(__xludf.DUMMYFUNCTION("""COMPUTED_VALUE"""),2043434.0)</f>
        <v>2043434</v>
      </c>
    </row>
    <row r="3987">
      <c r="A3987" s="2">
        <f>IFERROR(__xludf.DUMMYFUNCTION("""COMPUTED_VALUE"""),42408.64583333333)</f>
        <v>42408.64583</v>
      </c>
      <c r="B3987" s="1">
        <f>IFERROR(__xludf.DUMMYFUNCTION("""COMPUTED_VALUE"""),844.0)</f>
        <v>844</v>
      </c>
      <c r="C3987" s="1">
        <f>IFERROR(__xludf.DUMMYFUNCTION("""COMPUTED_VALUE"""),848.2)</f>
        <v>848.2</v>
      </c>
      <c r="D3987" s="1">
        <f>IFERROR(__xludf.DUMMYFUNCTION("""COMPUTED_VALUE"""),826.45)</f>
        <v>826.45</v>
      </c>
      <c r="E3987" s="1">
        <f>IFERROR(__xludf.DUMMYFUNCTION("""COMPUTED_VALUE"""),832.05)</f>
        <v>832.05</v>
      </c>
      <c r="F3987" s="1">
        <f>IFERROR(__xludf.DUMMYFUNCTION("""COMPUTED_VALUE"""),490426.0)</f>
        <v>490426</v>
      </c>
    </row>
    <row r="3988">
      <c r="A3988" s="2">
        <f>IFERROR(__xludf.DUMMYFUNCTION("""COMPUTED_VALUE"""),42409.64583333333)</f>
        <v>42409.64583</v>
      </c>
      <c r="B3988" s="1">
        <f>IFERROR(__xludf.DUMMYFUNCTION("""COMPUTED_VALUE"""),826.35)</f>
        <v>826.35</v>
      </c>
      <c r="C3988" s="1">
        <f>IFERROR(__xludf.DUMMYFUNCTION("""COMPUTED_VALUE"""),842.15)</f>
        <v>842.15</v>
      </c>
      <c r="D3988" s="1">
        <f>IFERROR(__xludf.DUMMYFUNCTION("""COMPUTED_VALUE"""),824.7)</f>
        <v>824.7</v>
      </c>
      <c r="E3988" s="1">
        <f>IFERROR(__xludf.DUMMYFUNCTION("""COMPUTED_VALUE"""),826.35)</f>
        <v>826.35</v>
      </c>
      <c r="F3988" s="1">
        <f>IFERROR(__xludf.DUMMYFUNCTION("""COMPUTED_VALUE"""),964658.0)</f>
        <v>964658</v>
      </c>
    </row>
    <row r="3989">
      <c r="A3989" s="2">
        <f>IFERROR(__xludf.DUMMYFUNCTION("""COMPUTED_VALUE"""),42410.64583333333)</f>
        <v>42410.64583</v>
      </c>
      <c r="B3989" s="1">
        <f>IFERROR(__xludf.DUMMYFUNCTION("""COMPUTED_VALUE"""),826.0)</f>
        <v>826</v>
      </c>
      <c r="C3989" s="1">
        <f>IFERROR(__xludf.DUMMYFUNCTION("""COMPUTED_VALUE"""),832.1)</f>
        <v>832.1</v>
      </c>
      <c r="D3989" s="1">
        <f>IFERROR(__xludf.DUMMYFUNCTION("""COMPUTED_VALUE"""),820.1)</f>
        <v>820.1</v>
      </c>
      <c r="E3989" s="1">
        <f>IFERROR(__xludf.DUMMYFUNCTION("""COMPUTED_VALUE"""),824.55)</f>
        <v>824.55</v>
      </c>
      <c r="F3989" s="1">
        <f>IFERROR(__xludf.DUMMYFUNCTION("""COMPUTED_VALUE"""),781041.0)</f>
        <v>781041</v>
      </c>
    </row>
    <row r="3990">
      <c r="A3990" s="2">
        <f>IFERROR(__xludf.DUMMYFUNCTION("""COMPUTED_VALUE"""),42411.64583333333)</f>
        <v>42411.64583</v>
      </c>
      <c r="B3990" s="1">
        <f>IFERROR(__xludf.DUMMYFUNCTION("""COMPUTED_VALUE"""),823.9)</f>
        <v>823.9</v>
      </c>
      <c r="C3990" s="1">
        <f>IFERROR(__xludf.DUMMYFUNCTION("""COMPUTED_VALUE"""),828.0)</f>
        <v>828</v>
      </c>
      <c r="D3990" s="1">
        <f>IFERROR(__xludf.DUMMYFUNCTION("""COMPUTED_VALUE"""),791.2)</f>
        <v>791.2</v>
      </c>
      <c r="E3990" s="1">
        <f>IFERROR(__xludf.DUMMYFUNCTION("""COMPUTED_VALUE"""),802.6)</f>
        <v>802.6</v>
      </c>
      <c r="F3990" s="1">
        <f>IFERROR(__xludf.DUMMYFUNCTION("""COMPUTED_VALUE"""),1010277.0)</f>
        <v>1010277</v>
      </c>
    </row>
    <row r="3991">
      <c r="A3991" s="2">
        <f>IFERROR(__xludf.DUMMYFUNCTION("""COMPUTED_VALUE"""),42412.64583333333)</f>
        <v>42412.64583</v>
      </c>
      <c r="B3991" s="1">
        <f>IFERROR(__xludf.DUMMYFUNCTION("""COMPUTED_VALUE"""),800.5)</f>
        <v>800.5</v>
      </c>
      <c r="C3991" s="1">
        <f>IFERROR(__xludf.DUMMYFUNCTION("""COMPUTED_VALUE"""),816.7)</f>
        <v>816.7</v>
      </c>
      <c r="D3991" s="1">
        <f>IFERROR(__xludf.DUMMYFUNCTION("""COMPUTED_VALUE"""),795.0)</f>
        <v>795</v>
      </c>
      <c r="E3991" s="1">
        <f>IFERROR(__xludf.DUMMYFUNCTION("""COMPUTED_VALUE"""),814.0)</f>
        <v>814</v>
      </c>
      <c r="F3991" s="1">
        <f>IFERROR(__xludf.DUMMYFUNCTION("""COMPUTED_VALUE"""),1318480.0)</f>
        <v>1318480</v>
      </c>
    </row>
    <row r="3992">
      <c r="A3992" s="2">
        <f>IFERROR(__xludf.DUMMYFUNCTION("""COMPUTED_VALUE"""),42415.64583333333)</f>
        <v>42415.64583</v>
      </c>
      <c r="B3992" s="1">
        <f>IFERROR(__xludf.DUMMYFUNCTION("""COMPUTED_VALUE"""),817.0)</f>
        <v>817</v>
      </c>
      <c r="C3992" s="1">
        <f>IFERROR(__xludf.DUMMYFUNCTION("""COMPUTED_VALUE"""),821.95)</f>
        <v>821.95</v>
      </c>
      <c r="D3992" s="1">
        <f>IFERROR(__xludf.DUMMYFUNCTION("""COMPUTED_VALUE"""),798.0)</f>
        <v>798</v>
      </c>
      <c r="E3992" s="1">
        <f>IFERROR(__xludf.DUMMYFUNCTION("""COMPUTED_VALUE"""),804.7)</f>
        <v>804.7</v>
      </c>
      <c r="F3992" s="1">
        <f>IFERROR(__xludf.DUMMYFUNCTION("""COMPUTED_VALUE"""),1206980.0)</f>
        <v>1206980</v>
      </c>
    </row>
    <row r="3993">
      <c r="A3993" s="2">
        <f>IFERROR(__xludf.DUMMYFUNCTION("""COMPUTED_VALUE"""),42416.64583333333)</f>
        <v>42416.64583</v>
      </c>
      <c r="B3993" s="1">
        <f>IFERROR(__xludf.DUMMYFUNCTION("""COMPUTED_VALUE"""),810.0)</f>
        <v>810</v>
      </c>
      <c r="C3993" s="1">
        <f>IFERROR(__xludf.DUMMYFUNCTION("""COMPUTED_VALUE"""),811.85)</f>
        <v>811.85</v>
      </c>
      <c r="D3993" s="1">
        <f>IFERROR(__xludf.DUMMYFUNCTION("""COMPUTED_VALUE"""),799.45)</f>
        <v>799.45</v>
      </c>
      <c r="E3993" s="1">
        <f>IFERROR(__xludf.DUMMYFUNCTION("""COMPUTED_VALUE"""),803.2)</f>
        <v>803.2</v>
      </c>
      <c r="F3993" s="1">
        <f>IFERROR(__xludf.DUMMYFUNCTION("""COMPUTED_VALUE"""),926079.0)</f>
        <v>926079</v>
      </c>
    </row>
    <row r="3994">
      <c r="A3994" s="2">
        <f>IFERROR(__xludf.DUMMYFUNCTION("""COMPUTED_VALUE"""),42417.64583333333)</f>
        <v>42417.64583</v>
      </c>
      <c r="B3994" s="1">
        <f>IFERROR(__xludf.DUMMYFUNCTION("""COMPUTED_VALUE"""),800.5)</f>
        <v>800.5</v>
      </c>
      <c r="C3994" s="1">
        <f>IFERROR(__xludf.DUMMYFUNCTION("""COMPUTED_VALUE"""),814.0)</f>
        <v>814</v>
      </c>
      <c r="D3994" s="1">
        <f>IFERROR(__xludf.DUMMYFUNCTION("""COMPUTED_VALUE"""),789.75)</f>
        <v>789.75</v>
      </c>
      <c r="E3994" s="1">
        <f>IFERROR(__xludf.DUMMYFUNCTION("""COMPUTED_VALUE"""),812.55)</f>
        <v>812.55</v>
      </c>
      <c r="F3994" s="1">
        <f>IFERROR(__xludf.DUMMYFUNCTION("""COMPUTED_VALUE"""),783633.0)</f>
        <v>783633</v>
      </c>
    </row>
    <row r="3995">
      <c r="A3995" s="2">
        <f>IFERROR(__xludf.DUMMYFUNCTION("""COMPUTED_VALUE"""),42418.64583333333)</f>
        <v>42418.64583</v>
      </c>
      <c r="B3995" s="1">
        <f>IFERROR(__xludf.DUMMYFUNCTION("""COMPUTED_VALUE"""),814.05)</f>
        <v>814.05</v>
      </c>
      <c r="C3995" s="1">
        <f>IFERROR(__xludf.DUMMYFUNCTION("""COMPUTED_VALUE"""),830.5)</f>
        <v>830.5</v>
      </c>
      <c r="D3995" s="1">
        <f>IFERROR(__xludf.DUMMYFUNCTION("""COMPUTED_VALUE"""),812.5)</f>
        <v>812.5</v>
      </c>
      <c r="E3995" s="1">
        <f>IFERROR(__xludf.DUMMYFUNCTION("""COMPUTED_VALUE"""),827.4)</f>
        <v>827.4</v>
      </c>
      <c r="F3995" s="1">
        <f>IFERROR(__xludf.DUMMYFUNCTION("""COMPUTED_VALUE"""),1179011.0)</f>
        <v>1179011</v>
      </c>
    </row>
    <row r="3996">
      <c r="A3996" s="2">
        <f>IFERROR(__xludf.DUMMYFUNCTION("""COMPUTED_VALUE"""),42419.64583333333)</f>
        <v>42419.64583</v>
      </c>
      <c r="B3996" s="1">
        <f>IFERROR(__xludf.DUMMYFUNCTION("""COMPUTED_VALUE"""),831.85)</f>
        <v>831.85</v>
      </c>
      <c r="C3996" s="1">
        <f>IFERROR(__xludf.DUMMYFUNCTION("""COMPUTED_VALUE"""),831.85)</f>
        <v>831.85</v>
      </c>
      <c r="D3996" s="1">
        <f>IFERROR(__xludf.DUMMYFUNCTION("""COMPUTED_VALUE"""),813.45)</f>
        <v>813.45</v>
      </c>
      <c r="E3996" s="1">
        <f>IFERROR(__xludf.DUMMYFUNCTION("""COMPUTED_VALUE"""),827.6)</f>
        <v>827.6</v>
      </c>
      <c r="F3996" s="1">
        <f>IFERROR(__xludf.DUMMYFUNCTION("""COMPUTED_VALUE"""),620200.0)</f>
        <v>620200</v>
      </c>
    </row>
    <row r="3997">
      <c r="A3997" s="2">
        <f>IFERROR(__xludf.DUMMYFUNCTION("""COMPUTED_VALUE"""),42422.64583333333)</f>
        <v>42422.64583</v>
      </c>
      <c r="B3997" s="1">
        <f>IFERROR(__xludf.DUMMYFUNCTION("""COMPUTED_VALUE"""),827.0)</f>
        <v>827</v>
      </c>
      <c r="C3997" s="1">
        <f>IFERROR(__xludf.DUMMYFUNCTION("""COMPUTED_VALUE"""),866.0)</f>
        <v>866</v>
      </c>
      <c r="D3997" s="1">
        <f>IFERROR(__xludf.DUMMYFUNCTION("""COMPUTED_VALUE"""),826.35)</f>
        <v>826.35</v>
      </c>
      <c r="E3997" s="1">
        <f>IFERROR(__xludf.DUMMYFUNCTION("""COMPUTED_VALUE"""),861.65)</f>
        <v>861.65</v>
      </c>
      <c r="F3997" s="1">
        <f>IFERROR(__xludf.DUMMYFUNCTION("""COMPUTED_VALUE"""),1883688.0)</f>
        <v>1883688</v>
      </c>
    </row>
    <row r="3998">
      <c r="A3998" s="2">
        <f>IFERROR(__xludf.DUMMYFUNCTION("""COMPUTED_VALUE"""),42423.64583333333)</f>
        <v>42423.64583</v>
      </c>
      <c r="B3998" s="1">
        <f>IFERROR(__xludf.DUMMYFUNCTION("""COMPUTED_VALUE"""),858.45)</f>
        <v>858.45</v>
      </c>
      <c r="C3998" s="1">
        <f>IFERROR(__xludf.DUMMYFUNCTION("""COMPUTED_VALUE"""),858.45)</f>
        <v>858.45</v>
      </c>
      <c r="D3998" s="1">
        <f>IFERROR(__xludf.DUMMYFUNCTION("""COMPUTED_VALUE"""),834.2)</f>
        <v>834.2</v>
      </c>
      <c r="E3998" s="1">
        <f>IFERROR(__xludf.DUMMYFUNCTION("""COMPUTED_VALUE"""),836.85)</f>
        <v>836.85</v>
      </c>
      <c r="F3998" s="1">
        <f>IFERROR(__xludf.DUMMYFUNCTION("""COMPUTED_VALUE"""),590731.0)</f>
        <v>590731</v>
      </c>
    </row>
    <row r="3999">
      <c r="A3999" s="2">
        <f>IFERROR(__xludf.DUMMYFUNCTION("""COMPUTED_VALUE"""),42424.64583333333)</f>
        <v>42424.64583</v>
      </c>
      <c r="B3999" s="1">
        <f>IFERROR(__xludf.DUMMYFUNCTION("""COMPUTED_VALUE"""),836.9)</f>
        <v>836.9</v>
      </c>
      <c r="C3999" s="1">
        <f>IFERROR(__xludf.DUMMYFUNCTION("""COMPUTED_VALUE"""),844.9)</f>
        <v>844.9</v>
      </c>
      <c r="D3999" s="1">
        <f>IFERROR(__xludf.DUMMYFUNCTION("""COMPUTED_VALUE"""),828.2)</f>
        <v>828.2</v>
      </c>
      <c r="E3999" s="1">
        <f>IFERROR(__xludf.DUMMYFUNCTION("""COMPUTED_VALUE"""),836.75)</f>
        <v>836.75</v>
      </c>
      <c r="F3999" s="1">
        <f>IFERROR(__xludf.DUMMYFUNCTION("""COMPUTED_VALUE"""),1062120.0)</f>
        <v>1062120</v>
      </c>
    </row>
    <row r="4000">
      <c r="A4000" s="2">
        <f>IFERROR(__xludf.DUMMYFUNCTION("""COMPUTED_VALUE"""),42425.64583333333)</f>
        <v>42425.64583</v>
      </c>
      <c r="B4000" s="1">
        <f>IFERROR(__xludf.DUMMYFUNCTION("""COMPUTED_VALUE"""),837.7)</f>
        <v>837.7</v>
      </c>
      <c r="C4000" s="1">
        <f>IFERROR(__xludf.DUMMYFUNCTION("""COMPUTED_VALUE"""),846.2)</f>
        <v>846.2</v>
      </c>
      <c r="D4000" s="1">
        <f>IFERROR(__xludf.DUMMYFUNCTION("""COMPUTED_VALUE"""),832.4)</f>
        <v>832.4</v>
      </c>
      <c r="E4000" s="1">
        <f>IFERROR(__xludf.DUMMYFUNCTION("""COMPUTED_VALUE"""),842.8)</f>
        <v>842.8</v>
      </c>
      <c r="F4000" s="1">
        <f>IFERROR(__xludf.DUMMYFUNCTION("""COMPUTED_VALUE"""),859877.0)</f>
        <v>859877</v>
      </c>
    </row>
    <row r="4001">
      <c r="A4001" s="2">
        <f>IFERROR(__xludf.DUMMYFUNCTION("""COMPUTED_VALUE"""),42426.64583333333)</f>
        <v>42426.64583</v>
      </c>
      <c r="B4001" s="1">
        <f>IFERROR(__xludf.DUMMYFUNCTION("""COMPUTED_VALUE"""),848.0)</f>
        <v>848</v>
      </c>
      <c r="C4001" s="1">
        <f>IFERROR(__xludf.DUMMYFUNCTION("""COMPUTED_VALUE"""),852.65)</f>
        <v>852.65</v>
      </c>
      <c r="D4001" s="1">
        <f>IFERROR(__xludf.DUMMYFUNCTION("""COMPUTED_VALUE"""),841.1)</f>
        <v>841.1</v>
      </c>
      <c r="E4001" s="1">
        <f>IFERROR(__xludf.DUMMYFUNCTION("""COMPUTED_VALUE"""),849.9)</f>
        <v>849.9</v>
      </c>
      <c r="F4001" s="1">
        <f>IFERROR(__xludf.DUMMYFUNCTION("""COMPUTED_VALUE"""),1191495.0)</f>
        <v>1191495</v>
      </c>
    </row>
    <row r="4002">
      <c r="A4002" s="2">
        <f>IFERROR(__xludf.DUMMYFUNCTION("""COMPUTED_VALUE"""),42429.64583333333)</f>
        <v>42429.64583</v>
      </c>
      <c r="B4002" s="1">
        <f>IFERROR(__xludf.DUMMYFUNCTION("""COMPUTED_VALUE"""),851.0)</f>
        <v>851</v>
      </c>
      <c r="C4002" s="1">
        <f>IFERROR(__xludf.DUMMYFUNCTION("""COMPUTED_VALUE"""),851.7)</f>
        <v>851.7</v>
      </c>
      <c r="D4002" s="1">
        <f>IFERROR(__xludf.DUMMYFUNCTION("""COMPUTED_VALUE"""),823.5)</f>
        <v>823.5</v>
      </c>
      <c r="E4002" s="1">
        <f>IFERROR(__xludf.DUMMYFUNCTION("""COMPUTED_VALUE"""),830.4)</f>
        <v>830.4</v>
      </c>
      <c r="F4002" s="1">
        <f>IFERROR(__xludf.DUMMYFUNCTION("""COMPUTED_VALUE"""),1974971.0)</f>
        <v>1974971</v>
      </c>
    </row>
    <row r="4003">
      <c r="A4003" s="2">
        <f>IFERROR(__xludf.DUMMYFUNCTION("""COMPUTED_VALUE"""),42430.64583333333)</f>
        <v>42430.64583</v>
      </c>
      <c r="B4003" s="1">
        <f>IFERROR(__xludf.DUMMYFUNCTION("""COMPUTED_VALUE"""),829.85)</f>
        <v>829.85</v>
      </c>
      <c r="C4003" s="1">
        <f>IFERROR(__xludf.DUMMYFUNCTION("""COMPUTED_VALUE"""),829.85)</f>
        <v>829.85</v>
      </c>
      <c r="D4003" s="1">
        <f>IFERROR(__xludf.DUMMYFUNCTION("""COMPUTED_VALUE"""),818.1)</f>
        <v>818.1</v>
      </c>
      <c r="E4003" s="1">
        <f>IFERROR(__xludf.DUMMYFUNCTION("""COMPUTED_VALUE"""),824.15)</f>
        <v>824.15</v>
      </c>
      <c r="F4003" s="1">
        <f>IFERROR(__xludf.DUMMYFUNCTION("""COMPUTED_VALUE"""),1777318.0)</f>
        <v>1777318</v>
      </c>
    </row>
    <row r="4004">
      <c r="A4004" s="2">
        <f>IFERROR(__xludf.DUMMYFUNCTION("""COMPUTED_VALUE"""),42431.64583333333)</f>
        <v>42431.64583</v>
      </c>
      <c r="B4004" s="1">
        <f>IFERROR(__xludf.DUMMYFUNCTION("""COMPUTED_VALUE"""),830.0)</f>
        <v>830</v>
      </c>
      <c r="C4004" s="1">
        <f>IFERROR(__xludf.DUMMYFUNCTION("""COMPUTED_VALUE"""),855.0)</f>
        <v>855</v>
      </c>
      <c r="D4004" s="1">
        <f>IFERROR(__xludf.DUMMYFUNCTION("""COMPUTED_VALUE"""),830.0)</f>
        <v>830</v>
      </c>
      <c r="E4004" s="1">
        <f>IFERROR(__xludf.DUMMYFUNCTION("""COMPUTED_VALUE"""),849.25)</f>
        <v>849.25</v>
      </c>
      <c r="F4004" s="1">
        <f>IFERROR(__xludf.DUMMYFUNCTION("""COMPUTED_VALUE"""),1221727.0)</f>
        <v>1221727</v>
      </c>
    </row>
    <row r="4005">
      <c r="A4005" s="2">
        <f>IFERROR(__xludf.DUMMYFUNCTION("""COMPUTED_VALUE"""),42432.64583333333)</f>
        <v>42432.64583</v>
      </c>
      <c r="B4005" s="1">
        <f>IFERROR(__xludf.DUMMYFUNCTION("""COMPUTED_VALUE"""),855.5)</f>
        <v>855.5</v>
      </c>
      <c r="C4005" s="1">
        <f>IFERROR(__xludf.DUMMYFUNCTION("""COMPUTED_VALUE"""),856.1)</f>
        <v>856.1</v>
      </c>
      <c r="D4005" s="1">
        <f>IFERROR(__xludf.DUMMYFUNCTION("""COMPUTED_VALUE"""),845.75)</f>
        <v>845.75</v>
      </c>
      <c r="E4005" s="1">
        <f>IFERROR(__xludf.DUMMYFUNCTION("""COMPUTED_VALUE"""),848.9)</f>
        <v>848.9</v>
      </c>
      <c r="F4005" s="1">
        <f>IFERROR(__xludf.DUMMYFUNCTION("""COMPUTED_VALUE"""),746384.0)</f>
        <v>746384</v>
      </c>
    </row>
    <row r="4006">
      <c r="A4006" s="2">
        <f>IFERROR(__xludf.DUMMYFUNCTION("""COMPUTED_VALUE"""),42433.64583333333)</f>
        <v>42433.64583</v>
      </c>
      <c r="B4006" s="1">
        <f>IFERROR(__xludf.DUMMYFUNCTION("""COMPUTED_VALUE"""),848.5)</f>
        <v>848.5</v>
      </c>
      <c r="C4006" s="1">
        <f>IFERROR(__xludf.DUMMYFUNCTION("""COMPUTED_VALUE"""),855.9)</f>
        <v>855.9</v>
      </c>
      <c r="D4006" s="1">
        <f>IFERROR(__xludf.DUMMYFUNCTION("""COMPUTED_VALUE"""),841.45)</f>
        <v>841.45</v>
      </c>
      <c r="E4006" s="1">
        <f>IFERROR(__xludf.DUMMYFUNCTION("""COMPUTED_VALUE"""),848.75)</f>
        <v>848.75</v>
      </c>
      <c r="F4006" s="1">
        <f>IFERROR(__xludf.DUMMYFUNCTION("""COMPUTED_VALUE"""),1331537.0)</f>
        <v>1331537</v>
      </c>
    </row>
    <row r="4007">
      <c r="A4007" s="2">
        <f>IFERROR(__xludf.DUMMYFUNCTION("""COMPUTED_VALUE"""),42437.64583333333)</f>
        <v>42437.64583</v>
      </c>
      <c r="B4007" s="1">
        <f>IFERROR(__xludf.DUMMYFUNCTION("""COMPUTED_VALUE"""),848.0)</f>
        <v>848</v>
      </c>
      <c r="C4007" s="1">
        <f>IFERROR(__xludf.DUMMYFUNCTION("""COMPUTED_VALUE"""),848.0)</f>
        <v>848</v>
      </c>
      <c r="D4007" s="1">
        <f>IFERROR(__xludf.DUMMYFUNCTION("""COMPUTED_VALUE"""),824.0)</f>
        <v>824</v>
      </c>
      <c r="E4007" s="1">
        <f>IFERROR(__xludf.DUMMYFUNCTION("""COMPUTED_VALUE"""),826.25)</f>
        <v>826.25</v>
      </c>
      <c r="F4007" s="1">
        <f>IFERROR(__xludf.DUMMYFUNCTION("""COMPUTED_VALUE"""),1342346.0)</f>
        <v>1342346</v>
      </c>
    </row>
    <row r="4008">
      <c r="A4008" s="2">
        <f>IFERROR(__xludf.DUMMYFUNCTION("""COMPUTED_VALUE"""),42438.64583333333)</f>
        <v>42438.64583</v>
      </c>
      <c r="B4008" s="1">
        <f>IFERROR(__xludf.DUMMYFUNCTION("""COMPUTED_VALUE"""),826.55)</f>
        <v>826.55</v>
      </c>
      <c r="C4008" s="1">
        <f>IFERROR(__xludf.DUMMYFUNCTION("""COMPUTED_VALUE"""),843.9)</f>
        <v>843.9</v>
      </c>
      <c r="D4008" s="1">
        <f>IFERROR(__xludf.DUMMYFUNCTION("""COMPUTED_VALUE"""),826.55)</f>
        <v>826.55</v>
      </c>
      <c r="E4008" s="1">
        <f>IFERROR(__xludf.DUMMYFUNCTION("""COMPUTED_VALUE"""),839.65)</f>
        <v>839.65</v>
      </c>
      <c r="F4008" s="1">
        <f>IFERROR(__xludf.DUMMYFUNCTION("""COMPUTED_VALUE"""),1929618.0)</f>
        <v>1929618</v>
      </c>
    </row>
    <row r="4009">
      <c r="A4009" s="2">
        <f>IFERROR(__xludf.DUMMYFUNCTION("""COMPUTED_VALUE"""),42439.64583333333)</f>
        <v>42439.64583</v>
      </c>
      <c r="B4009" s="1">
        <f>IFERROR(__xludf.DUMMYFUNCTION("""COMPUTED_VALUE"""),837.0)</f>
        <v>837</v>
      </c>
      <c r="C4009" s="1">
        <f>IFERROR(__xludf.DUMMYFUNCTION("""COMPUTED_VALUE"""),841.0)</f>
        <v>841</v>
      </c>
      <c r="D4009" s="1">
        <f>IFERROR(__xludf.DUMMYFUNCTION("""COMPUTED_VALUE"""),829.0)</f>
        <v>829</v>
      </c>
      <c r="E4009" s="1">
        <f>IFERROR(__xludf.DUMMYFUNCTION("""COMPUTED_VALUE"""),837.55)</f>
        <v>837.55</v>
      </c>
      <c r="F4009" s="1">
        <f>IFERROR(__xludf.DUMMYFUNCTION("""COMPUTED_VALUE"""),1140147.0)</f>
        <v>1140147</v>
      </c>
    </row>
    <row r="4010">
      <c r="A4010" s="2">
        <f>IFERROR(__xludf.DUMMYFUNCTION("""COMPUTED_VALUE"""),42440.64583333333)</f>
        <v>42440.64583</v>
      </c>
      <c r="B4010" s="1">
        <f>IFERROR(__xludf.DUMMYFUNCTION("""COMPUTED_VALUE"""),842.0)</f>
        <v>842</v>
      </c>
      <c r="C4010" s="1">
        <f>IFERROR(__xludf.DUMMYFUNCTION("""COMPUTED_VALUE"""),857.95)</f>
        <v>857.95</v>
      </c>
      <c r="D4010" s="1">
        <f>IFERROR(__xludf.DUMMYFUNCTION("""COMPUTED_VALUE"""),831.5)</f>
        <v>831.5</v>
      </c>
      <c r="E4010" s="1">
        <f>IFERROR(__xludf.DUMMYFUNCTION("""COMPUTED_VALUE"""),851.6)</f>
        <v>851.6</v>
      </c>
      <c r="F4010" s="1">
        <f>IFERROR(__xludf.DUMMYFUNCTION("""COMPUTED_VALUE"""),1527676.0)</f>
        <v>1527676</v>
      </c>
    </row>
    <row r="4011">
      <c r="A4011" s="2">
        <f>IFERROR(__xludf.DUMMYFUNCTION("""COMPUTED_VALUE"""),42443.64583333333)</f>
        <v>42443.64583</v>
      </c>
      <c r="B4011" s="1">
        <f>IFERROR(__xludf.DUMMYFUNCTION("""COMPUTED_VALUE"""),855.05)</f>
        <v>855.05</v>
      </c>
      <c r="C4011" s="1">
        <f>IFERROR(__xludf.DUMMYFUNCTION("""COMPUTED_VALUE"""),860.0)</f>
        <v>860</v>
      </c>
      <c r="D4011" s="1">
        <f>IFERROR(__xludf.DUMMYFUNCTION("""COMPUTED_VALUE"""),845.0)</f>
        <v>845</v>
      </c>
      <c r="E4011" s="1">
        <f>IFERROR(__xludf.DUMMYFUNCTION("""COMPUTED_VALUE"""),857.15)</f>
        <v>857.15</v>
      </c>
      <c r="F4011" s="1">
        <f>IFERROR(__xludf.DUMMYFUNCTION("""COMPUTED_VALUE"""),825367.0)</f>
        <v>825367</v>
      </c>
    </row>
    <row r="4012">
      <c r="A4012" s="2">
        <f>IFERROR(__xludf.DUMMYFUNCTION("""COMPUTED_VALUE"""),42444.64583333333)</f>
        <v>42444.64583</v>
      </c>
      <c r="B4012" s="1">
        <f>IFERROR(__xludf.DUMMYFUNCTION("""COMPUTED_VALUE"""),852.1)</f>
        <v>852.1</v>
      </c>
      <c r="C4012" s="1">
        <f>IFERROR(__xludf.DUMMYFUNCTION("""COMPUTED_VALUE"""),856.8)</f>
        <v>856.8</v>
      </c>
      <c r="D4012" s="1">
        <f>IFERROR(__xludf.DUMMYFUNCTION("""COMPUTED_VALUE"""),835.55)</f>
        <v>835.55</v>
      </c>
      <c r="E4012" s="1">
        <f>IFERROR(__xludf.DUMMYFUNCTION("""COMPUTED_VALUE"""),840.8)</f>
        <v>840.8</v>
      </c>
      <c r="F4012" s="1">
        <f>IFERROR(__xludf.DUMMYFUNCTION("""COMPUTED_VALUE"""),1330602.0)</f>
        <v>1330602</v>
      </c>
    </row>
    <row r="4013">
      <c r="A4013" s="2">
        <f>IFERROR(__xludf.DUMMYFUNCTION("""COMPUTED_VALUE"""),42445.64583333333)</f>
        <v>42445.64583</v>
      </c>
      <c r="B4013" s="1">
        <f>IFERROR(__xludf.DUMMYFUNCTION("""COMPUTED_VALUE"""),844.9)</f>
        <v>844.9</v>
      </c>
      <c r="C4013" s="1">
        <f>IFERROR(__xludf.DUMMYFUNCTION("""COMPUTED_VALUE"""),845.85)</f>
        <v>845.85</v>
      </c>
      <c r="D4013" s="1">
        <f>IFERROR(__xludf.DUMMYFUNCTION("""COMPUTED_VALUE"""),831.0)</f>
        <v>831</v>
      </c>
      <c r="E4013" s="1">
        <f>IFERROR(__xludf.DUMMYFUNCTION("""COMPUTED_VALUE"""),844.15)</f>
        <v>844.15</v>
      </c>
      <c r="F4013" s="1">
        <f>IFERROR(__xludf.DUMMYFUNCTION("""COMPUTED_VALUE"""),1511400.0)</f>
        <v>1511400</v>
      </c>
    </row>
    <row r="4014">
      <c r="A4014" s="2">
        <f>IFERROR(__xludf.DUMMYFUNCTION("""COMPUTED_VALUE"""),42446.64583333333)</f>
        <v>42446.64583</v>
      </c>
      <c r="B4014" s="1">
        <f>IFERROR(__xludf.DUMMYFUNCTION("""COMPUTED_VALUE"""),848.1)</f>
        <v>848.1</v>
      </c>
      <c r="C4014" s="1">
        <f>IFERROR(__xludf.DUMMYFUNCTION("""COMPUTED_VALUE"""),855.0)</f>
        <v>855</v>
      </c>
      <c r="D4014" s="1">
        <f>IFERROR(__xludf.DUMMYFUNCTION("""COMPUTED_VALUE"""),843.0)</f>
        <v>843</v>
      </c>
      <c r="E4014" s="1">
        <f>IFERROR(__xludf.DUMMYFUNCTION("""COMPUTED_VALUE"""),849.65)</f>
        <v>849.65</v>
      </c>
      <c r="F4014" s="1">
        <f>IFERROR(__xludf.DUMMYFUNCTION("""COMPUTED_VALUE"""),1970969.0)</f>
        <v>1970969</v>
      </c>
    </row>
    <row r="4015">
      <c r="A4015" s="2">
        <f>IFERROR(__xludf.DUMMYFUNCTION("""COMPUTED_VALUE"""),42447.64583333333)</f>
        <v>42447.64583</v>
      </c>
      <c r="B4015" s="1">
        <f>IFERROR(__xludf.DUMMYFUNCTION("""COMPUTED_VALUE"""),850.0)</f>
        <v>850</v>
      </c>
      <c r="C4015" s="1">
        <f>IFERROR(__xludf.DUMMYFUNCTION("""COMPUTED_VALUE"""),852.0)</f>
        <v>852</v>
      </c>
      <c r="D4015" s="1">
        <f>IFERROR(__xludf.DUMMYFUNCTION("""COMPUTED_VALUE"""),838.0)</f>
        <v>838</v>
      </c>
      <c r="E4015" s="1">
        <f>IFERROR(__xludf.DUMMYFUNCTION("""COMPUTED_VALUE"""),848.35)</f>
        <v>848.35</v>
      </c>
      <c r="F4015" s="1">
        <f>IFERROR(__xludf.DUMMYFUNCTION("""COMPUTED_VALUE"""),1848223.0)</f>
        <v>1848223</v>
      </c>
    </row>
    <row r="4016">
      <c r="A4016" s="2">
        <f>IFERROR(__xludf.DUMMYFUNCTION("""COMPUTED_VALUE"""),42450.64583333333)</f>
        <v>42450.64583</v>
      </c>
      <c r="B4016" s="1">
        <f>IFERROR(__xludf.DUMMYFUNCTION("""COMPUTED_VALUE"""),847.1)</f>
        <v>847.1</v>
      </c>
      <c r="C4016" s="1">
        <f>IFERROR(__xludf.DUMMYFUNCTION("""COMPUTED_VALUE"""),883.0)</f>
        <v>883</v>
      </c>
      <c r="D4016" s="1">
        <f>IFERROR(__xludf.DUMMYFUNCTION("""COMPUTED_VALUE"""),847.1)</f>
        <v>847.1</v>
      </c>
      <c r="E4016" s="1">
        <f>IFERROR(__xludf.DUMMYFUNCTION("""COMPUTED_VALUE"""),879.65)</f>
        <v>879.65</v>
      </c>
      <c r="F4016" s="1">
        <f>IFERROR(__xludf.DUMMYFUNCTION("""COMPUTED_VALUE"""),1587554.0)</f>
        <v>1587554</v>
      </c>
    </row>
    <row r="4017">
      <c r="A4017" s="2">
        <f>IFERROR(__xludf.DUMMYFUNCTION("""COMPUTED_VALUE"""),42451.64583333333)</f>
        <v>42451.64583</v>
      </c>
      <c r="B4017" s="1">
        <f>IFERROR(__xludf.DUMMYFUNCTION("""COMPUTED_VALUE"""),876.05)</f>
        <v>876.05</v>
      </c>
      <c r="C4017" s="1">
        <f>IFERROR(__xludf.DUMMYFUNCTION("""COMPUTED_VALUE"""),880.65)</f>
        <v>880.65</v>
      </c>
      <c r="D4017" s="1">
        <f>IFERROR(__xludf.DUMMYFUNCTION("""COMPUTED_VALUE"""),862.4)</f>
        <v>862.4</v>
      </c>
      <c r="E4017" s="1">
        <f>IFERROR(__xludf.DUMMYFUNCTION("""COMPUTED_VALUE"""),870.15)</f>
        <v>870.15</v>
      </c>
      <c r="F4017" s="1">
        <f>IFERROR(__xludf.DUMMYFUNCTION("""COMPUTED_VALUE"""),2024654.0)</f>
        <v>2024654</v>
      </c>
    </row>
    <row r="4018">
      <c r="A4018" s="2">
        <f>IFERROR(__xludf.DUMMYFUNCTION("""COMPUTED_VALUE"""),42452.64583333333)</f>
        <v>42452.64583</v>
      </c>
      <c r="B4018" s="1">
        <f>IFERROR(__xludf.DUMMYFUNCTION("""COMPUTED_VALUE"""),870.0)</f>
        <v>870</v>
      </c>
      <c r="C4018" s="1">
        <f>IFERROR(__xludf.DUMMYFUNCTION("""COMPUTED_VALUE"""),877.35)</f>
        <v>877.35</v>
      </c>
      <c r="D4018" s="1">
        <f>IFERROR(__xludf.DUMMYFUNCTION("""COMPUTED_VALUE"""),860.55)</f>
        <v>860.55</v>
      </c>
      <c r="E4018" s="1">
        <f>IFERROR(__xludf.DUMMYFUNCTION("""COMPUTED_VALUE"""),873.6)</f>
        <v>873.6</v>
      </c>
      <c r="F4018" s="1">
        <f>IFERROR(__xludf.DUMMYFUNCTION("""COMPUTED_VALUE"""),1373555.0)</f>
        <v>1373555</v>
      </c>
    </row>
    <row r="4019">
      <c r="A4019" s="2">
        <f>IFERROR(__xludf.DUMMYFUNCTION("""COMPUTED_VALUE"""),42457.64583333333)</f>
        <v>42457.64583</v>
      </c>
      <c r="B4019" s="1">
        <f>IFERROR(__xludf.DUMMYFUNCTION("""COMPUTED_VALUE"""),876.0)</f>
        <v>876</v>
      </c>
      <c r="C4019" s="1">
        <f>IFERROR(__xludf.DUMMYFUNCTION("""COMPUTED_VALUE"""),876.1)</f>
        <v>876.1</v>
      </c>
      <c r="D4019" s="1">
        <f>IFERROR(__xludf.DUMMYFUNCTION("""COMPUTED_VALUE"""),860.2)</f>
        <v>860.2</v>
      </c>
      <c r="E4019" s="1">
        <f>IFERROR(__xludf.DUMMYFUNCTION("""COMPUTED_VALUE"""),863.65)</f>
        <v>863.65</v>
      </c>
      <c r="F4019" s="1">
        <f>IFERROR(__xludf.DUMMYFUNCTION("""COMPUTED_VALUE"""),2033190.0)</f>
        <v>2033190</v>
      </c>
    </row>
    <row r="4020">
      <c r="A4020" s="2">
        <f>IFERROR(__xludf.DUMMYFUNCTION("""COMPUTED_VALUE"""),42458.64583333333)</f>
        <v>42458.64583</v>
      </c>
      <c r="B4020" s="1">
        <f>IFERROR(__xludf.DUMMYFUNCTION("""COMPUTED_VALUE"""),860.3)</f>
        <v>860.3</v>
      </c>
      <c r="C4020" s="1">
        <f>IFERROR(__xludf.DUMMYFUNCTION("""COMPUTED_VALUE"""),871.35)</f>
        <v>871.35</v>
      </c>
      <c r="D4020" s="1">
        <f>IFERROR(__xludf.DUMMYFUNCTION("""COMPUTED_VALUE"""),858.6)</f>
        <v>858.6</v>
      </c>
      <c r="E4020" s="1">
        <f>IFERROR(__xludf.DUMMYFUNCTION("""COMPUTED_VALUE"""),861.15)</f>
        <v>861.15</v>
      </c>
      <c r="F4020" s="1">
        <f>IFERROR(__xludf.DUMMYFUNCTION("""COMPUTED_VALUE"""),1389839.0)</f>
        <v>1389839</v>
      </c>
    </row>
    <row r="4021">
      <c r="A4021" s="2">
        <f>IFERROR(__xludf.DUMMYFUNCTION("""COMPUTED_VALUE"""),42459.64583333333)</f>
        <v>42459.64583</v>
      </c>
      <c r="B4021" s="1">
        <f>IFERROR(__xludf.DUMMYFUNCTION("""COMPUTED_VALUE"""),862.0)</f>
        <v>862</v>
      </c>
      <c r="C4021" s="1">
        <f>IFERROR(__xludf.DUMMYFUNCTION("""COMPUTED_VALUE"""),878.95)</f>
        <v>878.95</v>
      </c>
      <c r="D4021" s="1">
        <f>IFERROR(__xludf.DUMMYFUNCTION("""COMPUTED_VALUE"""),858.9)</f>
        <v>858.9</v>
      </c>
      <c r="E4021" s="1">
        <f>IFERROR(__xludf.DUMMYFUNCTION("""COMPUTED_VALUE"""),861.65)</f>
        <v>861.65</v>
      </c>
      <c r="F4021" s="1">
        <f>IFERROR(__xludf.DUMMYFUNCTION("""COMPUTED_VALUE"""),1453623.0)</f>
        <v>1453623</v>
      </c>
    </row>
    <row r="4022">
      <c r="A4022" s="2">
        <f>IFERROR(__xludf.DUMMYFUNCTION("""COMPUTED_VALUE"""),42460.64583333333)</f>
        <v>42460.64583</v>
      </c>
      <c r="B4022" s="1">
        <f>IFERROR(__xludf.DUMMYFUNCTION("""COMPUTED_VALUE"""),855.5)</f>
        <v>855.5</v>
      </c>
      <c r="C4022" s="1">
        <f>IFERROR(__xludf.DUMMYFUNCTION("""COMPUTED_VALUE"""),875.7)</f>
        <v>875.7</v>
      </c>
      <c r="D4022" s="1">
        <f>IFERROR(__xludf.DUMMYFUNCTION("""COMPUTED_VALUE"""),855.5)</f>
        <v>855.5</v>
      </c>
      <c r="E4022" s="1">
        <f>IFERROR(__xludf.DUMMYFUNCTION("""COMPUTED_VALUE"""),869.5)</f>
        <v>869.5</v>
      </c>
      <c r="F4022" s="1">
        <f>IFERROR(__xludf.DUMMYFUNCTION("""COMPUTED_VALUE"""),2635929.0)</f>
        <v>2635929</v>
      </c>
    </row>
    <row r="4023">
      <c r="A4023" s="2">
        <f>IFERROR(__xludf.DUMMYFUNCTION("""COMPUTED_VALUE"""),42461.64583333333)</f>
        <v>42461.64583</v>
      </c>
      <c r="B4023" s="1">
        <f>IFERROR(__xludf.DUMMYFUNCTION("""COMPUTED_VALUE"""),867.1)</f>
        <v>867.1</v>
      </c>
      <c r="C4023" s="1">
        <f>IFERROR(__xludf.DUMMYFUNCTION("""COMPUTED_VALUE"""),874.9)</f>
        <v>874.9</v>
      </c>
      <c r="D4023" s="1">
        <f>IFERROR(__xludf.DUMMYFUNCTION("""COMPUTED_VALUE"""),856.0)</f>
        <v>856</v>
      </c>
      <c r="E4023" s="1">
        <f>IFERROR(__xludf.DUMMYFUNCTION("""COMPUTED_VALUE"""),867.8)</f>
        <v>867.8</v>
      </c>
      <c r="F4023" s="1">
        <f>IFERROR(__xludf.DUMMYFUNCTION("""COMPUTED_VALUE"""),1096484.0)</f>
        <v>1096484</v>
      </c>
    </row>
    <row r="4024">
      <c r="A4024" s="2">
        <f>IFERROR(__xludf.DUMMYFUNCTION("""COMPUTED_VALUE"""),42464.64583333333)</f>
        <v>42464.64583</v>
      </c>
      <c r="B4024" s="1">
        <f>IFERROR(__xludf.DUMMYFUNCTION("""COMPUTED_VALUE"""),863.1)</f>
        <v>863.1</v>
      </c>
      <c r="C4024" s="1">
        <f>IFERROR(__xludf.DUMMYFUNCTION("""COMPUTED_VALUE"""),874.95)</f>
        <v>874.95</v>
      </c>
      <c r="D4024" s="1">
        <f>IFERROR(__xludf.DUMMYFUNCTION("""COMPUTED_VALUE"""),861.3)</f>
        <v>861.3</v>
      </c>
      <c r="E4024" s="1">
        <f>IFERROR(__xludf.DUMMYFUNCTION("""COMPUTED_VALUE"""),872.2)</f>
        <v>872.2</v>
      </c>
      <c r="F4024" s="1">
        <f>IFERROR(__xludf.DUMMYFUNCTION("""COMPUTED_VALUE"""),960124.0)</f>
        <v>960124</v>
      </c>
    </row>
    <row r="4025">
      <c r="A4025" s="2">
        <f>IFERROR(__xludf.DUMMYFUNCTION("""COMPUTED_VALUE"""),42465.64583333333)</f>
        <v>42465.64583</v>
      </c>
      <c r="B4025" s="1">
        <f>IFERROR(__xludf.DUMMYFUNCTION("""COMPUTED_VALUE"""),870.2)</f>
        <v>870.2</v>
      </c>
      <c r="C4025" s="1">
        <f>IFERROR(__xludf.DUMMYFUNCTION("""COMPUTED_VALUE"""),882.85)</f>
        <v>882.85</v>
      </c>
      <c r="D4025" s="1">
        <f>IFERROR(__xludf.DUMMYFUNCTION("""COMPUTED_VALUE"""),862.3)</f>
        <v>862.3</v>
      </c>
      <c r="E4025" s="1">
        <f>IFERROR(__xludf.DUMMYFUNCTION("""COMPUTED_VALUE"""),868.5)</f>
        <v>868.5</v>
      </c>
      <c r="F4025" s="1">
        <f>IFERROR(__xludf.DUMMYFUNCTION("""COMPUTED_VALUE"""),1096886.0)</f>
        <v>1096886</v>
      </c>
    </row>
    <row r="4026">
      <c r="A4026" s="2">
        <f>IFERROR(__xludf.DUMMYFUNCTION("""COMPUTED_VALUE"""),42466.64583333333)</f>
        <v>42466.64583</v>
      </c>
      <c r="B4026" s="1">
        <f>IFERROR(__xludf.DUMMYFUNCTION("""COMPUTED_VALUE"""),869.0)</f>
        <v>869</v>
      </c>
      <c r="C4026" s="1">
        <f>IFERROR(__xludf.DUMMYFUNCTION("""COMPUTED_VALUE"""),872.9)</f>
        <v>872.9</v>
      </c>
      <c r="D4026" s="1">
        <f>IFERROR(__xludf.DUMMYFUNCTION("""COMPUTED_VALUE"""),863.0)</f>
        <v>863</v>
      </c>
      <c r="E4026" s="1">
        <f>IFERROR(__xludf.DUMMYFUNCTION("""COMPUTED_VALUE"""),871.7)</f>
        <v>871.7</v>
      </c>
      <c r="F4026" s="1">
        <f>IFERROR(__xludf.DUMMYFUNCTION("""COMPUTED_VALUE"""),1041648.0)</f>
        <v>1041648</v>
      </c>
    </row>
    <row r="4027">
      <c r="A4027" s="2">
        <f>IFERROR(__xludf.DUMMYFUNCTION("""COMPUTED_VALUE"""),42467.64583333333)</f>
        <v>42467.64583</v>
      </c>
      <c r="B4027" s="1">
        <f>IFERROR(__xludf.DUMMYFUNCTION("""COMPUTED_VALUE"""),870.0)</f>
        <v>870</v>
      </c>
      <c r="C4027" s="1">
        <f>IFERROR(__xludf.DUMMYFUNCTION("""COMPUTED_VALUE"""),874.85)</f>
        <v>874.85</v>
      </c>
      <c r="D4027" s="1">
        <f>IFERROR(__xludf.DUMMYFUNCTION("""COMPUTED_VALUE"""),855.05)</f>
        <v>855.05</v>
      </c>
      <c r="E4027" s="1">
        <f>IFERROR(__xludf.DUMMYFUNCTION("""COMPUTED_VALUE"""),860.0)</f>
        <v>860</v>
      </c>
      <c r="F4027" s="1">
        <f>IFERROR(__xludf.DUMMYFUNCTION("""COMPUTED_VALUE"""),848064.0)</f>
        <v>848064</v>
      </c>
    </row>
    <row r="4028">
      <c r="A4028" s="2">
        <f>IFERROR(__xludf.DUMMYFUNCTION("""COMPUTED_VALUE"""),42468.64583333333)</f>
        <v>42468.64583</v>
      </c>
      <c r="B4028" s="1">
        <f>IFERROR(__xludf.DUMMYFUNCTION("""COMPUTED_VALUE"""),861.0)</f>
        <v>861</v>
      </c>
      <c r="C4028" s="1">
        <f>IFERROR(__xludf.DUMMYFUNCTION("""COMPUTED_VALUE"""),863.0)</f>
        <v>863</v>
      </c>
      <c r="D4028" s="1">
        <f>IFERROR(__xludf.DUMMYFUNCTION("""COMPUTED_VALUE"""),845.8)</f>
        <v>845.8</v>
      </c>
      <c r="E4028" s="1">
        <f>IFERROR(__xludf.DUMMYFUNCTION("""COMPUTED_VALUE"""),850.4)</f>
        <v>850.4</v>
      </c>
      <c r="F4028" s="1">
        <f>IFERROR(__xludf.DUMMYFUNCTION("""COMPUTED_VALUE"""),712487.0)</f>
        <v>712487</v>
      </c>
    </row>
    <row r="4029">
      <c r="A4029" s="2">
        <f>IFERROR(__xludf.DUMMYFUNCTION("""COMPUTED_VALUE"""),42471.64583333333)</f>
        <v>42471.64583</v>
      </c>
      <c r="B4029" s="1">
        <f>IFERROR(__xludf.DUMMYFUNCTION("""COMPUTED_VALUE"""),853.0)</f>
        <v>853</v>
      </c>
      <c r="C4029" s="1">
        <f>IFERROR(__xludf.DUMMYFUNCTION("""COMPUTED_VALUE"""),867.85)</f>
        <v>867.85</v>
      </c>
      <c r="D4029" s="1">
        <f>IFERROR(__xludf.DUMMYFUNCTION("""COMPUTED_VALUE"""),845.1)</f>
        <v>845.1</v>
      </c>
      <c r="E4029" s="1">
        <f>IFERROR(__xludf.DUMMYFUNCTION("""COMPUTED_VALUE"""),864.3)</f>
        <v>864.3</v>
      </c>
      <c r="F4029" s="1">
        <f>IFERROR(__xludf.DUMMYFUNCTION("""COMPUTED_VALUE"""),943737.0)</f>
        <v>943737</v>
      </c>
    </row>
    <row r="4030">
      <c r="A4030" s="2">
        <f>IFERROR(__xludf.DUMMYFUNCTION("""COMPUTED_VALUE"""),42472.64583333333)</f>
        <v>42472.64583</v>
      </c>
      <c r="B4030" s="1">
        <f>IFERROR(__xludf.DUMMYFUNCTION("""COMPUTED_VALUE"""),866.9)</f>
        <v>866.9</v>
      </c>
      <c r="C4030" s="1">
        <f>IFERROR(__xludf.DUMMYFUNCTION("""COMPUTED_VALUE"""),874.4)</f>
        <v>874.4</v>
      </c>
      <c r="D4030" s="1">
        <f>IFERROR(__xludf.DUMMYFUNCTION("""COMPUTED_VALUE"""),860.2)</f>
        <v>860.2</v>
      </c>
      <c r="E4030" s="1">
        <f>IFERROR(__xludf.DUMMYFUNCTION("""COMPUTED_VALUE"""),872.5)</f>
        <v>872.5</v>
      </c>
      <c r="F4030" s="1">
        <f>IFERROR(__xludf.DUMMYFUNCTION("""COMPUTED_VALUE"""),867406.0)</f>
        <v>867406</v>
      </c>
    </row>
    <row r="4031">
      <c r="A4031" s="2">
        <f>IFERROR(__xludf.DUMMYFUNCTION("""COMPUTED_VALUE"""),42473.64583333333)</f>
        <v>42473.64583</v>
      </c>
      <c r="B4031" s="1">
        <f>IFERROR(__xludf.DUMMYFUNCTION("""COMPUTED_VALUE"""),875.0)</f>
        <v>875</v>
      </c>
      <c r="C4031" s="1">
        <f>IFERROR(__xludf.DUMMYFUNCTION("""COMPUTED_VALUE"""),899.6)</f>
        <v>899.6</v>
      </c>
      <c r="D4031" s="1">
        <f>IFERROR(__xludf.DUMMYFUNCTION("""COMPUTED_VALUE"""),873.5)</f>
        <v>873.5</v>
      </c>
      <c r="E4031" s="1">
        <f>IFERROR(__xludf.DUMMYFUNCTION("""COMPUTED_VALUE"""),897.7)</f>
        <v>897.7</v>
      </c>
      <c r="F4031" s="1">
        <f>IFERROR(__xludf.DUMMYFUNCTION("""COMPUTED_VALUE"""),1897529.0)</f>
        <v>1897529</v>
      </c>
    </row>
    <row r="4032">
      <c r="A4032" s="2">
        <f>IFERROR(__xludf.DUMMYFUNCTION("""COMPUTED_VALUE"""),42478.64583333333)</f>
        <v>42478.64583</v>
      </c>
      <c r="B4032" s="1">
        <f>IFERROR(__xludf.DUMMYFUNCTION("""COMPUTED_VALUE"""),900.2)</f>
        <v>900.2</v>
      </c>
      <c r="C4032" s="1">
        <f>IFERROR(__xludf.DUMMYFUNCTION("""COMPUTED_VALUE"""),904.95)</f>
        <v>904.95</v>
      </c>
      <c r="D4032" s="1">
        <f>IFERROR(__xludf.DUMMYFUNCTION("""COMPUTED_VALUE"""),886.5)</f>
        <v>886.5</v>
      </c>
      <c r="E4032" s="1">
        <f>IFERROR(__xludf.DUMMYFUNCTION("""COMPUTED_VALUE"""),899.15)</f>
        <v>899.15</v>
      </c>
      <c r="F4032" s="1">
        <f>IFERROR(__xludf.DUMMYFUNCTION("""COMPUTED_VALUE"""),1091523.0)</f>
        <v>1091523</v>
      </c>
    </row>
    <row r="4033">
      <c r="A4033" s="2">
        <f>IFERROR(__xludf.DUMMYFUNCTION("""COMPUTED_VALUE"""),42480.64583333333)</f>
        <v>42480.64583</v>
      </c>
      <c r="B4033" s="1">
        <f>IFERROR(__xludf.DUMMYFUNCTION("""COMPUTED_VALUE"""),899.1)</f>
        <v>899.1</v>
      </c>
      <c r="C4033" s="1">
        <f>IFERROR(__xludf.DUMMYFUNCTION("""COMPUTED_VALUE"""),906.0)</f>
        <v>906</v>
      </c>
      <c r="D4033" s="1">
        <f>IFERROR(__xludf.DUMMYFUNCTION("""COMPUTED_VALUE"""),893.15)</f>
        <v>893.15</v>
      </c>
      <c r="E4033" s="1">
        <f>IFERROR(__xludf.DUMMYFUNCTION("""COMPUTED_VALUE"""),904.1)</f>
        <v>904.1</v>
      </c>
      <c r="F4033" s="1">
        <f>IFERROR(__xludf.DUMMYFUNCTION("""COMPUTED_VALUE"""),1424850.0)</f>
        <v>1424850</v>
      </c>
    </row>
    <row r="4034">
      <c r="A4034" s="2">
        <f>IFERROR(__xludf.DUMMYFUNCTION("""COMPUTED_VALUE"""),42481.64583333333)</f>
        <v>42481.64583</v>
      </c>
      <c r="B4034" s="1">
        <f>IFERROR(__xludf.DUMMYFUNCTION("""COMPUTED_VALUE"""),905.0)</f>
        <v>905</v>
      </c>
      <c r="C4034" s="1">
        <f>IFERROR(__xludf.DUMMYFUNCTION("""COMPUTED_VALUE"""),906.9)</f>
        <v>906.9</v>
      </c>
      <c r="D4034" s="1">
        <f>IFERROR(__xludf.DUMMYFUNCTION("""COMPUTED_VALUE"""),896.0)</f>
        <v>896</v>
      </c>
      <c r="E4034" s="1">
        <f>IFERROR(__xludf.DUMMYFUNCTION("""COMPUTED_VALUE"""),904.05)</f>
        <v>904.05</v>
      </c>
      <c r="F4034" s="1">
        <f>IFERROR(__xludf.DUMMYFUNCTION("""COMPUTED_VALUE"""),1162870.0)</f>
        <v>1162870</v>
      </c>
    </row>
    <row r="4035">
      <c r="A4035" s="2">
        <f>IFERROR(__xludf.DUMMYFUNCTION("""COMPUTED_VALUE"""),42482.64583333333)</f>
        <v>42482.64583</v>
      </c>
      <c r="B4035" s="1">
        <f>IFERROR(__xludf.DUMMYFUNCTION("""COMPUTED_VALUE"""),897.8)</f>
        <v>897.8</v>
      </c>
      <c r="C4035" s="1">
        <f>IFERROR(__xludf.DUMMYFUNCTION("""COMPUTED_VALUE"""),904.3)</f>
        <v>904.3</v>
      </c>
      <c r="D4035" s="1">
        <f>IFERROR(__xludf.DUMMYFUNCTION("""COMPUTED_VALUE"""),883.0)</f>
        <v>883</v>
      </c>
      <c r="E4035" s="1">
        <f>IFERROR(__xludf.DUMMYFUNCTION("""COMPUTED_VALUE"""),884.2)</f>
        <v>884.2</v>
      </c>
      <c r="F4035" s="1">
        <f>IFERROR(__xludf.DUMMYFUNCTION("""COMPUTED_VALUE"""),1078366.0)</f>
        <v>1078366</v>
      </c>
    </row>
    <row r="4036">
      <c r="A4036" s="2">
        <f>IFERROR(__xludf.DUMMYFUNCTION("""COMPUTED_VALUE"""),42485.64583333333)</f>
        <v>42485.64583</v>
      </c>
      <c r="B4036" s="1">
        <f>IFERROR(__xludf.DUMMYFUNCTION("""COMPUTED_VALUE"""),880.5)</f>
        <v>880.5</v>
      </c>
      <c r="C4036" s="1">
        <f>IFERROR(__xludf.DUMMYFUNCTION("""COMPUTED_VALUE"""),889.0)</f>
        <v>889</v>
      </c>
      <c r="D4036" s="1">
        <f>IFERROR(__xludf.DUMMYFUNCTION("""COMPUTED_VALUE"""),875.5)</f>
        <v>875.5</v>
      </c>
      <c r="E4036" s="1">
        <f>IFERROR(__xludf.DUMMYFUNCTION("""COMPUTED_VALUE"""),884.15)</f>
        <v>884.15</v>
      </c>
      <c r="F4036" s="1">
        <f>IFERROR(__xludf.DUMMYFUNCTION("""COMPUTED_VALUE"""),828061.0)</f>
        <v>828061</v>
      </c>
    </row>
    <row r="4037">
      <c r="A4037" s="2">
        <f>IFERROR(__xludf.DUMMYFUNCTION("""COMPUTED_VALUE"""),42486.64583333333)</f>
        <v>42486.64583</v>
      </c>
      <c r="B4037" s="1">
        <f>IFERROR(__xludf.DUMMYFUNCTION("""COMPUTED_VALUE"""),881.6)</f>
        <v>881.6</v>
      </c>
      <c r="C4037" s="1">
        <f>IFERROR(__xludf.DUMMYFUNCTION("""COMPUTED_VALUE"""),896.0)</f>
        <v>896</v>
      </c>
      <c r="D4037" s="1">
        <f>IFERROR(__xludf.DUMMYFUNCTION("""COMPUTED_VALUE"""),880.7)</f>
        <v>880.7</v>
      </c>
      <c r="E4037" s="1">
        <f>IFERROR(__xludf.DUMMYFUNCTION("""COMPUTED_VALUE"""),885.75)</f>
        <v>885.75</v>
      </c>
      <c r="F4037" s="1">
        <f>IFERROR(__xludf.DUMMYFUNCTION("""COMPUTED_VALUE"""),1214609.0)</f>
        <v>1214609</v>
      </c>
    </row>
    <row r="4038">
      <c r="A4038" s="2">
        <f>IFERROR(__xludf.DUMMYFUNCTION("""COMPUTED_VALUE"""),42487.64583333333)</f>
        <v>42487.64583</v>
      </c>
      <c r="B4038" s="1">
        <f>IFERROR(__xludf.DUMMYFUNCTION("""COMPUTED_VALUE"""),884.4)</f>
        <v>884.4</v>
      </c>
      <c r="C4038" s="1">
        <f>IFERROR(__xludf.DUMMYFUNCTION("""COMPUTED_VALUE"""),894.0)</f>
        <v>894</v>
      </c>
      <c r="D4038" s="1">
        <f>IFERROR(__xludf.DUMMYFUNCTION("""COMPUTED_VALUE"""),880.9)</f>
        <v>880.9</v>
      </c>
      <c r="E4038" s="1">
        <f>IFERROR(__xludf.DUMMYFUNCTION("""COMPUTED_VALUE"""),892.2)</f>
        <v>892.2</v>
      </c>
      <c r="F4038" s="1">
        <f>IFERROR(__xludf.DUMMYFUNCTION("""COMPUTED_VALUE"""),778693.0)</f>
        <v>778693</v>
      </c>
    </row>
    <row r="4039">
      <c r="A4039" s="2">
        <f>IFERROR(__xludf.DUMMYFUNCTION("""COMPUTED_VALUE"""),42488.64583333333)</f>
        <v>42488.64583</v>
      </c>
      <c r="B4039" s="1">
        <f>IFERROR(__xludf.DUMMYFUNCTION("""COMPUTED_VALUE"""),893.2)</f>
        <v>893.2</v>
      </c>
      <c r="C4039" s="1">
        <f>IFERROR(__xludf.DUMMYFUNCTION("""COMPUTED_VALUE"""),896.8)</f>
        <v>896.8</v>
      </c>
      <c r="D4039" s="1">
        <f>IFERROR(__xludf.DUMMYFUNCTION("""COMPUTED_VALUE"""),871.0)</f>
        <v>871</v>
      </c>
      <c r="E4039" s="1">
        <f>IFERROR(__xludf.DUMMYFUNCTION("""COMPUTED_VALUE"""),876.25)</f>
        <v>876.25</v>
      </c>
      <c r="F4039" s="1">
        <f>IFERROR(__xludf.DUMMYFUNCTION("""COMPUTED_VALUE"""),2715410.0)</f>
        <v>2715410</v>
      </c>
    </row>
    <row r="4040">
      <c r="A4040" s="2">
        <f>IFERROR(__xludf.DUMMYFUNCTION("""COMPUTED_VALUE"""),42489.64583333333)</f>
        <v>42489.64583</v>
      </c>
      <c r="B4040" s="1">
        <f>IFERROR(__xludf.DUMMYFUNCTION("""COMPUTED_VALUE"""),876.0)</f>
        <v>876</v>
      </c>
      <c r="C4040" s="1">
        <f>IFERROR(__xludf.DUMMYFUNCTION("""COMPUTED_VALUE"""),879.35)</f>
        <v>879.35</v>
      </c>
      <c r="D4040" s="1">
        <f>IFERROR(__xludf.DUMMYFUNCTION("""COMPUTED_VALUE"""),859.2)</f>
        <v>859.2</v>
      </c>
      <c r="E4040" s="1">
        <f>IFERROR(__xludf.DUMMYFUNCTION("""COMPUTED_VALUE"""),867.9)</f>
        <v>867.9</v>
      </c>
      <c r="F4040" s="1">
        <f>IFERROR(__xludf.DUMMYFUNCTION("""COMPUTED_VALUE"""),1581281.0)</f>
        <v>1581281</v>
      </c>
    </row>
    <row r="4041">
      <c r="A4041" s="2">
        <f>IFERROR(__xludf.DUMMYFUNCTION("""COMPUTED_VALUE"""),42492.64583333333)</f>
        <v>42492.64583</v>
      </c>
      <c r="B4041" s="1">
        <f>IFERROR(__xludf.DUMMYFUNCTION("""COMPUTED_VALUE"""),867.0)</f>
        <v>867</v>
      </c>
      <c r="C4041" s="1">
        <f>IFERROR(__xludf.DUMMYFUNCTION("""COMPUTED_VALUE"""),867.0)</f>
        <v>867</v>
      </c>
      <c r="D4041" s="1">
        <f>IFERROR(__xludf.DUMMYFUNCTION("""COMPUTED_VALUE"""),855.0)</f>
        <v>855</v>
      </c>
      <c r="E4041" s="1">
        <f>IFERROR(__xludf.DUMMYFUNCTION("""COMPUTED_VALUE"""),863.95)</f>
        <v>863.95</v>
      </c>
      <c r="F4041" s="1">
        <f>IFERROR(__xludf.DUMMYFUNCTION("""COMPUTED_VALUE"""),787156.0)</f>
        <v>787156</v>
      </c>
    </row>
    <row r="4042">
      <c r="A4042" s="2">
        <f>IFERROR(__xludf.DUMMYFUNCTION("""COMPUTED_VALUE"""),42493.64583333333)</f>
        <v>42493.64583</v>
      </c>
      <c r="B4042" s="1">
        <f>IFERROR(__xludf.DUMMYFUNCTION("""COMPUTED_VALUE"""),863.95)</f>
        <v>863.95</v>
      </c>
      <c r="C4042" s="1">
        <f>IFERROR(__xludf.DUMMYFUNCTION("""COMPUTED_VALUE"""),869.0)</f>
        <v>869</v>
      </c>
      <c r="D4042" s="1">
        <f>IFERROR(__xludf.DUMMYFUNCTION("""COMPUTED_VALUE"""),848.0)</f>
        <v>848</v>
      </c>
      <c r="E4042" s="1">
        <f>IFERROR(__xludf.DUMMYFUNCTION("""COMPUTED_VALUE"""),851.0)</f>
        <v>851</v>
      </c>
      <c r="F4042" s="1">
        <f>IFERROR(__xludf.DUMMYFUNCTION("""COMPUTED_VALUE"""),1305303.0)</f>
        <v>1305303</v>
      </c>
    </row>
    <row r="4043">
      <c r="A4043" s="2">
        <f>IFERROR(__xludf.DUMMYFUNCTION("""COMPUTED_VALUE"""),42494.64583333333)</f>
        <v>42494.64583</v>
      </c>
      <c r="B4043" s="1">
        <f>IFERROR(__xludf.DUMMYFUNCTION("""COMPUTED_VALUE"""),850.0)</f>
        <v>850</v>
      </c>
      <c r="C4043" s="1">
        <f>IFERROR(__xludf.DUMMYFUNCTION("""COMPUTED_VALUE"""),855.9)</f>
        <v>855.9</v>
      </c>
      <c r="D4043" s="1">
        <f>IFERROR(__xludf.DUMMYFUNCTION("""COMPUTED_VALUE"""),844.0)</f>
        <v>844</v>
      </c>
      <c r="E4043" s="1">
        <f>IFERROR(__xludf.DUMMYFUNCTION("""COMPUTED_VALUE"""),853.4)</f>
        <v>853.4</v>
      </c>
      <c r="F4043" s="1">
        <f>IFERROR(__xludf.DUMMYFUNCTION("""COMPUTED_VALUE"""),568460.0)</f>
        <v>568460</v>
      </c>
    </row>
    <row r="4044">
      <c r="A4044" s="2">
        <f>IFERROR(__xludf.DUMMYFUNCTION("""COMPUTED_VALUE"""),42495.64583333333)</f>
        <v>42495.64583</v>
      </c>
      <c r="B4044" s="1">
        <f>IFERROR(__xludf.DUMMYFUNCTION("""COMPUTED_VALUE"""),859.0)</f>
        <v>859</v>
      </c>
      <c r="C4044" s="1">
        <f>IFERROR(__xludf.DUMMYFUNCTION("""COMPUTED_VALUE"""),861.9)</f>
        <v>861.9</v>
      </c>
      <c r="D4044" s="1">
        <f>IFERROR(__xludf.DUMMYFUNCTION("""COMPUTED_VALUE"""),846.8)</f>
        <v>846.8</v>
      </c>
      <c r="E4044" s="1">
        <f>IFERROR(__xludf.DUMMYFUNCTION("""COMPUTED_VALUE"""),850.15)</f>
        <v>850.15</v>
      </c>
      <c r="F4044" s="1">
        <f>IFERROR(__xludf.DUMMYFUNCTION("""COMPUTED_VALUE"""),760873.0)</f>
        <v>760873</v>
      </c>
    </row>
    <row r="4045">
      <c r="A4045" s="2">
        <f>IFERROR(__xludf.DUMMYFUNCTION("""COMPUTED_VALUE"""),42496.64583333333)</f>
        <v>42496.64583</v>
      </c>
      <c r="B4045" s="1">
        <f>IFERROR(__xludf.DUMMYFUNCTION("""COMPUTED_VALUE"""),848.0)</f>
        <v>848</v>
      </c>
      <c r="C4045" s="1">
        <f>IFERROR(__xludf.DUMMYFUNCTION("""COMPUTED_VALUE"""),856.5)</f>
        <v>856.5</v>
      </c>
      <c r="D4045" s="1">
        <f>IFERROR(__xludf.DUMMYFUNCTION("""COMPUTED_VALUE"""),846.75)</f>
        <v>846.75</v>
      </c>
      <c r="E4045" s="1">
        <f>IFERROR(__xludf.DUMMYFUNCTION("""COMPUTED_VALUE"""),853.4)</f>
        <v>853.4</v>
      </c>
      <c r="F4045" s="1">
        <f>IFERROR(__xludf.DUMMYFUNCTION("""COMPUTED_VALUE"""),411253.0)</f>
        <v>411253</v>
      </c>
    </row>
    <row r="4046">
      <c r="A4046" s="2">
        <f>IFERROR(__xludf.DUMMYFUNCTION("""COMPUTED_VALUE"""),42499.64583333333)</f>
        <v>42499.64583</v>
      </c>
      <c r="B4046" s="1">
        <f>IFERROR(__xludf.DUMMYFUNCTION("""COMPUTED_VALUE"""),851.0)</f>
        <v>851</v>
      </c>
      <c r="C4046" s="1">
        <f>IFERROR(__xludf.DUMMYFUNCTION("""COMPUTED_VALUE"""),869.7)</f>
        <v>869.7</v>
      </c>
      <c r="D4046" s="1">
        <f>IFERROR(__xludf.DUMMYFUNCTION("""COMPUTED_VALUE"""),839.2)</f>
        <v>839.2</v>
      </c>
      <c r="E4046" s="1">
        <f>IFERROR(__xludf.DUMMYFUNCTION("""COMPUTED_VALUE"""),845.5)</f>
        <v>845.5</v>
      </c>
      <c r="F4046" s="1">
        <f>IFERROR(__xludf.DUMMYFUNCTION("""COMPUTED_VALUE"""),3215773.0)</f>
        <v>3215773</v>
      </c>
    </row>
    <row r="4047">
      <c r="A4047" s="2">
        <f>IFERROR(__xludf.DUMMYFUNCTION("""COMPUTED_VALUE"""),42500.64583333333)</f>
        <v>42500.64583</v>
      </c>
      <c r="B4047" s="1">
        <f>IFERROR(__xludf.DUMMYFUNCTION("""COMPUTED_VALUE"""),848.8)</f>
        <v>848.8</v>
      </c>
      <c r="C4047" s="1">
        <f>IFERROR(__xludf.DUMMYFUNCTION("""COMPUTED_VALUE"""),867.9)</f>
        <v>867.9</v>
      </c>
      <c r="D4047" s="1">
        <f>IFERROR(__xludf.DUMMYFUNCTION("""COMPUTED_VALUE"""),845.6)</f>
        <v>845.6</v>
      </c>
      <c r="E4047" s="1">
        <f>IFERROR(__xludf.DUMMYFUNCTION("""COMPUTED_VALUE"""),862.45)</f>
        <v>862.45</v>
      </c>
      <c r="F4047" s="1">
        <f>IFERROR(__xludf.DUMMYFUNCTION("""COMPUTED_VALUE"""),1523285.0)</f>
        <v>1523285</v>
      </c>
    </row>
    <row r="4048">
      <c r="A4048" s="2">
        <f>IFERROR(__xludf.DUMMYFUNCTION("""COMPUTED_VALUE"""),42501.64583333333)</f>
        <v>42501.64583</v>
      </c>
      <c r="B4048" s="1">
        <f>IFERROR(__xludf.DUMMYFUNCTION("""COMPUTED_VALUE"""),855.0)</f>
        <v>855</v>
      </c>
      <c r="C4048" s="1">
        <f>IFERROR(__xludf.DUMMYFUNCTION("""COMPUTED_VALUE"""),866.8)</f>
        <v>866.8</v>
      </c>
      <c r="D4048" s="1">
        <f>IFERROR(__xludf.DUMMYFUNCTION("""COMPUTED_VALUE"""),851.1)</f>
        <v>851.1</v>
      </c>
      <c r="E4048" s="1">
        <f>IFERROR(__xludf.DUMMYFUNCTION("""COMPUTED_VALUE"""),862.55)</f>
        <v>862.55</v>
      </c>
      <c r="F4048" s="1">
        <f>IFERROR(__xludf.DUMMYFUNCTION("""COMPUTED_VALUE"""),697299.0)</f>
        <v>697299</v>
      </c>
    </row>
    <row r="4049">
      <c r="A4049" s="2">
        <f>IFERROR(__xludf.DUMMYFUNCTION("""COMPUTED_VALUE"""),42502.64583333333)</f>
        <v>42502.64583</v>
      </c>
      <c r="B4049" s="1">
        <f>IFERROR(__xludf.DUMMYFUNCTION("""COMPUTED_VALUE"""),858.4)</f>
        <v>858.4</v>
      </c>
      <c r="C4049" s="1">
        <f>IFERROR(__xludf.DUMMYFUNCTION("""COMPUTED_VALUE"""),862.0)</f>
        <v>862</v>
      </c>
      <c r="D4049" s="1">
        <f>IFERROR(__xludf.DUMMYFUNCTION("""COMPUTED_VALUE"""),849.35)</f>
        <v>849.35</v>
      </c>
      <c r="E4049" s="1">
        <f>IFERROR(__xludf.DUMMYFUNCTION("""COMPUTED_VALUE"""),853.0)</f>
        <v>853</v>
      </c>
      <c r="F4049" s="1">
        <f>IFERROR(__xludf.DUMMYFUNCTION("""COMPUTED_VALUE"""),730642.0)</f>
        <v>730642</v>
      </c>
    </row>
    <row r="4050">
      <c r="A4050" s="2">
        <f>IFERROR(__xludf.DUMMYFUNCTION("""COMPUTED_VALUE"""),42503.64583333333)</f>
        <v>42503.64583</v>
      </c>
      <c r="B4050" s="1">
        <f>IFERROR(__xludf.DUMMYFUNCTION("""COMPUTED_VALUE"""),852.95)</f>
        <v>852.95</v>
      </c>
      <c r="C4050" s="1">
        <f>IFERROR(__xludf.DUMMYFUNCTION("""COMPUTED_VALUE"""),852.95)</f>
        <v>852.95</v>
      </c>
      <c r="D4050" s="1">
        <f>IFERROR(__xludf.DUMMYFUNCTION("""COMPUTED_VALUE"""),821.95)</f>
        <v>821.95</v>
      </c>
      <c r="E4050" s="1">
        <f>IFERROR(__xludf.DUMMYFUNCTION("""COMPUTED_VALUE"""),831.8)</f>
        <v>831.8</v>
      </c>
      <c r="F4050" s="1">
        <f>IFERROR(__xludf.DUMMYFUNCTION("""COMPUTED_VALUE"""),2369627.0)</f>
        <v>2369627</v>
      </c>
    </row>
    <row r="4051">
      <c r="A4051" s="2">
        <f>IFERROR(__xludf.DUMMYFUNCTION("""COMPUTED_VALUE"""),42506.64583333333)</f>
        <v>42506.64583</v>
      </c>
      <c r="B4051" s="1">
        <f>IFERROR(__xludf.DUMMYFUNCTION("""COMPUTED_VALUE"""),833.0)</f>
        <v>833</v>
      </c>
      <c r="C4051" s="1">
        <f>IFERROR(__xludf.DUMMYFUNCTION("""COMPUTED_VALUE"""),848.5)</f>
        <v>848.5</v>
      </c>
      <c r="D4051" s="1">
        <f>IFERROR(__xludf.DUMMYFUNCTION("""COMPUTED_VALUE"""),817.0)</f>
        <v>817</v>
      </c>
      <c r="E4051" s="1">
        <f>IFERROR(__xludf.DUMMYFUNCTION("""COMPUTED_VALUE"""),846.25)</f>
        <v>846.25</v>
      </c>
      <c r="F4051" s="1">
        <f>IFERROR(__xludf.DUMMYFUNCTION("""COMPUTED_VALUE"""),1940183.0)</f>
        <v>1940183</v>
      </c>
    </row>
    <row r="4052">
      <c r="A4052" s="2">
        <f>IFERROR(__xludf.DUMMYFUNCTION("""COMPUTED_VALUE"""),42507.64583333333)</f>
        <v>42507.64583</v>
      </c>
      <c r="B4052" s="1">
        <f>IFERROR(__xludf.DUMMYFUNCTION("""COMPUTED_VALUE"""),850.0)</f>
        <v>850</v>
      </c>
      <c r="C4052" s="1">
        <f>IFERROR(__xludf.DUMMYFUNCTION("""COMPUTED_VALUE"""),850.35)</f>
        <v>850.35</v>
      </c>
      <c r="D4052" s="1">
        <f>IFERROR(__xludf.DUMMYFUNCTION("""COMPUTED_VALUE"""),831.0)</f>
        <v>831</v>
      </c>
      <c r="E4052" s="1">
        <f>IFERROR(__xludf.DUMMYFUNCTION("""COMPUTED_VALUE"""),834.05)</f>
        <v>834.05</v>
      </c>
      <c r="F4052" s="1">
        <f>IFERROR(__xludf.DUMMYFUNCTION("""COMPUTED_VALUE"""),1434067.0)</f>
        <v>1434067</v>
      </c>
    </row>
    <row r="4053">
      <c r="A4053" s="2">
        <f>IFERROR(__xludf.DUMMYFUNCTION("""COMPUTED_VALUE"""),42508.64583333333)</f>
        <v>42508.64583</v>
      </c>
      <c r="B4053" s="1">
        <f>IFERROR(__xludf.DUMMYFUNCTION("""COMPUTED_VALUE"""),833.7)</f>
        <v>833.7</v>
      </c>
      <c r="C4053" s="1">
        <f>IFERROR(__xludf.DUMMYFUNCTION("""COMPUTED_VALUE"""),834.55)</f>
        <v>834.55</v>
      </c>
      <c r="D4053" s="1">
        <f>IFERROR(__xludf.DUMMYFUNCTION("""COMPUTED_VALUE"""),823.0)</f>
        <v>823</v>
      </c>
      <c r="E4053" s="1">
        <f>IFERROR(__xludf.DUMMYFUNCTION("""COMPUTED_VALUE"""),825.5)</f>
        <v>825.5</v>
      </c>
      <c r="F4053" s="1">
        <f>IFERROR(__xludf.DUMMYFUNCTION("""COMPUTED_VALUE"""),1428456.0)</f>
        <v>1428456</v>
      </c>
    </row>
    <row r="4054">
      <c r="A4054" s="2">
        <f>IFERROR(__xludf.DUMMYFUNCTION("""COMPUTED_VALUE"""),42509.64583333333)</f>
        <v>42509.64583</v>
      </c>
      <c r="B4054" s="1">
        <f>IFERROR(__xludf.DUMMYFUNCTION("""COMPUTED_VALUE"""),826.1)</f>
        <v>826.1</v>
      </c>
      <c r="C4054" s="1">
        <f>IFERROR(__xludf.DUMMYFUNCTION("""COMPUTED_VALUE"""),829.85)</f>
        <v>829.85</v>
      </c>
      <c r="D4054" s="1">
        <f>IFERROR(__xludf.DUMMYFUNCTION("""COMPUTED_VALUE"""),810.35)</f>
        <v>810.35</v>
      </c>
      <c r="E4054" s="1">
        <f>IFERROR(__xludf.DUMMYFUNCTION("""COMPUTED_VALUE"""),815.1)</f>
        <v>815.1</v>
      </c>
      <c r="F4054" s="1">
        <f>IFERROR(__xludf.DUMMYFUNCTION("""COMPUTED_VALUE"""),1866764.0)</f>
        <v>1866764</v>
      </c>
    </row>
    <row r="4055">
      <c r="A4055" s="2">
        <f>IFERROR(__xludf.DUMMYFUNCTION("""COMPUTED_VALUE"""),42510.64583333333)</f>
        <v>42510.64583</v>
      </c>
      <c r="B4055" s="1">
        <f>IFERROR(__xludf.DUMMYFUNCTION("""COMPUTED_VALUE"""),820.0)</f>
        <v>820</v>
      </c>
      <c r="C4055" s="1">
        <f>IFERROR(__xludf.DUMMYFUNCTION("""COMPUTED_VALUE"""),821.0)</f>
        <v>821</v>
      </c>
      <c r="D4055" s="1">
        <f>IFERROR(__xludf.DUMMYFUNCTION("""COMPUTED_VALUE"""),806.15)</f>
        <v>806.15</v>
      </c>
      <c r="E4055" s="1">
        <f>IFERROR(__xludf.DUMMYFUNCTION("""COMPUTED_VALUE"""),812.4)</f>
        <v>812.4</v>
      </c>
      <c r="F4055" s="1">
        <f>IFERROR(__xludf.DUMMYFUNCTION("""COMPUTED_VALUE"""),1624617.0)</f>
        <v>1624617</v>
      </c>
    </row>
    <row r="4056">
      <c r="A4056" s="2">
        <f>IFERROR(__xludf.DUMMYFUNCTION("""COMPUTED_VALUE"""),42513.64583333333)</f>
        <v>42513.64583</v>
      </c>
      <c r="B4056" s="1">
        <f>IFERROR(__xludf.DUMMYFUNCTION("""COMPUTED_VALUE"""),817.0)</f>
        <v>817</v>
      </c>
      <c r="C4056" s="1">
        <f>IFERROR(__xludf.DUMMYFUNCTION("""COMPUTED_VALUE"""),825.75)</f>
        <v>825.75</v>
      </c>
      <c r="D4056" s="1">
        <f>IFERROR(__xludf.DUMMYFUNCTION("""COMPUTED_VALUE"""),813.05)</f>
        <v>813.05</v>
      </c>
      <c r="E4056" s="1">
        <f>IFERROR(__xludf.DUMMYFUNCTION("""COMPUTED_VALUE"""),819.6)</f>
        <v>819.6</v>
      </c>
      <c r="F4056" s="1">
        <f>IFERROR(__xludf.DUMMYFUNCTION("""COMPUTED_VALUE"""),1118741.0)</f>
        <v>1118741</v>
      </c>
    </row>
    <row r="4057">
      <c r="A4057" s="2">
        <f>IFERROR(__xludf.DUMMYFUNCTION("""COMPUTED_VALUE"""),42514.64583333333)</f>
        <v>42514.64583</v>
      </c>
      <c r="B4057" s="1">
        <f>IFERROR(__xludf.DUMMYFUNCTION("""COMPUTED_VALUE"""),819.0)</f>
        <v>819</v>
      </c>
      <c r="C4057" s="1">
        <f>IFERROR(__xludf.DUMMYFUNCTION("""COMPUTED_VALUE"""),824.45)</f>
        <v>824.45</v>
      </c>
      <c r="D4057" s="1">
        <f>IFERROR(__xludf.DUMMYFUNCTION("""COMPUTED_VALUE"""),815.45)</f>
        <v>815.45</v>
      </c>
      <c r="E4057" s="1">
        <f>IFERROR(__xludf.DUMMYFUNCTION("""COMPUTED_VALUE"""),823.1)</f>
        <v>823.1</v>
      </c>
      <c r="F4057" s="1">
        <f>IFERROR(__xludf.DUMMYFUNCTION("""COMPUTED_VALUE"""),946784.0)</f>
        <v>946784</v>
      </c>
    </row>
    <row r="4058">
      <c r="A4058" s="2">
        <f>IFERROR(__xludf.DUMMYFUNCTION("""COMPUTED_VALUE"""),42515.64583333333)</f>
        <v>42515.64583</v>
      </c>
      <c r="B4058" s="1">
        <f>IFERROR(__xludf.DUMMYFUNCTION("""COMPUTED_VALUE"""),828.0)</f>
        <v>828</v>
      </c>
      <c r="C4058" s="1">
        <f>IFERROR(__xludf.DUMMYFUNCTION("""COMPUTED_VALUE"""),841.45)</f>
        <v>841.45</v>
      </c>
      <c r="D4058" s="1">
        <f>IFERROR(__xludf.DUMMYFUNCTION("""COMPUTED_VALUE"""),827.05)</f>
        <v>827.05</v>
      </c>
      <c r="E4058" s="1">
        <f>IFERROR(__xludf.DUMMYFUNCTION("""COMPUTED_VALUE"""),840.1)</f>
        <v>840.1</v>
      </c>
      <c r="F4058" s="1">
        <f>IFERROR(__xludf.DUMMYFUNCTION("""COMPUTED_VALUE"""),1127694.0)</f>
        <v>1127694</v>
      </c>
    </row>
    <row r="4059">
      <c r="A4059" s="2">
        <f>IFERROR(__xludf.DUMMYFUNCTION("""COMPUTED_VALUE"""),42516.64583333333)</f>
        <v>42516.64583</v>
      </c>
      <c r="B4059" s="1">
        <f>IFERROR(__xludf.DUMMYFUNCTION("""COMPUTED_VALUE"""),840.2)</f>
        <v>840.2</v>
      </c>
      <c r="C4059" s="1">
        <f>IFERROR(__xludf.DUMMYFUNCTION("""COMPUTED_VALUE"""),854.0)</f>
        <v>854</v>
      </c>
      <c r="D4059" s="1">
        <f>IFERROR(__xludf.DUMMYFUNCTION("""COMPUTED_VALUE"""),832.0)</f>
        <v>832</v>
      </c>
      <c r="E4059" s="1">
        <f>IFERROR(__xludf.DUMMYFUNCTION("""COMPUTED_VALUE"""),850.35)</f>
        <v>850.35</v>
      </c>
      <c r="F4059" s="1">
        <f>IFERROR(__xludf.DUMMYFUNCTION("""COMPUTED_VALUE"""),2479387.0)</f>
        <v>2479387</v>
      </c>
    </row>
    <row r="4060">
      <c r="A4060" s="2">
        <f>IFERROR(__xludf.DUMMYFUNCTION("""COMPUTED_VALUE"""),42517.64583333333)</f>
        <v>42517.64583</v>
      </c>
      <c r="B4060" s="1">
        <f>IFERROR(__xludf.DUMMYFUNCTION("""COMPUTED_VALUE"""),851.35)</f>
        <v>851.35</v>
      </c>
      <c r="C4060" s="1">
        <f>IFERROR(__xludf.DUMMYFUNCTION("""COMPUTED_VALUE"""),865.95)</f>
        <v>865.95</v>
      </c>
      <c r="D4060" s="1">
        <f>IFERROR(__xludf.DUMMYFUNCTION("""COMPUTED_VALUE"""),850.5)</f>
        <v>850.5</v>
      </c>
      <c r="E4060" s="1">
        <f>IFERROR(__xludf.DUMMYFUNCTION("""COMPUTED_VALUE"""),861.2)</f>
        <v>861.2</v>
      </c>
      <c r="F4060" s="1">
        <f>IFERROR(__xludf.DUMMYFUNCTION("""COMPUTED_VALUE"""),1531278.0)</f>
        <v>1531278</v>
      </c>
    </row>
    <row r="4061">
      <c r="A4061" s="2">
        <f>IFERROR(__xludf.DUMMYFUNCTION("""COMPUTED_VALUE"""),42520.64583333333)</f>
        <v>42520.64583</v>
      </c>
      <c r="B4061" s="1">
        <f>IFERROR(__xludf.DUMMYFUNCTION("""COMPUTED_VALUE"""),864.0)</f>
        <v>864</v>
      </c>
      <c r="C4061" s="1">
        <f>IFERROR(__xludf.DUMMYFUNCTION("""COMPUTED_VALUE"""),867.2)</f>
        <v>867.2</v>
      </c>
      <c r="D4061" s="1">
        <f>IFERROR(__xludf.DUMMYFUNCTION("""COMPUTED_VALUE"""),849.75)</f>
        <v>849.75</v>
      </c>
      <c r="E4061" s="1">
        <f>IFERROR(__xludf.DUMMYFUNCTION("""COMPUTED_VALUE"""),854.35)</f>
        <v>854.35</v>
      </c>
      <c r="F4061" s="1">
        <f>IFERROR(__xludf.DUMMYFUNCTION("""COMPUTED_VALUE"""),776274.0)</f>
        <v>776274</v>
      </c>
    </row>
    <row r="4062">
      <c r="A4062" s="2">
        <f>IFERROR(__xludf.DUMMYFUNCTION("""COMPUTED_VALUE"""),42521.64583333333)</f>
        <v>42521.64583</v>
      </c>
      <c r="B4062" s="1">
        <f>IFERROR(__xludf.DUMMYFUNCTION("""COMPUTED_VALUE"""),857.8)</f>
        <v>857.8</v>
      </c>
      <c r="C4062" s="1">
        <f>IFERROR(__xludf.DUMMYFUNCTION("""COMPUTED_VALUE"""),859.9)</f>
        <v>859.9</v>
      </c>
      <c r="D4062" s="1">
        <f>IFERROR(__xludf.DUMMYFUNCTION("""COMPUTED_VALUE"""),845.0)</f>
        <v>845</v>
      </c>
      <c r="E4062" s="1">
        <f>IFERROR(__xludf.DUMMYFUNCTION("""COMPUTED_VALUE"""),848.2)</f>
        <v>848.2</v>
      </c>
      <c r="F4062" s="1">
        <f>IFERROR(__xludf.DUMMYFUNCTION("""COMPUTED_VALUE"""),1.2132028E7)</f>
        <v>12132028</v>
      </c>
    </row>
    <row r="4063">
      <c r="A4063" s="2">
        <f>IFERROR(__xludf.DUMMYFUNCTION("""COMPUTED_VALUE"""),42522.64583333333)</f>
        <v>42522.64583</v>
      </c>
      <c r="B4063" s="1">
        <f>IFERROR(__xludf.DUMMYFUNCTION("""COMPUTED_VALUE"""),852.15)</f>
        <v>852.15</v>
      </c>
      <c r="C4063" s="1">
        <f>IFERROR(__xludf.DUMMYFUNCTION("""COMPUTED_VALUE"""),863.4)</f>
        <v>863.4</v>
      </c>
      <c r="D4063" s="1">
        <f>IFERROR(__xludf.DUMMYFUNCTION("""COMPUTED_VALUE"""),846.05)</f>
        <v>846.05</v>
      </c>
      <c r="E4063" s="1">
        <f>IFERROR(__xludf.DUMMYFUNCTION("""COMPUTED_VALUE"""),855.15)</f>
        <v>855.15</v>
      </c>
      <c r="F4063" s="1">
        <f>IFERROR(__xludf.DUMMYFUNCTION("""COMPUTED_VALUE"""),1223721.0)</f>
        <v>1223721</v>
      </c>
    </row>
    <row r="4064">
      <c r="A4064" s="2">
        <f>IFERROR(__xludf.DUMMYFUNCTION("""COMPUTED_VALUE"""),42523.64583333333)</f>
        <v>42523.64583</v>
      </c>
      <c r="B4064" s="1">
        <f>IFERROR(__xludf.DUMMYFUNCTION("""COMPUTED_VALUE"""),855.0)</f>
        <v>855</v>
      </c>
      <c r="C4064" s="1">
        <f>IFERROR(__xludf.DUMMYFUNCTION("""COMPUTED_VALUE"""),873.95)</f>
        <v>873.95</v>
      </c>
      <c r="D4064" s="1">
        <f>IFERROR(__xludf.DUMMYFUNCTION("""COMPUTED_VALUE"""),835.0)</f>
        <v>835</v>
      </c>
      <c r="E4064" s="1">
        <f>IFERROR(__xludf.DUMMYFUNCTION("""COMPUTED_VALUE"""),868.2)</f>
        <v>868.2</v>
      </c>
      <c r="F4064" s="1">
        <f>IFERROR(__xludf.DUMMYFUNCTION("""COMPUTED_VALUE"""),3409326.0)</f>
        <v>3409326</v>
      </c>
    </row>
    <row r="4065">
      <c r="A4065" s="2">
        <f>IFERROR(__xludf.DUMMYFUNCTION("""COMPUTED_VALUE"""),42524.64583333333)</f>
        <v>42524.64583</v>
      </c>
      <c r="B4065" s="1">
        <f>IFERROR(__xludf.DUMMYFUNCTION("""COMPUTED_VALUE"""),872.0)</f>
        <v>872</v>
      </c>
      <c r="C4065" s="1">
        <f>IFERROR(__xludf.DUMMYFUNCTION("""COMPUTED_VALUE"""),888.0)</f>
        <v>888</v>
      </c>
      <c r="D4065" s="1">
        <f>IFERROR(__xludf.DUMMYFUNCTION("""COMPUTED_VALUE"""),869.4)</f>
        <v>869.4</v>
      </c>
      <c r="E4065" s="1">
        <f>IFERROR(__xludf.DUMMYFUNCTION("""COMPUTED_VALUE"""),884.85)</f>
        <v>884.85</v>
      </c>
      <c r="F4065" s="1">
        <f>IFERROR(__xludf.DUMMYFUNCTION("""COMPUTED_VALUE"""),1752265.0)</f>
        <v>1752265</v>
      </c>
    </row>
    <row r="4066">
      <c r="A4066" s="2">
        <f>IFERROR(__xludf.DUMMYFUNCTION("""COMPUTED_VALUE"""),42527.64583333333)</f>
        <v>42527.64583</v>
      </c>
      <c r="B4066" s="1">
        <f>IFERROR(__xludf.DUMMYFUNCTION("""COMPUTED_VALUE"""),887.6)</f>
        <v>887.6</v>
      </c>
      <c r="C4066" s="1">
        <f>IFERROR(__xludf.DUMMYFUNCTION("""COMPUTED_VALUE"""),892.0)</f>
        <v>892</v>
      </c>
      <c r="D4066" s="1">
        <f>IFERROR(__xludf.DUMMYFUNCTION("""COMPUTED_VALUE"""),875.05)</f>
        <v>875.05</v>
      </c>
      <c r="E4066" s="1">
        <f>IFERROR(__xludf.DUMMYFUNCTION("""COMPUTED_VALUE"""),879.35)</f>
        <v>879.35</v>
      </c>
      <c r="F4066" s="1">
        <f>IFERROR(__xludf.DUMMYFUNCTION("""COMPUTED_VALUE"""),1941227.0)</f>
        <v>1941227</v>
      </c>
    </row>
    <row r="4067">
      <c r="A4067" s="2">
        <f>IFERROR(__xludf.DUMMYFUNCTION("""COMPUTED_VALUE"""),42528.64583333333)</f>
        <v>42528.64583</v>
      </c>
      <c r="B4067" s="1">
        <f>IFERROR(__xludf.DUMMYFUNCTION("""COMPUTED_VALUE"""),884.0)</f>
        <v>884</v>
      </c>
      <c r="C4067" s="1">
        <f>IFERROR(__xludf.DUMMYFUNCTION("""COMPUTED_VALUE"""),898.8)</f>
        <v>898.8</v>
      </c>
      <c r="D4067" s="1">
        <f>IFERROR(__xludf.DUMMYFUNCTION("""COMPUTED_VALUE"""),880.4)</f>
        <v>880.4</v>
      </c>
      <c r="E4067" s="1">
        <f>IFERROR(__xludf.DUMMYFUNCTION("""COMPUTED_VALUE"""),897.05)</f>
        <v>897.05</v>
      </c>
      <c r="F4067" s="1">
        <f>IFERROR(__xludf.DUMMYFUNCTION("""COMPUTED_VALUE"""),2185954.0)</f>
        <v>2185954</v>
      </c>
    </row>
    <row r="4068">
      <c r="A4068" s="2">
        <f>IFERROR(__xludf.DUMMYFUNCTION("""COMPUTED_VALUE"""),42529.64583333333)</f>
        <v>42529.64583</v>
      </c>
      <c r="B4068" s="1">
        <f>IFERROR(__xludf.DUMMYFUNCTION("""COMPUTED_VALUE"""),895.0)</f>
        <v>895</v>
      </c>
      <c r="C4068" s="1">
        <f>IFERROR(__xludf.DUMMYFUNCTION("""COMPUTED_VALUE"""),908.0)</f>
        <v>908</v>
      </c>
      <c r="D4068" s="1">
        <f>IFERROR(__xludf.DUMMYFUNCTION("""COMPUTED_VALUE"""),891.6)</f>
        <v>891.6</v>
      </c>
      <c r="E4068" s="1">
        <f>IFERROR(__xludf.DUMMYFUNCTION("""COMPUTED_VALUE"""),897.2)</f>
        <v>897.2</v>
      </c>
      <c r="F4068" s="1">
        <f>IFERROR(__xludf.DUMMYFUNCTION("""COMPUTED_VALUE"""),1470489.0)</f>
        <v>1470489</v>
      </c>
    </row>
    <row r="4069">
      <c r="A4069" s="2">
        <f>IFERROR(__xludf.DUMMYFUNCTION("""COMPUTED_VALUE"""),42530.64583333333)</f>
        <v>42530.64583</v>
      </c>
      <c r="B4069" s="1">
        <f>IFERROR(__xludf.DUMMYFUNCTION("""COMPUTED_VALUE"""),899.0)</f>
        <v>899</v>
      </c>
      <c r="C4069" s="1">
        <f>IFERROR(__xludf.DUMMYFUNCTION("""COMPUTED_VALUE"""),899.0)</f>
        <v>899</v>
      </c>
      <c r="D4069" s="1">
        <f>IFERROR(__xludf.DUMMYFUNCTION("""COMPUTED_VALUE"""),874.45)</f>
        <v>874.45</v>
      </c>
      <c r="E4069" s="1">
        <f>IFERROR(__xludf.DUMMYFUNCTION("""COMPUTED_VALUE"""),876.45)</f>
        <v>876.45</v>
      </c>
      <c r="F4069" s="1">
        <f>IFERROR(__xludf.DUMMYFUNCTION("""COMPUTED_VALUE"""),1376923.0)</f>
        <v>1376923</v>
      </c>
    </row>
    <row r="4070">
      <c r="A4070" s="2">
        <f>IFERROR(__xludf.DUMMYFUNCTION("""COMPUTED_VALUE"""),42531.64583333333)</f>
        <v>42531.64583</v>
      </c>
      <c r="B4070" s="1">
        <f>IFERROR(__xludf.DUMMYFUNCTION("""COMPUTED_VALUE"""),876.0)</f>
        <v>876</v>
      </c>
      <c r="C4070" s="1">
        <f>IFERROR(__xludf.DUMMYFUNCTION("""COMPUTED_VALUE"""),884.8)</f>
        <v>884.8</v>
      </c>
      <c r="D4070" s="1">
        <f>IFERROR(__xludf.DUMMYFUNCTION("""COMPUTED_VALUE"""),871.15)</f>
        <v>871.15</v>
      </c>
      <c r="E4070" s="1">
        <f>IFERROR(__xludf.DUMMYFUNCTION("""COMPUTED_VALUE"""),874.65)</f>
        <v>874.65</v>
      </c>
      <c r="F4070" s="1">
        <f>IFERROR(__xludf.DUMMYFUNCTION("""COMPUTED_VALUE"""),793113.0)</f>
        <v>793113</v>
      </c>
    </row>
    <row r="4071">
      <c r="A4071" s="2">
        <f>IFERROR(__xludf.DUMMYFUNCTION("""COMPUTED_VALUE"""),42534.64583333333)</f>
        <v>42534.64583</v>
      </c>
      <c r="B4071" s="1">
        <f>IFERROR(__xludf.DUMMYFUNCTION("""COMPUTED_VALUE"""),867.35)</f>
        <v>867.35</v>
      </c>
      <c r="C4071" s="1">
        <f>IFERROR(__xludf.DUMMYFUNCTION("""COMPUTED_VALUE"""),880.95)</f>
        <v>880.95</v>
      </c>
      <c r="D4071" s="1">
        <f>IFERROR(__xludf.DUMMYFUNCTION("""COMPUTED_VALUE"""),867.35)</f>
        <v>867.35</v>
      </c>
      <c r="E4071" s="1">
        <f>IFERROR(__xludf.DUMMYFUNCTION("""COMPUTED_VALUE"""),874.2)</f>
        <v>874.2</v>
      </c>
      <c r="F4071" s="1">
        <f>IFERROR(__xludf.DUMMYFUNCTION("""COMPUTED_VALUE"""),1071858.0)</f>
        <v>1071858</v>
      </c>
    </row>
    <row r="4072">
      <c r="A4072" s="2">
        <f>IFERROR(__xludf.DUMMYFUNCTION("""COMPUTED_VALUE"""),42535.64583333333)</f>
        <v>42535.64583</v>
      </c>
      <c r="B4072" s="1">
        <f>IFERROR(__xludf.DUMMYFUNCTION("""COMPUTED_VALUE"""),872.1)</f>
        <v>872.1</v>
      </c>
      <c r="C4072" s="1">
        <f>IFERROR(__xludf.DUMMYFUNCTION("""COMPUTED_VALUE"""),875.2)</f>
        <v>875.2</v>
      </c>
      <c r="D4072" s="1">
        <f>IFERROR(__xludf.DUMMYFUNCTION("""COMPUTED_VALUE"""),860.3)</f>
        <v>860.3</v>
      </c>
      <c r="E4072" s="1">
        <f>IFERROR(__xludf.DUMMYFUNCTION("""COMPUTED_VALUE"""),865.7)</f>
        <v>865.7</v>
      </c>
      <c r="F4072" s="1">
        <f>IFERROR(__xludf.DUMMYFUNCTION("""COMPUTED_VALUE"""),826228.0)</f>
        <v>826228</v>
      </c>
    </row>
    <row r="4073">
      <c r="A4073" s="2">
        <f>IFERROR(__xludf.DUMMYFUNCTION("""COMPUTED_VALUE"""),42536.64583333333)</f>
        <v>42536.64583</v>
      </c>
      <c r="B4073" s="1">
        <f>IFERROR(__xludf.DUMMYFUNCTION("""COMPUTED_VALUE"""),868.0)</f>
        <v>868</v>
      </c>
      <c r="C4073" s="1">
        <f>IFERROR(__xludf.DUMMYFUNCTION("""COMPUTED_VALUE"""),876.6)</f>
        <v>876.6</v>
      </c>
      <c r="D4073" s="1">
        <f>IFERROR(__xludf.DUMMYFUNCTION("""COMPUTED_VALUE"""),863.0)</f>
        <v>863</v>
      </c>
      <c r="E4073" s="1">
        <f>IFERROR(__xludf.DUMMYFUNCTION("""COMPUTED_VALUE"""),874.65)</f>
        <v>874.65</v>
      </c>
      <c r="F4073" s="1">
        <f>IFERROR(__xludf.DUMMYFUNCTION("""COMPUTED_VALUE"""),863255.0)</f>
        <v>863255</v>
      </c>
    </row>
    <row r="4074">
      <c r="A4074" s="2">
        <f>IFERROR(__xludf.DUMMYFUNCTION("""COMPUTED_VALUE"""),42537.64583333333)</f>
        <v>42537.64583</v>
      </c>
      <c r="B4074" s="1">
        <f>IFERROR(__xludf.DUMMYFUNCTION("""COMPUTED_VALUE"""),871.85)</f>
        <v>871.85</v>
      </c>
      <c r="C4074" s="1">
        <f>IFERROR(__xludf.DUMMYFUNCTION("""COMPUTED_VALUE"""),880.85)</f>
        <v>880.85</v>
      </c>
      <c r="D4074" s="1">
        <f>IFERROR(__xludf.DUMMYFUNCTION("""COMPUTED_VALUE"""),859.15)</f>
        <v>859.15</v>
      </c>
      <c r="E4074" s="1">
        <f>IFERROR(__xludf.DUMMYFUNCTION("""COMPUTED_VALUE"""),879.45)</f>
        <v>879.45</v>
      </c>
      <c r="F4074" s="1">
        <f>IFERROR(__xludf.DUMMYFUNCTION("""COMPUTED_VALUE"""),803719.0)</f>
        <v>803719</v>
      </c>
    </row>
    <row r="4075">
      <c r="A4075" s="2">
        <f>IFERROR(__xludf.DUMMYFUNCTION("""COMPUTED_VALUE"""),42538.64583333333)</f>
        <v>42538.64583</v>
      </c>
      <c r="B4075" s="1">
        <f>IFERROR(__xludf.DUMMYFUNCTION("""COMPUTED_VALUE"""),883.95)</f>
        <v>883.95</v>
      </c>
      <c r="C4075" s="1">
        <f>IFERROR(__xludf.DUMMYFUNCTION("""COMPUTED_VALUE"""),884.7)</f>
        <v>884.7</v>
      </c>
      <c r="D4075" s="1">
        <f>IFERROR(__xludf.DUMMYFUNCTION("""COMPUTED_VALUE"""),872.5)</f>
        <v>872.5</v>
      </c>
      <c r="E4075" s="1">
        <f>IFERROR(__xludf.DUMMYFUNCTION("""COMPUTED_VALUE"""),881.35)</f>
        <v>881.35</v>
      </c>
      <c r="F4075" s="1">
        <f>IFERROR(__xludf.DUMMYFUNCTION("""COMPUTED_VALUE"""),849716.0)</f>
        <v>849716</v>
      </c>
    </row>
    <row r="4076">
      <c r="A4076" s="2">
        <f>IFERROR(__xludf.DUMMYFUNCTION("""COMPUTED_VALUE"""),42541.64583333333)</f>
        <v>42541.64583</v>
      </c>
      <c r="B4076" s="1">
        <f>IFERROR(__xludf.DUMMYFUNCTION("""COMPUTED_VALUE"""),875.0)</f>
        <v>875</v>
      </c>
      <c r="C4076" s="1">
        <f>IFERROR(__xludf.DUMMYFUNCTION("""COMPUTED_VALUE"""),882.35)</f>
        <v>882.35</v>
      </c>
      <c r="D4076" s="1">
        <f>IFERROR(__xludf.DUMMYFUNCTION("""COMPUTED_VALUE"""),870.55)</f>
        <v>870.55</v>
      </c>
      <c r="E4076" s="1">
        <f>IFERROR(__xludf.DUMMYFUNCTION("""COMPUTED_VALUE"""),879.4)</f>
        <v>879.4</v>
      </c>
      <c r="F4076" s="1">
        <f>IFERROR(__xludf.DUMMYFUNCTION("""COMPUTED_VALUE"""),526386.0)</f>
        <v>526386</v>
      </c>
    </row>
    <row r="4077">
      <c r="A4077" s="2">
        <f>IFERROR(__xludf.DUMMYFUNCTION("""COMPUTED_VALUE"""),42542.64583333333)</f>
        <v>42542.64583</v>
      </c>
      <c r="B4077" s="1">
        <f>IFERROR(__xludf.DUMMYFUNCTION("""COMPUTED_VALUE"""),876.5)</f>
        <v>876.5</v>
      </c>
      <c r="C4077" s="1">
        <f>IFERROR(__xludf.DUMMYFUNCTION("""COMPUTED_VALUE"""),879.0)</f>
        <v>879</v>
      </c>
      <c r="D4077" s="1">
        <f>IFERROR(__xludf.DUMMYFUNCTION("""COMPUTED_VALUE"""),866.15)</f>
        <v>866.15</v>
      </c>
      <c r="E4077" s="1">
        <f>IFERROR(__xludf.DUMMYFUNCTION("""COMPUTED_VALUE"""),870.25)</f>
        <v>870.25</v>
      </c>
      <c r="F4077" s="1">
        <f>IFERROR(__xludf.DUMMYFUNCTION("""COMPUTED_VALUE"""),1214022.0)</f>
        <v>1214022</v>
      </c>
    </row>
    <row r="4078">
      <c r="A4078" s="2">
        <f>IFERROR(__xludf.DUMMYFUNCTION("""COMPUTED_VALUE"""),42543.64583333333)</f>
        <v>42543.64583</v>
      </c>
      <c r="B4078" s="1">
        <f>IFERROR(__xludf.DUMMYFUNCTION("""COMPUTED_VALUE"""),862.95)</f>
        <v>862.95</v>
      </c>
      <c r="C4078" s="1">
        <f>IFERROR(__xludf.DUMMYFUNCTION("""COMPUTED_VALUE"""),867.75)</f>
        <v>867.75</v>
      </c>
      <c r="D4078" s="1">
        <f>IFERROR(__xludf.DUMMYFUNCTION("""COMPUTED_VALUE"""),857.0)</f>
        <v>857</v>
      </c>
      <c r="E4078" s="1">
        <f>IFERROR(__xludf.DUMMYFUNCTION("""COMPUTED_VALUE"""),859.25)</f>
        <v>859.25</v>
      </c>
      <c r="F4078" s="1">
        <f>IFERROR(__xludf.DUMMYFUNCTION("""COMPUTED_VALUE"""),723156.0)</f>
        <v>723156</v>
      </c>
    </row>
    <row r="4079">
      <c r="A4079" s="2">
        <f>IFERROR(__xludf.DUMMYFUNCTION("""COMPUTED_VALUE"""),42544.64583333333)</f>
        <v>42544.64583</v>
      </c>
      <c r="B4079" s="1">
        <f>IFERROR(__xludf.DUMMYFUNCTION("""COMPUTED_VALUE"""),860.0)</f>
        <v>860</v>
      </c>
      <c r="C4079" s="1">
        <f>IFERROR(__xludf.DUMMYFUNCTION("""COMPUTED_VALUE"""),873.0)</f>
        <v>873</v>
      </c>
      <c r="D4079" s="1">
        <f>IFERROR(__xludf.DUMMYFUNCTION("""COMPUTED_VALUE"""),854.3)</f>
        <v>854.3</v>
      </c>
      <c r="E4079" s="1">
        <f>IFERROR(__xludf.DUMMYFUNCTION("""COMPUTED_VALUE"""),869.35)</f>
        <v>869.35</v>
      </c>
      <c r="F4079" s="1">
        <f>IFERROR(__xludf.DUMMYFUNCTION("""COMPUTED_VALUE"""),574726.0)</f>
        <v>574726</v>
      </c>
    </row>
    <row r="4080">
      <c r="A4080" s="2">
        <f>IFERROR(__xludf.DUMMYFUNCTION("""COMPUTED_VALUE"""),42545.64583333333)</f>
        <v>42545.64583</v>
      </c>
      <c r="B4080" s="1">
        <f>IFERROR(__xludf.DUMMYFUNCTION("""COMPUTED_VALUE"""),858.55)</f>
        <v>858.55</v>
      </c>
      <c r="C4080" s="1">
        <f>IFERROR(__xludf.DUMMYFUNCTION("""COMPUTED_VALUE"""),862.2)</f>
        <v>862.2</v>
      </c>
      <c r="D4080" s="1">
        <f>IFERROR(__xludf.DUMMYFUNCTION("""COMPUTED_VALUE"""),847.1)</f>
        <v>847.1</v>
      </c>
      <c r="E4080" s="1">
        <f>IFERROR(__xludf.DUMMYFUNCTION("""COMPUTED_VALUE"""),859.1)</f>
        <v>859.1</v>
      </c>
      <c r="F4080" s="1">
        <f>IFERROR(__xludf.DUMMYFUNCTION("""COMPUTED_VALUE"""),1157925.0)</f>
        <v>1157925</v>
      </c>
    </row>
    <row r="4081">
      <c r="A4081" s="2">
        <f>IFERROR(__xludf.DUMMYFUNCTION("""COMPUTED_VALUE"""),42548.64583333333)</f>
        <v>42548.64583</v>
      </c>
      <c r="B4081" s="1">
        <f>IFERROR(__xludf.DUMMYFUNCTION("""COMPUTED_VALUE"""),858.0)</f>
        <v>858</v>
      </c>
      <c r="C4081" s="1">
        <f>IFERROR(__xludf.DUMMYFUNCTION("""COMPUTED_VALUE"""),873.85)</f>
        <v>873.85</v>
      </c>
      <c r="D4081" s="1">
        <f>IFERROR(__xludf.DUMMYFUNCTION("""COMPUTED_VALUE"""),855.25)</f>
        <v>855.25</v>
      </c>
      <c r="E4081" s="1">
        <f>IFERROR(__xludf.DUMMYFUNCTION("""COMPUTED_VALUE"""),858.85)</f>
        <v>858.85</v>
      </c>
      <c r="F4081" s="1">
        <f>IFERROR(__xludf.DUMMYFUNCTION("""COMPUTED_VALUE"""),815766.0)</f>
        <v>815766</v>
      </c>
    </row>
    <row r="4082">
      <c r="A4082" s="2">
        <f>IFERROR(__xludf.DUMMYFUNCTION("""COMPUTED_VALUE"""),42549.64583333333)</f>
        <v>42549.64583</v>
      </c>
      <c r="B4082" s="1">
        <f>IFERROR(__xludf.DUMMYFUNCTION("""COMPUTED_VALUE"""),861.0)</f>
        <v>861</v>
      </c>
      <c r="C4082" s="1">
        <f>IFERROR(__xludf.DUMMYFUNCTION("""COMPUTED_VALUE"""),889.95)</f>
        <v>889.95</v>
      </c>
      <c r="D4082" s="1">
        <f>IFERROR(__xludf.DUMMYFUNCTION("""COMPUTED_VALUE"""),859.0)</f>
        <v>859</v>
      </c>
      <c r="E4082" s="1">
        <f>IFERROR(__xludf.DUMMYFUNCTION("""COMPUTED_VALUE"""),887.75)</f>
        <v>887.75</v>
      </c>
      <c r="F4082" s="1">
        <f>IFERROR(__xludf.DUMMYFUNCTION("""COMPUTED_VALUE"""),1607560.0)</f>
        <v>1607560</v>
      </c>
    </row>
    <row r="4083">
      <c r="A4083" s="2">
        <f>IFERROR(__xludf.DUMMYFUNCTION("""COMPUTED_VALUE"""),42550.64583333333)</f>
        <v>42550.64583</v>
      </c>
      <c r="B4083" s="1">
        <f>IFERROR(__xludf.DUMMYFUNCTION("""COMPUTED_VALUE"""),889.9)</f>
        <v>889.9</v>
      </c>
      <c r="C4083" s="1">
        <f>IFERROR(__xludf.DUMMYFUNCTION("""COMPUTED_VALUE"""),894.15)</f>
        <v>894.15</v>
      </c>
      <c r="D4083" s="1">
        <f>IFERROR(__xludf.DUMMYFUNCTION("""COMPUTED_VALUE"""),877.0)</f>
        <v>877</v>
      </c>
      <c r="E4083" s="1">
        <f>IFERROR(__xludf.DUMMYFUNCTION("""COMPUTED_VALUE"""),883.8)</f>
        <v>883.8</v>
      </c>
      <c r="F4083" s="1">
        <f>IFERROR(__xludf.DUMMYFUNCTION("""COMPUTED_VALUE"""),857945.0)</f>
        <v>857945</v>
      </c>
    </row>
    <row r="4084">
      <c r="A4084" s="2">
        <f>IFERROR(__xludf.DUMMYFUNCTION("""COMPUTED_VALUE"""),42551.64583333333)</f>
        <v>42551.64583</v>
      </c>
      <c r="B4084" s="1">
        <f>IFERROR(__xludf.DUMMYFUNCTION("""COMPUTED_VALUE"""),891.0)</f>
        <v>891</v>
      </c>
      <c r="C4084" s="1">
        <f>IFERROR(__xludf.DUMMYFUNCTION("""COMPUTED_VALUE"""),902.9)</f>
        <v>902.9</v>
      </c>
      <c r="D4084" s="1">
        <f>IFERROR(__xludf.DUMMYFUNCTION("""COMPUTED_VALUE"""),890.55)</f>
        <v>890.55</v>
      </c>
      <c r="E4084" s="1">
        <f>IFERROR(__xludf.DUMMYFUNCTION("""COMPUTED_VALUE"""),898.55)</f>
        <v>898.55</v>
      </c>
      <c r="F4084" s="1">
        <f>IFERROR(__xludf.DUMMYFUNCTION("""COMPUTED_VALUE"""),2029009.0)</f>
        <v>2029009</v>
      </c>
    </row>
    <row r="4085">
      <c r="A4085" s="2">
        <f>IFERROR(__xludf.DUMMYFUNCTION("""COMPUTED_VALUE"""),42552.64583333333)</f>
        <v>42552.64583</v>
      </c>
      <c r="B4085" s="1">
        <f>IFERROR(__xludf.DUMMYFUNCTION("""COMPUTED_VALUE"""),898.6)</f>
        <v>898.6</v>
      </c>
      <c r="C4085" s="1">
        <f>IFERROR(__xludf.DUMMYFUNCTION("""COMPUTED_VALUE"""),904.55)</f>
        <v>904.55</v>
      </c>
      <c r="D4085" s="1">
        <f>IFERROR(__xludf.DUMMYFUNCTION("""COMPUTED_VALUE"""),886.1)</f>
        <v>886.1</v>
      </c>
      <c r="E4085" s="1">
        <f>IFERROR(__xludf.DUMMYFUNCTION("""COMPUTED_VALUE"""),897.6)</f>
        <v>897.6</v>
      </c>
      <c r="F4085" s="1">
        <f>IFERROR(__xludf.DUMMYFUNCTION("""COMPUTED_VALUE"""),1099564.0)</f>
        <v>1099564</v>
      </c>
    </row>
    <row r="4086">
      <c r="A4086" s="2">
        <f>IFERROR(__xludf.DUMMYFUNCTION("""COMPUTED_VALUE"""),42555.64583333333)</f>
        <v>42555.64583</v>
      </c>
      <c r="B4086" s="1">
        <f>IFERROR(__xludf.DUMMYFUNCTION("""COMPUTED_VALUE"""),900.0)</f>
        <v>900</v>
      </c>
      <c r="C4086" s="1">
        <f>IFERROR(__xludf.DUMMYFUNCTION("""COMPUTED_VALUE"""),902.75)</f>
        <v>902.75</v>
      </c>
      <c r="D4086" s="1">
        <f>IFERROR(__xludf.DUMMYFUNCTION("""COMPUTED_VALUE"""),888.0)</f>
        <v>888</v>
      </c>
      <c r="E4086" s="1">
        <f>IFERROR(__xludf.DUMMYFUNCTION("""COMPUTED_VALUE"""),893.05)</f>
        <v>893.05</v>
      </c>
      <c r="F4086" s="1">
        <f>IFERROR(__xludf.DUMMYFUNCTION("""COMPUTED_VALUE"""),674938.0)</f>
        <v>674938</v>
      </c>
    </row>
    <row r="4087">
      <c r="A4087" s="2">
        <f>IFERROR(__xludf.DUMMYFUNCTION("""COMPUTED_VALUE"""),42556.64583333333)</f>
        <v>42556.64583</v>
      </c>
      <c r="B4087" s="1">
        <f>IFERROR(__xludf.DUMMYFUNCTION("""COMPUTED_VALUE"""),895.2)</f>
        <v>895.2</v>
      </c>
      <c r="C4087" s="1">
        <f>IFERROR(__xludf.DUMMYFUNCTION("""COMPUTED_VALUE"""),896.2)</f>
        <v>896.2</v>
      </c>
      <c r="D4087" s="1">
        <f>IFERROR(__xludf.DUMMYFUNCTION("""COMPUTED_VALUE"""),886.85)</f>
        <v>886.85</v>
      </c>
      <c r="E4087" s="1">
        <f>IFERROR(__xludf.DUMMYFUNCTION("""COMPUTED_VALUE"""),890.2)</f>
        <v>890.2</v>
      </c>
      <c r="F4087" s="1">
        <f>IFERROR(__xludf.DUMMYFUNCTION("""COMPUTED_VALUE"""),631452.0)</f>
        <v>631452</v>
      </c>
    </row>
    <row r="4088">
      <c r="A4088" s="2">
        <f>IFERROR(__xludf.DUMMYFUNCTION("""COMPUTED_VALUE"""),42558.64583333333)</f>
        <v>42558.64583</v>
      </c>
      <c r="B4088" s="1">
        <f>IFERROR(__xludf.DUMMYFUNCTION("""COMPUTED_VALUE"""),890.0)</f>
        <v>890</v>
      </c>
      <c r="C4088" s="1">
        <f>IFERROR(__xludf.DUMMYFUNCTION("""COMPUTED_VALUE"""),920.0)</f>
        <v>920</v>
      </c>
      <c r="D4088" s="1">
        <f>IFERROR(__xludf.DUMMYFUNCTION("""COMPUTED_VALUE"""),888.6)</f>
        <v>888.6</v>
      </c>
      <c r="E4088" s="1">
        <f>IFERROR(__xludf.DUMMYFUNCTION("""COMPUTED_VALUE"""),918.3)</f>
        <v>918.3</v>
      </c>
      <c r="F4088" s="1">
        <f>IFERROR(__xludf.DUMMYFUNCTION("""COMPUTED_VALUE"""),1689043.0)</f>
        <v>1689043</v>
      </c>
    </row>
    <row r="4089">
      <c r="A4089" s="2">
        <f>IFERROR(__xludf.DUMMYFUNCTION("""COMPUTED_VALUE"""),42559.64583333333)</f>
        <v>42559.64583</v>
      </c>
      <c r="B4089" s="1">
        <f>IFERROR(__xludf.DUMMYFUNCTION("""COMPUTED_VALUE"""),919.0)</f>
        <v>919</v>
      </c>
      <c r="C4089" s="1">
        <f>IFERROR(__xludf.DUMMYFUNCTION("""COMPUTED_VALUE"""),926.3)</f>
        <v>926.3</v>
      </c>
      <c r="D4089" s="1">
        <f>IFERROR(__xludf.DUMMYFUNCTION("""COMPUTED_VALUE"""),913.45)</f>
        <v>913.45</v>
      </c>
      <c r="E4089" s="1">
        <f>IFERROR(__xludf.DUMMYFUNCTION("""COMPUTED_VALUE"""),920.7)</f>
        <v>920.7</v>
      </c>
      <c r="F4089" s="1">
        <f>IFERROR(__xludf.DUMMYFUNCTION("""COMPUTED_VALUE"""),1579861.0)</f>
        <v>1579861</v>
      </c>
    </row>
    <row r="4090">
      <c r="A4090" s="2">
        <f>IFERROR(__xludf.DUMMYFUNCTION("""COMPUTED_VALUE"""),42562.64583333333)</f>
        <v>42562.64583</v>
      </c>
      <c r="B4090" s="1">
        <f>IFERROR(__xludf.DUMMYFUNCTION("""COMPUTED_VALUE"""),927.0)</f>
        <v>927</v>
      </c>
      <c r="C4090" s="1">
        <f>IFERROR(__xludf.DUMMYFUNCTION("""COMPUTED_VALUE"""),934.9)</f>
        <v>934.9</v>
      </c>
      <c r="D4090" s="1">
        <f>IFERROR(__xludf.DUMMYFUNCTION("""COMPUTED_VALUE"""),921.35)</f>
        <v>921.35</v>
      </c>
      <c r="E4090" s="1">
        <f>IFERROR(__xludf.DUMMYFUNCTION("""COMPUTED_VALUE"""),929.4)</f>
        <v>929.4</v>
      </c>
      <c r="F4090" s="1">
        <f>IFERROR(__xludf.DUMMYFUNCTION("""COMPUTED_VALUE"""),746028.0)</f>
        <v>746028</v>
      </c>
    </row>
    <row r="4091">
      <c r="A4091" s="2">
        <f>IFERROR(__xludf.DUMMYFUNCTION("""COMPUTED_VALUE"""),42563.64583333333)</f>
        <v>42563.64583</v>
      </c>
      <c r="B4091" s="1">
        <f>IFERROR(__xludf.DUMMYFUNCTION("""COMPUTED_VALUE"""),933.9)</f>
        <v>933.9</v>
      </c>
      <c r="C4091" s="1">
        <f>IFERROR(__xludf.DUMMYFUNCTION("""COMPUTED_VALUE"""),933.9)</f>
        <v>933.9</v>
      </c>
      <c r="D4091" s="1">
        <f>IFERROR(__xludf.DUMMYFUNCTION("""COMPUTED_VALUE"""),913.65)</f>
        <v>913.65</v>
      </c>
      <c r="E4091" s="1">
        <f>IFERROR(__xludf.DUMMYFUNCTION("""COMPUTED_VALUE"""),925.3)</f>
        <v>925.3</v>
      </c>
      <c r="F4091" s="1">
        <f>IFERROR(__xludf.DUMMYFUNCTION("""COMPUTED_VALUE"""),813346.0)</f>
        <v>813346</v>
      </c>
    </row>
    <row r="4092">
      <c r="A4092" s="2">
        <f>IFERROR(__xludf.DUMMYFUNCTION("""COMPUTED_VALUE"""),42564.64583333333)</f>
        <v>42564.64583</v>
      </c>
      <c r="B4092" s="1">
        <f>IFERROR(__xludf.DUMMYFUNCTION("""COMPUTED_VALUE"""),923.1)</f>
        <v>923.1</v>
      </c>
      <c r="C4092" s="1">
        <f>IFERROR(__xludf.DUMMYFUNCTION("""COMPUTED_VALUE"""),929.75)</f>
        <v>929.75</v>
      </c>
      <c r="D4092" s="1">
        <f>IFERROR(__xludf.DUMMYFUNCTION("""COMPUTED_VALUE"""),917.45)</f>
        <v>917.45</v>
      </c>
      <c r="E4092" s="1">
        <f>IFERROR(__xludf.DUMMYFUNCTION("""COMPUTED_VALUE"""),927.45)</f>
        <v>927.45</v>
      </c>
      <c r="F4092" s="1">
        <f>IFERROR(__xludf.DUMMYFUNCTION("""COMPUTED_VALUE"""),598072.0)</f>
        <v>598072</v>
      </c>
    </row>
    <row r="4093">
      <c r="A4093" s="2">
        <f>IFERROR(__xludf.DUMMYFUNCTION("""COMPUTED_VALUE"""),42565.64583333333)</f>
        <v>42565.64583</v>
      </c>
      <c r="B4093" s="1">
        <f>IFERROR(__xludf.DUMMYFUNCTION("""COMPUTED_VALUE"""),927.0)</f>
        <v>927</v>
      </c>
      <c r="C4093" s="1">
        <f>IFERROR(__xludf.DUMMYFUNCTION("""COMPUTED_VALUE"""),935.0)</f>
        <v>935</v>
      </c>
      <c r="D4093" s="1">
        <f>IFERROR(__xludf.DUMMYFUNCTION("""COMPUTED_VALUE"""),922.05)</f>
        <v>922.05</v>
      </c>
      <c r="E4093" s="1">
        <f>IFERROR(__xludf.DUMMYFUNCTION("""COMPUTED_VALUE"""),932.95)</f>
        <v>932.95</v>
      </c>
      <c r="F4093" s="1">
        <f>IFERROR(__xludf.DUMMYFUNCTION("""COMPUTED_VALUE"""),757072.0)</f>
        <v>757072</v>
      </c>
    </row>
    <row r="4094">
      <c r="A4094" s="2">
        <f>IFERROR(__xludf.DUMMYFUNCTION("""COMPUTED_VALUE"""),42566.64583333333)</f>
        <v>42566.64583</v>
      </c>
      <c r="B4094" s="1">
        <f>IFERROR(__xludf.DUMMYFUNCTION("""COMPUTED_VALUE"""),935.0)</f>
        <v>935</v>
      </c>
      <c r="C4094" s="1">
        <f>IFERROR(__xludf.DUMMYFUNCTION("""COMPUTED_VALUE"""),951.45)</f>
        <v>951.45</v>
      </c>
      <c r="D4094" s="1">
        <f>IFERROR(__xludf.DUMMYFUNCTION("""COMPUTED_VALUE"""),932.05)</f>
        <v>932.05</v>
      </c>
      <c r="E4094" s="1">
        <f>IFERROR(__xludf.DUMMYFUNCTION("""COMPUTED_VALUE"""),941.5)</f>
        <v>941.5</v>
      </c>
      <c r="F4094" s="1">
        <f>IFERROR(__xludf.DUMMYFUNCTION("""COMPUTED_VALUE"""),1284879.0)</f>
        <v>1284879</v>
      </c>
    </row>
    <row r="4095">
      <c r="A4095" s="2">
        <f>IFERROR(__xludf.DUMMYFUNCTION("""COMPUTED_VALUE"""),42569.64583333333)</f>
        <v>42569.64583</v>
      </c>
      <c r="B4095" s="1">
        <f>IFERROR(__xludf.DUMMYFUNCTION("""COMPUTED_VALUE"""),944.0)</f>
        <v>944</v>
      </c>
      <c r="C4095" s="1">
        <f>IFERROR(__xludf.DUMMYFUNCTION("""COMPUTED_VALUE"""),946.6)</f>
        <v>946.6</v>
      </c>
      <c r="D4095" s="1">
        <f>IFERROR(__xludf.DUMMYFUNCTION("""COMPUTED_VALUE"""),910.0)</f>
        <v>910</v>
      </c>
      <c r="E4095" s="1">
        <f>IFERROR(__xludf.DUMMYFUNCTION("""COMPUTED_VALUE"""),921.95)</f>
        <v>921.95</v>
      </c>
      <c r="F4095" s="1">
        <f>IFERROR(__xludf.DUMMYFUNCTION("""COMPUTED_VALUE"""),3013256.0)</f>
        <v>3013256</v>
      </c>
    </row>
    <row r="4096">
      <c r="A4096" s="2">
        <f>IFERROR(__xludf.DUMMYFUNCTION("""COMPUTED_VALUE"""),42570.64583333333)</f>
        <v>42570.64583</v>
      </c>
      <c r="B4096" s="1">
        <f>IFERROR(__xludf.DUMMYFUNCTION("""COMPUTED_VALUE"""),904.1)</f>
        <v>904.1</v>
      </c>
      <c r="C4096" s="1">
        <f>IFERROR(__xludf.DUMMYFUNCTION("""COMPUTED_VALUE"""),906.9)</f>
        <v>906.9</v>
      </c>
      <c r="D4096" s="1">
        <f>IFERROR(__xludf.DUMMYFUNCTION("""COMPUTED_VALUE"""),888.0)</f>
        <v>888</v>
      </c>
      <c r="E4096" s="1">
        <f>IFERROR(__xludf.DUMMYFUNCTION("""COMPUTED_VALUE"""),895.15)</f>
        <v>895.15</v>
      </c>
      <c r="F4096" s="1">
        <f>IFERROR(__xludf.DUMMYFUNCTION("""COMPUTED_VALUE"""),2602482.0)</f>
        <v>2602482</v>
      </c>
    </row>
    <row r="4097">
      <c r="A4097" s="2">
        <f>IFERROR(__xludf.DUMMYFUNCTION("""COMPUTED_VALUE"""),42571.64583333333)</f>
        <v>42571.64583</v>
      </c>
      <c r="B4097" s="1">
        <f>IFERROR(__xludf.DUMMYFUNCTION("""COMPUTED_VALUE"""),899.45)</f>
        <v>899.45</v>
      </c>
      <c r="C4097" s="1">
        <f>IFERROR(__xludf.DUMMYFUNCTION("""COMPUTED_VALUE"""),910.3)</f>
        <v>910.3</v>
      </c>
      <c r="D4097" s="1">
        <f>IFERROR(__xludf.DUMMYFUNCTION("""COMPUTED_VALUE"""),897.2)</f>
        <v>897.2</v>
      </c>
      <c r="E4097" s="1">
        <f>IFERROR(__xludf.DUMMYFUNCTION("""COMPUTED_VALUE"""),906.9)</f>
        <v>906.9</v>
      </c>
      <c r="F4097" s="1">
        <f>IFERROR(__xludf.DUMMYFUNCTION("""COMPUTED_VALUE"""),897886.0)</f>
        <v>897886</v>
      </c>
    </row>
    <row r="4098">
      <c r="A4098" s="2">
        <f>IFERROR(__xludf.DUMMYFUNCTION("""COMPUTED_VALUE"""),42572.64583333333)</f>
        <v>42572.64583</v>
      </c>
      <c r="B4098" s="1">
        <f>IFERROR(__xludf.DUMMYFUNCTION("""COMPUTED_VALUE"""),907.0)</f>
        <v>907</v>
      </c>
      <c r="C4098" s="1">
        <f>IFERROR(__xludf.DUMMYFUNCTION("""COMPUTED_VALUE"""),913.65)</f>
        <v>913.65</v>
      </c>
      <c r="D4098" s="1">
        <f>IFERROR(__xludf.DUMMYFUNCTION("""COMPUTED_VALUE"""),900.5)</f>
        <v>900.5</v>
      </c>
      <c r="E4098" s="1">
        <f>IFERROR(__xludf.DUMMYFUNCTION("""COMPUTED_VALUE"""),910.05)</f>
        <v>910.05</v>
      </c>
      <c r="F4098" s="1">
        <f>IFERROR(__xludf.DUMMYFUNCTION("""COMPUTED_VALUE"""),876194.0)</f>
        <v>876194</v>
      </c>
    </row>
    <row r="4099">
      <c r="A4099" s="2">
        <f>IFERROR(__xludf.DUMMYFUNCTION("""COMPUTED_VALUE"""),42573.64583333333)</f>
        <v>42573.64583</v>
      </c>
      <c r="B4099" s="1">
        <f>IFERROR(__xludf.DUMMYFUNCTION("""COMPUTED_VALUE"""),911.2)</f>
        <v>911.2</v>
      </c>
      <c r="C4099" s="1">
        <f>IFERROR(__xludf.DUMMYFUNCTION("""COMPUTED_VALUE"""),915.0)</f>
        <v>915</v>
      </c>
      <c r="D4099" s="1">
        <f>IFERROR(__xludf.DUMMYFUNCTION("""COMPUTED_VALUE"""),897.0)</f>
        <v>897</v>
      </c>
      <c r="E4099" s="1">
        <f>IFERROR(__xludf.DUMMYFUNCTION("""COMPUTED_VALUE"""),903.2)</f>
        <v>903.2</v>
      </c>
      <c r="F4099" s="1">
        <f>IFERROR(__xludf.DUMMYFUNCTION("""COMPUTED_VALUE"""),967993.0)</f>
        <v>967993</v>
      </c>
    </row>
    <row r="4100">
      <c r="A4100" s="2">
        <f>IFERROR(__xludf.DUMMYFUNCTION("""COMPUTED_VALUE"""),42576.64583333333)</f>
        <v>42576.64583</v>
      </c>
      <c r="B4100" s="1">
        <f>IFERROR(__xludf.DUMMYFUNCTION("""COMPUTED_VALUE"""),900.5)</f>
        <v>900.5</v>
      </c>
      <c r="C4100" s="1">
        <f>IFERROR(__xludf.DUMMYFUNCTION("""COMPUTED_VALUE"""),909.3)</f>
        <v>909.3</v>
      </c>
      <c r="D4100" s="1">
        <f>IFERROR(__xludf.DUMMYFUNCTION("""COMPUTED_VALUE"""),895.7)</f>
        <v>895.7</v>
      </c>
      <c r="E4100" s="1">
        <f>IFERROR(__xludf.DUMMYFUNCTION("""COMPUTED_VALUE"""),906.95)</f>
        <v>906.95</v>
      </c>
      <c r="F4100" s="1">
        <f>IFERROR(__xludf.DUMMYFUNCTION("""COMPUTED_VALUE"""),1297630.0)</f>
        <v>1297630</v>
      </c>
    </row>
    <row r="4101">
      <c r="A4101" s="2">
        <f>IFERROR(__xludf.DUMMYFUNCTION("""COMPUTED_VALUE"""),42577.64583333333)</f>
        <v>42577.64583</v>
      </c>
      <c r="B4101" s="1">
        <f>IFERROR(__xludf.DUMMYFUNCTION("""COMPUTED_VALUE"""),911.9)</f>
        <v>911.9</v>
      </c>
      <c r="C4101" s="1">
        <f>IFERROR(__xludf.DUMMYFUNCTION("""COMPUTED_VALUE"""),911.9)</f>
        <v>911.9</v>
      </c>
      <c r="D4101" s="1">
        <f>IFERROR(__xludf.DUMMYFUNCTION("""COMPUTED_VALUE"""),899.0)</f>
        <v>899</v>
      </c>
      <c r="E4101" s="1">
        <f>IFERROR(__xludf.DUMMYFUNCTION("""COMPUTED_VALUE"""),902.7)</f>
        <v>902.7</v>
      </c>
      <c r="F4101" s="1">
        <f>IFERROR(__xludf.DUMMYFUNCTION("""COMPUTED_VALUE"""),1094799.0)</f>
        <v>1094799</v>
      </c>
    </row>
    <row r="4102">
      <c r="A4102" s="2">
        <f>IFERROR(__xludf.DUMMYFUNCTION("""COMPUTED_VALUE"""),42578.64583333333)</f>
        <v>42578.64583</v>
      </c>
      <c r="B4102" s="1">
        <f>IFERROR(__xludf.DUMMYFUNCTION("""COMPUTED_VALUE"""),900.0)</f>
        <v>900</v>
      </c>
      <c r="C4102" s="1">
        <f>IFERROR(__xludf.DUMMYFUNCTION("""COMPUTED_VALUE"""),909.45)</f>
        <v>909.45</v>
      </c>
      <c r="D4102" s="1">
        <f>IFERROR(__xludf.DUMMYFUNCTION("""COMPUTED_VALUE"""),898.25)</f>
        <v>898.25</v>
      </c>
      <c r="E4102" s="1">
        <f>IFERROR(__xludf.DUMMYFUNCTION("""COMPUTED_VALUE"""),903.85)</f>
        <v>903.85</v>
      </c>
      <c r="F4102" s="1">
        <f>IFERROR(__xludf.DUMMYFUNCTION("""COMPUTED_VALUE"""),1168069.0)</f>
        <v>1168069</v>
      </c>
    </row>
    <row r="4103">
      <c r="A4103" s="2">
        <f>IFERROR(__xludf.DUMMYFUNCTION("""COMPUTED_VALUE"""),42579.64583333333)</f>
        <v>42579.64583</v>
      </c>
      <c r="B4103" s="1">
        <f>IFERROR(__xludf.DUMMYFUNCTION("""COMPUTED_VALUE"""),904.9)</f>
        <v>904.9</v>
      </c>
      <c r="C4103" s="1">
        <f>IFERROR(__xludf.DUMMYFUNCTION("""COMPUTED_VALUE"""),913.0)</f>
        <v>913</v>
      </c>
      <c r="D4103" s="1">
        <f>IFERROR(__xludf.DUMMYFUNCTION("""COMPUTED_VALUE"""),895.1)</f>
        <v>895.1</v>
      </c>
      <c r="E4103" s="1">
        <f>IFERROR(__xludf.DUMMYFUNCTION("""COMPUTED_VALUE"""),909.4)</f>
        <v>909.4</v>
      </c>
      <c r="F4103" s="1">
        <f>IFERROR(__xludf.DUMMYFUNCTION("""COMPUTED_VALUE"""),1760367.0)</f>
        <v>1760367</v>
      </c>
    </row>
    <row r="4104">
      <c r="A4104" s="2">
        <f>IFERROR(__xludf.DUMMYFUNCTION("""COMPUTED_VALUE"""),42580.64583333333)</f>
        <v>42580.64583</v>
      </c>
      <c r="B4104" s="1">
        <f>IFERROR(__xludf.DUMMYFUNCTION("""COMPUTED_VALUE"""),905.4)</f>
        <v>905.4</v>
      </c>
      <c r="C4104" s="1">
        <f>IFERROR(__xludf.DUMMYFUNCTION("""COMPUTED_VALUE"""),925.0)</f>
        <v>925</v>
      </c>
      <c r="D4104" s="1">
        <f>IFERROR(__xludf.DUMMYFUNCTION("""COMPUTED_VALUE"""),902.55)</f>
        <v>902.55</v>
      </c>
      <c r="E4104" s="1">
        <f>IFERROR(__xludf.DUMMYFUNCTION("""COMPUTED_VALUE"""),922.55)</f>
        <v>922.55</v>
      </c>
      <c r="F4104" s="1">
        <f>IFERROR(__xludf.DUMMYFUNCTION("""COMPUTED_VALUE"""),1284438.0)</f>
        <v>1284438</v>
      </c>
    </row>
    <row r="4105">
      <c r="A4105" s="2">
        <f>IFERROR(__xludf.DUMMYFUNCTION("""COMPUTED_VALUE"""),42583.64583333333)</f>
        <v>42583.64583</v>
      </c>
      <c r="B4105" s="1">
        <f>IFERROR(__xludf.DUMMYFUNCTION("""COMPUTED_VALUE"""),930.0)</f>
        <v>930</v>
      </c>
      <c r="C4105" s="1">
        <f>IFERROR(__xludf.DUMMYFUNCTION("""COMPUTED_VALUE"""),930.05)</f>
        <v>930.05</v>
      </c>
      <c r="D4105" s="1">
        <f>IFERROR(__xludf.DUMMYFUNCTION("""COMPUTED_VALUE"""),916.15)</f>
        <v>916.15</v>
      </c>
      <c r="E4105" s="1">
        <f>IFERROR(__xludf.DUMMYFUNCTION("""COMPUTED_VALUE"""),925.0)</f>
        <v>925</v>
      </c>
      <c r="F4105" s="1">
        <f>IFERROR(__xludf.DUMMYFUNCTION("""COMPUTED_VALUE"""),1270582.0)</f>
        <v>1270582</v>
      </c>
    </row>
    <row r="4106">
      <c r="A4106" s="2">
        <f>IFERROR(__xludf.DUMMYFUNCTION("""COMPUTED_VALUE"""),42584.64583333333)</f>
        <v>42584.64583</v>
      </c>
      <c r="B4106" s="1">
        <f>IFERROR(__xludf.DUMMYFUNCTION("""COMPUTED_VALUE"""),928.9)</f>
        <v>928.9</v>
      </c>
      <c r="C4106" s="1">
        <f>IFERROR(__xludf.DUMMYFUNCTION("""COMPUTED_VALUE"""),940.85)</f>
        <v>940.85</v>
      </c>
      <c r="D4106" s="1">
        <f>IFERROR(__xludf.DUMMYFUNCTION("""COMPUTED_VALUE"""),924.2)</f>
        <v>924.2</v>
      </c>
      <c r="E4106" s="1">
        <f>IFERROR(__xludf.DUMMYFUNCTION("""COMPUTED_VALUE"""),927.4)</f>
        <v>927.4</v>
      </c>
      <c r="F4106" s="1">
        <f>IFERROR(__xludf.DUMMYFUNCTION("""COMPUTED_VALUE"""),1442265.0)</f>
        <v>1442265</v>
      </c>
    </row>
    <row r="4107">
      <c r="A4107" s="2">
        <f>IFERROR(__xludf.DUMMYFUNCTION("""COMPUTED_VALUE"""),42585.64583333333)</f>
        <v>42585.64583</v>
      </c>
      <c r="B4107" s="1">
        <f>IFERROR(__xludf.DUMMYFUNCTION("""COMPUTED_VALUE"""),926.8)</f>
        <v>926.8</v>
      </c>
      <c r="C4107" s="1">
        <f>IFERROR(__xludf.DUMMYFUNCTION("""COMPUTED_VALUE"""),926.8)</f>
        <v>926.8</v>
      </c>
      <c r="D4107" s="1">
        <f>IFERROR(__xludf.DUMMYFUNCTION("""COMPUTED_VALUE"""),909.55)</f>
        <v>909.55</v>
      </c>
      <c r="E4107" s="1">
        <f>IFERROR(__xludf.DUMMYFUNCTION("""COMPUTED_VALUE"""),913.8)</f>
        <v>913.8</v>
      </c>
      <c r="F4107" s="1">
        <f>IFERROR(__xludf.DUMMYFUNCTION("""COMPUTED_VALUE"""),1067729.0)</f>
        <v>1067729</v>
      </c>
    </row>
    <row r="4108">
      <c r="A4108" s="2">
        <f>IFERROR(__xludf.DUMMYFUNCTION("""COMPUTED_VALUE"""),42586.64583333333)</f>
        <v>42586.64583</v>
      </c>
      <c r="B4108" s="1">
        <f>IFERROR(__xludf.DUMMYFUNCTION("""COMPUTED_VALUE"""),922.0)</f>
        <v>922</v>
      </c>
      <c r="C4108" s="1">
        <f>IFERROR(__xludf.DUMMYFUNCTION("""COMPUTED_VALUE"""),922.25)</f>
        <v>922.25</v>
      </c>
      <c r="D4108" s="1">
        <f>IFERROR(__xludf.DUMMYFUNCTION("""COMPUTED_VALUE"""),908.85)</f>
        <v>908.85</v>
      </c>
      <c r="E4108" s="1">
        <f>IFERROR(__xludf.DUMMYFUNCTION("""COMPUTED_VALUE"""),918.05)</f>
        <v>918.05</v>
      </c>
      <c r="F4108" s="1">
        <f>IFERROR(__xludf.DUMMYFUNCTION("""COMPUTED_VALUE"""),685515.0)</f>
        <v>685515</v>
      </c>
    </row>
    <row r="4109">
      <c r="A4109" s="2">
        <f>IFERROR(__xludf.DUMMYFUNCTION("""COMPUTED_VALUE"""),42587.64583333333)</f>
        <v>42587.64583</v>
      </c>
      <c r="B4109" s="1">
        <f>IFERROR(__xludf.DUMMYFUNCTION("""COMPUTED_VALUE"""),921.15)</f>
        <v>921.15</v>
      </c>
      <c r="C4109" s="1">
        <f>IFERROR(__xludf.DUMMYFUNCTION("""COMPUTED_VALUE"""),928.65)</f>
        <v>928.65</v>
      </c>
      <c r="D4109" s="1">
        <f>IFERROR(__xludf.DUMMYFUNCTION("""COMPUTED_VALUE"""),916.4)</f>
        <v>916.4</v>
      </c>
      <c r="E4109" s="1">
        <f>IFERROR(__xludf.DUMMYFUNCTION("""COMPUTED_VALUE"""),925.5)</f>
        <v>925.5</v>
      </c>
      <c r="F4109" s="1">
        <f>IFERROR(__xludf.DUMMYFUNCTION("""COMPUTED_VALUE"""),936293.0)</f>
        <v>936293</v>
      </c>
    </row>
    <row r="4110">
      <c r="A4110" s="2">
        <f>IFERROR(__xludf.DUMMYFUNCTION("""COMPUTED_VALUE"""),42590.64583333333)</f>
        <v>42590.64583</v>
      </c>
      <c r="B4110" s="1">
        <f>IFERROR(__xludf.DUMMYFUNCTION("""COMPUTED_VALUE"""),926.55)</f>
        <v>926.55</v>
      </c>
      <c r="C4110" s="1">
        <f>IFERROR(__xludf.DUMMYFUNCTION("""COMPUTED_VALUE"""),934.35)</f>
        <v>934.35</v>
      </c>
      <c r="D4110" s="1">
        <f>IFERROR(__xludf.DUMMYFUNCTION("""COMPUTED_VALUE"""),922.4)</f>
        <v>922.4</v>
      </c>
      <c r="E4110" s="1">
        <f>IFERROR(__xludf.DUMMYFUNCTION("""COMPUTED_VALUE"""),929.5)</f>
        <v>929.5</v>
      </c>
      <c r="F4110" s="1">
        <f>IFERROR(__xludf.DUMMYFUNCTION("""COMPUTED_VALUE"""),640018.0)</f>
        <v>640018</v>
      </c>
    </row>
    <row r="4111">
      <c r="A4111" s="2">
        <f>IFERROR(__xludf.DUMMYFUNCTION("""COMPUTED_VALUE"""),42591.64583333333)</f>
        <v>42591.64583</v>
      </c>
      <c r="B4111" s="1">
        <f>IFERROR(__xludf.DUMMYFUNCTION("""COMPUTED_VALUE"""),929.5)</f>
        <v>929.5</v>
      </c>
      <c r="C4111" s="1">
        <f>IFERROR(__xludf.DUMMYFUNCTION("""COMPUTED_VALUE"""),935.9)</f>
        <v>935.9</v>
      </c>
      <c r="D4111" s="1">
        <f>IFERROR(__xludf.DUMMYFUNCTION("""COMPUTED_VALUE"""),924.15)</f>
        <v>924.15</v>
      </c>
      <c r="E4111" s="1">
        <f>IFERROR(__xludf.DUMMYFUNCTION("""COMPUTED_VALUE"""),934.25)</f>
        <v>934.25</v>
      </c>
      <c r="F4111" s="1">
        <f>IFERROR(__xludf.DUMMYFUNCTION("""COMPUTED_VALUE"""),912239.0)</f>
        <v>912239</v>
      </c>
    </row>
    <row r="4112">
      <c r="A4112" s="2">
        <f>IFERROR(__xludf.DUMMYFUNCTION("""COMPUTED_VALUE"""),42592.64583333333)</f>
        <v>42592.64583</v>
      </c>
      <c r="B4112" s="1">
        <f>IFERROR(__xludf.DUMMYFUNCTION("""COMPUTED_VALUE"""),935.0)</f>
        <v>935</v>
      </c>
      <c r="C4112" s="1">
        <f>IFERROR(__xludf.DUMMYFUNCTION("""COMPUTED_VALUE"""),935.35)</f>
        <v>935.35</v>
      </c>
      <c r="D4112" s="1">
        <f>IFERROR(__xludf.DUMMYFUNCTION("""COMPUTED_VALUE"""),922.8)</f>
        <v>922.8</v>
      </c>
      <c r="E4112" s="1">
        <f>IFERROR(__xludf.DUMMYFUNCTION("""COMPUTED_VALUE"""),924.95)</f>
        <v>924.95</v>
      </c>
      <c r="F4112" s="1">
        <f>IFERROR(__xludf.DUMMYFUNCTION("""COMPUTED_VALUE"""),675289.0)</f>
        <v>675289</v>
      </c>
    </row>
    <row r="4113">
      <c r="A4113" s="2">
        <f>IFERROR(__xludf.DUMMYFUNCTION("""COMPUTED_VALUE"""),42593.64583333333)</f>
        <v>42593.64583</v>
      </c>
      <c r="B4113" s="1">
        <f>IFERROR(__xludf.DUMMYFUNCTION("""COMPUTED_VALUE"""),924.9)</f>
        <v>924.9</v>
      </c>
      <c r="C4113" s="1">
        <f>IFERROR(__xludf.DUMMYFUNCTION("""COMPUTED_VALUE"""),938.1)</f>
        <v>938.1</v>
      </c>
      <c r="D4113" s="1">
        <f>IFERROR(__xludf.DUMMYFUNCTION("""COMPUTED_VALUE"""),922.55)</f>
        <v>922.55</v>
      </c>
      <c r="E4113" s="1">
        <f>IFERROR(__xludf.DUMMYFUNCTION("""COMPUTED_VALUE"""),935.65)</f>
        <v>935.65</v>
      </c>
      <c r="F4113" s="1">
        <f>IFERROR(__xludf.DUMMYFUNCTION("""COMPUTED_VALUE"""),859803.0)</f>
        <v>859803</v>
      </c>
    </row>
    <row r="4114">
      <c r="A4114" s="2">
        <f>IFERROR(__xludf.DUMMYFUNCTION("""COMPUTED_VALUE"""),42594.64583333333)</f>
        <v>42594.64583</v>
      </c>
      <c r="B4114" s="1">
        <f>IFERROR(__xludf.DUMMYFUNCTION("""COMPUTED_VALUE"""),934.8)</f>
        <v>934.8</v>
      </c>
      <c r="C4114" s="1">
        <f>IFERROR(__xludf.DUMMYFUNCTION("""COMPUTED_VALUE"""),947.0)</f>
        <v>947</v>
      </c>
      <c r="D4114" s="1">
        <f>IFERROR(__xludf.DUMMYFUNCTION("""COMPUTED_VALUE"""),926.0)</f>
        <v>926</v>
      </c>
      <c r="E4114" s="1">
        <f>IFERROR(__xludf.DUMMYFUNCTION("""COMPUTED_VALUE"""),935.0)</f>
        <v>935</v>
      </c>
      <c r="F4114" s="1">
        <f>IFERROR(__xludf.DUMMYFUNCTION("""COMPUTED_VALUE"""),664203.0)</f>
        <v>664203</v>
      </c>
    </row>
    <row r="4115">
      <c r="A4115" s="2">
        <f>IFERROR(__xludf.DUMMYFUNCTION("""COMPUTED_VALUE"""),42598.64583333333)</f>
        <v>42598.64583</v>
      </c>
      <c r="B4115" s="1">
        <f>IFERROR(__xludf.DUMMYFUNCTION("""COMPUTED_VALUE"""),931.25)</f>
        <v>931.25</v>
      </c>
      <c r="C4115" s="1">
        <f>IFERROR(__xludf.DUMMYFUNCTION("""COMPUTED_VALUE"""),943.9)</f>
        <v>943.9</v>
      </c>
      <c r="D4115" s="1">
        <f>IFERROR(__xludf.DUMMYFUNCTION("""COMPUTED_VALUE"""),921.35)</f>
        <v>921.35</v>
      </c>
      <c r="E4115" s="1">
        <f>IFERROR(__xludf.DUMMYFUNCTION("""COMPUTED_VALUE"""),926.2)</f>
        <v>926.2</v>
      </c>
      <c r="F4115" s="1">
        <f>IFERROR(__xludf.DUMMYFUNCTION("""COMPUTED_VALUE"""),847402.0)</f>
        <v>847402</v>
      </c>
    </row>
    <row r="4116">
      <c r="A4116" s="2">
        <f>IFERROR(__xludf.DUMMYFUNCTION("""COMPUTED_VALUE"""),42599.64583333333)</f>
        <v>42599.64583</v>
      </c>
      <c r="B4116" s="1">
        <f>IFERROR(__xludf.DUMMYFUNCTION("""COMPUTED_VALUE"""),924.9)</f>
        <v>924.9</v>
      </c>
      <c r="C4116" s="1">
        <f>IFERROR(__xludf.DUMMYFUNCTION("""COMPUTED_VALUE"""),925.7)</f>
        <v>925.7</v>
      </c>
      <c r="D4116" s="1">
        <f>IFERROR(__xludf.DUMMYFUNCTION("""COMPUTED_VALUE"""),910.3)</f>
        <v>910.3</v>
      </c>
      <c r="E4116" s="1">
        <f>IFERROR(__xludf.DUMMYFUNCTION("""COMPUTED_VALUE"""),913.2)</f>
        <v>913.2</v>
      </c>
      <c r="F4116" s="1">
        <f>IFERROR(__xludf.DUMMYFUNCTION("""COMPUTED_VALUE"""),685242.0)</f>
        <v>685242</v>
      </c>
    </row>
    <row r="4117">
      <c r="A4117" s="2">
        <f>IFERROR(__xludf.DUMMYFUNCTION("""COMPUTED_VALUE"""),42600.64583333333)</f>
        <v>42600.64583</v>
      </c>
      <c r="B4117" s="1">
        <f>IFERROR(__xludf.DUMMYFUNCTION("""COMPUTED_VALUE"""),913.0)</f>
        <v>913</v>
      </c>
      <c r="C4117" s="1">
        <f>IFERROR(__xludf.DUMMYFUNCTION("""COMPUTED_VALUE"""),916.7)</f>
        <v>916.7</v>
      </c>
      <c r="D4117" s="1">
        <f>IFERROR(__xludf.DUMMYFUNCTION("""COMPUTED_VALUE"""),905.25)</f>
        <v>905.25</v>
      </c>
      <c r="E4117" s="1">
        <f>IFERROR(__xludf.DUMMYFUNCTION("""COMPUTED_VALUE"""),906.9)</f>
        <v>906.9</v>
      </c>
      <c r="F4117" s="1">
        <f>IFERROR(__xludf.DUMMYFUNCTION("""COMPUTED_VALUE"""),1047855.0)</f>
        <v>1047855</v>
      </c>
    </row>
    <row r="4118">
      <c r="A4118" s="2">
        <f>IFERROR(__xludf.DUMMYFUNCTION("""COMPUTED_VALUE"""),42601.64583333333)</f>
        <v>42601.64583</v>
      </c>
      <c r="B4118" s="1">
        <f>IFERROR(__xludf.DUMMYFUNCTION("""COMPUTED_VALUE"""),909.0)</f>
        <v>909</v>
      </c>
      <c r="C4118" s="1">
        <f>IFERROR(__xludf.DUMMYFUNCTION("""COMPUTED_VALUE"""),915.7)</f>
        <v>915.7</v>
      </c>
      <c r="D4118" s="1">
        <f>IFERROR(__xludf.DUMMYFUNCTION("""COMPUTED_VALUE"""),901.25)</f>
        <v>901.25</v>
      </c>
      <c r="E4118" s="1">
        <f>IFERROR(__xludf.DUMMYFUNCTION("""COMPUTED_VALUE"""),910.65)</f>
        <v>910.65</v>
      </c>
      <c r="F4118" s="1">
        <f>IFERROR(__xludf.DUMMYFUNCTION("""COMPUTED_VALUE"""),1232642.0)</f>
        <v>1232642</v>
      </c>
    </row>
    <row r="4119">
      <c r="A4119" s="2">
        <f>IFERROR(__xludf.DUMMYFUNCTION("""COMPUTED_VALUE"""),42604.64583333333)</f>
        <v>42604.64583</v>
      </c>
      <c r="B4119" s="1">
        <f>IFERROR(__xludf.DUMMYFUNCTION("""COMPUTED_VALUE"""),911.9)</f>
        <v>911.9</v>
      </c>
      <c r="C4119" s="1">
        <f>IFERROR(__xludf.DUMMYFUNCTION("""COMPUTED_VALUE"""),933.9)</f>
        <v>933.9</v>
      </c>
      <c r="D4119" s="1">
        <f>IFERROR(__xludf.DUMMYFUNCTION("""COMPUTED_VALUE"""),911.9)</f>
        <v>911.9</v>
      </c>
      <c r="E4119" s="1">
        <f>IFERROR(__xludf.DUMMYFUNCTION("""COMPUTED_VALUE"""),930.05)</f>
        <v>930.05</v>
      </c>
      <c r="F4119" s="1">
        <f>IFERROR(__xludf.DUMMYFUNCTION("""COMPUTED_VALUE"""),1405730.0)</f>
        <v>1405730</v>
      </c>
    </row>
    <row r="4120">
      <c r="A4120" s="2">
        <f>IFERROR(__xludf.DUMMYFUNCTION("""COMPUTED_VALUE"""),42605.64583333333)</f>
        <v>42605.64583</v>
      </c>
      <c r="B4120" s="1">
        <f>IFERROR(__xludf.DUMMYFUNCTION("""COMPUTED_VALUE"""),931.0)</f>
        <v>931</v>
      </c>
      <c r="C4120" s="1">
        <f>IFERROR(__xludf.DUMMYFUNCTION("""COMPUTED_VALUE"""),931.65)</f>
        <v>931.65</v>
      </c>
      <c r="D4120" s="1">
        <f>IFERROR(__xludf.DUMMYFUNCTION("""COMPUTED_VALUE"""),919.05)</f>
        <v>919.05</v>
      </c>
      <c r="E4120" s="1">
        <f>IFERROR(__xludf.DUMMYFUNCTION("""COMPUTED_VALUE"""),921.7)</f>
        <v>921.7</v>
      </c>
      <c r="F4120" s="1">
        <f>IFERROR(__xludf.DUMMYFUNCTION("""COMPUTED_VALUE"""),923109.0)</f>
        <v>923109</v>
      </c>
    </row>
    <row r="4121">
      <c r="A4121" s="2">
        <f>IFERROR(__xludf.DUMMYFUNCTION("""COMPUTED_VALUE"""),42606.64583333333)</f>
        <v>42606.64583</v>
      </c>
      <c r="B4121" s="1">
        <f>IFERROR(__xludf.DUMMYFUNCTION("""COMPUTED_VALUE"""),921.0)</f>
        <v>921</v>
      </c>
      <c r="C4121" s="1">
        <f>IFERROR(__xludf.DUMMYFUNCTION("""COMPUTED_VALUE"""),924.95)</f>
        <v>924.95</v>
      </c>
      <c r="D4121" s="1">
        <f>IFERROR(__xludf.DUMMYFUNCTION("""COMPUTED_VALUE"""),908.25)</f>
        <v>908.25</v>
      </c>
      <c r="E4121" s="1">
        <f>IFERROR(__xludf.DUMMYFUNCTION("""COMPUTED_VALUE"""),919.4)</f>
        <v>919.4</v>
      </c>
      <c r="F4121" s="1">
        <f>IFERROR(__xludf.DUMMYFUNCTION("""COMPUTED_VALUE"""),929753.0)</f>
        <v>929753</v>
      </c>
    </row>
    <row r="4122">
      <c r="A4122" s="2">
        <f>IFERROR(__xludf.DUMMYFUNCTION("""COMPUTED_VALUE"""),42607.64583333333)</f>
        <v>42607.64583</v>
      </c>
      <c r="B4122" s="1">
        <f>IFERROR(__xludf.DUMMYFUNCTION("""COMPUTED_VALUE"""),921.0)</f>
        <v>921</v>
      </c>
      <c r="C4122" s="1">
        <f>IFERROR(__xludf.DUMMYFUNCTION("""COMPUTED_VALUE"""),922.0)</f>
        <v>922</v>
      </c>
      <c r="D4122" s="1">
        <f>IFERROR(__xludf.DUMMYFUNCTION("""COMPUTED_VALUE"""),907.2)</f>
        <v>907.2</v>
      </c>
      <c r="E4122" s="1">
        <f>IFERROR(__xludf.DUMMYFUNCTION("""COMPUTED_VALUE"""),910.8)</f>
        <v>910.8</v>
      </c>
      <c r="F4122" s="1">
        <f>IFERROR(__xludf.DUMMYFUNCTION("""COMPUTED_VALUE"""),1760911.0)</f>
        <v>1760911</v>
      </c>
    </row>
    <row r="4123">
      <c r="A4123" s="2">
        <f>IFERROR(__xludf.DUMMYFUNCTION("""COMPUTED_VALUE"""),42608.64583333333)</f>
        <v>42608.64583</v>
      </c>
      <c r="B4123" s="1">
        <f>IFERROR(__xludf.DUMMYFUNCTION("""COMPUTED_VALUE"""),914.8)</f>
        <v>914.8</v>
      </c>
      <c r="C4123" s="1">
        <f>IFERROR(__xludf.DUMMYFUNCTION("""COMPUTED_VALUE"""),914.8)</f>
        <v>914.8</v>
      </c>
      <c r="D4123" s="1">
        <f>IFERROR(__xludf.DUMMYFUNCTION("""COMPUTED_VALUE"""),900.0)</f>
        <v>900</v>
      </c>
      <c r="E4123" s="1">
        <f>IFERROR(__xludf.DUMMYFUNCTION("""COMPUTED_VALUE"""),904.5)</f>
        <v>904.5</v>
      </c>
      <c r="F4123" s="1">
        <f>IFERROR(__xludf.DUMMYFUNCTION("""COMPUTED_VALUE"""),753284.0)</f>
        <v>753284</v>
      </c>
    </row>
    <row r="4124">
      <c r="A4124" s="2">
        <f>IFERROR(__xludf.DUMMYFUNCTION("""COMPUTED_VALUE"""),42611.64583333333)</f>
        <v>42611.64583</v>
      </c>
      <c r="B4124" s="1">
        <f>IFERROR(__xludf.DUMMYFUNCTION("""COMPUTED_VALUE"""),906.0)</f>
        <v>906</v>
      </c>
      <c r="C4124" s="1">
        <f>IFERROR(__xludf.DUMMYFUNCTION("""COMPUTED_VALUE"""),908.0)</f>
        <v>908</v>
      </c>
      <c r="D4124" s="1">
        <f>IFERROR(__xludf.DUMMYFUNCTION("""COMPUTED_VALUE"""),901.0)</f>
        <v>901</v>
      </c>
      <c r="E4124" s="1">
        <f>IFERROR(__xludf.DUMMYFUNCTION("""COMPUTED_VALUE"""),905.2)</f>
        <v>905.2</v>
      </c>
      <c r="F4124" s="1">
        <f>IFERROR(__xludf.DUMMYFUNCTION("""COMPUTED_VALUE"""),488018.0)</f>
        <v>488018</v>
      </c>
    </row>
    <row r="4125">
      <c r="A4125" s="2">
        <f>IFERROR(__xludf.DUMMYFUNCTION("""COMPUTED_VALUE"""),42612.64583333333)</f>
        <v>42612.64583</v>
      </c>
      <c r="B4125" s="1">
        <f>IFERROR(__xludf.DUMMYFUNCTION("""COMPUTED_VALUE"""),908.0)</f>
        <v>908</v>
      </c>
      <c r="C4125" s="1">
        <f>IFERROR(__xludf.DUMMYFUNCTION("""COMPUTED_VALUE"""),926.3)</f>
        <v>926.3</v>
      </c>
      <c r="D4125" s="1">
        <f>IFERROR(__xludf.DUMMYFUNCTION("""COMPUTED_VALUE"""),907.6)</f>
        <v>907.6</v>
      </c>
      <c r="E4125" s="1">
        <f>IFERROR(__xludf.DUMMYFUNCTION("""COMPUTED_VALUE"""),924.8)</f>
        <v>924.8</v>
      </c>
      <c r="F4125" s="1">
        <f>IFERROR(__xludf.DUMMYFUNCTION("""COMPUTED_VALUE"""),921470.0)</f>
        <v>921470</v>
      </c>
    </row>
    <row r="4126">
      <c r="A4126" s="2">
        <f>IFERROR(__xludf.DUMMYFUNCTION("""COMPUTED_VALUE"""),42613.64583333333)</f>
        <v>42613.64583</v>
      </c>
      <c r="B4126" s="1">
        <f>IFERROR(__xludf.DUMMYFUNCTION("""COMPUTED_VALUE"""),925.0)</f>
        <v>925</v>
      </c>
      <c r="C4126" s="1">
        <f>IFERROR(__xludf.DUMMYFUNCTION("""COMPUTED_VALUE"""),926.5)</f>
        <v>926.5</v>
      </c>
      <c r="D4126" s="1">
        <f>IFERROR(__xludf.DUMMYFUNCTION("""COMPUTED_VALUE"""),911.85)</f>
        <v>911.85</v>
      </c>
      <c r="E4126" s="1">
        <f>IFERROR(__xludf.DUMMYFUNCTION("""COMPUTED_VALUE"""),917.05)</f>
        <v>917.05</v>
      </c>
      <c r="F4126" s="1">
        <f>IFERROR(__xludf.DUMMYFUNCTION("""COMPUTED_VALUE"""),2185015.0)</f>
        <v>2185015</v>
      </c>
    </row>
    <row r="4127">
      <c r="A4127" s="2">
        <f>IFERROR(__xludf.DUMMYFUNCTION("""COMPUTED_VALUE"""),42614.64583333333)</f>
        <v>42614.64583</v>
      </c>
      <c r="B4127" s="1">
        <f>IFERROR(__xludf.DUMMYFUNCTION("""COMPUTED_VALUE"""),917.1)</f>
        <v>917.1</v>
      </c>
      <c r="C4127" s="1">
        <f>IFERROR(__xludf.DUMMYFUNCTION("""COMPUTED_VALUE"""),929.5)</f>
        <v>929.5</v>
      </c>
      <c r="D4127" s="1">
        <f>IFERROR(__xludf.DUMMYFUNCTION("""COMPUTED_VALUE"""),913.35)</f>
        <v>913.35</v>
      </c>
      <c r="E4127" s="1">
        <f>IFERROR(__xludf.DUMMYFUNCTION("""COMPUTED_VALUE"""),925.8)</f>
        <v>925.8</v>
      </c>
      <c r="F4127" s="1">
        <f>IFERROR(__xludf.DUMMYFUNCTION("""COMPUTED_VALUE"""),654587.0)</f>
        <v>654587</v>
      </c>
    </row>
    <row r="4128">
      <c r="A4128" s="2">
        <f>IFERROR(__xludf.DUMMYFUNCTION("""COMPUTED_VALUE"""),42615.64583333333)</f>
        <v>42615.64583</v>
      </c>
      <c r="B4128" s="1">
        <f>IFERROR(__xludf.DUMMYFUNCTION("""COMPUTED_VALUE"""),923.5)</f>
        <v>923.5</v>
      </c>
      <c r="C4128" s="1">
        <f>IFERROR(__xludf.DUMMYFUNCTION("""COMPUTED_VALUE"""),926.55)</f>
        <v>926.55</v>
      </c>
      <c r="D4128" s="1">
        <f>IFERROR(__xludf.DUMMYFUNCTION("""COMPUTED_VALUE"""),917.55)</f>
        <v>917.55</v>
      </c>
      <c r="E4128" s="1">
        <f>IFERROR(__xludf.DUMMYFUNCTION("""COMPUTED_VALUE"""),920.75)</f>
        <v>920.75</v>
      </c>
      <c r="F4128" s="1">
        <f>IFERROR(__xludf.DUMMYFUNCTION("""COMPUTED_VALUE"""),968873.0)</f>
        <v>968873</v>
      </c>
    </row>
    <row r="4129">
      <c r="A4129" s="2">
        <f>IFERROR(__xludf.DUMMYFUNCTION("""COMPUTED_VALUE"""),42619.64583333333)</f>
        <v>42619.64583</v>
      </c>
      <c r="B4129" s="1">
        <f>IFERROR(__xludf.DUMMYFUNCTION("""COMPUTED_VALUE"""),924.25)</f>
        <v>924.25</v>
      </c>
      <c r="C4129" s="1">
        <f>IFERROR(__xludf.DUMMYFUNCTION("""COMPUTED_VALUE"""),939.75)</f>
        <v>939.75</v>
      </c>
      <c r="D4129" s="1">
        <f>IFERROR(__xludf.DUMMYFUNCTION("""COMPUTED_VALUE"""),922.3)</f>
        <v>922.3</v>
      </c>
      <c r="E4129" s="1">
        <f>IFERROR(__xludf.DUMMYFUNCTION("""COMPUTED_VALUE"""),937.85)</f>
        <v>937.85</v>
      </c>
      <c r="F4129" s="1">
        <f>IFERROR(__xludf.DUMMYFUNCTION("""COMPUTED_VALUE"""),811241.0)</f>
        <v>811241</v>
      </c>
    </row>
    <row r="4130">
      <c r="A4130" s="2">
        <f>IFERROR(__xludf.DUMMYFUNCTION("""COMPUTED_VALUE"""),42620.64583333333)</f>
        <v>42620.64583</v>
      </c>
      <c r="B4130" s="1">
        <f>IFERROR(__xludf.DUMMYFUNCTION("""COMPUTED_VALUE"""),937.0)</f>
        <v>937</v>
      </c>
      <c r="C4130" s="1">
        <f>IFERROR(__xludf.DUMMYFUNCTION("""COMPUTED_VALUE"""),938.9)</f>
        <v>938.9</v>
      </c>
      <c r="D4130" s="1">
        <f>IFERROR(__xludf.DUMMYFUNCTION("""COMPUTED_VALUE"""),927.4)</f>
        <v>927.4</v>
      </c>
      <c r="E4130" s="1">
        <f>IFERROR(__xludf.DUMMYFUNCTION("""COMPUTED_VALUE"""),933.0)</f>
        <v>933</v>
      </c>
      <c r="F4130" s="1">
        <f>IFERROR(__xludf.DUMMYFUNCTION("""COMPUTED_VALUE"""),728867.0)</f>
        <v>728867</v>
      </c>
    </row>
    <row r="4131">
      <c r="A4131" s="2">
        <f>IFERROR(__xludf.DUMMYFUNCTION("""COMPUTED_VALUE"""),42621.64583333333)</f>
        <v>42621.64583</v>
      </c>
      <c r="B4131" s="1">
        <f>IFERROR(__xludf.DUMMYFUNCTION("""COMPUTED_VALUE"""),933.0)</f>
        <v>933</v>
      </c>
      <c r="C4131" s="1">
        <f>IFERROR(__xludf.DUMMYFUNCTION("""COMPUTED_VALUE"""),953.6)</f>
        <v>953.6</v>
      </c>
      <c r="D4131" s="1">
        <f>IFERROR(__xludf.DUMMYFUNCTION("""COMPUTED_VALUE"""),931.5)</f>
        <v>931.5</v>
      </c>
      <c r="E4131" s="1">
        <f>IFERROR(__xludf.DUMMYFUNCTION("""COMPUTED_VALUE"""),951.55)</f>
        <v>951.55</v>
      </c>
      <c r="F4131" s="1">
        <f>IFERROR(__xludf.DUMMYFUNCTION("""COMPUTED_VALUE"""),1528195.0)</f>
        <v>1528195</v>
      </c>
    </row>
    <row r="4132">
      <c r="A4132" s="2">
        <f>IFERROR(__xludf.DUMMYFUNCTION("""COMPUTED_VALUE"""),42622.64583333333)</f>
        <v>42622.64583</v>
      </c>
      <c r="B4132" s="1">
        <f>IFERROR(__xludf.DUMMYFUNCTION("""COMPUTED_VALUE"""),950.0)</f>
        <v>950</v>
      </c>
      <c r="C4132" s="1">
        <f>IFERROR(__xludf.DUMMYFUNCTION("""COMPUTED_VALUE"""),954.0)</f>
        <v>954</v>
      </c>
      <c r="D4132" s="1">
        <f>IFERROR(__xludf.DUMMYFUNCTION("""COMPUTED_VALUE"""),927.4)</f>
        <v>927.4</v>
      </c>
      <c r="E4132" s="1">
        <f>IFERROR(__xludf.DUMMYFUNCTION("""COMPUTED_VALUE"""),929.95)</f>
        <v>929.95</v>
      </c>
      <c r="F4132" s="1">
        <f>IFERROR(__xludf.DUMMYFUNCTION("""COMPUTED_VALUE"""),888951.0)</f>
        <v>888951</v>
      </c>
    </row>
    <row r="4133">
      <c r="A4133" s="2">
        <f>IFERROR(__xludf.DUMMYFUNCTION("""COMPUTED_VALUE"""),42625.64583333333)</f>
        <v>42625.64583</v>
      </c>
      <c r="B4133" s="1">
        <f>IFERROR(__xludf.DUMMYFUNCTION("""COMPUTED_VALUE"""),924.85)</f>
        <v>924.85</v>
      </c>
      <c r="C4133" s="1">
        <f>IFERROR(__xludf.DUMMYFUNCTION("""COMPUTED_VALUE"""),924.85)</f>
        <v>924.85</v>
      </c>
      <c r="D4133" s="1">
        <f>IFERROR(__xludf.DUMMYFUNCTION("""COMPUTED_VALUE"""),912.45)</f>
        <v>912.45</v>
      </c>
      <c r="E4133" s="1">
        <f>IFERROR(__xludf.DUMMYFUNCTION("""COMPUTED_VALUE"""),918.45)</f>
        <v>918.45</v>
      </c>
      <c r="F4133" s="1">
        <f>IFERROR(__xludf.DUMMYFUNCTION("""COMPUTED_VALUE"""),677577.0)</f>
        <v>677577</v>
      </c>
    </row>
    <row r="4134">
      <c r="A4134" s="2">
        <f>IFERROR(__xludf.DUMMYFUNCTION("""COMPUTED_VALUE"""),42627.64583333333)</f>
        <v>42627.64583</v>
      </c>
      <c r="B4134" s="1">
        <f>IFERROR(__xludf.DUMMYFUNCTION("""COMPUTED_VALUE"""),917.0)</f>
        <v>917</v>
      </c>
      <c r="C4134" s="1">
        <f>IFERROR(__xludf.DUMMYFUNCTION("""COMPUTED_VALUE"""),924.5)</f>
        <v>924.5</v>
      </c>
      <c r="D4134" s="1">
        <f>IFERROR(__xludf.DUMMYFUNCTION("""COMPUTED_VALUE"""),905.0)</f>
        <v>905</v>
      </c>
      <c r="E4134" s="1">
        <f>IFERROR(__xludf.DUMMYFUNCTION("""COMPUTED_VALUE"""),908.45)</f>
        <v>908.45</v>
      </c>
      <c r="F4134" s="1">
        <f>IFERROR(__xludf.DUMMYFUNCTION("""COMPUTED_VALUE"""),1349809.0)</f>
        <v>1349809</v>
      </c>
    </row>
    <row r="4135">
      <c r="A4135" s="2">
        <f>IFERROR(__xludf.DUMMYFUNCTION("""COMPUTED_VALUE"""),42628.64583333333)</f>
        <v>42628.64583</v>
      </c>
      <c r="B4135" s="1">
        <f>IFERROR(__xludf.DUMMYFUNCTION("""COMPUTED_VALUE"""),910.2)</f>
        <v>910.2</v>
      </c>
      <c r="C4135" s="1">
        <f>IFERROR(__xludf.DUMMYFUNCTION("""COMPUTED_VALUE"""),920.85)</f>
        <v>920.85</v>
      </c>
      <c r="D4135" s="1">
        <f>IFERROR(__xludf.DUMMYFUNCTION("""COMPUTED_VALUE"""),906.0)</f>
        <v>906</v>
      </c>
      <c r="E4135" s="1">
        <f>IFERROR(__xludf.DUMMYFUNCTION("""COMPUTED_VALUE"""),914.0)</f>
        <v>914</v>
      </c>
      <c r="F4135" s="1">
        <f>IFERROR(__xludf.DUMMYFUNCTION("""COMPUTED_VALUE"""),964711.0)</f>
        <v>964711</v>
      </c>
    </row>
    <row r="4136">
      <c r="A4136" s="2">
        <f>IFERROR(__xludf.DUMMYFUNCTION("""COMPUTED_VALUE"""),42629.64583333333)</f>
        <v>42629.64583</v>
      </c>
      <c r="B4136" s="1">
        <f>IFERROR(__xludf.DUMMYFUNCTION("""COMPUTED_VALUE"""),916.25)</f>
        <v>916.25</v>
      </c>
      <c r="C4136" s="1">
        <f>IFERROR(__xludf.DUMMYFUNCTION("""COMPUTED_VALUE"""),928.6)</f>
        <v>928.6</v>
      </c>
      <c r="D4136" s="1">
        <f>IFERROR(__xludf.DUMMYFUNCTION("""COMPUTED_VALUE"""),909.4)</f>
        <v>909.4</v>
      </c>
      <c r="E4136" s="1">
        <f>IFERROR(__xludf.DUMMYFUNCTION("""COMPUTED_VALUE"""),911.7)</f>
        <v>911.7</v>
      </c>
      <c r="F4136" s="1">
        <f>IFERROR(__xludf.DUMMYFUNCTION("""COMPUTED_VALUE"""),1542460.0)</f>
        <v>1542460</v>
      </c>
    </row>
    <row r="4137">
      <c r="A4137" s="2">
        <f>IFERROR(__xludf.DUMMYFUNCTION("""COMPUTED_VALUE"""),42632.64583333333)</f>
        <v>42632.64583</v>
      </c>
      <c r="B4137" s="1">
        <f>IFERROR(__xludf.DUMMYFUNCTION("""COMPUTED_VALUE"""),915.45)</f>
        <v>915.45</v>
      </c>
      <c r="C4137" s="1">
        <f>IFERROR(__xludf.DUMMYFUNCTION("""COMPUTED_VALUE"""),922.5)</f>
        <v>922.5</v>
      </c>
      <c r="D4137" s="1">
        <f>IFERROR(__xludf.DUMMYFUNCTION("""COMPUTED_VALUE"""),909.1)</f>
        <v>909.1</v>
      </c>
      <c r="E4137" s="1">
        <f>IFERROR(__xludf.DUMMYFUNCTION("""COMPUTED_VALUE"""),911.95)</f>
        <v>911.95</v>
      </c>
      <c r="F4137" s="1">
        <f>IFERROR(__xludf.DUMMYFUNCTION("""COMPUTED_VALUE"""),793036.0)</f>
        <v>793036</v>
      </c>
    </row>
    <row r="4138">
      <c r="A4138" s="2">
        <f>IFERROR(__xludf.DUMMYFUNCTION("""COMPUTED_VALUE"""),42633.64583333333)</f>
        <v>42633.64583</v>
      </c>
      <c r="B4138" s="1">
        <f>IFERROR(__xludf.DUMMYFUNCTION("""COMPUTED_VALUE"""),912.15)</f>
        <v>912.15</v>
      </c>
      <c r="C4138" s="1">
        <f>IFERROR(__xludf.DUMMYFUNCTION("""COMPUTED_VALUE"""),916.8)</f>
        <v>916.8</v>
      </c>
      <c r="D4138" s="1">
        <f>IFERROR(__xludf.DUMMYFUNCTION("""COMPUTED_VALUE"""),900.9)</f>
        <v>900.9</v>
      </c>
      <c r="E4138" s="1">
        <f>IFERROR(__xludf.DUMMYFUNCTION("""COMPUTED_VALUE"""),902.9)</f>
        <v>902.9</v>
      </c>
      <c r="F4138" s="1">
        <f>IFERROR(__xludf.DUMMYFUNCTION("""COMPUTED_VALUE"""),1133099.0)</f>
        <v>1133099</v>
      </c>
    </row>
    <row r="4139">
      <c r="A4139" s="2">
        <f>IFERROR(__xludf.DUMMYFUNCTION("""COMPUTED_VALUE"""),42634.64583333333)</f>
        <v>42634.64583</v>
      </c>
      <c r="B4139" s="1">
        <f>IFERROR(__xludf.DUMMYFUNCTION("""COMPUTED_VALUE"""),902.0)</f>
        <v>902</v>
      </c>
      <c r="C4139" s="1">
        <f>IFERROR(__xludf.DUMMYFUNCTION("""COMPUTED_VALUE"""),914.55)</f>
        <v>914.55</v>
      </c>
      <c r="D4139" s="1">
        <f>IFERROR(__xludf.DUMMYFUNCTION("""COMPUTED_VALUE"""),900.55)</f>
        <v>900.55</v>
      </c>
      <c r="E4139" s="1">
        <f>IFERROR(__xludf.DUMMYFUNCTION("""COMPUTED_VALUE"""),913.05)</f>
        <v>913.05</v>
      </c>
      <c r="F4139" s="1">
        <f>IFERROR(__xludf.DUMMYFUNCTION("""COMPUTED_VALUE"""),1102665.0)</f>
        <v>1102665</v>
      </c>
    </row>
    <row r="4140">
      <c r="A4140" s="2">
        <f>IFERROR(__xludf.DUMMYFUNCTION("""COMPUTED_VALUE"""),42635.64583333333)</f>
        <v>42635.64583</v>
      </c>
      <c r="B4140" s="1">
        <f>IFERROR(__xludf.DUMMYFUNCTION("""COMPUTED_VALUE"""),913.0)</f>
        <v>913</v>
      </c>
      <c r="C4140" s="1">
        <f>IFERROR(__xludf.DUMMYFUNCTION("""COMPUTED_VALUE"""),917.95)</f>
        <v>917.95</v>
      </c>
      <c r="D4140" s="1">
        <f>IFERROR(__xludf.DUMMYFUNCTION("""COMPUTED_VALUE"""),903.25)</f>
        <v>903.25</v>
      </c>
      <c r="E4140" s="1">
        <f>IFERROR(__xludf.DUMMYFUNCTION("""COMPUTED_VALUE"""),910.15)</f>
        <v>910.15</v>
      </c>
      <c r="F4140" s="1">
        <f>IFERROR(__xludf.DUMMYFUNCTION("""COMPUTED_VALUE"""),1250220.0)</f>
        <v>1250220</v>
      </c>
    </row>
    <row r="4141">
      <c r="A4141" s="2">
        <f>IFERROR(__xludf.DUMMYFUNCTION("""COMPUTED_VALUE"""),42636.64583333333)</f>
        <v>42636.64583</v>
      </c>
      <c r="B4141" s="1">
        <f>IFERROR(__xludf.DUMMYFUNCTION("""COMPUTED_VALUE"""),911.0)</f>
        <v>911</v>
      </c>
      <c r="C4141" s="1">
        <f>IFERROR(__xludf.DUMMYFUNCTION("""COMPUTED_VALUE"""),912.5)</f>
        <v>912.5</v>
      </c>
      <c r="D4141" s="1">
        <f>IFERROR(__xludf.DUMMYFUNCTION("""COMPUTED_VALUE"""),901.0)</f>
        <v>901</v>
      </c>
      <c r="E4141" s="1">
        <f>IFERROR(__xludf.DUMMYFUNCTION("""COMPUTED_VALUE"""),910.55)</f>
        <v>910.55</v>
      </c>
      <c r="F4141" s="1">
        <f>IFERROR(__xludf.DUMMYFUNCTION("""COMPUTED_VALUE"""),1498875.0)</f>
        <v>1498875</v>
      </c>
    </row>
    <row r="4142">
      <c r="A4142" s="2">
        <f>IFERROR(__xludf.DUMMYFUNCTION("""COMPUTED_VALUE"""),42639.64583333333)</f>
        <v>42639.64583</v>
      </c>
      <c r="B4142" s="1">
        <f>IFERROR(__xludf.DUMMYFUNCTION("""COMPUTED_VALUE"""),909.0)</f>
        <v>909</v>
      </c>
      <c r="C4142" s="1">
        <f>IFERROR(__xludf.DUMMYFUNCTION("""COMPUTED_VALUE"""),913.9)</f>
        <v>913.9</v>
      </c>
      <c r="D4142" s="1">
        <f>IFERROR(__xludf.DUMMYFUNCTION("""COMPUTED_VALUE"""),886.5)</f>
        <v>886.5</v>
      </c>
      <c r="E4142" s="1">
        <f>IFERROR(__xludf.DUMMYFUNCTION("""COMPUTED_VALUE"""),892.6)</f>
        <v>892.6</v>
      </c>
      <c r="F4142" s="1">
        <f>IFERROR(__xludf.DUMMYFUNCTION("""COMPUTED_VALUE"""),1153660.0)</f>
        <v>1153660</v>
      </c>
    </row>
    <row r="4143">
      <c r="A4143" s="2">
        <f>IFERROR(__xludf.DUMMYFUNCTION("""COMPUTED_VALUE"""),42640.64583333333)</f>
        <v>42640.64583</v>
      </c>
      <c r="B4143" s="1">
        <f>IFERROR(__xludf.DUMMYFUNCTION("""COMPUTED_VALUE"""),895.0)</f>
        <v>895</v>
      </c>
      <c r="C4143" s="1">
        <f>IFERROR(__xludf.DUMMYFUNCTION("""COMPUTED_VALUE"""),900.95)</f>
        <v>900.95</v>
      </c>
      <c r="D4143" s="1">
        <f>IFERROR(__xludf.DUMMYFUNCTION("""COMPUTED_VALUE"""),889.4)</f>
        <v>889.4</v>
      </c>
      <c r="E4143" s="1">
        <f>IFERROR(__xludf.DUMMYFUNCTION("""COMPUTED_VALUE"""),897.3)</f>
        <v>897.3</v>
      </c>
      <c r="F4143" s="1">
        <f>IFERROR(__xludf.DUMMYFUNCTION("""COMPUTED_VALUE"""),849724.0)</f>
        <v>849724</v>
      </c>
    </row>
    <row r="4144">
      <c r="A4144" s="2">
        <f>IFERROR(__xludf.DUMMYFUNCTION("""COMPUTED_VALUE"""),42641.64583333333)</f>
        <v>42641.64583</v>
      </c>
      <c r="B4144" s="1">
        <f>IFERROR(__xludf.DUMMYFUNCTION("""COMPUTED_VALUE"""),900.0)</f>
        <v>900</v>
      </c>
      <c r="C4144" s="1">
        <f>IFERROR(__xludf.DUMMYFUNCTION("""COMPUTED_VALUE"""),900.85)</f>
        <v>900.85</v>
      </c>
      <c r="D4144" s="1">
        <f>IFERROR(__xludf.DUMMYFUNCTION("""COMPUTED_VALUE"""),881.25)</f>
        <v>881.25</v>
      </c>
      <c r="E4144" s="1">
        <f>IFERROR(__xludf.DUMMYFUNCTION("""COMPUTED_VALUE"""),887.15)</f>
        <v>887.15</v>
      </c>
      <c r="F4144" s="1">
        <f>IFERROR(__xludf.DUMMYFUNCTION("""COMPUTED_VALUE"""),1877866.0)</f>
        <v>1877866</v>
      </c>
    </row>
    <row r="4145">
      <c r="A4145" s="2">
        <f>IFERROR(__xludf.DUMMYFUNCTION("""COMPUTED_VALUE"""),42642.64583333333)</f>
        <v>42642.64583</v>
      </c>
      <c r="B4145" s="1">
        <f>IFERROR(__xludf.DUMMYFUNCTION("""COMPUTED_VALUE"""),891.0)</f>
        <v>891</v>
      </c>
      <c r="C4145" s="1">
        <f>IFERROR(__xludf.DUMMYFUNCTION("""COMPUTED_VALUE"""),892.8)</f>
        <v>892.8</v>
      </c>
      <c r="D4145" s="1">
        <f>IFERROR(__xludf.DUMMYFUNCTION("""COMPUTED_VALUE"""),873.5)</f>
        <v>873.5</v>
      </c>
      <c r="E4145" s="1">
        <f>IFERROR(__xludf.DUMMYFUNCTION("""COMPUTED_VALUE"""),878.3)</f>
        <v>878.3</v>
      </c>
      <c r="F4145" s="1">
        <f>IFERROR(__xludf.DUMMYFUNCTION("""COMPUTED_VALUE"""),3307074.0)</f>
        <v>3307074</v>
      </c>
    </row>
    <row r="4146">
      <c r="A4146" s="2">
        <f>IFERROR(__xludf.DUMMYFUNCTION("""COMPUTED_VALUE"""),42643.64583333333)</f>
        <v>42643.64583</v>
      </c>
      <c r="B4146" s="1">
        <f>IFERROR(__xludf.DUMMYFUNCTION("""COMPUTED_VALUE"""),877.1)</f>
        <v>877.1</v>
      </c>
      <c r="C4146" s="1">
        <f>IFERROR(__xludf.DUMMYFUNCTION("""COMPUTED_VALUE"""),879.85)</f>
        <v>879.85</v>
      </c>
      <c r="D4146" s="1">
        <f>IFERROR(__xludf.DUMMYFUNCTION("""COMPUTED_VALUE"""),865.0)</f>
        <v>865</v>
      </c>
      <c r="E4146" s="1">
        <f>IFERROR(__xludf.DUMMYFUNCTION("""COMPUTED_VALUE"""),867.85)</f>
        <v>867.85</v>
      </c>
      <c r="F4146" s="1">
        <f>IFERROR(__xludf.DUMMYFUNCTION("""COMPUTED_VALUE"""),3104818.0)</f>
        <v>3104818</v>
      </c>
    </row>
    <row r="4147">
      <c r="A4147" s="2">
        <f>IFERROR(__xludf.DUMMYFUNCTION("""COMPUTED_VALUE"""),42646.64583333333)</f>
        <v>42646.64583</v>
      </c>
      <c r="B4147" s="1">
        <f>IFERROR(__xludf.DUMMYFUNCTION("""COMPUTED_VALUE"""),878.0)</f>
        <v>878</v>
      </c>
      <c r="C4147" s="1">
        <f>IFERROR(__xludf.DUMMYFUNCTION("""COMPUTED_VALUE"""),878.0)</f>
        <v>878</v>
      </c>
      <c r="D4147" s="1">
        <f>IFERROR(__xludf.DUMMYFUNCTION("""COMPUTED_VALUE"""),860.2)</f>
        <v>860.2</v>
      </c>
      <c r="E4147" s="1">
        <f>IFERROR(__xludf.DUMMYFUNCTION("""COMPUTED_VALUE"""),868.75)</f>
        <v>868.75</v>
      </c>
      <c r="F4147" s="1">
        <f>IFERROR(__xludf.DUMMYFUNCTION("""COMPUTED_VALUE"""),2066037.0)</f>
        <v>2066037</v>
      </c>
    </row>
    <row r="4148">
      <c r="A4148" s="2">
        <f>IFERROR(__xludf.DUMMYFUNCTION("""COMPUTED_VALUE"""),42647.64583333333)</f>
        <v>42647.64583</v>
      </c>
      <c r="B4148" s="1">
        <f>IFERROR(__xludf.DUMMYFUNCTION("""COMPUTED_VALUE"""),872.0)</f>
        <v>872</v>
      </c>
      <c r="C4148" s="1">
        <f>IFERROR(__xludf.DUMMYFUNCTION("""COMPUTED_VALUE"""),872.0)</f>
        <v>872</v>
      </c>
      <c r="D4148" s="1">
        <f>IFERROR(__xludf.DUMMYFUNCTION("""COMPUTED_VALUE"""),858.8)</f>
        <v>858.8</v>
      </c>
      <c r="E4148" s="1">
        <f>IFERROR(__xludf.DUMMYFUNCTION("""COMPUTED_VALUE"""),860.4)</f>
        <v>860.4</v>
      </c>
      <c r="F4148" s="1">
        <f>IFERROR(__xludf.DUMMYFUNCTION("""COMPUTED_VALUE"""),1465854.0)</f>
        <v>1465854</v>
      </c>
    </row>
    <row r="4149">
      <c r="A4149" s="2">
        <f>IFERROR(__xludf.DUMMYFUNCTION("""COMPUTED_VALUE"""),42648.64583333333)</f>
        <v>42648.64583</v>
      </c>
      <c r="B4149" s="1">
        <f>IFERROR(__xludf.DUMMYFUNCTION("""COMPUTED_VALUE"""),865.0)</f>
        <v>865</v>
      </c>
      <c r="C4149" s="1">
        <f>IFERROR(__xludf.DUMMYFUNCTION("""COMPUTED_VALUE"""),873.7)</f>
        <v>873.7</v>
      </c>
      <c r="D4149" s="1">
        <f>IFERROR(__xludf.DUMMYFUNCTION("""COMPUTED_VALUE"""),862.4)</f>
        <v>862.4</v>
      </c>
      <c r="E4149" s="1">
        <f>IFERROR(__xludf.DUMMYFUNCTION("""COMPUTED_VALUE"""),870.95)</f>
        <v>870.95</v>
      </c>
      <c r="F4149" s="1">
        <f>IFERROR(__xludf.DUMMYFUNCTION("""COMPUTED_VALUE"""),1781339.0)</f>
        <v>1781339</v>
      </c>
    </row>
    <row r="4150">
      <c r="A4150" s="2">
        <f>IFERROR(__xludf.DUMMYFUNCTION("""COMPUTED_VALUE"""),42649.64583333333)</f>
        <v>42649.64583</v>
      </c>
      <c r="B4150" s="1">
        <f>IFERROR(__xludf.DUMMYFUNCTION("""COMPUTED_VALUE"""),874.0)</f>
        <v>874</v>
      </c>
      <c r="C4150" s="1">
        <f>IFERROR(__xludf.DUMMYFUNCTION("""COMPUTED_VALUE"""),886.85)</f>
        <v>886.85</v>
      </c>
      <c r="D4150" s="1">
        <f>IFERROR(__xludf.DUMMYFUNCTION("""COMPUTED_VALUE"""),874.0)</f>
        <v>874</v>
      </c>
      <c r="E4150" s="1">
        <f>IFERROR(__xludf.DUMMYFUNCTION("""COMPUTED_VALUE"""),884.45)</f>
        <v>884.45</v>
      </c>
      <c r="F4150" s="1">
        <f>IFERROR(__xludf.DUMMYFUNCTION("""COMPUTED_VALUE"""),1360160.0)</f>
        <v>1360160</v>
      </c>
    </row>
    <row r="4151">
      <c r="A4151" s="2">
        <f>IFERROR(__xludf.DUMMYFUNCTION("""COMPUTED_VALUE"""),42650.64583333333)</f>
        <v>42650.64583</v>
      </c>
      <c r="B4151" s="1">
        <f>IFERROR(__xludf.DUMMYFUNCTION("""COMPUTED_VALUE"""),889.7)</f>
        <v>889.7</v>
      </c>
      <c r="C4151" s="1">
        <f>IFERROR(__xludf.DUMMYFUNCTION("""COMPUTED_VALUE"""),889.7)</f>
        <v>889.7</v>
      </c>
      <c r="D4151" s="1">
        <f>IFERROR(__xludf.DUMMYFUNCTION("""COMPUTED_VALUE"""),868.15)</f>
        <v>868.15</v>
      </c>
      <c r="E4151" s="1">
        <f>IFERROR(__xludf.DUMMYFUNCTION("""COMPUTED_VALUE"""),877.25)</f>
        <v>877.25</v>
      </c>
      <c r="F4151" s="1">
        <f>IFERROR(__xludf.DUMMYFUNCTION("""COMPUTED_VALUE"""),1088191.0)</f>
        <v>1088191</v>
      </c>
    </row>
    <row r="4152">
      <c r="A4152" s="2">
        <f>IFERROR(__xludf.DUMMYFUNCTION("""COMPUTED_VALUE"""),42653.64583333333)</f>
        <v>42653.64583</v>
      </c>
      <c r="B4152" s="1">
        <f>IFERROR(__xludf.DUMMYFUNCTION("""COMPUTED_VALUE"""),879.7)</f>
        <v>879.7</v>
      </c>
      <c r="C4152" s="1">
        <f>IFERROR(__xludf.DUMMYFUNCTION("""COMPUTED_VALUE"""),885.55)</f>
        <v>885.55</v>
      </c>
      <c r="D4152" s="1">
        <f>IFERROR(__xludf.DUMMYFUNCTION("""COMPUTED_VALUE"""),874.45)</f>
        <v>874.45</v>
      </c>
      <c r="E4152" s="1">
        <f>IFERROR(__xludf.DUMMYFUNCTION("""COMPUTED_VALUE"""),876.15)</f>
        <v>876.15</v>
      </c>
      <c r="F4152" s="1">
        <f>IFERROR(__xludf.DUMMYFUNCTION("""COMPUTED_VALUE"""),734544.0)</f>
        <v>734544</v>
      </c>
    </row>
    <row r="4153">
      <c r="A4153" s="2">
        <f>IFERROR(__xludf.DUMMYFUNCTION("""COMPUTED_VALUE"""),42656.64583333333)</f>
        <v>42656.64583</v>
      </c>
      <c r="B4153" s="1">
        <f>IFERROR(__xludf.DUMMYFUNCTION("""COMPUTED_VALUE"""),869.5)</f>
        <v>869.5</v>
      </c>
      <c r="C4153" s="1">
        <f>IFERROR(__xludf.DUMMYFUNCTION("""COMPUTED_VALUE"""),874.75)</f>
        <v>874.75</v>
      </c>
      <c r="D4153" s="1">
        <f>IFERROR(__xludf.DUMMYFUNCTION("""COMPUTED_VALUE"""),852.5)</f>
        <v>852.5</v>
      </c>
      <c r="E4153" s="1">
        <f>IFERROR(__xludf.DUMMYFUNCTION("""COMPUTED_VALUE"""),862.05)</f>
        <v>862.05</v>
      </c>
      <c r="F4153" s="1">
        <f>IFERROR(__xludf.DUMMYFUNCTION("""COMPUTED_VALUE"""),2130773.0)</f>
        <v>2130773</v>
      </c>
    </row>
    <row r="4154">
      <c r="A4154" s="2">
        <f>IFERROR(__xludf.DUMMYFUNCTION("""COMPUTED_VALUE"""),42657.64583333333)</f>
        <v>42657.64583</v>
      </c>
      <c r="B4154" s="1">
        <f>IFERROR(__xludf.DUMMYFUNCTION("""COMPUTED_VALUE"""),854.75)</f>
        <v>854.75</v>
      </c>
      <c r="C4154" s="1">
        <f>IFERROR(__xludf.DUMMYFUNCTION("""COMPUTED_VALUE"""),855.55)</f>
        <v>855.55</v>
      </c>
      <c r="D4154" s="1">
        <f>IFERROR(__xludf.DUMMYFUNCTION("""COMPUTED_VALUE"""),837.0)</f>
        <v>837</v>
      </c>
      <c r="E4154" s="1">
        <f>IFERROR(__xludf.DUMMYFUNCTION("""COMPUTED_VALUE"""),842.25)</f>
        <v>842.25</v>
      </c>
      <c r="F4154" s="1">
        <f>IFERROR(__xludf.DUMMYFUNCTION("""COMPUTED_VALUE"""),2077909.0)</f>
        <v>2077909</v>
      </c>
    </row>
    <row r="4155">
      <c r="A4155" s="2">
        <f>IFERROR(__xludf.DUMMYFUNCTION("""COMPUTED_VALUE"""),42660.64583333333)</f>
        <v>42660.64583</v>
      </c>
      <c r="B4155" s="1">
        <f>IFERROR(__xludf.DUMMYFUNCTION("""COMPUTED_VALUE"""),844.0)</f>
        <v>844</v>
      </c>
      <c r="C4155" s="1">
        <f>IFERROR(__xludf.DUMMYFUNCTION("""COMPUTED_VALUE"""),851.0)</f>
        <v>851</v>
      </c>
      <c r="D4155" s="1">
        <f>IFERROR(__xludf.DUMMYFUNCTION("""COMPUTED_VALUE"""),839.0)</f>
        <v>839</v>
      </c>
      <c r="E4155" s="1">
        <f>IFERROR(__xludf.DUMMYFUNCTION("""COMPUTED_VALUE"""),849.25)</f>
        <v>849.25</v>
      </c>
      <c r="F4155" s="1">
        <f>IFERROR(__xludf.DUMMYFUNCTION("""COMPUTED_VALUE"""),1136539.0)</f>
        <v>1136539</v>
      </c>
    </row>
    <row r="4156">
      <c r="A4156" s="2">
        <f>IFERROR(__xludf.DUMMYFUNCTION("""COMPUTED_VALUE"""),42661.64583333333)</f>
        <v>42661.64583</v>
      </c>
      <c r="B4156" s="1">
        <f>IFERROR(__xludf.DUMMYFUNCTION("""COMPUTED_VALUE"""),850.3)</f>
        <v>850.3</v>
      </c>
      <c r="C4156" s="1">
        <f>IFERROR(__xludf.DUMMYFUNCTION("""COMPUTED_VALUE"""),857.0)</f>
        <v>857</v>
      </c>
      <c r="D4156" s="1">
        <f>IFERROR(__xludf.DUMMYFUNCTION("""COMPUTED_VALUE"""),849.0)</f>
        <v>849</v>
      </c>
      <c r="E4156" s="1">
        <f>IFERROR(__xludf.DUMMYFUNCTION("""COMPUTED_VALUE"""),855.6)</f>
        <v>855.6</v>
      </c>
      <c r="F4156" s="1">
        <f>IFERROR(__xludf.DUMMYFUNCTION("""COMPUTED_VALUE"""),1146943.0)</f>
        <v>1146943</v>
      </c>
    </row>
    <row r="4157">
      <c r="A4157" s="2">
        <f>IFERROR(__xludf.DUMMYFUNCTION("""COMPUTED_VALUE"""),42662.64583333333)</f>
        <v>42662.64583</v>
      </c>
      <c r="B4157" s="1">
        <f>IFERROR(__xludf.DUMMYFUNCTION("""COMPUTED_VALUE"""),855.0)</f>
        <v>855</v>
      </c>
      <c r="C4157" s="1">
        <f>IFERROR(__xludf.DUMMYFUNCTION("""COMPUTED_VALUE"""),855.95)</f>
        <v>855.95</v>
      </c>
      <c r="D4157" s="1">
        <f>IFERROR(__xludf.DUMMYFUNCTION("""COMPUTED_VALUE"""),844.05)</f>
        <v>844.05</v>
      </c>
      <c r="E4157" s="1">
        <f>IFERROR(__xludf.DUMMYFUNCTION("""COMPUTED_VALUE"""),846.0)</f>
        <v>846</v>
      </c>
      <c r="F4157" s="1">
        <f>IFERROR(__xludf.DUMMYFUNCTION("""COMPUTED_VALUE"""),1171167.0)</f>
        <v>1171167</v>
      </c>
    </row>
    <row r="4158">
      <c r="A4158" s="2">
        <f>IFERROR(__xludf.DUMMYFUNCTION("""COMPUTED_VALUE"""),42663.64583333333)</f>
        <v>42663.64583</v>
      </c>
      <c r="B4158" s="1">
        <f>IFERROR(__xludf.DUMMYFUNCTION("""COMPUTED_VALUE"""),848.55)</f>
        <v>848.55</v>
      </c>
      <c r="C4158" s="1">
        <f>IFERROR(__xludf.DUMMYFUNCTION("""COMPUTED_VALUE"""),849.45)</f>
        <v>849.45</v>
      </c>
      <c r="D4158" s="1">
        <f>IFERROR(__xludf.DUMMYFUNCTION("""COMPUTED_VALUE"""),838.6)</f>
        <v>838.6</v>
      </c>
      <c r="E4158" s="1">
        <f>IFERROR(__xludf.DUMMYFUNCTION("""COMPUTED_VALUE"""),840.3)</f>
        <v>840.3</v>
      </c>
      <c r="F4158" s="1">
        <f>IFERROR(__xludf.DUMMYFUNCTION("""COMPUTED_VALUE"""),818580.0)</f>
        <v>818580</v>
      </c>
    </row>
    <row r="4159">
      <c r="A4159" s="2">
        <f>IFERROR(__xludf.DUMMYFUNCTION("""COMPUTED_VALUE"""),42664.64583333333)</f>
        <v>42664.64583</v>
      </c>
      <c r="B4159" s="1">
        <f>IFERROR(__xludf.DUMMYFUNCTION("""COMPUTED_VALUE"""),840.0)</f>
        <v>840</v>
      </c>
      <c r="C4159" s="1">
        <f>IFERROR(__xludf.DUMMYFUNCTION("""COMPUTED_VALUE"""),852.25)</f>
        <v>852.25</v>
      </c>
      <c r="D4159" s="1">
        <f>IFERROR(__xludf.DUMMYFUNCTION("""COMPUTED_VALUE"""),837.05)</f>
        <v>837.05</v>
      </c>
      <c r="E4159" s="1">
        <f>IFERROR(__xludf.DUMMYFUNCTION("""COMPUTED_VALUE"""),851.2)</f>
        <v>851.2</v>
      </c>
      <c r="F4159" s="1">
        <f>IFERROR(__xludf.DUMMYFUNCTION("""COMPUTED_VALUE"""),1247395.0)</f>
        <v>1247395</v>
      </c>
    </row>
    <row r="4160">
      <c r="A4160" s="2">
        <f>IFERROR(__xludf.DUMMYFUNCTION("""COMPUTED_VALUE"""),42667.64583333333)</f>
        <v>42667.64583</v>
      </c>
      <c r="B4160" s="1">
        <f>IFERROR(__xludf.DUMMYFUNCTION("""COMPUTED_VALUE"""),851.8)</f>
        <v>851.8</v>
      </c>
      <c r="C4160" s="1">
        <f>IFERROR(__xludf.DUMMYFUNCTION("""COMPUTED_VALUE"""),855.0)</f>
        <v>855</v>
      </c>
      <c r="D4160" s="1">
        <f>IFERROR(__xludf.DUMMYFUNCTION("""COMPUTED_VALUE"""),844.25)</f>
        <v>844.25</v>
      </c>
      <c r="E4160" s="1">
        <f>IFERROR(__xludf.DUMMYFUNCTION("""COMPUTED_VALUE"""),848.35)</f>
        <v>848.35</v>
      </c>
      <c r="F4160" s="1">
        <f>IFERROR(__xludf.DUMMYFUNCTION("""COMPUTED_VALUE"""),1639740.0)</f>
        <v>1639740</v>
      </c>
    </row>
    <row r="4161">
      <c r="A4161" s="2">
        <f>IFERROR(__xludf.DUMMYFUNCTION("""COMPUTED_VALUE"""),42668.64583333333)</f>
        <v>42668.64583</v>
      </c>
      <c r="B4161" s="1">
        <f>IFERROR(__xludf.DUMMYFUNCTION("""COMPUTED_VALUE"""),847.1)</f>
        <v>847.1</v>
      </c>
      <c r="C4161" s="1">
        <f>IFERROR(__xludf.DUMMYFUNCTION("""COMPUTED_VALUE"""),849.8)</f>
        <v>849.8</v>
      </c>
      <c r="D4161" s="1">
        <f>IFERROR(__xludf.DUMMYFUNCTION("""COMPUTED_VALUE"""),829.55)</f>
        <v>829.55</v>
      </c>
      <c r="E4161" s="1">
        <f>IFERROR(__xludf.DUMMYFUNCTION("""COMPUTED_VALUE"""),832.35)</f>
        <v>832.35</v>
      </c>
      <c r="F4161" s="1">
        <f>IFERROR(__xludf.DUMMYFUNCTION("""COMPUTED_VALUE"""),1925999.0)</f>
        <v>1925999</v>
      </c>
    </row>
    <row r="4162">
      <c r="A4162" s="2">
        <f>IFERROR(__xludf.DUMMYFUNCTION("""COMPUTED_VALUE"""),42669.64583333333)</f>
        <v>42669.64583</v>
      </c>
      <c r="B4162" s="1">
        <f>IFERROR(__xludf.DUMMYFUNCTION("""COMPUTED_VALUE"""),831.1)</f>
        <v>831.1</v>
      </c>
      <c r="C4162" s="1">
        <f>IFERROR(__xludf.DUMMYFUNCTION("""COMPUTED_VALUE"""),846.8)</f>
        <v>846.8</v>
      </c>
      <c r="D4162" s="1">
        <f>IFERROR(__xludf.DUMMYFUNCTION("""COMPUTED_VALUE"""),826.55)</f>
        <v>826.55</v>
      </c>
      <c r="E4162" s="1">
        <f>IFERROR(__xludf.DUMMYFUNCTION("""COMPUTED_VALUE"""),842.85)</f>
        <v>842.85</v>
      </c>
      <c r="F4162" s="1">
        <f>IFERROR(__xludf.DUMMYFUNCTION("""COMPUTED_VALUE"""),1928005.0)</f>
        <v>1928005</v>
      </c>
    </row>
    <row r="4163">
      <c r="A4163" s="2">
        <f>IFERROR(__xludf.DUMMYFUNCTION("""COMPUTED_VALUE"""),42670.64583333333)</f>
        <v>42670.64583</v>
      </c>
      <c r="B4163" s="1">
        <f>IFERROR(__xludf.DUMMYFUNCTION("""COMPUTED_VALUE"""),850.0)</f>
        <v>850</v>
      </c>
      <c r="C4163" s="1">
        <f>IFERROR(__xludf.DUMMYFUNCTION("""COMPUTED_VALUE"""),850.0)</f>
        <v>850</v>
      </c>
      <c r="D4163" s="1">
        <f>IFERROR(__xludf.DUMMYFUNCTION("""COMPUTED_VALUE"""),818.4)</f>
        <v>818.4</v>
      </c>
      <c r="E4163" s="1">
        <f>IFERROR(__xludf.DUMMYFUNCTION("""COMPUTED_VALUE"""),840.3)</f>
        <v>840.3</v>
      </c>
      <c r="F4163" s="1">
        <f>IFERROR(__xludf.DUMMYFUNCTION("""COMPUTED_VALUE"""),3193498.0)</f>
        <v>3193498</v>
      </c>
    </row>
    <row r="4164">
      <c r="A4164" s="2">
        <f>IFERROR(__xludf.DUMMYFUNCTION("""COMPUTED_VALUE"""),42671.64583333333)</f>
        <v>42671.64583</v>
      </c>
      <c r="B4164" s="1">
        <f>IFERROR(__xludf.DUMMYFUNCTION("""COMPUTED_VALUE"""),841.0)</f>
        <v>841</v>
      </c>
      <c r="C4164" s="1">
        <f>IFERROR(__xludf.DUMMYFUNCTION("""COMPUTED_VALUE"""),846.95)</f>
        <v>846.95</v>
      </c>
      <c r="D4164" s="1">
        <f>IFERROR(__xludf.DUMMYFUNCTION("""COMPUTED_VALUE"""),833.8)</f>
        <v>833.8</v>
      </c>
      <c r="E4164" s="1">
        <f>IFERROR(__xludf.DUMMYFUNCTION("""COMPUTED_VALUE"""),836.5)</f>
        <v>836.5</v>
      </c>
      <c r="F4164" s="1">
        <f>IFERROR(__xludf.DUMMYFUNCTION("""COMPUTED_VALUE"""),1396899.0)</f>
        <v>1396899</v>
      </c>
    </row>
    <row r="4165">
      <c r="A4165" s="2">
        <f>IFERROR(__xludf.DUMMYFUNCTION("""COMPUTED_VALUE"""),42675.64583333333)</f>
        <v>42675.64583</v>
      </c>
      <c r="B4165" s="1">
        <f>IFERROR(__xludf.DUMMYFUNCTION("""COMPUTED_VALUE"""),835.0)</f>
        <v>835</v>
      </c>
      <c r="C4165" s="1">
        <f>IFERROR(__xludf.DUMMYFUNCTION("""COMPUTED_VALUE"""),842.7)</f>
        <v>842.7</v>
      </c>
      <c r="D4165" s="1">
        <f>IFERROR(__xludf.DUMMYFUNCTION("""COMPUTED_VALUE"""),831.65)</f>
        <v>831.65</v>
      </c>
      <c r="E4165" s="1">
        <f>IFERROR(__xludf.DUMMYFUNCTION("""COMPUTED_VALUE"""),835.25)</f>
        <v>835.25</v>
      </c>
      <c r="F4165" s="1">
        <f>IFERROR(__xludf.DUMMYFUNCTION("""COMPUTED_VALUE"""),891827.0)</f>
        <v>891827</v>
      </c>
    </row>
    <row r="4166">
      <c r="A4166" s="2">
        <f>IFERROR(__xludf.DUMMYFUNCTION("""COMPUTED_VALUE"""),42676.64583333333)</f>
        <v>42676.64583</v>
      </c>
      <c r="B4166" s="1">
        <f>IFERROR(__xludf.DUMMYFUNCTION("""COMPUTED_VALUE"""),835.0)</f>
        <v>835</v>
      </c>
      <c r="C4166" s="1">
        <f>IFERROR(__xludf.DUMMYFUNCTION("""COMPUTED_VALUE"""),848.45)</f>
        <v>848.45</v>
      </c>
      <c r="D4166" s="1">
        <f>IFERROR(__xludf.DUMMYFUNCTION("""COMPUTED_VALUE"""),832.05)</f>
        <v>832.05</v>
      </c>
      <c r="E4166" s="1">
        <f>IFERROR(__xludf.DUMMYFUNCTION("""COMPUTED_VALUE"""),841.1)</f>
        <v>841.1</v>
      </c>
      <c r="F4166" s="1">
        <f>IFERROR(__xludf.DUMMYFUNCTION("""COMPUTED_VALUE"""),1085441.0)</f>
        <v>1085441</v>
      </c>
    </row>
    <row r="4167">
      <c r="A4167" s="2">
        <f>IFERROR(__xludf.DUMMYFUNCTION("""COMPUTED_VALUE"""),42677.64583333333)</f>
        <v>42677.64583</v>
      </c>
      <c r="B4167" s="1">
        <f>IFERROR(__xludf.DUMMYFUNCTION("""COMPUTED_VALUE"""),838.15)</f>
        <v>838.15</v>
      </c>
      <c r="C4167" s="1">
        <f>IFERROR(__xludf.DUMMYFUNCTION("""COMPUTED_VALUE"""),848.5)</f>
        <v>848.5</v>
      </c>
      <c r="D4167" s="1">
        <f>IFERROR(__xludf.DUMMYFUNCTION("""COMPUTED_VALUE"""),834.7)</f>
        <v>834.7</v>
      </c>
      <c r="E4167" s="1">
        <f>IFERROR(__xludf.DUMMYFUNCTION("""COMPUTED_VALUE"""),839.4)</f>
        <v>839.4</v>
      </c>
      <c r="F4167" s="1">
        <f>IFERROR(__xludf.DUMMYFUNCTION("""COMPUTED_VALUE"""),1975240.0)</f>
        <v>1975240</v>
      </c>
    </row>
    <row r="4168">
      <c r="A4168" s="2">
        <f>IFERROR(__xludf.DUMMYFUNCTION("""COMPUTED_VALUE"""),42678.64583333333)</f>
        <v>42678.64583</v>
      </c>
      <c r="B4168" s="1">
        <f>IFERROR(__xludf.DUMMYFUNCTION("""COMPUTED_VALUE"""),849.0)</f>
        <v>849</v>
      </c>
      <c r="C4168" s="1">
        <f>IFERROR(__xludf.DUMMYFUNCTION("""COMPUTED_VALUE"""),866.4)</f>
        <v>866.4</v>
      </c>
      <c r="D4168" s="1">
        <f>IFERROR(__xludf.DUMMYFUNCTION("""COMPUTED_VALUE"""),842.5)</f>
        <v>842.5</v>
      </c>
      <c r="E4168" s="1">
        <f>IFERROR(__xludf.DUMMYFUNCTION("""COMPUTED_VALUE"""),848.0)</f>
        <v>848</v>
      </c>
      <c r="F4168" s="1">
        <f>IFERROR(__xludf.DUMMYFUNCTION("""COMPUTED_VALUE"""),2273336.0)</f>
        <v>2273336</v>
      </c>
    </row>
    <row r="4169">
      <c r="A4169" s="2">
        <f>IFERROR(__xludf.DUMMYFUNCTION("""COMPUTED_VALUE"""),42681.64583333333)</f>
        <v>42681.64583</v>
      </c>
      <c r="B4169" s="1">
        <f>IFERROR(__xludf.DUMMYFUNCTION("""COMPUTED_VALUE"""),850.0)</f>
        <v>850</v>
      </c>
      <c r="C4169" s="1">
        <f>IFERROR(__xludf.DUMMYFUNCTION("""COMPUTED_VALUE"""),851.75)</f>
        <v>851.75</v>
      </c>
      <c r="D4169" s="1">
        <f>IFERROR(__xludf.DUMMYFUNCTION("""COMPUTED_VALUE"""),834.55)</f>
        <v>834.55</v>
      </c>
      <c r="E4169" s="1">
        <f>IFERROR(__xludf.DUMMYFUNCTION("""COMPUTED_VALUE"""),837.65)</f>
        <v>837.65</v>
      </c>
      <c r="F4169" s="1">
        <f>IFERROR(__xludf.DUMMYFUNCTION("""COMPUTED_VALUE"""),803129.0)</f>
        <v>803129</v>
      </c>
    </row>
    <row r="4170">
      <c r="A4170" s="2">
        <f>IFERROR(__xludf.DUMMYFUNCTION("""COMPUTED_VALUE"""),42682.64583333333)</f>
        <v>42682.64583</v>
      </c>
      <c r="B4170" s="1">
        <f>IFERROR(__xludf.DUMMYFUNCTION("""COMPUTED_VALUE"""),838.45)</f>
        <v>838.45</v>
      </c>
      <c r="C4170" s="1">
        <f>IFERROR(__xludf.DUMMYFUNCTION("""COMPUTED_VALUE"""),846.75)</f>
        <v>846.75</v>
      </c>
      <c r="D4170" s="1">
        <f>IFERROR(__xludf.DUMMYFUNCTION("""COMPUTED_VALUE"""),836.1)</f>
        <v>836.1</v>
      </c>
      <c r="E4170" s="1">
        <f>IFERROR(__xludf.DUMMYFUNCTION("""COMPUTED_VALUE"""),844.6)</f>
        <v>844.6</v>
      </c>
      <c r="F4170" s="1">
        <f>IFERROR(__xludf.DUMMYFUNCTION("""COMPUTED_VALUE"""),797363.0)</f>
        <v>797363</v>
      </c>
    </row>
    <row r="4171">
      <c r="A4171" s="2">
        <f>IFERROR(__xludf.DUMMYFUNCTION("""COMPUTED_VALUE"""),42683.64583333333)</f>
        <v>42683.64583</v>
      </c>
      <c r="B4171" s="1">
        <f>IFERROR(__xludf.DUMMYFUNCTION("""COMPUTED_VALUE"""),820.0)</f>
        <v>820</v>
      </c>
      <c r="C4171" s="1">
        <f>IFERROR(__xludf.DUMMYFUNCTION("""COMPUTED_VALUE"""),835.35)</f>
        <v>835.35</v>
      </c>
      <c r="D4171" s="1">
        <f>IFERROR(__xludf.DUMMYFUNCTION("""COMPUTED_VALUE"""),799.0)</f>
        <v>799</v>
      </c>
      <c r="E4171" s="1">
        <f>IFERROR(__xludf.DUMMYFUNCTION("""COMPUTED_VALUE"""),828.3)</f>
        <v>828.3</v>
      </c>
      <c r="F4171" s="1">
        <f>IFERROR(__xludf.DUMMYFUNCTION("""COMPUTED_VALUE"""),2122893.0)</f>
        <v>2122893</v>
      </c>
    </row>
    <row r="4172">
      <c r="A4172" s="2">
        <f>IFERROR(__xludf.DUMMYFUNCTION("""COMPUTED_VALUE"""),42684.64583333333)</f>
        <v>42684.64583</v>
      </c>
      <c r="B4172" s="1">
        <f>IFERROR(__xludf.DUMMYFUNCTION("""COMPUTED_VALUE"""),840.0)</f>
        <v>840</v>
      </c>
      <c r="C4172" s="1">
        <f>IFERROR(__xludf.DUMMYFUNCTION("""COMPUTED_VALUE"""),841.9)</f>
        <v>841.9</v>
      </c>
      <c r="D4172" s="1">
        <f>IFERROR(__xludf.DUMMYFUNCTION("""COMPUTED_VALUE"""),813.8)</f>
        <v>813.8</v>
      </c>
      <c r="E4172" s="1">
        <f>IFERROR(__xludf.DUMMYFUNCTION("""COMPUTED_VALUE"""),818.55)</f>
        <v>818.55</v>
      </c>
      <c r="F4172" s="1">
        <f>IFERROR(__xludf.DUMMYFUNCTION("""COMPUTED_VALUE"""),1017007.0)</f>
        <v>1017007</v>
      </c>
    </row>
    <row r="4173">
      <c r="A4173" s="2">
        <f>IFERROR(__xludf.DUMMYFUNCTION("""COMPUTED_VALUE"""),42685.64583333333)</f>
        <v>42685.64583</v>
      </c>
      <c r="B4173" s="1">
        <f>IFERROR(__xludf.DUMMYFUNCTION("""COMPUTED_VALUE"""),815.0)</f>
        <v>815</v>
      </c>
      <c r="C4173" s="1">
        <f>IFERROR(__xludf.DUMMYFUNCTION("""COMPUTED_VALUE"""),815.0)</f>
        <v>815</v>
      </c>
      <c r="D4173" s="1">
        <f>IFERROR(__xludf.DUMMYFUNCTION("""COMPUTED_VALUE"""),798.1)</f>
        <v>798.1</v>
      </c>
      <c r="E4173" s="1">
        <f>IFERROR(__xludf.DUMMYFUNCTION("""COMPUTED_VALUE"""),801.75)</f>
        <v>801.75</v>
      </c>
      <c r="F4173" s="1">
        <f>IFERROR(__xludf.DUMMYFUNCTION("""COMPUTED_VALUE"""),1758762.0)</f>
        <v>1758762</v>
      </c>
    </row>
    <row r="4174">
      <c r="A4174" s="2">
        <f>IFERROR(__xludf.DUMMYFUNCTION("""COMPUTED_VALUE"""),42689.64583333333)</f>
        <v>42689.64583</v>
      </c>
      <c r="B4174" s="1">
        <f>IFERROR(__xludf.DUMMYFUNCTION("""COMPUTED_VALUE"""),804.0)</f>
        <v>804</v>
      </c>
      <c r="C4174" s="1">
        <f>IFERROR(__xludf.DUMMYFUNCTION("""COMPUTED_VALUE"""),809.8)</f>
        <v>809.8</v>
      </c>
      <c r="D4174" s="1">
        <f>IFERROR(__xludf.DUMMYFUNCTION("""COMPUTED_VALUE"""),783.25)</f>
        <v>783.25</v>
      </c>
      <c r="E4174" s="1">
        <f>IFERROR(__xludf.DUMMYFUNCTION("""COMPUTED_VALUE"""),805.45)</f>
        <v>805.45</v>
      </c>
      <c r="F4174" s="1">
        <f>IFERROR(__xludf.DUMMYFUNCTION("""COMPUTED_VALUE"""),2007604.0)</f>
        <v>2007604</v>
      </c>
    </row>
    <row r="4175">
      <c r="A4175" s="2">
        <f>IFERROR(__xludf.DUMMYFUNCTION("""COMPUTED_VALUE"""),42690.64583333333)</f>
        <v>42690.64583</v>
      </c>
      <c r="B4175" s="1">
        <f>IFERROR(__xludf.DUMMYFUNCTION("""COMPUTED_VALUE"""),809.0)</f>
        <v>809</v>
      </c>
      <c r="C4175" s="1">
        <f>IFERROR(__xludf.DUMMYFUNCTION("""COMPUTED_VALUE"""),813.5)</f>
        <v>813.5</v>
      </c>
      <c r="D4175" s="1">
        <f>IFERROR(__xludf.DUMMYFUNCTION("""COMPUTED_VALUE"""),798.0)</f>
        <v>798</v>
      </c>
      <c r="E4175" s="1">
        <f>IFERROR(__xludf.DUMMYFUNCTION("""COMPUTED_VALUE"""),808.75)</f>
        <v>808.75</v>
      </c>
      <c r="F4175" s="1">
        <f>IFERROR(__xludf.DUMMYFUNCTION("""COMPUTED_VALUE"""),2677282.0)</f>
        <v>2677282</v>
      </c>
    </row>
    <row r="4176">
      <c r="A4176" s="2">
        <f>IFERROR(__xludf.DUMMYFUNCTION("""COMPUTED_VALUE"""),42691.64583333333)</f>
        <v>42691.64583</v>
      </c>
      <c r="B4176" s="1">
        <f>IFERROR(__xludf.DUMMYFUNCTION("""COMPUTED_VALUE"""),808.75)</f>
        <v>808.75</v>
      </c>
      <c r="C4176" s="1">
        <f>IFERROR(__xludf.DUMMYFUNCTION("""COMPUTED_VALUE"""),816.0)</f>
        <v>816</v>
      </c>
      <c r="D4176" s="1">
        <f>IFERROR(__xludf.DUMMYFUNCTION("""COMPUTED_VALUE"""),803.0)</f>
        <v>803</v>
      </c>
      <c r="E4176" s="1">
        <f>IFERROR(__xludf.DUMMYFUNCTION("""COMPUTED_VALUE"""),811.65)</f>
        <v>811.65</v>
      </c>
      <c r="F4176" s="1">
        <f>IFERROR(__xludf.DUMMYFUNCTION("""COMPUTED_VALUE"""),665671.0)</f>
        <v>665671</v>
      </c>
    </row>
    <row r="4177">
      <c r="A4177" s="2">
        <f>IFERROR(__xludf.DUMMYFUNCTION("""COMPUTED_VALUE"""),42692.64583333333)</f>
        <v>42692.64583</v>
      </c>
      <c r="B4177" s="1">
        <f>IFERROR(__xludf.DUMMYFUNCTION("""COMPUTED_VALUE"""),813.0)</f>
        <v>813</v>
      </c>
      <c r="C4177" s="1">
        <f>IFERROR(__xludf.DUMMYFUNCTION("""COMPUTED_VALUE"""),814.8)</f>
        <v>814.8</v>
      </c>
      <c r="D4177" s="1">
        <f>IFERROR(__xludf.DUMMYFUNCTION("""COMPUTED_VALUE"""),795.55)</f>
        <v>795.55</v>
      </c>
      <c r="E4177" s="1">
        <f>IFERROR(__xludf.DUMMYFUNCTION("""COMPUTED_VALUE"""),802.85)</f>
        <v>802.85</v>
      </c>
      <c r="F4177" s="1">
        <f>IFERROR(__xludf.DUMMYFUNCTION("""COMPUTED_VALUE"""),1462211.0)</f>
        <v>1462211</v>
      </c>
    </row>
    <row r="4178">
      <c r="A4178" s="2">
        <f>IFERROR(__xludf.DUMMYFUNCTION("""COMPUTED_VALUE"""),42695.64583333333)</f>
        <v>42695.64583</v>
      </c>
      <c r="B4178" s="1">
        <f>IFERROR(__xludf.DUMMYFUNCTION("""COMPUTED_VALUE"""),802.85)</f>
        <v>802.85</v>
      </c>
      <c r="C4178" s="1">
        <f>IFERROR(__xludf.DUMMYFUNCTION("""COMPUTED_VALUE"""),805.8)</f>
        <v>805.8</v>
      </c>
      <c r="D4178" s="1">
        <f>IFERROR(__xludf.DUMMYFUNCTION("""COMPUTED_VALUE"""),792.65)</f>
        <v>792.65</v>
      </c>
      <c r="E4178" s="1">
        <f>IFERROR(__xludf.DUMMYFUNCTION("""COMPUTED_VALUE"""),797.75)</f>
        <v>797.75</v>
      </c>
      <c r="F4178" s="1">
        <f>IFERROR(__xludf.DUMMYFUNCTION("""COMPUTED_VALUE"""),993597.0)</f>
        <v>993597</v>
      </c>
    </row>
    <row r="4179">
      <c r="A4179" s="2">
        <f>IFERROR(__xludf.DUMMYFUNCTION("""COMPUTED_VALUE"""),42696.64583333333)</f>
        <v>42696.64583</v>
      </c>
      <c r="B4179" s="1">
        <f>IFERROR(__xludf.DUMMYFUNCTION("""COMPUTED_VALUE"""),806.3)</f>
        <v>806.3</v>
      </c>
      <c r="C4179" s="1">
        <f>IFERROR(__xludf.DUMMYFUNCTION("""COMPUTED_VALUE"""),822.5)</f>
        <v>822.5</v>
      </c>
      <c r="D4179" s="1">
        <f>IFERROR(__xludf.DUMMYFUNCTION("""COMPUTED_VALUE"""),802.8)</f>
        <v>802.8</v>
      </c>
      <c r="E4179" s="1">
        <f>IFERROR(__xludf.DUMMYFUNCTION("""COMPUTED_VALUE"""),819.9)</f>
        <v>819.9</v>
      </c>
      <c r="F4179" s="1">
        <f>IFERROR(__xludf.DUMMYFUNCTION("""COMPUTED_VALUE"""),1226008.0)</f>
        <v>1226008</v>
      </c>
    </row>
    <row r="4180">
      <c r="A4180" s="2">
        <f>IFERROR(__xludf.DUMMYFUNCTION("""COMPUTED_VALUE"""),42697.64583333333)</f>
        <v>42697.64583</v>
      </c>
      <c r="B4180" s="1">
        <f>IFERROR(__xludf.DUMMYFUNCTION("""COMPUTED_VALUE"""),820.35)</f>
        <v>820.35</v>
      </c>
      <c r="C4180" s="1">
        <f>IFERROR(__xludf.DUMMYFUNCTION("""COMPUTED_VALUE"""),834.0)</f>
        <v>834</v>
      </c>
      <c r="D4180" s="1">
        <f>IFERROR(__xludf.DUMMYFUNCTION("""COMPUTED_VALUE"""),815.1)</f>
        <v>815.1</v>
      </c>
      <c r="E4180" s="1">
        <f>IFERROR(__xludf.DUMMYFUNCTION("""COMPUTED_VALUE"""),831.7)</f>
        <v>831.7</v>
      </c>
      <c r="F4180" s="1">
        <f>IFERROR(__xludf.DUMMYFUNCTION("""COMPUTED_VALUE"""),1254013.0)</f>
        <v>1254013</v>
      </c>
    </row>
    <row r="4181">
      <c r="A4181" s="2">
        <f>IFERROR(__xludf.DUMMYFUNCTION("""COMPUTED_VALUE"""),42698.64583333333)</f>
        <v>42698.64583</v>
      </c>
      <c r="B4181" s="1">
        <f>IFERROR(__xludf.DUMMYFUNCTION("""COMPUTED_VALUE"""),828.8)</f>
        <v>828.8</v>
      </c>
      <c r="C4181" s="1">
        <f>IFERROR(__xludf.DUMMYFUNCTION("""COMPUTED_VALUE"""),834.5)</f>
        <v>834.5</v>
      </c>
      <c r="D4181" s="1">
        <f>IFERROR(__xludf.DUMMYFUNCTION("""COMPUTED_VALUE"""),820.55)</f>
        <v>820.55</v>
      </c>
      <c r="E4181" s="1">
        <f>IFERROR(__xludf.DUMMYFUNCTION("""COMPUTED_VALUE"""),825.3)</f>
        <v>825.3</v>
      </c>
      <c r="F4181" s="1">
        <f>IFERROR(__xludf.DUMMYFUNCTION("""COMPUTED_VALUE"""),1588843.0)</f>
        <v>1588843</v>
      </c>
    </row>
    <row r="4182">
      <c r="A4182" s="2">
        <f>IFERROR(__xludf.DUMMYFUNCTION("""COMPUTED_VALUE"""),42699.64583333333)</f>
        <v>42699.64583</v>
      </c>
      <c r="B4182" s="1">
        <f>IFERROR(__xludf.DUMMYFUNCTION("""COMPUTED_VALUE"""),830.0)</f>
        <v>830</v>
      </c>
      <c r="C4182" s="1">
        <f>IFERROR(__xludf.DUMMYFUNCTION("""COMPUTED_VALUE"""),838.0)</f>
        <v>838</v>
      </c>
      <c r="D4182" s="1">
        <f>IFERROR(__xludf.DUMMYFUNCTION("""COMPUTED_VALUE"""),825.65)</f>
        <v>825.65</v>
      </c>
      <c r="E4182" s="1">
        <f>IFERROR(__xludf.DUMMYFUNCTION("""COMPUTED_VALUE"""),833.6)</f>
        <v>833.6</v>
      </c>
      <c r="F4182" s="1">
        <f>IFERROR(__xludf.DUMMYFUNCTION("""COMPUTED_VALUE"""),788448.0)</f>
        <v>788448</v>
      </c>
    </row>
    <row r="4183">
      <c r="A4183" s="2">
        <f>IFERROR(__xludf.DUMMYFUNCTION("""COMPUTED_VALUE"""),42702.64583333333)</f>
        <v>42702.64583</v>
      </c>
      <c r="B4183" s="1">
        <f>IFERROR(__xludf.DUMMYFUNCTION("""COMPUTED_VALUE"""),830.45)</f>
        <v>830.45</v>
      </c>
      <c r="C4183" s="1">
        <f>IFERROR(__xludf.DUMMYFUNCTION("""COMPUTED_VALUE"""),841.95)</f>
        <v>841.95</v>
      </c>
      <c r="D4183" s="1">
        <f>IFERROR(__xludf.DUMMYFUNCTION("""COMPUTED_VALUE"""),829.0)</f>
        <v>829</v>
      </c>
      <c r="E4183" s="1">
        <f>IFERROR(__xludf.DUMMYFUNCTION("""COMPUTED_VALUE"""),837.85)</f>
        <v>837.85</v>
      </c>
      <c r="F4183" s="1">
        <f>IFERROR(__xludf.DUMMYFUNCTION("""COMPUTED_VALUE"""),930063.0)</f>
        <v>930063</v>
      </c>
    </row>
    <row r="4184">
      <c r="A4184" s="2">
        <f>IFERROR(__xludf.DUMMYFUNCTION("""COMPUTED_VALUE"""),42703.64583333333)</f>
        <v>42703.64583</v>
      </c>
      <c r="B4184" s="1">
        <f>IFERROR(__xludf.DUMMYFUNCTION("""COMPUTED_VALUE"""),837.0)</f>
        <v>837</v>
      </c>
      <c r="C4184" s="1">
        <f>IFERROR(__xludf.DUMMYFUNCTION("""COMPUTED_VALUE"""),841.0)</f>
        <v>841</v>
      </c>
      <c r="D4184" s="1">
        <f>IFERROR(__xludf.DUMMYFUNCTION("""COMPUTED_VALUE"""),830.25)</f>
        <v>830.25</v>
      </c>
      <c r="E4184" s="1">
        <f>IFERROR(__xludf.DUMMYFUNCTION("""COMPUTED_VALUE"""),832.7)</f>
        <v>832.7</v>
      </c>
      <c r="F4184" s="1">
        <f>IFERROR(__xludf.DUMMYFUNCTION("""COMPUTED_VALUE"""),1157881.0)</f>
        <v>1157881</v>
      </c>
    </row>
    <row r="4185">
      <c r="A4185" s="2">
        <f>IFERROR(__xludf.DUMMYFUNCTION("""COMPUTED_VALUE"""),42704.64583333333)</f>
        <v>42704.64583</v>
      </c>
      <c r="B4185" s="1">
        <f>IFERROR(__xludf.DUMMYFUNCTION("""COMPUTED_VALUE"""),835.25)</f>
        <v>835.25</v>
      </c>
      <c r="C4185" s="1">
        <f>IFERROR(__xludf.DUMMYFUNCTION("""COMPUTED_VALUE"""),850.3)</f>
        <v>850.3</v>
      </c>
      <c r="D4185" s="1">
        <f>IFERROR(__xludf.DUMMYFUNCTION("""COMPUTED_VALUE"""),831.05)</f>
        <v>831.05</v>
      </c>
      <c r="E4185" s="1">
        <f>IFERROR(__xludf.DUMMYFUNCTION("""COMPUTED_VALUE"""),844.0)</f>
        <v>844</v>
      </c>
      <c r="F4185" s="1">
        <f>IFERROR(__xludf.DUMMYFUNCTION("""COMPUTED_VALUE"""),2734453.0)</f>
        <v>2734453</v>
      </c>
    </row>
    <row r="4186">
      <c r="A4186" s="2">
        <f>IFERROR(__xludf.DUMMYFUNCTION("""COMPUTED_VALUE"""),42705.64583333333)</f>
        <v>42705.64583</v>
      </c>
      <c r="B4186" s="1">
        <f>IFERROR(__xludf.DUMMYFUNCTION("""COMPUTED_VALUE"""),844.0)</f>
        <v>844</v>
      </c>
      <c r="C4186" s="1">
        <f>IFERROR(__xludf.DUMMYFUNCTION("""COMPUTED_VALUE"""),855.7)</f>
        <v>855.7</v>
      </c>
      <c r="D4186" s="1">
        <f>IFERROR(__xludf.DUMMYFUNCTION("""COMPUTED_VALUE"""),840.9)</f>
        <v>840.9</v>
      </c>
      <c r="E4186" s="1">
        <f>IFERROR(__xludf.DUMMYFUNCTION("""COMPUTED_VALUE"""),848.1)</f>
        <v>848.1</v>
      </c>
      <c r="F4186" s="1">
        <f>IFERROR(__xludf.DUMMYFUNCTION("""COMPUTED_VALUE"""),951938.0)</f>
        <v>951938</v>
      </c>
    </row>
    <row r="4187">
      <c r="A4187" s="2">
        <f>IFERROR(__xludf.DUMMYFUNCTION("""COMPUTED_VALUE"""),42706.64583333333)</f>
        <v>42706.64583</v>
      </c>
      <c r="B4187" s="1">
        <f>IFERROR(__xludf.DUMMYFUNCTION("""COMPUTED_VALUE"""),845.0)</f>
        <v>845</v>
      </c>
      <c r="C4187" s="1">
        <f>IFERROR(__xludf.DUMMYFUNCTION("""COMPUTED_VALUE"""),848.4)</f>
        <v>848.4</v>
      </c>
      <c r="D4187" s="1">
        <f>IFERROR(__xludf.DUMMYFUNCTION("""COMPUTED_VALUE"""),828.15)</f>
        <v>828.15</v>
      </c>
      <c r="E4187" s="1">
        <f>IFERROR(__xludf.DUMMYFUNCTION("""COMPUTED_VALUE"""),831.45)</f>
        <v>831.45</v>
      </c>
      <c r="F4187" s="1">
        <f>IFERROR(__xludf.DUMMYFUNCTION("""COMPUTED_VALUE"""),623704.0)</f>
        <v>623704</v>
      </c>
    </row>
    <row r="4188">
      <c r="A4188" s="2">
        <f>IFERROR(__xludf.DUMMYFUNCTION("""COMPUTED_VALUE"""),42709.64583333333)</f>
        <v>42709.64583</v>
      </c>
      <c r="B4188" s="1">
        <f>IFERROR(__xludf.DUMMYFUNCTION("""COMPUTED_VALUE"""),832.9)</f>
        <v>832.9</v>
      </c>
      <c r="C4188" s="1">
        <f>IFERROR(__xludf.DUMMYFUNCTION("""COMPUTED_VALUE"""),851.4)</f>
        <v>851.4</v>
      </c>
      <c r="D4188" s="1">
        <f>IFERROR(__xludf.DUMMYFUNCTION("""COMPUTED_VALUE"""),832.0)</f>
        <v>832</v>
      </c>
      <c r="E4188" s="1">
        <f>IFERROR(__xludf.DUMMYFUNCTION("""COMPUTED_VALUE"""),844.9)</f>
        <v>844.9</v>
      </c>
      <c r="F4188" s="1">
        <f>IFERROR(__xludf.DUMMYFUNCTION("""COMPUTED_VALUE"""),760110.0)</f>
        <v>760110</v>
      </c>
    </row>
    <row r="4189">
      <c r="A4189" s="2">
        <f>IFERROR(__xludf.DUMMYFUNCTION("""COMPUTED_VALUE"""),42710.64583333333)</f>
        <v>42710.64583</v>
      </c>
      <c r="B4189" s="1">
        <f>IFERROR(__xludf.DUMMYFUNCTION("""COMPUTED_VALUE"""),845.4)</f>
        <v>845.4</v>
      </c>
      <c r="C4189" s="1">
        <f>IFERROR(__xludf.DUMMYFUNCTION("""COMPUTED_VALUE"""),849.8)</f>
        <v>849.8</v>
      </c>
      <c r="D4189" s="1">
        <f>IFERROR(__xludf.DUMMYFUNCTION("""COMPUTED_VALUE"""),833.2)</f>
        <v>833.2</v>
      </c>
      <c r="E4189" s="1">
        <f>IFERROR(__xludf.DUMMYFUNCTION("""COMPUTED_VALUE"""),836.0)</f>
        <v>836</v>
      </c>
      <c r="F4189" s="1">
        <f>IFERROR(__xludf.DUMMYFUNCTION("""COMPUTED_VALUE"""),611314.0)</f>
        <v>611314</v>
      </c>
    </row>
    <row r="4190">
      <c r="A4190" s="2">
        <f>IFERROR(__xludf.DUMMYFUNCTION("""COMPUTED_VALUE"""),42711.64583333333)</f>
        <v>42711.64583</v>
      </c>
      <c r="B4190" s="1">
        <f>IFERROR(__xludf.DUMMYFUNCTION("""COMPUTED_VALUE"""),839.85)</f>
        <v>839.85</v>
      </c>
      <c r="C4190" s="1">
        <f>IFERROR(__xludf.DUMMYFUNCTION("""COMPUTED_VALUE"""),844.0)</f>
        <v>844</v>
      </c>
      <c r="D4190" s="1">
        <f>IFERROR(__xludf.DUMMYFUNCTION("""COMPUTED_VALUE"""),832.05)</f>
        <v>832.05</v>
      </c>
      <c r="E4190" s="1">
        <f>IFERROR(__xludf.DUMMYFUNCTION("""COMPUTED_VALUE"""),833.7)</f>
        <v>833.7</v>
      </c>
      <c r="F4190" s="1">
        <f>IFERROR(__xludf.DUMMYFUNCTION("""COMPUTED_VALUE"""),394177.0)</f>
        <v>394177</v>
      </c>
    </row>
    <row r="4191">
      <c r="A4191" s="2">
        <f>IFERROR(__xludf.DUMMYFUNCTION("""COMPUTED_VALUE"""),42712.64583333333)</f>
        <v>42712.64583</v>
      </c>
      <c r="B4191" s="1">
        <f>IFERROR(__xludf.DUMMYFUNCTION("""COMPUTED_VALUE"""),836.0)</f>
        <v>836</v>
      </c>
      <c r="C4191" s="1">
        <f>IFERROR(__xludf.DUMMYFUNCTION("""COMPUTED_VALUE"""),846.8)</f>
        <v>846.8</v>
      </c>
      <c r="D4191" s="1">
        <f>IFERROR(__xludf.DUMMYFUNCTION("""COMPUTED_VALUE"""),836.0)</f>
        <v>836</v>
      </c>
      <c r="E4191" s="1">
        <f>IFERROR(__xludf.DUMMYFUNCTION("""COMPUTED_VALUE"""),843.0)</f>
        <v>843</v>
      </c>
      <c r="F4191" s="1">
        <f>IFERROR(__xludf.DUMMYFUNCTION("""COMPUTED_VALUE"""),609858.0)</f>
        <v>609858</v>
      </c>
    </row>
    <row r="4192">
      <c r="A4192" s="2">
        <f>IFERROR(__xludf.DUMMYFUNCTION("""COMPUTED_VALUE"""),42713.64583333333)</f>
        <v>42713.64583</v>
      </c>
      <c r="B4192" s="1">
        <f>IFERROR(__xludf.DUMMYFUNCTION("""COMPUTED_VALUE"""),839.9)</f>
        <v>839.9</v>
      </c>
      <c r="C4192" s="1">
        <f>IFERROR(__xludf.DUMMYFUNCTION("""COMPUTED_VALUE"""),847.0)</f>
        <v>847</v>
      </c>
      <c r="D4192" s="1">
        <f>IFERROR(__xludf.DUMMYFUNCTION("""COMPUTED_VALUE"""),836.35)</f>
        <v>836.35</v>
      </c>
      <c r="E4192" s="1">
        <f>IFERROR(__xludf.DUMMYFUNCTION("""COMPUTED_VALUE"""),845.05)</f>
        <v>845.05</v>
      </c>
      <c r="F4192" s="1">
        <f>IFERROR(__xludf.DUMMYFUNCTION("""COMPUTED_VALUE"""),463868.0)</f>
        <v>463868</v>
      </c>
    </row>
    <row r="4193">
      <c r="A4193" s="2">
        <f>IFERROR(__xludf.DUMMYFUNCTION("""COMPUTED_VALUE"""),42716.64583333333)</f>
        <v>42716.64583</v>
      </c>
      <c r="B4193" s="1">
        <f>IFERROR(__xludf.DUMMYFUNCTION("""COMPUTED_VALUE"""),845.0)</f>
        <v>845</v>
      </c>
      <c r="C4193" s="1">
        <f>IFERROR(__xludf.DUMMYFUNCTION("""COMPUTED_VALUE"""),845.85)</f>
        <v>845.85</v>
      </c>
      <c r="D4193" s="1">
        <f>IFERROR(__xludf.DUMMYFUNCTION("""COMPUTED_VALUE"""),830.35)</f>
        <v>830.35</v>
      </c>
      <c r="E4193" s="1">
        <f>IFERROR(__xludf.DUMMYFUNCTION("""COMPUTED_VALUE"""),832.6)</f>
        <v>832.6</v>
      </c>
      <c r="F4193" s="1">
        <f>IFERROR(__xludf.DUMMYFUNCTION("""COMPUTED_VALUE"""),317031.0)</f>
        <v>317031</v>
      </c>
    </row>
    <row r="4194">
      <c r="A4194" s="2">
        <f>IFERROR(__xludf.DUMMYFUNCTION("""COMPUTED_VALUE"""),42717.64583333333)</f>
        <v>42717.64583</v>
      </c>
      <c r="B4194" s="1">
        <f>IFERROR(__xludf.DUMMYFUNCTION("""COMPUTED_VALUE"""),834.0)</f>
        <v>834</v>
      </c>
      <c r="C4194" s="1">
        <f>IFERROR(__xludf.DUMMYFUNCTION("""COMPUTED_VALUE"""),836.4)</f>
        <v>836.4</v>
      </c>
      <c r="D4194" s="1">
        <f>IFERROR(__xludf.DUMMYFUNCTION("""COMPUTED_VALUE"""),824.9)</f>
        <v>824.9</v>
      </c>
      <c r="E4194" s="1">
        <f>IFERROR(__xludf.DUMMYFUNCTION("""COMPUTED_VALUE"""),831.15)</f>
        <v>831.15</v>
      </c>
      <c r="F4194" s="1">
        <f>IFERROR(__xludf.DUMMYFUNCTION("""COMPUTED_VALUE"""),716723.0)</f>
        <v>716723</v>
      </c>
    </row>
    <row r="4195">
      <c r="A4195" s="2">
        <f>IFERROR(__xludf.DUMMYFUNCTION("""COMPUTED_VALUE"""),42718.64583333333)</f>
        <v>42718.64583</v>
      </c>
      <c r="B4195" s="1">
        <f>IFERROR(__xludf.DUMMYFUNCTION("""COMPUTED_VALUE"""),831.0)</f>
        <v>831</v>
      </c>
      <c r="C4195" s="1">
        <f>IFERROR(__xludf.DUMMYFUNCTION("""COMPUTED_VALUE"""),832.85)</f>
        <v>832.85</v>
      </c>
      <c r="D4195" s="1">
        <f>IFERROR(__xludf.DUMMYFUNCTION("""COMPUTED_VALUE"""),818.8)</f>
        <v>818.8</v>
      </c>
      <c r="E4195" s="1">
        <f>IFERROR(__xludf.DUMMYFUNCTION("""COMPUTED_VALUE"""),821.8)</f>
        <v>821.8</v>
      </c>
      <c r="F4195" s="1">
        <f>IFERROR(__xludf.DUMMYFUNCTION("""COMPUTED_VALUE"""),418711.0)</f>
        <v>418711</v>
      </c>
    </row>
    <row r="4196">
      <c r="A4196" s="2">
        <f>IFERROR(__xludf.DUMMYFUNCTION("""COMPUTED_VALUE"""),42719.64583333333)</f>
        <v>42719.64583</v>
      </c>
      <c r="B4196" s="1">
        <f>IFERROR(__xludf.DUMMYFUNCTION("""COMPUTED_VALUE"""),818.0)</f>
        <v>818</v>
      </c>
      <c r="C4196" s="1">
        <f>IFERROR(__xludf.DUMMYFUNCTION("""COMPUTED_VALUE"""),823.7)</f>
        <v>823.7</v>
      </c>
      <c r="D4196" s="1">
        <f>IFERROR(__xludf.DUMMYFUNCTION("""COMPUTED_VALUE"""),813.65)</f>
        <v>813.65</v>
      </c>
      <c r="E4196" s="1">
        <f>IFERROR(__xludf.DUMMYFUNCTION("""COMPUTED_VALUE"""),816.05)</f>
        <v>816.05</v>
      </c>
      <c r="F4196" s="1">
        <f>IFERROR(__xludf.DUMMYFUNCTION("""COMPUTED_VALUE"""),552176.0)</f>
        <v>552176</v>
      </c>
    </row>
    <row r="4197">
      <c r="A4197" s="2">
        <f>IFERROR(__xludf.DUMMYFUNCTION("""COMPUTED_VALUE"""),42720.64583333333)</f>
        <v>42720.64583</v>
      </c>
      <c r="B4197" s="1">
        <f>IFERROR(__xludf.DUMMYFUNCTION("""COMPUTED_VALUE"""),817.5)</f>
        <v>817.5</v>
      </c>
      <c r="C4197" s="1">
        <f>IFERROR(__xludf.DUMMYFUNCTION("""COMPUTED_VALUE"""),827.0)</f>
        <v>827</v>
      </c>
      <c r="D4197" s="1">
        <f>IFERROR(__xludf.DUMMYFUNCTION("""COMPUTED_VALUE"""),813.6)</f>
        <v>813.6</v>
      </c>
      <c r="E4197" s="1">
        <f>IFERROR(__xludf.DUMMYFUNCTION("""COMPUTED_VALUE"""),816.95)</f>
        <v>816.95</v>
      </c>
      <c r="F4197" s="1">
        <f>IFERROR(__xludf.DUMMYFUNCTION("""COMPUTED_VALUE"""),907271.0)</f>
        <v>907271</v>
      </c>
    </row>
    <row r="4198">
      <c r="A4198" s="2">
        <f>IFERROR(__xludf.DUMMYFUNCTION("""COMPUTED_VALUE"""),42723.64583333333)</f>
        <v>42723.64583</v>
      </c>
      <c r="B4198" s="1">
        <f>IFERROR(__xludf.DUMMYFUNCTION("""COMPUTED_VALUE"""),817.0)</f>
        <v>817</v>
      </c>
      <c r="C4198" s="1">
        <f>IFERROR(__xludf.DUMMYFUNCTION("""COMPUTED_VALUE"""),817.8)</f>
        <v>817.8</v>
      </c>
      <c r="D4198" s="1">
        <f>IFERROR(__xludf.DUMMYFUNCTION("""COMPUTED_VALUE"""),808.0)</f>
        <v>808</v>
      </c>
      <c r="E4198" s="1">
        <f>IFERROR(__xludf.DUMMYFUNCTION("""COMPUTED_VALUE"""),809.75)</f>
        <v>809.75</v>
      </c>
      <c r="F4198" s="1">
        <f>IFERROR(__xludf.DUMMYFUNCTION("""COMPUTED_VALUE"""),709550.0)</f>
        <v>709550</v>
      </c>
    </row>
    <row r="4199">
      <c r="A4199" s="2">
        <f>IFERROR(__xludf.DUMMYFUNCTION("""COMPUTED_VALUE"""),42724.64583333333)</f>
        <v>42724.64583</v>
      </c>
      <c r="B4199" s="1">
        <f>IFERROR(__xludf.DUMMYFUNCTION("""COMPUTED_VALUE"""),808.75)</f>
        <v>808.75</v>
      </c>
      <c r="C4199" s="1">
        <f>IFERROR(__xludf.DUMMYFUNCTION("""COMPUTED_VALUE"""),812.75)</f>
        <v>812.75</v>
      </c>
      <c r="D4199" s="1">
        <f>IFERROR(__xludf.DUMMYFUNCTION("""COMPUTED_VALUE"""),798.45)</f>
        <v>798.45</v>
      </c>
      <c r="E4199" s="1">
        <f>IFERROR(__xludf.DUMMYFUNCTION("""COMPUTED_VALUE"""),801.4)</f>
        <v>801.4</v>
      </c>
      <c r="F4199" s="1">
        <f>IFERROR(__xludf.DUMMYFUNCTION("""COMPUTED_VALUE"""),1057366.0)</f>
        <v>1057366</v>
      </c>
    </row>
    <row r="4200">
      <c r="A4200" s="2">
        <f>IFERROR(__xludf.DUMMYFUNCTION("""COMPUTED_VALUE"""),42725.64583333333)</f>
        <v>42725.64583</v>
      </c>
      <c r="B4200" s="1">
        <f>IFERROR(__xludf.DUMMYFUNCTION("""COMPUTED_VALUE"""),802.0)</f>
        <v>802</v>
      </c>
      <c r="C4200" s="1">
        <f>IFERROR(__xludf.DUMMYFUNCTION("""COMPUTED_VALUE"""),805.0)</f>
        <v>805</v>
      </c>
      <c r="D4200" s="1">
        <f>IFERROR(__xludf.DUMMYFUNCTION("""COMPUTED_VALUE"""),795.9)</f>
        <v>795.9</v>
      </c>
      <c r="E4200" s="1">
        <f>IFERROR(__xludf.DUMMYFUNCTION("""COMPUTED_VALUE"""),796.8)</f>
        <v>796.8</v>
      </c>
      <c r="F4200" s="1">
        <f>IFERROR(__xludf.DUMMYFUNCTION("""COMPUTED_VALUE"""),1024157.0)</f>
        <v>1024157</v>
      </c>
    </row>
    <row r="4201">
      <c r="A4201" s="2">
        <f>IFERROR(__xludf.DUMMYFUNCTION("""COMPUTED_VALUE"""),42726.64583333333)</f>
        <v>42726.64583</v>
      </c>
      <c r="B4201" s="1">
        <f>IFERROR(__xludf.DUMMYFUNCTION("""COMPUTED_VALUE"""),796.0)</f>
        <v>796</v>
      </c>
      <c r="C4201" s="1">
        <f>IFERROR(__xludf.DUMMYFUNCTION("""COMPUTED_VALUE"""),802.5)</f>
        <v>802.5</v>
      </c>
      <c r="D4201" s="1">
        <f>IFERROR(__xludf.DUMMYFUNCTION("""COMPUTED_VALUE"""),783.85)</f>
        <v>783.85</v>
      </c>
      <c r="E4201" s="1">
        <f>IFERROR(__xludf.DUMMYFUNCTION("""COMPUTED_VALUE"""),787.05)</f>
        <v>787.05</v>
      </c>
      <c r="F4201" s="1">
        <f>IFERROR(__xludf.DUMMYFUNCTION("""COMPUTED_VALUE"""),1147406.0)</f>
        <v>1147406</v>
      </c>
    </row>
    <row r="4202">
      <c r="A4202" s="2">
        <f>IFERROR(__xludf.DUMMYFUNCTION("""COMPUTED_VALUE"""),42727.64583333333)</f>
        <v>42727.64583</v>
      </c>
      <c r="B4202" s="1">
        <f>IFERROR(__xludf.DUMMYFUNCTION("""COMPUTED_VALUE"""),786.5)</f>
        <v>786.5</v>
      </c>
      <c r="C4202" s="1">
        <f>IFERROR(__xludf.DUMMYFUNCTION("""COMPUTED_VALUE"""),799.4)</f>
        <v>799.4</v>
      </c>
      <c r="D4202" s="1">
        <f>IFERROR(__xludf.DUMMYFUNCTION("""COMPUTED_VALUE"""),781.95)</f>
        <v>781.95</v>
      </c>
      <c r="E4202" s="1">
        <f>IFERROR(__xludf.DUMMYFUNCTION("""COMPUTED_VALUE"""),789.5)</f>
        <v>789.5</v>
      </c>
      <c r="F4202" s="1">
        <f>IFERROR(__xludf.DUMMYFUNCTION("""COMPUTED_VALUE"""),893290.0)</f>
        <v>893290</v>
      </c>
    </row>
    <row r="4203">
      <c r="A4203" s="2">
        <f>IFERROR(__xludf.DUMMYFUNCTION("""COMPUTED_VALUE"""),42730.64583333333)</f>
        <v>42730.64583</v>
      </c>
      <c r="B4203" s="1">
        <f>IFERROR(__xludf.DUMMYFUNCTION("""COMPUTED_VALUE"""),788.0)</f>
        <v>788</v>
      </c>
      <c r="C4203" s="1">
        <f>IFERROR(__xludf.DUMMYFUNCTION("""COMPUTED_VALUE"""),804.9)</f>
        <v>804.9</v>
      </c>
      <c r="D4203" s="1">
        <f>IFERROR(__xludf.DUMMYFUNCTION("""COMPUTED_VALUE"""),785.05)</f>
        <v>785.05</v>
      </c>
      <c r="E4203" s="1">
        <f>IFERROR(__xludf.DUMMYFUNCTION("""COMPUTED_VALUE"""),801.8)</f>
        <v>801.8</v>
      </c>
      <c r="F4203" s="1">
        <f>IFERROR(__xludf.DUMMYFUNCTION("""COMPUTED_VALUE"""),686679.0)</f>
        <v>686679</v>
      </c>
    </row>
    <row r="4204">
      <c r="A4204" s="2">
        <f>IFERROR(__xludf.DUMMYFUNCTION("""COMPUTED_VALUE"""),42731.64583333333)</f>
        <v>42731.64583</v>
      </c>
      <c r="B4204" s="1">
        <f>IFERROR(__xludf.DUMMYFUNCTION("""COMPUTED_VALUE"""),801.9)</f>
        <v>801.9</v>
      </c>
      <c r="C4204" s="1">
        <f>IFERROR(__xludf.DUMMYFUNCTION("""COMPUTED_VALUE"""),808.5)</f>
        <v>808.5</v>
      </c>
      <c r="D4204" s="1">
        <f>IFERROR(__xludf.DUMMYFUNCTION("""COMPUTED_VALUE"""),796.6)</f>
        <v>796.6</v>
      </c>
      <c r="E4204" s="1">
        <f>IFERROR(__xludf.DUMMYFUNCTION("""COMPUTED_VALUE"""),806.75)</f>
        <v>806.75</v>
      </c>
      <c r="F4204" s="1">
        <f>IFERROR(__xludf.DUMMYFUNCTION("""COMPUTED_VALUE"""),552306.0)</f>
        <v>552306</v>
      </c>
    </row>
    <row r="4205">
      <c r="A4205" s="2">
        <f>IFERROR(__xludf.DUMMYFUNCTION("""COMPUTED_VALUE"""),42732.64583333333)</f>
        <v>42732.64583</v>
      </c>
      <c r="B4205" s="1">
        <f>IFERROR(__xludf.DUMMYFUNCTION("""COMPUTED_VALUE"""),808.0)</f>
        <v>808</v>
      </c>
      <c r="C4205" s="1">
        <f>IFERROR(__xludf.DUMMYFUNCTION("""COMPUTED_VALUE"""),821.2)</f>
        <v>821.2</v>
      </c>
      <c r="D4205" s="1">
        <f>IFERROR(__xludf.DUMMYFUNCTION("""COMPUTED_VALUE"""),806.0)</f>
        <v>806</v>
      </c>
      <c r="E4205" s="1">
        <f>IFERROR(__xludf.DUMMYFUNCTION("""COMPUTED_VALUE"""),810.3)</f>
        <v>810.3</v>
      </c>
      <c r="F4205" s="1">
        <f>IFERROR(__xludf.DUMMYFUNCTION("""COMPUTED_VALUE"""),811567.0)</f>
        <v>811567</v>
      </c>
    </row>
    <row r="4206">
      <c r="A4206" s="2">
        <f>IFERROR(__xludf.DUMMYFUNCTION("""COMPUTED_VALUE"""),42733.64583333333)</f>
        <v>42733.64583</v>
      </c>
      <c r="B4206" s="1">
        <f>IFERROR(__xludf.DUMMYFUNCTION("""COMPUTED_VALUE"""),811.25)</f>
        <v>811.25</v>
      </c>
      <c r="C4206" s="1">
        <f>IFERROR(__xludf.DUMMYFUNCTION("""COMPUTED_VALUE"""),821.95)</f>
        <v>821.95</v>
      </c>
      <c r="D4206" s="1">
        <f>IFERROR(__xludf.DUMMYFUNCTION("""COMPUTED_VALUE"""),806.55)</f>
        <v>806.55</v>
      </c>
      <c r="E4206" s="1">
        <f>IFERROR(__xludf.DUMMYFUNCTION("""COMPUTED_VALUE"""),818.5)</f>
        <v>818.5</v>
      </c>
      <c r="F4206" s="1">
        <f>IFERROR(__xludf.DUMMYFUNCTION("""COMPUTED_VALUE"""),1295881.0)</f>
        <v>1295881</v>
      </c>
    </row>
    <row r="4207">
      <c r="A4207" s="2">
        <f>IFERROR(__xludf.DUMMYFUNCTION("""COMPUTED_VALUE"""),42734.64583333333)</f>
        <v>42734.64583</v>
      </c>
      <c r="B4207" s="1">
        <f>IFERROR(__xludf.DUMMYFUNCTION("""COMPUTED_VALUE"""),819.45)</f>
        <v>819.45</v>
      </c>
      <c r="C4207" s="1">
        <f>IFERROR(__xludf.DUMMYFUNCTION("""COMPUTED_VALUE"""),829.45)</f>
        <v>829.45</v>
      </c>
      <c r="D4207" s="1">
        <f>IFERROR(__xludf.DUMMYFUNCTION("""COMPUTED_VALUE"""),818.5)</f>
        <v>818.5</v>
      </c>
      <c r="E4207" s="1">
        <f>IFERROR(__xludf.DUMMYFUNCTION("""COMPUTED_VALUE"""),826.35)</f>
        <v>826.35</v>
      </c>
      <c r="F4207" s="1">
        <f>IFERROR(__xludf.DUMMYFUNCTION("""COMPUTED_VALUE"""),709395.0)</f>
        <v>709395</v>
      </c>
    </row>
    <row r="4208">
      <c r="A4208" s="2">
        <f>IFERROR(__xludf.DUMMYFUNCTION("""COMPUTED_VALUE"""),42737.64583333333)</f>
        <v>42737.64583</v>
      </c>
      <c r="B4208" s="1">
        <f>IFERROR(__xludf.DUMMYFUNCTION("""COMPUTED_VALUE"""),828.0)</f>
        <v>828</v>
      </c>
      <c r="C4208" s="1">
        <f>IFERROR(__xludf.DUMMYFUNCTION("""COMPUTED_VALUE"""),828.0)</f>
        <v>828</v>
      </c>
      <c r="D4208" s="1">
        <f>IFERROR(__xludf.DUMMYFUNCTION("""COMPUTED_VALUE"""),819.1)</f>
        <v>819.1</v>
      </c>
      <c r="E4208" s="1">
        <f>IFERROR(__xludf.DUMMYFUNCTION("""COMPUTED_VALUE"""),825.35)</f>
        <v>825.35</v>
      </c>
      <c r="F4208" s="1">
        <f>IFERROR(__xludf.DUMMYFUNCTION("""COMPUTED_VALUE"""),439748.0)</f>
        <v>439748</v>
      </c>
    </row>
    <row r="4209">
      <c r="A4209" s="2">
        <f>IFERROR(__xludf.DUMMYFUNCTION("""COMPUTED_VALUE"""),42738.64583333333)</f>
        <v>42738.64583</v>
      </c>
      <c r="B4209" s="1">
        <f>IFERROR(__xludf.DUMMYFUNCTION("""COMPUTED_VALUE"""),826.45)</f>
        <v>826.45</v>
      </c>
      <c r="C4209" s="1">
        <f>IFERROR(__xludf.DUMMYFUNCTION("""COMPUTED_VALUE"""),832.8)</f>
        <v>832.8</v>
      </c>
      <c r="D4209" s="1">
        <f>IFERROR(__xludf.DUMMYFUNCTION("""COMPUTED_VALUE"""),819.5)</f>
        <v>819.5</v>
      </c>
      <c r="E4209" s="1">
        <f>IFERROR(__xludf.DUMMYFUNCTION("""COMPUTED_VALUE"""),829.85)</f>
        <v>829.85</v>
      </c>
      <c r="F4209" s="1">
        <f>IFERROR(__xludf.DUMMYFUNCTION("""COMPUTED_VALUE"""),617599.0)</f>
        <v>617599</v>
      </c>
    </row>
    <row r="4210">
      <c r="A4210" s="2">
        <f>IFERROR(__xludf.DUMMYFUNCTION("""COMPUTED_VALUE"""),42739.64583333333)</f>
        <v>42739.64583</v>
      </c>
      <c r="B4210" s="1">
        <f>IFERROR(__xludf.DUMMYFUNCTION("""COMPUTED_VALUE"""),829.85)</f>
        <v>829.85</v>
      </c>
      <c r="C4210" s="1">
        <f>IFERROR(__xludf.DUMMYFUNCTION("""COMPUTED_VALUE"""),837.4)</f>
        <v>837.4</v>
      </c>
      <c r="D4210" s="1">
        <f>IFERROR(__xludf.DUMMYFUNCTION("""COMPUTED_VALUE"""),816.55)</f>
        <v>816.55</v>
      </c>
      <c r="E4210" s="1">
        <f>IFERROR(__xludf.DUMMYFUNCTION("""COMPUTED_VALUE"""),821.6)</f>
        <v>821.6</v>
      </c>
      <c r="F4210" s="1">
        <f>IFERROR(__xludf.DUMMYFUNCTION("""COMPUTED_VALUE"""),1298675.0)</f>
        <v>1298675</v>
      </c>
    </row>
    <row r="4211">
      <c r="A4211" s="2">
        <f>IFERROR(__xludf.DUMMYFUNCTION("""COMPUTED_VALUE"""),42740.64583333333)</f>
        <v>42740.64583</v>
      </c>
      <c r="B4211" s="1">
        <f>IFERROR(__xludf.DUMMYFUNCTION("""COMPUTED_VALUE"""),824.9)</f>
        <v>824.9</v>
      </c>
      <c r="C4211" s="1">
        <f>IFERROR(__xludf.DUMMYFUNCTION("""COMPUTED_VALUE"""),835.75)</f>
        <v>835.75</v>
      </c>
      <c r="D4211" s="1">
        <f>IFERROR(__xludf.DUMMYFUNCTION("""COMPUTED_VALUE"""),822.0)</f>
        <v>822</v>
      </c>
      <c r="E4211" s="1">
        <f>IFERROR(__xludf.DUMMYFUNCTION("""COMPUTED_VALUE"""),833.15)</f>
        <v>833.15</v>
      </c>
      <c r="F4211" s="1">
        <f>IFERROR(__xludf.DUMMYFUNCTION("""COMPUTED_VALUE"""),800848.0)</f>
        <v>800848</v>
      </c>
    </row>
    <row r="4212">
      <c r="A4212" s="2">
        <f>IFERROR(__xludf.DUMMYFUNCTION("""COMPUTED_VALUE"""),42741.64583333333)</f>
        <v>42741.64583</v>
      </c>
      <c r="B4212" s="1">
        <f>IFERROR(__xludf.DUMMYFUNCTION("""COMPUTED_VALUE"""),832.9)</f>
        <v>832.9</v>
      </c>
      <c r="C4212" s="1">
        <f>IFERROR(__xludf.DUMMYFUNCTION("""COMPUTED_VALUE"""),874.8)</f>
        <v>874.8</v>
      </c>
      <c r="D4212" s="1">
        <f>IFERROR(__xludf.DUMMYFUNCTION("""COMPUTED_VALUE"""),831.7)</f>
        <v>831.7</v>
      </c>
      <c r="E4212" s="1">
        <f>IFERROR(__xludf.DUMMYFUNCTION("""COMPUTED_VALUE"""),833.75)</f>
        <v>833.75</v>
      </c>
      <c r="F4212" s="1">
        <f>IFERROR(__xludf.DUMMYFUNCTION("""COMPUTED_VALUE"""),545826.0)</f>
        <v>545826</v>
      </c>
    </row>
    <row r="4213">
      <c r="A4213" s="2">
        <f>IFERROR(__xludf.DUMMYFUNCTION("""COMPUTED_VALUE"""),42744.64583333333)</f>
        <v>42744.64583</v>
      </c>
      <c r="B4213" s="1">
        <f>IFERROR(__xludf.DUMMYFUNCTION("""COMPUTED_VALUE"""),838.0)</f>
        <v>838</v>
      </c>
      <c r="C4213" s="1">
        <f>IFERROR(__xludf.DUMMYFUNCTION("""COMPUTED_VALUE"""),838.55)</f>
        <v>838.55</v>
      </c>
      <c r="D4213" s="1">
        <f>IFERROR(__xludf.DUMMYFUNCTION("""COMPUTED_VALUE"""),828.35)</f>
        <v>828.35</v>
      </c>
      <c r="E4213" s="1">
        <f>IFERROR(__xludf.DUMMYFUNCTION("""COMPUTED_VALUE"""),831.05)</f>
        <v>831.05</v>
      </c>
      <c r="F4213" s="1">
        <f>IFERROR(__xludf.DUMMYFUNCTION("""COMPUTED_VALUE"""),323290.0)</f>
        <v>323290</v>
      </c>
    </row>
    <row r="4214">
      <c r="A4214" s="2">
        <f>IFERROR(__xludf.DUMMYFUNCTION("""COMPUTED_VALUE"""),42745.64583333333)</f>
        <v>42745.64583</v>
      </c>
      <c r="B4214" s="1">
        <f>IFERROR(__xludf.DUMMYFUNCTION("""COMPUTED_VALUE"""),833.8)</f>
        <v>833.8</v>
      </c>
      <c r="C4214" s="1">
        <f>IFERROR(__xludf.DUMMYFUNCTION("""COMPUTED_VALUE"""),835.95)</f>
        <v>835.95</v>
      </c>
      <c r="D4214" s="1">
        <f>IFERROR(__xludf.DUMMYFUNCTION("""COMPUTED_VALUE"""),829.0)</f>
        <v>829</v>
      </c>
      <c r="E4214" s="1">
        <f>IFERROR(__xludf.DUMMYFUNCTION("""COMPUTED_VALUE"""),830.55)</f>
        <v>830.55</v>
      </c>
      <c r="F4214" s="1">
        <f>IFERROR(__xludf.DUMMYFUNCTION("""COMPUTED_VALUE"""),337793.0)</f>
        <v>337793</v>
      </c>
    </row>
    <row r="4215">
      <c r="A4215" s="2">
        <f>IFERROR(__xludf.DUMMYFUNCTION("""COMPUTED_VALUE"""),42746.64583333333)</f>
        <v>42746.64583</v>
      </c>
      <c r="B4215" s="1">
        <f>IFERROR(__xludf.DUMMYFUNCTION("""COMPUTED_VALUE"""),832.1)</f>
        <v>832.1</v>
      </c>
      <c r="C4215" s="1">
        <f>IFERROR(__xludf.DUMMYFUNCTION("""COMPUTED_VALUE"""),845.0)</f>
        <v>845</v>
      </c>
      <c r="D4215" s="1">
        <f>IFERROR(__xludf.DUMMYFUNCTION("""COMPUTED_VALUE"""),830.1)</f>
        <v>830.1</v>
      </c>
      <c r="E4215" s="1">
        <f>IFERROR(__xludf.DUMMYFUNCTION("""COMPUTED_VALUE"""),840.4)</f>
        <v>840.4</v>
      </c>
      <c r="F4215" s="1">
        <f>IFERROR(__xludf.DUMMYFUNCTION("""COMPUTED_VALUE"""),867646.0)</f>
        <v>867646</v>
      </c>
    </row>
    <row r="4216">
      <c r="A4216" s="2">
        <f>IFERROR(__xludf.DUMMYFUNCTION("""COMPUTED_VALUE"""),42747.64583333333)</f>
        <v>42747.64583</v>
      </c>
      <c r="B4216" s="1">
        <f>IFERROR(__xludf.DUMMYFUNCTION("""COMPUTED_VALUE"""),843.7)</f>
        <v>843.7</v>
      </c>
      <c r="C4216" s="1">
        <f>IFERROR(__xludf.DUMMYFUNCTION("""COMPUTED_VALUE"""),843.7)</f>
        <v>843.7</v>
      </c>
      <c r="D4216" s="1">
        <f>IFERROR(__xludf.DUMMYFUNCTION("""COMPUTED_VALUE"""),824.7)</f>
        <v>824.7</v>
      </c>
      <c r="E4216" s="1">
        <f>IFERROR(__xludf.DUMMYFUNCTION("""COMPUTED_VALUE"""),825.9)</f>
        <v>825.9</v>
      </c>
      <c r="F4216" s="1">
        <f>IFERROR(__xludf.DUMMYFUNCTION("""COMPUTED_VALUE"""),985100.0)</f>
        <v>985100</v>
      </c>
    </row>
    <row r="4217">
      <c r="A4217" s="2">
        <f>IFERROR(__xludf.DUMMYFUNCTION("""COMPUTED_VALUE"""),42748.64583333333)</f>
        <v>42748.64583</v>
      </c>
      <c r="B4217" s="1">
        <f>IFERROR(__xludf.DUMMYFUNCTION("""COMPUTED_VALUE"""),830.0)</f>
        <v>830</v>
      </c>
      <c r="C4217" s="1">
        <f>IFERROR(__xludf.DUMMYFUNCTION("""COMPUTED_VALUE"""),835.6)</f>
        <v>835.6</v>
      </c>
      <c r="D4217" s="1">
        <f>IFERROR(__xludf.DUMMYFUNCTION("""COMPUTED_VALUE"""),825.1)</f>
        <v>825.1</v>
      </c>
      <c r="E4217" s="1">
        <f>IFERROR(__xludf.DUMMYFUNCTION("""COMPUTED_VALUE"""),827.95)</f>
        <v>827.95</v>
      </c>
      <c r="F4217" s="1">
        <f>IFERROR(__xludf.DUMMYFUNCTION("""COMPUTED_VALUE"""),567779.0)</f>
        <v>567779</v>
      </c>
    </row>
    <row r="4218">
      <c r="A4218" s="2">
        <f>IFERROR(__xludf.DUMMYFUNCTION("""COMPUTED_VALUE"""),42751.64583333333)</f>
        <v>42751.64583</v>
      </c>
      <c r="B4218" s="1">
        <f>IFERROR(__xludf.DUMMYFUNCTION("""COMPUTED_VALUE"""),828.0)</f>
        <v>828</v>
      </c>
      <c r="C4218" s="1">
        <f>IFERROR(__xludf.DUMMYFUNCTION("""COMPUTED_VALUE"""),831.35)</f>
        <v>831.35</v>
      </c>
      <c r="D4218" s="1">
        <f>IFERROR(__xludf.DUMMYFUNCTION("""COMPUTED_VALUE"""),822.45)</f>
        <v>822.45</v>
      </c>
      <c r="E4218" s="1">
        <f>IFERROR(__xludf.DUMMYFUNCTION("""COMPUTED_VALUE"""),827.5)</f>
        <v>827.5</v>
      </c>
      <c r="F4218" s="1">
        <f>IFERROR(__xludf.DUMMYFUNCTION("""COMPUTED_VALUE"""),472383.0)</f>
        <v>472383</v>
      </c>
    </row>
    <row r="4219">
      <c r="A4219" s="2">
        <f>IFERROR(__xludf.DUMMYFUNCTION("""COMPUTED_VALUE"""),42752.64583333333)</f>
        <v>42752.64583</v>
      </c>
      <c r="B4219" s="1">
        <f>IFERROR(__xludf.DUMMYFUNCTION("""COMPUTED_VALUE"""),826.75)</f>
        <v>826.75</v>
      </c>
      <c r="C4219" s="1">
        <f>IFERROR(__xludf.DUMMYFUNCTION("""COMPUTED_VALUE"""),843.0)</f>
        <v>843</v>
      </c>
      <c r="D4219" s="1">
        <f>IFERROR(__xludf.DUMMYFUNCTION("""COMPUTED_VALUE"""),826.75)</f>
        <v>826.75</v>
      </c>
      <c r="E4219" s="1">
        <f>IFERROR(__xludf.DUMMYFUNCTION("""COMPUTED_VALUE"""),840.65)</f>
        <v>840.65</v>
      </c>
      <c r="F4219" s="1">
        <f>IFERROR(__xludf.DUMMYFUNCTION("""COMPUTED_VALUE"""),1081184.0)</f>
        <v>1081184</v>
      </c>
    </row>
    <row r="4220">
      <c r="A4220" s="2">
        <f>IFERROR(__xludf.DUMMYFUNCTION("""COMPUTED_VALUE"""),42753.64583333333)</f>
        <v>42753.64583</v>
      </c>
      <c r="B4220" s="1">
        <f>IFERROR(__xludf.DUMMYFUNCTION("""COMPUTED_VALUE"""),840.7)</f>
        <v>840.7</v>
      </c>
      <c r="C4220" s="1">
        <f>IFERROR(__xludf.DUMMYFUNCTION("""COMPUTED_VALUE"""),867.75)</f>
        <v>867.75</v>
      </c>
      <c r="D4220" s="1">
        <f>IFERROR(__xludf.DUMMYFUNCTION("""COMPUTED_VALUE"""),837.6)</f>
        <v>837.6</v>
      </c>
      <c r="E4220" s="1">
        <f>IFERROR(__xludf.DUMMYFUNCTION("""COMPUTED_VALUE"""),864.95)</f>
        <v>864.95</v>
      </c>
      <c r="F4220" s="1">
        <f>IFERROR(__xludf.DUMMYFUNCTION("""COMPUTED_VALUE"""),2032995.0)</f>
        <v>2032995</v>
      </c>
    </row>
    <row r="4221">
      <c r="A4221" s="2">
        <f>IFERROR(__xludf.DUMMYFUNCTION("""COMPUTED_VALUE"""),42754.64583333333)</f>
        <v>42754.64583</v>
      </c>
      <c r="B4221" s="1">
        <f>IFERROR(__xludf.DUMMYFUNCTION("""COMPUTED_VALUE"""),865.4)</f>
        <v>865.4</v>
      </c>
      <c r="C4221" s="1">
        <f>IFERROR(__xludf.DUMMYFUNCTION("""COMPUTED_VALUE"""),875.95)</f>
        <v>875.95</v>
      </c>
      <c r="D4221" s="1">
        <f>IFERROR(__xludf.DUMMYFUNCTION("""COMPUTED_VALUE"""),858.55)</f>
        <v>858.55</v>
      </c>
      <c r="E4221" s="1">
        <f>IFERROR(__xludf.DUMMYFUNCTION("""COMPUTED_VALUE"""),860.3)</f>
        <v>860.3</v>
      </c>
      <c r="F4221" s="1">
        <f>IFERROR(__xludf.DUMMYFUNCTION("""COMPUTED_VALUE"""),1350359.0)</f>
        <v>1350359</v>
      </c>
    </row>
    <row r="4222">
      <c r="A4222" s="2">
        <f>IFERROR(__xludf.DUMMYFUNCTION("""COMPUTED_VALUE"""),42755.64583333333)</f>
        <v>42755.64583</v>
      </c>
      <c r="B4222" s="1">
        <f>IFERROR(__xludf.DUMMYFUNCTION("""COMPUTED_VALUE"""),855.2)</f>
        <v>855.2</v>
      </c>
      <c r="C4222" s="1">
        <f>IFERROR(__xludf.DUMMYFUNCTION("""COMPUTED_VALUE"""),872.0)</f>
        <v>872</v>
      </c>
      <c r="D4222" s="1">
        <f>IFERROR(__xludf.DUMMYFUNCTION("""COMPUTED_VALUE"""),854.5)</f>
        <v>854.5</v>
      </c>
      <c r="E4222" s="1">
        <f>IFERROR(__xludf.DUMMYFUNCTION("""COMPUTED_VALUE"""),860.45)</f>
        <v>860.45</v>
      </c>
      <c r="F4222" s="1">
        <f>IFERROR(__xludf.DUMMYFUNCTION("""COMPUTED_VALUE"""),1032081.0)</f>
        <v>1032081</v>
      </c>
    </row>
    <row r="4223">
      <c r="A4223" s="2">
        <f>IFERROR(__xludf.DUMMYFUNCTION("""COMPUTED_VALUE"""),42758.64583333333)</f>
        <v>42758.64583</v>
      </c>
      <c r="B4223" s="1">
        <f>IFERROR(__xludf.DUMMYFUNCTION("""COMPUTED_VALUE"""),854.6)</f>
        <v>854.6</v>
      </c>
      <c r="C4223" s="1">
        <f>IFERROR(__xludf.DUMMYFUNCTION("""COMPUTED_VALUE"""),866.8)</f>
        <v>866.8</v>
      </c>
      <c r="D4223" s="1">
        <f>IFERROR(__xludf.DUMMYFUNCTION("""COMPUTED_VALUE"""),851.55)</f>
        <v>851.55</v>
      </c>
      <c r="E4223" s="1">
        <f>IFERROR(__xludf.DUMMYFUNCTION("""COMPUTED_VALUE"""),862.4)</f>
        <v>862.4</v>
      </c>
      <c r="F4223" s="1">
        <f>IFERROR(__xludf.DUMMYFUNCTION("""COMPUTED_VALUE"""),1615902.0)</f>
        <v>1615902</v>
      </c>
    </row>
    <row r="4224">
      <c r="A4224" s="2">
        <f>IFERROR(__xludf.DUMMYFUNCTION("""COMPUTED_VALUE"""),42759.64583333333)</f>
        <v>42759.64583</v>
      </c>
      <c r="B4224" s="1">
        <f>IFERROR(__xludf.DUMMYFUNCTION("""COMPUTED_VALUE"""),856.0)</f>
        <v>856</v>
      </c>
      <c r="C4224" s="1">
        <f>IFERROR(__xludf.DUMMYFUNCTION("""COMPUTED_VALUE"""),862.4)</f>
        <v>862.4</v>
      </c>
      <c r="D4224" s="1">
        <f>IFERROR(__xludf.DUMMYFUNCTION("""COMPUTED_VALUE"""),842.1)</f>
        <v>842.1</v>
      </c>
      <c r="E4224" s="1">
        <f>IFERROR(__xludf.DUMMYFUNCTION("""COMPUTED_VALUE"""),860.35)</f>
        <v>860.35</v>
      </c>
      <c r="F4224" s="1">
        <f>IFERROR(__xludf.DUMMYFUNCTION("""COMPUTED_VALUE"""),1843785.0)</f>
        <v>1843785</v>
      </c>
    </row>
    <row r="4225">
      <c r="A4225" s="2">
        <f>IFERROR(__xludf.DUMMYFUNCTION("""COMPUTED_VALUE"""),42760.64583333333)</f>
        <v>42760.64583</v>
      </c>
      <c r="B4225" s="1">
        <f>IFERROR(__xludf.DUMMYFUNCTION("""COMPUTED_VALUE"""),857.0)</f>
        <v>857</v>
      </c>
      <c r="C4225" s="1">
        <f>IFERROR(__xludf.DUMMYFUNCTION("""COMPUTED_VALUE"""),869.95)</f>
        <v>869.95</v>
      </c>
      <c r="D4225" s="1">
        <f>IFERROR(__xludf.DUMMYFUNCTION("""COMPUTED_VALUE"""),855.95)</f>
        <v>855.95</v>
      </c>
      <c r="E4225" s="1">
        <f>IFERROR(__xludf.DUMMYFUNCTION("""COMPUTED_VALUE"""),869.2)</f>
        <v>869.2</v>
      </c>
      <c r="F4225" s="1">
        <f>IFERROR(__xludf.DUMMYFUNCTION("""COMPUTED_VALUE"""),1360342.0)</f>
        <v>1360342</v>
      </c>
    </row>
    <row r="4226">
      <c r="A4226" s="2">
        <f>IFERROR(__xludf.DUMMYFUNCTION("""COMPUTED_VALUE"""),42762.64583333333)</f>
        <v>42762.64583</v>
      </c>
      <c r="B4226" s="1">
        <f>IFERROR(__xludf.DUMMYFUNCTION("""COMPUTED_VALUE"""),869.0)</f>
        <v>869</v>
      </c>
      <c r="C4226" s="1">
        <f>IFERROR(__xludf.DUMMYFUNCTION("""COMPUTED_VALUE"""),875.7)</f>
        <v>875.7</v>
      </c>
      <c r="D4226" s="1">
        <f>IFERROR(__xludf.DUMMYFUNCTION("""COMPUTED_VALUE"""),853.8)</f>
        <v>853.8</v>
      </c>
      <c r="E4226" s="1">
        <f>IFERROR(__xludf.DUMMYFUNCTION("""COMPUTED_VALUE"""),855.95)</f>
        <v>855.95</v>
      </c>
      <c r="F4226" s="1">
        <f>IFERROR(__xludf.DUMMYFUNCTION("""COMPUTED_VALUE"""),1272497.0)</f>
        <v>1272497</v>
      </c>
    </row>
    <row r="4227">
      <c r="A4227" s="2">
        <f>IFERROR(__xludf.DUMMYFUNCTION("""COMPUTED_VALUE"""),42765.64583333333)</f>
        <v>42765.64583</v>
      </c>
      <c r="B4227" s="1">
        <f>IFERROR(__xludf.DUMMYFUNCTION("""COMPUTED_VALUE"""),856.95)</f>
        <v>856.95</v>
      </c>
      <c r="C4227" s="1">
        <f>IFERROR(__xludf.DUMMYFUNCTION("""COMPUTED_VALUE"""),863.2)</f>
        <v>863.2</v>
      </c>
      <c r="D4227" s="1">
        <f>IFERROR(__xludf.DUMMYFUNCTION("""COMPUTED_VALUE"""),851.15)</f>
        <v>851.15</v>
      </c>
      <c r="E4227" s="1">
        <f>IFERROR(__xludf.DUMMYFUNCTION("""COMPUTED_VALUE"""),853.55)</f>
        <v>853.55</v>
      </c>
      <c r="F4227" s="1">
        <f>IFERROR(__xludf.DUMMYFUNCTION("""COMPUTED_VALUE"""),600766.0)</f>
        <v>600766</v>
      </c>
    </row>
    <row r="4228">
      <c r="A4228" s="2">
        <f>IFERROR(__xludf.DUMMYFUNCTION("""COMPUTED_VALUE"""),42766.64583333333)</f>
        <v>42766.64583</v>
      </c>
      <c r="B4228" s="1">
        <f>IFERROR(__xludf.DUMMYFUNCTION("""COMPUTED_VALUE"""),856.0)</f>
        <v>856</v>
      </c>
      <c r="C4228" s="1">
        <f>IFERROR(__xludf.DUMMYFUNCTION("""COMPUTED_VALUE"""),862.9)</f>
        <v>862.9</v>
      </c>
      <c r="D4228" s="1">
        <f>IFERROR(__xludf.DUMMYFUNCTION("""COMPUTED_VALUE"""),851.25)</f>
        <v>851.25</v>
      </c>
      <c r="E4228" s="1">
        <f>IFERROR(__xludf.DUMMYFUNCTION("""COMPUTED_VALUE"""),855.4)</f>
        <v>855.4</v>
      </c>
      <c r="F4228" s="1">
        <f>IFERROR(__xludf.DUMMYFUNCTION("""COMPUTED_VALUE"""),1210100.0)</f>
        <v>1210100</v>
      </c>
    </row>
    <row r="4229">
      <c r="A4229" s="2">
        <f>IFERROR(__xludf.DUMMYFUNCTION("""COMPUTED_VALUE"""),42767.64583333333)</f>
        <v>42767.64583</v>
      </c>
      <c r="B4229" s="1">
        <f>IFERROR(__xludf.DUMMYFUNCTION("""COMPUTED_VALUE"""),857.0)</f>
        <v>857</v>
      </c>
      <c r="C4229" s="1">
        <f>IFERROR(__xludf.DUMMYFUNCTION("""COMPUTED_VALUE"""),867.55)</f>
        <v>867.55</v>
      </c>
      <c r="D4229" s="1">
        <f>IFERROR(__xludf.DUMMYFUNCTION("""COMPUTED_VALUE"""),849.2)</f>
        <v>849.2</v>
      </c>
      <c r="E4229" s="1">
        <f>IFERROR(__xludf.DUMMYFUNCTION("""COMPUTED_VALUE"""),854.05)</f>
        <v>854.05</v>
      </c>
      <c r="F4229" s="1">
        <f>IFERROR(__xludf.DUMMYFUNCTION("""COMPUTED_VALUE"""),1750447.0)</f>
        <v>1750447</v>
      </c>
    </row>
    <row r="4230">
      <c r="A4230" s="2">
        <f>IFERROR(__xludf.DUMMYFUNCTION("""COMPUTED_VALUE"""),42768.64583333333)</f>
        <v>42768.64583</v>
      </c>
      <c r="B4230" s="1">
        <f>IFERROR(__xludf.DUMMYFUNCTION("""COMPUTED_VALUE"""),857.5)</f>
        <v>857.5</v>
      </c>
      <c r="C4230" s="1">
        <f>IFERROR(__xludf.DUMMYFUNCTION("""COMPUTED_VALUE"""),858.8)</f>
        <v>858.8</v>
      </c>
      <c r="D4230" s="1">
        <f>IFERROR(__xludf.DUMMYFUNCTION("""COMPUTED_VALUE"""),841.8)</f>
        <v>841.8</v>
      </c>
      <c r="E4230" s="1">
        <f>IFERROR(__xludf.DUMMYFUNCTION("""COMPUTED_VALUE"""),845.3)</f>
        <v>845.3</v>
      </c>
      <c r="F4230" s="1">
        <f>IFERROR(__xludf.DUMMYFUNCTION("""COMPUTED_VALUE"""),1617828.0)</f>
        <v>1617828</v>
      </c>
    </row>
    <row r="4231">
      <c r="A4231" s="2">
        <f>IFERROR(__xludf.DUMMYFUNCTION("""COMPUTED_VALUE"""),42769.64583333333)</f>
        <v>42769.64583</v>
      </c>
      <c r="B4231" s="1">
        <f>IFERROR(__xludf.DUMMYFUNCTION("""COMPUTED_VALUE"""),845.0)</f>
        <v>845</v>
      </c>
      <c r="C4231" s="1">
        <f>IFERROR(__xludf.DUMMYFUNCTION("""COMPUTED_VALUE"""),852.45)</f>
        <v>852.45</v>
      </c>
      <c r="D4231" s="1">
        <f>IFERROR(__xludf.DUMMYFUNCTION("""COMPUTED_VALUE"""),838.6)</f>
        <v>838.6</v>
      </c>
      <c r="E4231" s="1">
        <f>IFERROR(__xludf.DUMMYFUNCTION("""COMPUTED_VALUE"""),849.75)</f>
        <v>849.75</v>
      </c>
      <c r="F4231" s="1">
        <f>IFERROR(__xludf.DUMMYFUNCTION("""COMPUTED_VALUE"""),999913.0)</f>
        <v>999913</v>
      </c>
    </row>
    <row r="4232">
      <c r="A4232" s="2">
        <f>IFERROR(__xludf.DUMMYFUNCTION("""COMPUTED_VALUE"""),42772.64583333333)</f>
        <v>42772.64583</v>
      </c>
      <c r="B4232" s="1">
        <f>IFERROR(__xludf.DUMMYFUNCTION("""COMPUTED_VALUE"""),850.05)</f>
        <v>850.05</v>
      </c>
      <c r="C4232" s="1">
        <f>IFERROR(__xludf.DUMMYFUNCTION("""COMPUTED_VALUE"""),862.0)</f>
        <v>862</v>
      </c>
      <c r="D4232" s="1">
        <f>IFERROR(__xludf.DUMMYFUNCTION("""COMPUTED_VALUE"""),850.0)</f>
        <v>850</v>
      </c>
      <c r="E4232" s="1">
        <f>IFERROR(__xludf.DUMMYFUNCTION("""COMPUTED_VALUE"""),860.55)</f>
        <v>860.55</v>
      </c>
      <c r="F4232" s="1">
        <f>IFERROR(__xludf.DUMMYFUNCTION("""COMPUTED_VALUE"""),1007603.0)</f>
        <v>1007603</v>
      </c>
    </row>
    <row r="4233">
      <c r="A4233" s="2">
        <f>IFERROR(__xludf.DUMMYFUNCTION("""COMPUTED_VALUE"""),42773.64583333333)</f>
        <v>42773.64583</v>
      </c>
      <c r="B4233" s="1">
        <f>IFERROR(__xludf.DUMMYFUNCTION("""COMPUTED_VALUE"""),863.0)</f>
        <v>863</v>
      </c>
      <c r="C4233" s="1">
        <f>IFERROR(__xludf.DUMMYFUNCTION("""COMPUTED_VALUE"""),863.3)</f>
        <v>863.3</v>
      </c>
      <c r="D4233" s="1">
        <f>IFERROR(__xludf.DUMMYFUNCTION("""COMPUTED_VALUE"""),851.0)</f>
        <v>851</v>
      </c>
      <c r="E4233" s="1">
        <f>IFERROR(__xludf.DUMMYFUNCTION("""COMPUTED_VALUE"""),855.25)</f>
        <v>855.25</v>
      </c>
      <c r="F4233" s="1">
        <f>IFERROR(__xludf.DUMMYFUNCTION("""COMPUTED_VALUE"""),866921.0)</f>
        <v>866921</v>
      </c>
    </row>
    <row r="4234">
      <c r="A4234" s="2">
        <f>IFERROR(__xludf.DUMMYFUNCTION("""COMPUTED_VALUE"""),42774.64583333333)</f>
        <v>42774.64583</v>
      </c>
      <c r="B4234" s="1">
        <f>IFERROR(__xludf.DUMMYFUNCTION("""COMPUTED_VALUE"""),859.9)</f>
        <v>859.9</v>
      </c>
      <c r="C4234" s="1">
        <f>IFERROR(__xludf.DUMMYFUNCTION("""COMPUTED_VALUE"""),859.9)</f>
        <v>859.9</v>
      </c>
      <c r="D4234" s="1">
        <f>IFERROR(__xludf.DUMMYFUNCTION("""COMPUTED_VALUE"""),847.35)</f>
        <v>847.35</v>
      </c>
      <c r="E4234" s="1">
        <f>IFERROR(__xludf.DUMMYFUNCTION("""COMPUTED_VALUE"""),852.95)</f>
        <v>852.95</v>
      </c>
      <c r="F4234" s="1">
        <f>IFERROR(__xludf.DUMMYFUNCTION("""COMPUTED_VALUE"""),995337.0)</f>
        <v>995337</v>
      </c>
    </row>
    <row r="4235">
      <c r="A4235" s="2">
        <f>IFERROR(__xludf.DUMMYFUNCTION("""COMPUTED_VALUE"""),42775.64583333333)</f>
        <v>42775.64583</v>
      </c>
      <c r="B4235" s="1">
        <f>IFERROR(__xludf.DUMMYFUNCTION("""COMPUTED_VALUE"""),856.0)</f>
        <v>856</v>
      </c>
      <c r="C4235" s="1">
        <f>IFERROR(__xludf.DUMMYFUNCTION("""COMPUTED_VALUE"""),856.1)</f>
        <v>856.1</v>
      </c>
      <c r="D4235" s="1">
        <f>IFERROR(__xludf.DUMMYFUNCTION("""COMPUTED_VALUE"""),843.5)</f>
        <v>843.5</v>
      </c>
      <c r="E4235" s="1">
        <f>IFERROR(__xludf.DUMMYFUNCTION("""COMPUTED_VALUE"""),850.75)</f>
        <v>850.75</v>
      </c>
      <c r="F4235" s="1">
        <f>IFERROR(__xludf.DUMMYFUNCTION("""COMPUTED_VALUE"""),884351.0)</f>
        <v>884351</v>
      </c>
    </row>
    <row r="4236">
      <c r="A4236" s="2">
        <f>IFERROR(__xludf.DUMMYFUNCTION("""COMPUTED_VALUE"""),42776.64583333333)</f>
        <v>42776.64583</v>
      </c>
      <c r="B4236" s="1">
        <f>IFERROR(__xludf.DUMMYFUNCTION("""COMPUTED_VALUE"""),848.25)</f>
        <v>848.25</v>
      </c>
      <c r="C4236" s="1">
        <f>IFERROR(__xludf.DUMMYFUNCTION("""COMPUTED_VALUE"""),858.4)</f>
        <v>858.4</v>
      </c>
      <c r="D4236" s="1">
        <f>IFERROR(__xludf.DUMMYFUNCTION("""COMPUTED_VALUE"""),847.65)</f>
        <v>847.65</v>
      </c>
      <c r="E4236" s="1">
        <f>IFERROR(__xludf.DUMMYFUNCTION("""COMPUTED_VALUE"""),850.9)</f>
        <v>850.9</v>
      </c>
      <c r="F4236" s="1">
        <f>IFERROR(__xludf.DUMMYFUNCTION("""COMPUTED_VALUE"""),648644.0)</f>
        <v>648644</v>
      </c>
    </row>
    <row r="4237">
      <c r="A4237" s="2">
        <f>IFERROR(__xludf.DUMMYFUNCTION("""COMPUTED_VALUE"""),42779.64583333333)</f>
        <v>42779.64583</v>
      </c>
      <c r="B4237" s="1">
        <f>IFERROR(__xludf.DUMMYFUNCTION("""COMPUTED_VALUE"""),854.95)</f>
        <v>854.95</v>
      </c>
      <c r="C4237" s="1">
        <f>IFERROR(__xludf.DUMMYFUNCTION("""COMPUTED_VALUE"""),864.75)</f>
        <v>864.75</v>
      </c>
      <c r="D4237" s="1">
        <f>IFERROR(__xludf.DUMMYFUNCTION("""COMPUTED_VALUE"""),852.45)</f>
        <v>852.45</v>
      </c>
      <c r="E4237" s="1">
        <f>IFERROR(__xludf.DUMMYFUNCTION("""COMPUTED_VALUE"""),862.3)</f>
        <v>862.3</v>
      </c>
      <c r="F4237" s="1">
        <f>IFERROR(__xludf.DUMMYFUNCTION("""COMPUTED_VALUE"""),688095.0)</f>
        <v>688095</v>
      </c>
    </row>
    <row r="4238">
      <c r="A4238" s="2">
        <f>IFERROR(__xludf.DUMMYFUNCTION("""COMPUTED_VALUE"""),42780.64583333333)</f>
        <v>42780.64583</v>
      </c>
      <c r="B4238" s="1">
        <f>IFERROR(__xludf.DUMMYFUNCTION("""COMPUTED_VALUE"""),863.0)</f>
        <v>863</v>
      </c>
      <c r="C4238" s="1">
        <f>IFERROR(__xludf.DUMMYFUNCTION("""COMPUTED_VALUE"""),868.05)</f>
        <v>868.05</v>
      </c>
      <c r="D4238" s="1">
        <f>IFERROR(__xludf.DUMMYFUNCTION("""COMPUTED_VALUE"""),845.0)</f>
        <v>845</v>
      </c>
      <c r="E4238" s="1">
        <f>IFERROR(__xludf.DUMMYFUNCTION("""COMPUTED_VALUE"""),848.15)</f>
        <v>848.15</v>
      </c>
      <c r="F4238" s="1">
        <f>IFERROR(__xludf.DUMMYFUNCTION("""COMPUTED_VALUE"""),1294385.0)</f>
        <v>1294385</v>
      </c>
    </row>
    <row r="4239">
      <c r="A4239" s="2">
        <f>IFERROR(__xludf.DUMMYFUNCTION("""COMPUTED_VALUE"""),42781.64583333333)</f>
        <v>42781.64583</v>
      </c>
      <c r="B4239" s="1">
        <f>IFERROR(__xludf.DUMMYFUNCTION("""COMPUTED_VALUE"""),848.55)</f>
        <v>848.55</v>
      </c>
      <c r="C4239" s="1">
        <f>IFERROR(__xludf.DUMMYFUNCTION("""COMPUTED_VALUE"""),852.5)</f>
        <v>852.5</v>
      </c>
      <c r="D4239" s="1">
        <f>IFERROR(__xludf.DUMMYFUNCTION("""COMPUTED_VALUE"""),843.4)</f>
        <v>843.4</v>
      </c>
      <c r="E4239" s="1">
        <f>IFERROR(__xludf.DUMMYFUNCTION("""COMPUTED_VALUE"""),850.05)</f>
        <v>850.05</v>
      </c>
      <c r="F4239" s="1">
        <f>IFERROR(__xludf.DUMMYFUNCTION("""COMPUTED_VALUE"""),863541.0)</f>
        <v>863541</v>
      </c>
    </row>
    <row r="4240">
      <c r="A4240" s="2">
        <f>IFERROR(__xludf.DUMMYFUNCTION("""COMPUTED_VALUE"""),42782.64583333333)</f>
        <v>42782.64583</v>
      </c>
      <c r="B4240" s="1">
        <f>IFERROR(__xludf.DUMMYFUNCTION("""COMPUTED_VALUE"""),852.0)</f>
        <v>852</v>
      </c>
      <c r="C4240" s="1">
        <f>IFERROR(__xludf.DUMMYFUNCTION("""COMPUTED_VALUE"""),852.5)</f>
        <v>852.5</v>
      </c>
      <c r="D4240" s="1">
        <f>IFERROR(__xludf.DUMMYFUNCTION("""COMPUTED_VALUE"""),844.05)</f>
        <v>844.05</v>
      </c>
      <c r="E4240" s="1">
        <f>IFERROR(__xludf.DUMMYFUNCTION("""COMPUTED_VALUE"""),846.1)</f>
        <v>846.1</v>
      </c>
      <c r="F4240" s="1">
        <f>IFERROR(__xludf.DUMMYFUNCTION("""COMPUTED_VALUE"""),529692.0)</f>
        <v>529692</v>
      </c>
    </row>
    <row r="4241">
      <c r="A4241" s="2">
        <f>IFERROR(__xludf.DUMMYFUNCTION("""COMPUTED_VALUE"""),42783.64583333333)</f>
        <v>42783.64583</v>
      </c>
      <c r="B4241" s="1">
        <f>IFERROR(__xludf.DUMMYFUNCTION("""COMPUTED_VALUE"""),847.0)</f>
        <v>847</v>
      </c>
      <c r="C4241" s="1">
        <f>IFERROR(__xludf.DUMMYFUNCTION("""COMPUTED_VALUE"""),847.95)</f>
        <v>847.95</v>
      </c>
      <c r="D4241" s="1">
        <f>IFERROR(__xludf.DUMMYFUNCTION("""COMPUTED_VALUE"""),837.5)</f>
        <v>837.5</v>
      </c>
      <c r="E4241" s="1">
        <f>IFERROR(__xludf.DUMMYFUNCTION("""COMPUTED_VALUE"""),841.25)</f>
        <v>841.25</v>
      </c>
      <c r="F4241" s="1">
        <f>IFERROR(__xludf.DUMMYFUNCTION("""COMPUTED_VALUE"""),917969.0)</f>
        <v>917969</v>
      </c>
    </row>
    <row r="4242">
      <c r="A4242" s="2">
        <f>IFERROR(__xludf.DUMMYFUNCTION("""COMPUTED_VALUE"""),42786.64583333333)</f>
        <v>42786.64583</v>
      </c>
      <c r="B4242" s="1">
        <f>IFERROR(__xludf.DUMMYFUNCTION("""COMPUTED_VALUE"""),850.7)</f>
        <v>850.7</v>
      </c>
      <c r="C4242" s="1">
        <f>IFERROR(__xludf.DUMMYFUNCTION("""COMPUTED_VALUE"""),858.0)</f>
        <v>858</v>
      </c>
      <c r="D4242" s="1">
        <f>IFERROR(__xludf.DUMMYFUNCTION("""COMPUTED_VALUE"""),847.5)</f>
        <v>847.5</v>
      </c>
      <c r="E4242" s="1">
        <f>IFERROR(__xludf.DUMMYFUNCTION("""COMPUTED_VALUE"""),854.45)</f>
        <v>854.45</v>
      </c>
      <c r="F4242" s="1">
        <f>IFERROR(__xludf.DUMMYFUNCTION("""COMPUTED_VALUE"""),1511663.0)</f>
        <v>1511663</v>
      </c>
    </row>
    <row r="4243">
      <c r="A4243" s="2">
        <f>IFERROR(__xludf.DUMMYFUNCTION("""COMPUTED_VALUE"""),42787.64583333333)</f>
        <v>42787.64583</v>
      </c>
      <c r="B4243" s="1">
        <f>IFERROR(__xludf.DUMMYFUNCTION("""COMPUTED_VALUE"""),853.5)</f>
        <v>853.5</v>
      </c>
      <c r="C4243" s="1">
        <f>IFERROR(__xludf.DUMMYFUNCTION("""COMPUTED_VALUE"""),866.6)</f>
        <v>866.6</v>
      </c>
      <c r="D4243" s="1">
        <f>IFERROR(__xludf.DUMMYFUNCTION("""COMPUTED_VALUE"""),852.05)</f>
        <v>852.05</v>
      </c>
      <c r="E4243" s="1">
        <f>IFERROR(__xludf.DUMMYFUNCTION("""COMPUTED_VALUE"""),862.75)</f>
        <v>862.75</v>
      </c>
      <c r="F4243" s="1">
        <f>IFERROR(__xludf.DUMMYFUNCTION("""COMPUTED_VALUE"""),1061217.0)</f>
        <v>1061217</v>
      </c>
    </row>
    <row r="4244">
      <c r="A4244" s="2">
        <f>IFERROR(__xludf.DUMMYFUNCTION("""COMPUTED_VALUE"""),42788.64583333333)</f>
        <v>42788.64583</v>
      </c>
      <c r="B4244" s="1">
        <f>IFERROR(__xludf.DUMMYFUNCTION("""COMPUTED_VALUE"""),866.0)</f>
        <v>866</v>
      </c>
      <c r="C4244" s="1">
        <f>IFERROR(__xludf.DUMMYFUNCTION("""COMPUTED_VALUE"""),869.0)</f>
        <v>869</v>
      </c>
      <c r="D4244" s="1">
        <f>IFERROR(__xludf.DUMMYFUNCTION("""COMPUTED_VALUE"""),852.0)</f>
        <v>852</v>
      </c>
      <c r="E4244" s="1">
        <f>IFERROR(__xludf.DUMMYFUNCTION("""COMPUTED_VALUE"""),864.15)</f>
        <v>864.15</v>
      </c>
      <c r="F4244" s="1">
        <f>IFERROR(__xludf.DUMMYFUNCTION("""COMPUTED_VALUE"""),1996095.0)</f>
        <v>1996095</v>
      </c>
    </row>
    <row r="4245">
      <c r="A4245" s="2">
        <f>IFERROR(__xludf.DUMMYFUNCTION("""COMPUTED_VALUE"""),42789.64583333333)</f>
        <v>42789.64583</v>
      </c>
      <c r="B4245" s="1">
        <f>IFERROR(__xludf.DUMMYFUNCTION("""COMPUTED_VALUE"""),870.9)</f>
        <v>870.9</v>
      </c>
      <c r="C4245" s="1">
        <f>IFERROR(__xludf.DUMMYFUNCTION("""COMPUTED_VALUE"""),872.0)</f>
        <v>872</v>
      </c>
      <c r="D4245" s="1">
        <f>IFERROR(__xludf.DUMMYFUNCTION("""COMPUTED_VALUE"""),856.25)</f>
        <v>856.25</v>
      </c>
      <c r="E4245" s="1">
        <f>IFERROR(__xludf.DUMMYFUNCTION("""COMPUTED_VALUE"""),858.25)</f>
        <v>858.25</v>
      </c>
      <c r="F4245" s="1">
        <f>IFERROR(__xludf.DUMMYFUNCTION("""COMPUTED_VALUE"""),1313518.0)</f>
        <v>1313518</v>
      </c>
    </row>
    <row r="4246">
      <c r="A4246" s="2">
        <f>IFERROR(__xludf.DUMMYFUNCTION("""COMPUTED_VALUE"""),42793.64583333333)</f>
        <v>42793.64583</v>
      </c>
      <c r="B4246" s="1">
        <f>IFERROR(__xludf.DUMMYFUNCTION("""COMPUTED_VALUE"""),859.05)</f>
        <v>859.05</v>
      </c>
      <c r="C4246" s="1">
        <f>IFERROR(__xludf.DUMMYFUNCTION("""COMPUTED_VALUE"""),870.55)</f>
        <v>870.55</v>
      </c>
      <c r="D4246" s="1">
        <f>IFERROR(__xludf.DUMMYFUNCTION("""COMPUTED_VALUE"""),854.25)</f>
        <v>854.25</v>
      </c>
      <c r="E4246" s="1">
        <f>IFERROR(__xludf.DUMMYFUNCTION("""COMPUTED_VALUE"""),866.45)</f>
        <v>866.45</v>
      </c>
      <c r="F4246" s="1">
        <f>IFERROR(__xludf.DUMMYFUNCTION("""COMPUTED_VALUE"""),1194357.0)</f>
        <v>1194357</v>
      </c>
    </row>
    <row r="4247">
      <c r="A4247" s="2">
        <f>IFERROR(__xludf.DUMMYFUNCTION("""COMPUTED_VALUE"""),42794.64583333333)</f>
        <v>42794.64583</v>
      </c>
      <c r="B4247" s="1">
        <f>IFERROR(__xludf.DUMMYFUNCTION("""COMPUTED_VALUE"""),865.5)</f>
        <v>865.5</v>
      </c>
      <c r="C4247" s="1">
        <f>IFERROR(__xludf.DUMMYFUNCTION("""COMPUTED_VALUE"""),868.45)</f>
        <v>868.45</v>
      </c>
      <c r="D4247" s="1">
        <f>IFERROR(__xludf.DUMMYFUNCTION("""COMPUTED_VALUE"""),858.15)</f>
        <v>858.15</v>
      </c>
      <c r="E4247" s="1">
        <f>IFERROR(__xludf.DUMMYFUNCTION("""COMPUTED_VALUE"""),865.9)</f>
        <v>865.9</v>
      </c>
      <c r="F4247" s="1">
        <f>IFERROR(__xludf.DUMMYFUNCTION("""COMPUTED_VALUE"""),1409380.0)</f>
        <v>1409380</v>
      </c>
    </row>
    <row r="4248">
      <c r="A4248" s="2">
        <f>IFERROR(__xludf.DUMMYFUNCTION("""COMPUTED_VALUE"""),42795.64583333333)</f>
        <v>42795.64583</v>
      </c>
      <c r="B4248" s="1">
        <f>IFERROR(__xludf.DUMMYFUNCTION("""COMPUTED_VALUE"""),868.4)</f>
        <v>868.4</v>
      </c>
      <c r="C4248" s="1">
        <f>IFERROR(__xludf.DUMMYFUNCTION("""COMPUTED_VALUE"""),880.9)</f>
        <v>880.9</v>
      </c>
      <c r="D4248" s="1">
        <f>IFERROR(__xludf.DUMMYFUNCTION("""COMPUTED_VALUE"""),862.95)</f>
        <v>862.95</v>
      </c>
      <c r="E4248" s="1">
        <f>IFERROR(__xludf.DUMMYFUNCTION("""COMPUTED_VALUE"""),875.5)</f>
        <v>875.5</v>
      </c>
      <c r="F4248" s="1">
        <f>IFERROR(__xludf.DUMMYFUNCTION("""COMPUTED_VALUE"""),1199589.0)</f>
        <v>1199589</v>
      </c>
    </row>
    <row r="4249">
      <c r="A4249" s="2">
        <f>IFERROR(__xludf.DUMMYFUNCTION("""COMPUTED_VALUE"""),42796.64583333333)</f>
        <v>42796.64583</v>
      </c>
      <c r="B4249" s="1">
        <f>IFERROR(__xludf.DUMMYFUNCTION("""COMPUTED_VALUE"""),878.0)</f>
        <v>878</v>
      </c>
      <c r="C4249" s="1">
        <f>IFERROR(__xludf.DUMMYFUNCTION("""COMPUTED_VALUE"""),883.0)</f>
        <v>883</v>
      </c>
      <c r="D4249" s="1">
        <f>IFERROR(__xludf.DUMMYFUNCTION("""COMPUTED_VALUE"""),873.35)</f>
        <v>873.35</v>
      </c>
      <c r="E4249" s="1">
        <f>IFERROR(__xludf.DUMMYFUNCTION("""COMPUTED_VALUE"""),877.5)</f>
        <v>877.5</v>
      </c>
      <c r="F4249" s="1">
        <f>IFERROR(__xludf.DUMMYFUNCTION("""COMPUTED_VALUE"""),1116347.0)</f>
        <v>1116347</v>
      </c>
    </row>
    <row r="4250">
      <c r="A4250" s="2">
        <f>IFERROR(__xludf.DUMMYFUNCTION("""COMPUTED_VALUE"""),42797.64583333333)</f>
        <v>42797.64583</v>
      </c>
      <c r="B4250" s="1">
        <f>IFERROR(__xludf.DUMMYFUNCTION("""COMPUTED_VALUE"""),878.0)</f>
        <v>878</v>
      </c>
      <c r="C4250" s="1">
        <f>IFERROR(__xludf.DUMMYFUNCTION("""COMPUTED_VALUE"""),879.75)</f>
        <v>879.75</v>
      </c>
      <c r="D4250" s="1">
        <f>IFERROR(__xludf.DUMMYFUNCTION("""COMPUTED_VALUE"""),870.9)</f>
        <v>870.9</v>
      </c>
      <c r="E4250" s="1">
        <f>IFERROR(__xludf.DUMMYFUNCTION("""COMPUTED_VALUE"""),877.15)</f>
        <v>877.15</v>
      </c>
      <c r="F4250" s="1">
        <f>IFERROR(__xludf.DUMMYFUNCTION("""COMPUTED_VALUE"""),909059.0)</f>
        <v>909059</v>
      </c>
    </row>
    <row r="4251">
      <c r="A4251" s="2">
        <f>IFERROR(__xludf.DUMMYFUNCTION("""COMPUTED_VALUE"""),42800.64583333333)</f>
        <v>42800.64583</v>
      </c>
      <c r="B4251" s="1">
        <f>IFERROR(__xludf.DUMMYFUNCTION("""COMPUTED_VALUE"""),877.0)</f>
        <v>877</v>
      </c>
      <c r="C4251" s="1">
        <f>IFERROR(__xludf.DUMMYFUNCTION("""COMPUTED_VALUE"""),883.15)</f>
        <v>883.15</v>
      </c>
      <c r="D4251" s="1">
        <f>IFERROR(__xludf.DUMMYFUNCTION("""COMPUTED_VALUE"""),866.25)</f>
        <v>866.25</v>
      </c>
      <c r="E4251" s="1">
        <f>IFERROR(__xludf.DUMMYFUNCTION("""COMPUTED_VALUE"""),873.1)</f>
        <v>873.1</v>
      </c>
      <c r="F4251" s="1">
        <f>IFERROR(__xludf.DUMMYFUNCTION("""COMPUTED_VALUE"""),620823.0)</f>
        <v>620823</v>
      </c>
    </row>
    <row r="4252">
      <c r="A4252" s="2">
        <f>IFERROR(__xludf.DUMMYFUNCTION("""COMPUTED_VALUE"""),42801.64583333333)</f>
        <v>42801.64583</v>
      </c>
      <c r="B4252" s="1">
        <f>IFERROR(__xludf.DUMMYFUNCTION("""COMPUTED_VALUE"""),874.1)</f>
        <v>874.1</v>
      </c>
      <c r="C4252" s="1">
        <f>IFERROR(__xludf.DUMMYFUNCTION("""COMPUTED_VALUE"""),874.95)</f>
        <v>874.95</v>
      </c>
      <c r="D4252" s="1">
        <f>IFERROR(__xludf.DUMMYFUNCTION("""COMPUTED_VALUE"""),868.15)</f>
        <v>868.15</v>
      </c>
      <c r="E4252" s="1">
        <f>IFERROR(__xludf.DUMMYFUNCTION("""COMPUTED_VALUE"""),872.05)</f>
        <v>872.05</v>
      </c>
      <c r="F4252" s="1">
        <f>IFERROR(__xludf.DUMMYFUNCTION("""COMPUTED_VALUE"""),581168.0)</f>
        <v>581168</v>
      </c>
    </row>
    <row r="4253">
      <c r="A4253" s="2">
        <f>IFERROR(__xludf.DUMMYFUNCTION("""COMPUTED_VALUE"""),42802.64583333333)</f>
        <v>42802.64583</v>
      </c>
      <c r="B4253" s="1">
        <f>IFERROR(__xludf.DUMMYFUNCTION("""COMPUTED_VALUE"""),870.0)</f>
        <v>870</v>
      </c>
      <c r="C4253" s="1">
        <f>IFERROR(__xludf.DUMMYFUNCTION("""COMPUTED_VALUE"""),876.15)</f>
        <v>876.15</v>
      </c>
      <c r="D4253" s="1">
        <f>IFERROR(__xludf.DUMMYFUNCTION("""COMPUTED_VALUE"""),863.25)</f>
        <v>863.25</v>
      </c>
      <c r="E4253" s="1">
        <f>IFERROR(__xludf.DUMMYFUNCTION("""COMPUTED_VALUE"""),871.3)</f>
        <v>871.3</v>
      </c>
      <c r="F4253" s="1">
        <f>IFERROR(__xludf.DUMMYFUNCTION("""COMPUTED_VALUE"""),689050.0)</f>
        <v>689050</v>
      </c>
    </row>
    <row r="4254">
      <c r="A4254" s="2">
        <f>IFERROR(__xludf.DUMMYFUNCTION("""COMPUTED_VALUE"""),42803.64583333333)</f>
        <v>42803.64583</v>
      </c>
      <c r="B4254" s="1">
        <f>IFERROR(__xludf.DUMMYFUNCTION("""COMPUTED_VALUE"""),868.9)</f>
        <v>868.9</v>
      </c>
      <c r="C4254" s="1">
        <f>IFERROR(__xludf.DUMMYFUNCTION("""COMPUTED_VALUE"""),872.0)</f>
        <v>872</v>
      </c>
      <c r="D4254" s="1">
        <f>IFERROR(__xludf.DUMMYFUNCTION("""COMPUTED_VALUE"""),862.2)</f>
        <v>862.2</v>
      </c>
      <c r="E4254" s="1">
        <f>IFERROR(__xludf.DUMMYFUNCTION("""COMPUTED_VALUE"""),870.3)</f>
        <v>870.3</v>
      </c>
      <c r="F4254" s="1">
        <f>IFERROR(__xludf.DUMMYFUNCTION("""COMPUTED_VALUE"""),649123.0)</f>
        <v>649123</v>
      </c>
    </row>
    <row r="4255">
      <c r="A4255" s="2">
        <f>IFERROR(__xludf.DUMMYFUNCTION("""COMPUTED_VALUE"""),42804.64583333333)</f>
        <v>42804.64583</v>
      </c>
      <c r="B4255" s="1">
        <f>IFERROR(__xludf.DUMMYFUNCTION("""COMPUTED_VALUE"""),871.0)</f>
        <v>871</v>
      </c>
      <c r="C4255" s="1">
        <f>IFERROR(__xludf.DUMMYFUNCTION("""COMPUTED_VALUE"""),877.75)</f>
        <v>877.75</v>
      </c>
      <c r="D4255" s="1">
        <f>IFERROR(__xludf.DUMMYFUNCTION("""COMPUTED_VALUE"""),867.4)</f>
        <v>867.4</v>
      </c>
      <c r="E4255" s="1">
        <f>IFERROR(__xludf.DUMMYFUNCTION("""COMPUTED_VALUE"""),875.2)</f>
        <v>875.2</v>
      </c>
      <c r="F4255" s="1">
        <f>IFERROR(__xludf.DUMMYFUNCTION("""COMPUTED_VALUE"""),1533750.0)</f>
        <v>1533750</v>
      </c>
    </row>
    <row r="4256">
      <c r="A4256" s="2">
        <f>IFERROR(__xludf.DUMMYFUNCTION("""COMPUTED_VALUE"""),42808.64583333333)</f>
        <v>42808.64583</v>
      </c>
      <c r="B4256" s="1">
        <f>IFERROR(__xludf.DUMMYFUNCTION("""COMPUTED_VALUE"""),881.2)</f>
        <v>881.2</v>
      </c>
      <c r="C4256" s="1">
        <f>IFERROR(__xludf.DUMMYFUNCTION("""COMPUTED_VALUE"""),915.0)</f>
        <v>915</v>
      </c>
      <c r="D4256" s="1">
        <f>IFERROR(__xludf.DUMMYFUNCTION("""COMPUTED_VALUE"""),879.05)</f>
        <v>879.05</v>
      </c>
      <c r="E4256" s="1">
        <f>IFERROR(__xludf.DUMMYFUNCTION("""COMPUTED_VALUE"""),913.75)</f>
        <v>913.75</v>
      </c>
      <c r="F4256" s="1">
        <f>IFERROR(__xludf.DUMMYFUNCTION("""COMPUTED_VALUE"""),2763421.0)</f>
        <v>2763421</v>
      </c>
    </row>
    <row r="4257">
      <c r="A4257" s="2">
        <f>IFERROR(__xludf.DUMMYFUNCTION("""COMPUTED_VALUE"""),42809.64583333333)</f>
        <v>42809.64583</v>
      </c>
      <c r="B4257" s="1">
        <f>IFERROR(__xludf.DUMMYFUNCTION("""COMPUTED_VALUE"""),910.0)</f>
        <v>910</v>
      </c>
      <c r="C4257" s="1">
        <f>IFERROR(__xludf.DUMMYFUNCTION("""COMPUTED_VALUE"""),917.2)</f>
        <v>917.2</v>
      </c>
      <c r="D4257" s="1">
        <f>IFERROR(__xludf.DUMMYFUNCTION("""COMPUTED_VALUE"""),899.0)</f>
        <v>899</v>
      </c>
      <c r="E4257" s="1">
        <f>IFERROR(__xludf.DUMMYFUNCTION("""COMPUTED_VALUE"""),900.5)</f>
        <v>900.5</v>
      </c>
      <c r="F4257" s="1">
        <f>IFERROR(__xludf.DUMMYFUNCTION("""COMPUTED_VALUE"""),1247829.0)</f>
        <v>1247829</v>
      </c>
    </row>
    <row r="4258">
      <c r="A4258" s="2">
        <f>IFERROR(__xludf.DUMMYFUNCTION("""COMPUTED_VALUE"""),42810.64583333333)</f>
        <v>42810.64583</v>
      </c>
      <c r="B4258" s="1">
        <f>IFERROR(__xludf.DUMMYFUNCTION("""COMPUTED_VALUE"""),908.0)</f>
        <v>908</v>
      </c>
      <c r="C4258" s="1">
        <f>IFERROR(__xludf.DUMMYFUNCTION("""COMPUTED_VALUE"""),912.4)</f>
        <v>912.4</v>
      </c>
      <c r="D4258" s="1">
        <f>IFERROR(__xludf.DUMMYFUNCTION("""COMPUTED_VALUE"""),895.35)</f>
        <v>895.35</v>
      </c>
      <c r="E4258" s="1">
        <f>IFERROR(__xludf.DUMMYFUNCTION("""COMPUTED_VALUE"""),906.2)</f>
        <v>906.2</v>
      </c>
      <c r="F4258" s="1">
        <f>IFERROR(__xludf.DUMMYFUNCTION("""COMPUTED_VALUE"""),1052674.0)</f>
        <v>1052674</v>
      </c>
    </row>
    <row r="4259">
      <c r="A4259" s="2">
        <f>IFERROR(__xludf.DUMMYFUNCTION("""COMPUTED_VALUE"""),42811.64583333333)</f>
        <v>42811.64583</v>
      </c>
      <c r="B4259" s="1">
        <f>IFERROR(__xludf.DUMMYFUNCTION("""COMPUTED_VALUE"""),907.55)</f>
        <v>907.55</v>
      </c>
      <c r="C4259" s="1">
        <f>IFERROR(__xludf.DUMMYFUNCTION("""COMPUTED_VALUE"""),911.0)</f>
        <v>911</v>
      </c>
      <c r="D4259" s="1">
        <f>IFERROR(__xludf.DUMMYFUNCTION("""COMPUTED_VALUE"""),900.0)</f>
        <v>900</v>
      </c>
      <c r="E4259" s="1">
        <f>IFERROR(__xludf.DUMMYFUNCTION("""COMPUTED_VALUE"""),902.55)</f>
        <v>902.55</v>
      </c>
      <c r="F4259" s="1">
        <f>IFERROR(__xludf.DUMMYFUNCTION("""COMPUTED_VALUE"""),2071209.0)</f>
        <v>2071209</v>
      </c>
    </row>
    <row r="4260">
      <c r="A4260" s="2">
        <f>IFERROR(__xludf.DUMMYFUNCTION("""COMPUTED_VALUE"""),42814.64583333333)</f>
        <v>42814.64583</v>
      </c>
      <c r="B4260" s="1">
        <f>IFERROR(__xludf.DUMMYFUNCTION("""COMPUTED_VALUE"""),900.55)</f>
        <v>900.55</v>
      </c>
      <c r="C4260" s="1">
        <f>IFERROR(__xludf.DUMMYFUNCTION("""COMPUTED_VALUE"""),915.25)</f>
        <v>915.25</v>
      </c>
      <c r="D4260" s="1">
        <f>IFERROR(__xludf.DUMMYFUNCTION("""COMPUTED_VALUE"""),896.0)</f>
        <v>896</v>
      </c>
      <c r="E4260" s="1">
        <f>IFERROR(__xludf.DUMMYFUNCTION("""COMPUTED_VALUE"""),898.45)</f>
        <v>898.45</v>
      </c>
      <c r="F4260" s="1">
        <f>IFERROR(__xludf.DUMMYFUNCTION("""COMPUTED_VALUE"""),849554.0)</f>
        <v>849554</v>
      </c>
    </row>
    <row r="4261">
      <c r="A4261" s="2">
        <f>IFERROR(__xludf.DUMMYFUNCTION("""COMPUTED_VALUE"""),42815.64583333333)</f>
        <v>42815.64583</v>
      </c>
      <c r="B4261" s="1">
        <f>IFERROR(__xludf.DUMMYFUNCTION("""COMPUTED_VALUE"""),898.8)</f>
        <v>898.8</v>
      </c>
      <c r="C4261" s="1">
        <f>IFERROR(__xludf.DUMMYFUNCTION("""COMPUTED_VALUE"""),907.1)</f>
        <v>907.1</v>
      </c>
      <c r="D4261" s="1">
        <f>IFERROR(__xludf.DUMMYFUNCTION("""COMPUTED_VALUE"""),888.3)</f>
        <v>888.3</v>
      </c>
      <c r="E4261" s="1">
        <f>IFERROR(__xludf.DUMMYFUNCTION("""COMPUTED_VALUE"""),903.45)</f>
        <v>903.45</v>
      </c>
      <c r="F4261" s="1">
        <f>IFERROR(__xludf.DUMMYFUNCTION("""COMPUTED_VALUE"""),1016256.0)</f>
        <v>1016256</v>
      </c>
    </row>
    <row r="4262">
      <c r="A4262" s="2">
        <f>IFERROR(__xludf.DUMMYFUNCTION("""COMPUTED_VALUE"""),42816.64583333333)</f>
        <v>42816.64583</v>
      </c>
      <c r="B4262" s="1">
        <f>IFERROR(__xludf.DUMMYFUNCTION("""COMPUTED_VALUE"""),894.05)</f>
        <v>894.05</v>
      </c>
      <c r="C4262" s="1">
        <f>IFERROR(__xludf.DUMMYFUNCTION("""COMPUTED_VALUE"""),908.0)</f>
        <v>908</v>
      </c>
      <c r="D4262" s="1">
        <f>IFERROR(__xludf.DUMMYFUNCTION("""COMPUTED_VALUE"""),894.05)</f>
        <v>894.05</v>
      </c>
      <c r="E4262" s="1">
        <f>IFERROR(__xludf.DUMMYFUNCTION("""COMPUTED_VALUE"""),904.95)</f>
        <v>904.95</v>
      </c>
      <c r="F4262" s="1">
        <f>IFERROR(__xludf.DUMMYFUNCTION("""COMPUTED_VALUE"""),928431.0)</f>
        <v>928431</v>
      </c>
    </row>
    <row r="4263">
      <c r="A4263" s="2">
        <f>IFERROR(__xludf.DUMMYFUNCTION("""COMPUTED_VALUE"""),42817.64583333333)</f>
        <v>42817.64583</v>
      </c>
      <c r="B4263" s="1">
        <f>IFERROR(__xludf.DUMMYFUNCTION("""COMPUTED_VALUE"""),905.0)</f>
        <v>905</v>
      </c>
      <c r="C4263" s="1">
        <f>IFERROR(__xludf.DUMMYFUNCTION("""COMPUTED_VALUE"""),909.0)</f>
        <v>909</v>
      </c>
      <c r="D4263" s="1">
        <f>IFERROR(__xludf.DUMMYFUNCTION("""COMPUTED_VALUE"""),898.15)</f>
        <v>898.15</v>
      </c>
      <c r="E4263" s="1">
        <f>IFERROR(__xludf.DUMMYFUNCTION("""COMPUTED_VALUE"""),902.0)</f>
        <v>902</v>
      </c>
      <c r="F4263" s="1">
        <f>IFERROR(__xludf.DUMMYFUNCTION("""COMPUTED_VALUE"""),737393.0)</f>
        <v>737393</v>
      </c>
    </row>
    <row r="4264">
      <c r="A4264" s="2">
        <f>IFERROR(__xludf.DUMMYFUNCTION("""COMPUTED_VALUE"""),42818.64583333333)</f>
        <v>42818.64583</v>
      </c>
      <c r="B4264" s="1">
        <f>IFERROR(__xludf.DUMMYFUNCTION("""COMPUTED_VALUE"""),901.0)</f>
        <v>901</v>
      </c>
      <c r="C4264" s="1">
        <f>IFERROR(__xludf.DUMMYFUNCTION("""COMPUTED_VALUE"""),905.2)</f>
        <v>905.2</v>
      </c>
      <c r="D4264" s="1">
        <f>IFERROR(__xludf.DUMMYFUNCTION("""COMPUTED_VALUE"""),897.0)</f>
        <v>897</v>
      </c>
      <c r="E4264" s="1">
        <f>IFERROR(__xludf.DUMMYFUNCTION("""COMPUTED_VALUE"""),900.2)</f>
        <v>900.2</v>
      </c>
      <c r="F4264" s="1">
        <f>IFERROR(__xludf.DUMMYFUNCTION("""COMPUTED_VALUE"""),809976.0)</f>
        <v>809976</v>
      </c>
    </row>
    <row r="4265">
      <c r="A4265" s="2">
        <f>IFERROR(__xludf.DUMMYFUNCTION("""COMPUTED_VALUE"""),42821.64583333333)</f>
        <v>42821.64583</v>
      </c>
      <c r="B4265" s="1">
        <f>IFERROR(__xludf.DUMMYFUNCTION("""COMPUTED_VALUE"""),899.85)</f>
        <v>899.85</v>
      </c>
      <c r="C4265" s="1">
        <f>IFERROR(__xludf.DUMMYFUNCTION("""COMPUTED_VALUE"""),913.35)</f>
        <v>913.35</v>
      </c>
      <c r="D4265" s="1">
        <f>IFERROR(__xludf.DUMMYFUNCTION("""COMPUTED_VALUE"""),895.1)</f>
        <v>895.1</v>
      </c>
      <c r="E4265" s="1">
        <f>IFERROR(__xludf.DUMMYFUNCTION("""COMPUTED_VALUE"""),898.8)</f>
        <v>898.8</v>
      </c>
      <c r="F4265" s="1">
        <f>IFERROR(__xludf.DUMMYFUNCTION("""COMPUTED_VALUE"""),2830764.0)</f>
        <v>2830764</v>
      </c>
    </row>
    <row r="4266">
      <c r="A4266" s="2">
        <f>IFERROR(__xludf.DUMMYFUNCTION("""COMPUTED_VALUE"""),42822.64583333333)</f>
        <v>42822.64583</v>
      </c>
      <c r="B4266" s="1">
        <f>IFERROR(__xludf.DUMMYFUNCTION("""COMPUTED_VALUE"""),900.0)</f>
        <v>900</v>
      </c>
      <c r="C4266" s="1">
        <f>IFERROR(__xludf.DUMMYFUNCTION("""COMPUTED_VALUE"""),905.0)</f>
        <v>905</v>
      </c>
      <c r="D4266" s="1">
        <f>IFERROR(__xludf.DUMMYFUNCTION("""COMPUTED_VALUE"""),897.5)</f>
        <v>897.5</v>
      </c>
      <c r="E4266" s="1">
        <f>IFERROR(__xludf.DUMMYFUNCTION("""COMPUTED_VALUE"""),903.1)</f>
        <v>903.1</v>
      </c>
      <c r="F4266" s="1">
        <f>IFERROR(__xludf.DUMMYFUNCTION("""COMPUTED_VALUE"""),565803.0)</f>
        <v>565803</v>
      </c>
    </row>
    <row r="4267">
      <c r="A4267" s="2">
        <f>IFERROR(__xludf.DUMMYFUNCTION("""COMPUTED_VALUE"""),42823.64583333333)</f>
        <v>42823.64583</v>
      </c>
      <c r="B4267" s="1">
        <f>IFERROR(__xludf.DUMMYFUNCTION("""COMPUTED_VALUE"""),904.2)</f>
        <v>904.2</v>
      </c>
      <c r="C4267" s="1">
        <f>IFERROR(__xludf.DUMMYFUNCTION("""COMPUTED_VALUE"""),914.9)</f>
        <v>914.9</v>
      </c>
      <c r="D4267" s="1">
        <f>IFERROR(__xludf.DUMMYFUNCTION("""COMPUTED_VALUE"""),900.35)</f>
        <v>900.35</v>
      </c>
      <c r="E4267" s="1">
        <f>IFERROR(__xludf.DUMMYFUNCTION("""COMPUTED_VALUE"""),912.55)</f>
        <v>912.55</v>
      </c>
      <c r="F4267" s="1">
        <f>IFERROR(__xludf.DUMMYFUNCTION("""COMPUTED_VALUE"""),1067420.0)</f>
        <v>1067420</v>
      </c>
    </row>
    <row r="4268">
      <c r="A4268" s="2">
        <f>IFERROR(__xludf.DUMMYFUNCTION("""COMPUTED_VALUE"""),42824.64583333333)</f>
        <v>42824.64583</v>
      </c>
      <c r="B4268" s="1">
        <f>IFERROR(__xludf.DUMMYFUNCTION("""COMPUTED_VALUE"""),911.1)</f>
        <v>911.1</v>
      </c>
      <c r="C4268" s="1">
        <f>IFERROR(__xludf.DUMMYFUNCTION("""COMPUTED_VALUE"""),923.8)</f>
        <v>923.8</v>
      </c>
      <c r="D4268" s="1">
        <f>IFERROR(__xludf.DUMMYFUNCTION("""COMPUTED_VALUE"""),909.2)</f>
        <v>909.2</v>
      </c>
      <c r="E4268" s="1">
        <f>IFERROR(__xludf.DUMMYFUNCTION("""COMPUTED_VALUE"""),919.2)</f>
        <v>919.2</v>
      </c>
      <c r="F4268" s="1">
        <f>IFERROR(__xludf.DUMMYFUNCTION("""COMPUTED_VALUE"""),2105056.0)</f>
        <v>2105056</v>
      </c>
    </row>
    <row r="4269">
      <c r="A4269" s="2">
        <f>IFERROR(__xludf.DUMMYFUNCTION("""COMPUTED_VALUE"""),42825.64583333333)</f>
        <v>42825.64583</v>
      </c>
      <c r="B4269" s="1">
        <f>IFERROR(__xludf.DUMMYFUNCTION("""COMPUTED_VALUE"""),919.2)</f>
        <v>919.2</v>
      </c>
      <c r="C4269" s="1">
        <f>IFERROR(__xludf.DUMMYFUNCTION("""COMPUTED_VALUE"""),920.25)</f>
        <v>920.25</v>
      </c>
      <c r="D4269" s="1">
        <f>IFERROR(__xludf.DUMMYFUNCTION("""COMPUTED_VALUE"""),905.2)</f>
        <v>905.2</v>
      </c>
      <c r="E4269" s="1">
        <f>IFERROR(__xludf.DUMMYFUNCTION("""COMPUTED_VALUE"""),911.75)</f>
        <v>911.75</v>
      </c>
      <c r="F4269" s="1">
        <f>IFERROR(__xludf.DUMMYFUNCTION("""COMPUTED_VALUE"""),1454650.0)</f>
        <v>1454650</v>
      </c>
    </row>
    <row r="4270">
      <c r="A4270" s="2">
        <f>IFERROR(__xludf.DUMMYFUNCTION("""COMPUTED_VALUE"""),42828.64583333333)</f>
        <v>42828.64583</v>
      </c>
      <c r="B4270" s="1">
        <f>IFERROR(__xludf.DUMMYFUNCTION("""COMPUTED_VALUE"""),914.0)</f>
        <v>914</v>
      </c>
      <c r="C4270" s="1">
        <f>IFERROR(__xludf.DUMMYFUNCTION("""COMPUTED_VALUE"""),924.35)</f>
        <v>924.35</v>
      </c>
      <c r="D4270" s="1">
        <f>IFERROR(__xludf.DUMMYFUNCTION("""COMPUTED_VALUE"""),904.4)</f>
        <v>904.4</v>
      </c>
      <c r="E4270" s="1">
        <f>IFERROR(__xludf.DUMMYFUNCTION("""COMPUTED_VALUE"""),920.65)</f>
        <v>920.65</v>
      </c>
      <c r="F4270" s="1">
        <f>IFERROR(__xludf.DUMMYFUNCTION("""COMPUTED_VALUE"""),832000.0)</f>
        <v>832000</v>
      </c>
    </row>
    <row r="4271">
      <c r="A4271" s="2">
        <f>IFERROR(__xludf.DUMMYFUNCTION("""COMPUTED_VALUE"""),42830.64583333333)</f>
        <v>42830.64583</v>
      </c>
      <c r="B4271" s="1">
        <f>IFERROR(__xludf.DUMMYFUNCTION("""COMPUTED_VALUE"""),918.15)</f>
        <v>918.15</v>
      </c>
      <c r="C4271" s="1">
        <f>IFERROR(__xludf.DUMMYFUNCTION("""COMPUTED_VALUE"""),937.45)</f>
        <v>937.45</v>
      </c>
      <c r="D4271" s="1">
        <f>IFERROR(__xludf.DUMMYFUNCTION("""COMPUTED_VALUE"""),918.15)</f>
        <v>918.15</v>
      </c>
      <c r="E4271" s="1">
        <f>IFERROR(__xludf.DUMMYFUNCTION("""COMPUTED_VALUE"""),935.35)</f>
        <v>935.35</v>
      </c>
      <c r="F4271" s="1">
        <f>IFERROR(__xludf.DUMMYFUNCTION("""COMPUTED_VALUE"""),2246395.0)</f>
        <v>2246395</v>
      </c>
    </row>
    <row r="4272">
      <c r="A4272" s="2">
        <f>IFERROR(__xludf.DUMMYFUNCTION("""COMPUTED_VALUE"""),42831.64583333333)</f>
        <v>42831.64583</v>
      </c>
      <c r="B4272" s="1">
        <f>IFERROR(__xludf.DUMMYFUNCTION("""COMPUTED_VALUE"""),930.85)</f>
        <v>930.85</v>
      </c>
      <c r="C4272" s="1">
        <f>IFERROR(__xludf.DUMMYFUNCTION("""COMPUTED_VALUE"""),936.25)</f>
        <v>936.25</v>
      </c>
      <c r="D4272" s="1">
        <f>IFERROR(__xludf.DUMMYFUNCTION("""COMPUTED_VALUE"""),921.0)</f>
        <v>921</v>
      </c>
      <c r="E4272" s="1">
        <f>IFERROR(__xludf.DUMMYFUNCTION("""COMPUTED_VALUE"""),934.65)</f>
        <v>934.65</v>
      </c>
      <c r="F4272" s="1">
        <f>IFERROR(__xludf.DUMMYFUNCTION("""COMPUTED_VALUE"""),1588953.0)</f>
        <v>1588953</v>
      </c>
    </row>
    <row r="4273">
      <c r="A4273" s="2">
        <f>IFERROR(__xludf.DUMMYFUNCTION("""COMPUTED_VALUE"""),42832.64583333333)</f>
        <v>42832.64583</v>
      </c>
      <c r="B4273" s="1">
        <f>IFERROR(__xludf.DUMMYFUNCTION("""COMPUTED_VALUE"""),925.7)</f>
        <v>925.7</v>
      </c>
      <c r="C4273" s="1">
        <f>IFERROR(__xludf.DUMMYFUNCTION("""COMPUTED_VALUE"""),932.7)</f>
        <v>932.7</v>
      </c>
      <c r="D4273" s="1">
        <f>IFERROR(__xludf.DUMMYFUNCTION("""COMPUTED_VALUE"""),921.2)</f>
        <v>921.2</v>
      </c>
      <c r="E4273" s="1">
        <f>IFERROR(__xludf.DUMMYFUNCTION("""COMPUTED_VALUE"""),924.5)</f>
        <v>924.5</v>
      </c>
      <c r="F4273" s="1">
        <f>IFERROR(__xludf.DUMMYFUNCTION("""COMPUTED_VALUE"""),770117.0)</f>
        <v>770117</v>
      </c>
    </row>
    <row r="4274">
      <c r="A4274" s="2">
        <f>IFERROR(__xludf.DUMMYFUNCTION("""COMPUTED_VALUE"""),42835.64583333333)</f>
        <v>42835.64583</v>
      </c>
      <c r="B4274" s="1">
        <f>IFERROR(__xludf.DUMMYFUNCTION("""COMPUTED_VALUE"""),922.8)</f>
        <v>922.8</v>
      </c>
      <c r="C4274" s="1">
        <f>IFERROR(__xludf.DUMMYFUNCTION("""COMPUTED_VALUE"""),929.7)</f>
        <v>929.7</v>
      </c>
      <c r="D4274" s="1">
        <f>IFERROR(__xludf.DUMMYFUNCTION("""COMPUTED_VALUE"""),916.0)</f>
        <v>916</v>
      </c>
      <c r="E4274" s="1">
        <f>IFERROR(__xludf.DUMMYFUNCTION("""COMPUTED_VALUE"""),925.95)</f>
        <v>925.95</v>
      </c>
      <c r="F4274" s="1">
        <f>IFERROR(__xludf.DUMMYFUNCTION("""COMPUTED_VALUE"""),460843.0)</f>
        <v>460843</v>
      </c>
    </row>
    <row r="4275">
      <c r="A4275" s="2">
        <f>IFERROR(__xludf.DUMMYFUNCTION("""COMPUTED_VALUE"""),42836.64583333333)</f>
        <v>42836.64583</v>
      </c>
      <c r="B4275" s="1">
        <f>IFERROR(__xludf.DUMMYFUNCTION("""COMPUTED_VALUE"""),922.95)</f>
        <v>922.95</v>
      </c>
      <c r="C4275" s="1">
        <f>IFERROR(__xludf.DUMMYFUNCTION("""COMPUTED_VALUE"""),925.8)</f>
        <v>925.8</v>
      </c>
      <c r="D4275" s="1">
        <f>IFERROR(__xludf.DUMMYFUNCTION("""COMPUTED_VALUE"""),917.25)</f>
        <v>917.25</v>
      </c>
      <c r="E4275" s="1">
        <f>IFERROR(__xludf.DUMMYFUNCTION("""COMPUTED_VALUE"""),923.7)</f>
        <v>923.7</v>
      </c>
      <c r="F4275" s="1">
        <f>IFERROR(__xludf.DUMMYFUNCTION("""COMPUTED_VALUE"""),715100.0)</f>
        <v>715100</v>
      </c>
    </row>
    <row r="4276">
      <c r="A4276" s="2">
        <f>IFERROR(__xludf.DUMMYFUNCTION("""COMPUTED_VALUE"""),42837.64583333333)</f>
        <v>42837.64583</v>
      </c>
      <c r="B4276" s="1">
        <f>IFERROR(__xludf.DUMMYFUNCTION("""COMPUTED_VALUE"""),920.2)</f>
        <v>920.2</v>
      </c>
      <c r="C4276" s="1">
        <f>IFERROR(__xludf.DUMMYFUNCTION("""COMPUTED_VALUE"""),925.7)</f>
        <v>925.7</v>
      </c>
      <c r="D4276" s="1">
        <f>IFERROR(__xludf.DUMMYFUNCTION("""COMPUTED_VALUE"""),918.45)</f>
        <v>918.45</v>
      </c>
      <c r="E4276" s="1">
        <f>IFERROR(__xludf.DUMMYFUNCTION("""COMPUTED_VALUE"""),923.75)</f>
        <v>923.75</v>
      </c>
      <c r="F4276" s="1">
        <f>IFERROR(__xludf.DUMMYFUNCTION("""COMPUTED_VALUE"""),2006885.0)</f>
        <v>2006885</v>
      </c>
    </row>
    <row r="4277">
      <c r="A4277" s="2">
        <f>IFERROR(__xludf.DUMMYFUNCTION("""COMPUTED_VALUE"""),42838.64583333333)</f>
        <v>42838.64583</v>
      </c>
      <c r="B4277" s="1">
        <f>IFERROR(__xludf.DUMMYFUNCTION("""COMPUTED_VALUE"""),921.85)</f>
        <v>921.85</v>
      </c>
      <c r="C4277" s="1">
        <f>IFERROR(__xludf.DUMMYFUNCTION("""COMPUTED_VALUE"""),929.2)</f>
        <v>929.2</v>
      </c>
      <c r="D4277" s="1">
        <f>IFERROR(__xludf.DUMMYFUNCTION("""COMPUTED_VALUE"""),918.5)</f>
        <v>918.5</v>
      </c>
      <c r="E4277" s="1">
        <f>IFERROR(__xludf.DUMMYFUNCTION("""COMPUTED_VALUE"""),923.85)</f>
        <v>923.85</v>
      </c>
      <c r="F4277" s="1">
        <f>IFERROR(__xludf.DUMMYFUNCTION("""COMPUTED_VALUE"""),1200252.0)</f>
        <v>1200252</v>
      </c>
    </row>
    <row r="4278">
      <c r="A4278" s="2">
        <f>IFERROR(__xludf.DUMMYFUNCTION("""COMPUTED_VALUE"""),42842.64583333333)</f>
        <v>42842.64583</v>
      </c>
      <c r="B4278" s="1">
        <f>IFERROR(__xludf.DUMMYFUNCTION("""COMPUTED_VALUE"""),923.0)</f>
        <v>923</v>
      </c>
      <c r="C4278" s="1">
        <f>IFERROR(__xludf.DUMMYFUNCTION("""COMPUTED_VALUE"""),923.8)</f>
        <v>923.8</v>
      </c>
      <c r="D4278" s="1">
        <f>IFERROR(__xludf.DUMMYFUNCTION("""COMPUTED_VALUE"""),912.1)</f>
        <v>912.1</v>
      </c>
      <c r="E4278" s="1">
        <f>IFERROR(__xludf.DUMMYFUNCTION("""COMPUTED_VALUE"""),914.05)</f>
        <v>914.05</v>
      </c>
      <c r="F4278" s="1">
        <f>IFERROR(__xludf.DUMMYFUNCTION("""COMPUTED_VALUE"""),449115.0)</f>
        <v>449115</v>
      </c>
    </row>
    <row r="4279">
      <c r="A4279" s="2">
        <f>IFERROR(__xludf.DUMMYFUNCTION("""COMPUTED_VALUE"""),42843.64583333333)</f>
        <v>42843.64583</v>
      </c>
      <c r="B4279" s="1">
        <f>IFERROR(__xludf.DUMMYFUNCTION("""COMPUTED_VALUE"""),915.0)</f>
        <v>915</v>
      </c>
      <c r="C4279" s="1">
        <f>IFERROR(__xludf.DUMMYFUNCTION("""COMPUTED_VALUE"""),920.95)</f>
        <v>920.95</v>
      </c>
      <c r="D4279" s="1">
        <f>IFERROR(__xludf.DUMMYFUNCTION("""COMPUTED_VALUE"""),911.05)</f>
        <v>911.05</v>
      </c>
      <c r="E4279" s="1">
        <f>IFERROR(__xludf.DUMMYFUNCTION("""COMPUTED_VALUE"""),912.75)</f>
        <v>912.75</v>
      </c>
      <c r="F4279" s="1">
        <f>IFERROR(__xludf.DUMMYFUNCTION("""COMPUTED_VALUE"""),605252.0)</f>
        <v>605252</v>
      </c>
    </row>
    <row r="4280">
      <c r="A4280" s="2">
        <f>IFERROR(__xludf.DUMMYFUNCTION("""COMPUTED_VALUE"""),42844.64583333333)</f>
        <v>42844.64583</v>
      </c>
      <c r="B4280" s="1">
        <f>IFERROR(__xludf.DUMMYFUNCTION("""COMPUTED_VALUE"""),914.6)</f>
        <v>914.6</v>
      </c>
      <c r="C4280" s="1">
        <f>IFERROR(__xludf.DUMMYFUNCTION("""COMPUTED_VALUE"""),918.45)</f>
        <v>918.45</v>
      </c>
      <c r="D4280" s="1">
        <f>IFERROR(__xludf.DUMMYFUNCTION("""COMPUTED_VALUE"""),906.0)</f>
        <v>906</v>
      </c>
      <c r="E4280" s="1">
        <f>IFERROR(__xludf.DUMMYFUNCTION("""COMPUTED_VALUE"""),908.55)</f>
        <v>908.55</v>
      </c>
      <c r="F4280" s="1">
        <f>IFERROR(__xludf.DUMMYFUNCTION("""COMPUTED_VALUE"""),1245002.0)</f>
        <v>1245002</v>
      </c>
    </row>
    <row r="4281">
      <c r="A4281" s="2">
        <f>IFERROR(__xludf.DUMMYFUNCTION("""COMPUTED_VALUE"""),42845.64583333333)</f>
        <v>42845.64583</v>
      </c>
      <c r="B4281" s="1">
        <f>IFERROR(__xludf.DUMMYFUNCTION("""COMPUTED_VALUE"""),912.0)</f>
        <v>912</v>
      </c>
      <c r="C4281" s="1">
        <f>IFERROR(__xludf.DUMMYFUNCTION("""COMPUTED_VALUE"""),917.6)</f>
        <v>917.6</v>
      </c>
      <c r="D4281" s="1">
        <f>IFERROR(__xludf.DUMMYFUNCTION("""COMPUTED_VALUE"""),906.25)</f>
        <v>906.25</v>
      </c>
      <c r="E4281" s="1">
        <f>IFERROR(__xludf.DUMMYFUNCTION("""COMPUTED_VALUE"""),915.7)</f>
        <v>915.7</v>
      </c>
      <c r="F4281" s="1">
        <f>IFERROR(__xludf.DUMMYFUNCTION("""COMPUTED_VALUE"""),1955164.0)</f>
        <v>1955164</v>
      </c>
    </row>
    <row r="4282">
      <c r="A4282" s="2">
        <f>IFERROR(__xludf.DUMMYFUNCTION("""COMPUTED_VALUE"""),42846.64583333333)</f>
        <v>42846.64583</v>
      </c>
      <c r="B4282" s="1">
        <f>IFERROR(__xludf.DUMMYFUNCTION("""COMPUTED_VALUE"""),919.5)</f>
        <v>919.5</v>
      </c>
      <c r="C4282" s="1">
        <f>IFERROR(__xludf.DUMMYFUNCTION("""COMPUTED_VALUE"""),923.9)</f>
        <v>923.9</v>
      </c>
      <c r="D4282" s="1">
        <f>IFERROR(__xludf.DUMMYFUNCTION("""COMPUTED_VALUE"""),903.5)</f>
        <v>903.5</v>
      </c>
      <c r="E4282" s="1">
        <f>IFERROR(__xludf.DUMMYFUNCTION("""COMPUTED_VALUE"""),906.4)</f>
        <v>906.4</v>
      </c>
      <c r="F4282" s="1">
        <f>IFERROR(__xludf.DUMMYFUNCTION("""COMPUTED_VALUE"""),761841.0)</f>
        <v>761841</v>
      </c>
    </row>
    <row r="4283">
      <c r="A4283" s="2">
        <f>IFERROR(__xludf.DUMMYFUNCTION("""COMPUTED_VALUE"""),42849.64583333333)</f>
        <v>42849.64583</v>
      </c>
      <c r="B4283" s="1">
        <f>IFERROR(__xludf.DUMMYFUNCTION("""COMPUTED_VALUE"""),909.9)</f>
        <v>909.9</v>
      </c>
      <c r="C4283" s="1">
        <f>IFERROR(__xludf.DUMMYFUNCTION("""COMPUTED_VALUE"""),909.9)</f>
        <v>909.9</v>
      </c>
      <c r="D4283" s="1">
        <f>IFERROR(__xludf.DUMMYFUNCTION("""COMPUTED_VALUE"""),898.55)</f>
        <v>898.55</v>
      </c>
      <c r="E4283" s="1">
        <f>IFERROR(__xludf.DUMMYFUNCTION("""COMPUTED_VALUE"""),904.55)</f>
        <v>904.55</v>
      </c>
      <c r="F4283" s="1">
        <f>IFERROR(__xludf.DUMMYFUNCTION("""COMPUTED_VALUE"""),789135.0)</f>
        <v>789135</v>
      </c>
    </row>
    <row r="4284">
      <c r="A4284" s="2">
        <f>IFERROR(__xludf.DUMMYFUNCTION("""COMPUTED_VALUE"""),42850.64583333333)</f>
        <v>42850.64583</v>
      </c>
      <c r="B4284" s="1">
        <f>IFERROR(__xludf.DUMMYFUNCTION("""COMPUTED_VALUE"""),907.0)</f>
        <v>907</v>
      </c>
      <c r="C4284" s="1">
        <f>IFERROR(__xludf.DUMMYFUNCTION("""COMPUTED_VALUE"""),927.0)</f>
        <v>927</v>
      </c>
      <c r="D4284" s="1">
        <f>IFERROR(__xludf.DUMMYFUNCTION("""COMPUTED_VALUE"""),903.05)</f>
        <v>903.05</v>
      </c>
      <c r="E4284" s="1">
        <f>IFERROR(__xludf.DUMMYFUNCTION("""COMPUTED_VALUE"""),924.0)</f>
        <v>924</v>
      </c>
      <c r="F4284" s="1">
        <f>IFERROR(__xludf.DUMMYFUNCTION("""COMPUTED_VALUE"""),1105317.0)</f>
        <v>1105317</v>
      </c>
    </row>
    <row r="4285">
      <c r="A4285" s="2">
        <f>IFERROR(__xludf.DUMMYFUNCTION("""COMPUTED_VALUE"""),42851.64583333333)</f>
        <v>42851.64583</v>
      </c>
      <c r="B4285" s="1">
        <f>IFERROR(__xludf.DUMMYFUNCTION("""COMPUTED_VALUE"""),924.0)</f>
        <v>924</v>
      </c>
      <c r="C4285" s="1">
        <f>IFERROR(__xludf.DUMMYFUNCTION("""COMPUTED_VALUE"""),945.0)</f>
        <v>945</v>
      </c>
      <c r="D4285" s="1">
        <f>IFERROR(__xludf.DUMMYFUNCTION("""COMPUTED_VALUE"""),920.3)</f>
        <v>920.3</v>
      </c>
      <c r="E4285" s="1">
        <f>IFERROR(__xludf.DUMMYFUNCTION("""COMPUTED_VALUE"""),941.35)</f>
        <v>941.35</v>
      </c>
      <c r="F4285" s="1">
        <f>IFERROR(__xludf.DUMMYFUNCTION("""COMPUTED_VALUE"""),1296199.0)</f>
        <v>1296199</v>
      </c>
    </row>
    <row r="4286">
      <c r="A4286" s="2">
        <f>IFERROR(__xludf.DUMMYFUNCTION("""COMPUTED_VALUE"""),42852.64583333333)</f>
        <v>42852.64583</v>
      </c>
      <c r="B4286" s="1">
        <f>IFERROR(__xludf.DUMMYFUNCTION("""COMPUTED_VALUE"""),941.1)</f>
        <v>941.1</v>
      </c>
      <c r="C4286" s="1">
        <f>IFERROR(__xludf.DUMMYFUNCTION("""COMPUTED_VALUE"""),951.0)</f>
        <v>951</v>
      </c>
      <c r="D4286" s="1">
        <f>IFERROR(__xludf.DUMMYFUNCTION("""COMPUTED_VALUE"""),936.2)</f>
        <v>936.2</v>
      </c>
      <c r="E4286" s="1">
        <f>IFERROR(__xludf.DUMMYFUNCTION("""COMPUTED_VALUE"""),947.3)</f>
        <v>947.3</v>
      </c>
      <c r="F4286" s="1">
        <f>IFERROR(__xludf.DUMMYFUNCTION("""COMPUTED_VALUE"""),1096343.0)</f>
        <v>1096343</v>
      </c>
    </row>
    <row r="4287">
      <c r="A4287" s="2">
        <f>IFERROR(__xludf.DUMMYFUNCTION("""COMPUTED_VALUE"""),42853.64583333333)</f>
        <v>42853.64583</v>
      </c>
      <c r="B4287" s="1">
        <f>IFERROR(__xludf.DUMMYFUNCTION("""COMPUTED_VALUE"""),944.0)</f>
        <v>944</v>
      </c>
      <c r="C4287" s="1">
        <f>IFERROR(__xludf.DUMMYFUNCTION("""COMPUTED_VALUE"""),945.5)</f>
        <v>945.5</v>
      </c>
      <c r="D4287" s="1">
        <f>IFERROR(__xludf.DUMMYFUNCTION("""COMPUTED_VALUE"""),932.15)</f>
        <v>932.15</v>
      </c>
      <c r="E4287" s="1">
        <f>IFERROR(__xludf.DUMMYFUNCTION("""COMPUTED_VALUE"""),934.95)</f>
        <v>934.95</v>
      </c>
      <c r="F4287" s="1">
        <f>IFERROR(__xludf.DUMMYFUNCTION("""COMPUTED_VALUE"""),3585324.0)</f>
        <v>3585324</v>
      </c>
    </row>
    <row r="4288">
      <c r="A4288" s="2">
        <f>IFERROR(__xludf.DUMMYFUNCTION("""COMPUTED_VALUE"""),42857.64583333333)</f>
        <v>42857.64583</v>
      </c>
      <c r="B4288" s="1">
        <f>IFERROR(__xludf.DUMMYFUNCTION("""COMPUTED_VALUE"""),930.2)</f>
        <v>930.2</v>
      </c>
      <c r="C4288" s="1">
        <f>IFERROR(__xludf.DUMMYFUNCTION("""COMPUTED_VALUE"""),937.25)</f>
        <v>937.25</v>
      </c>
      <c r="D4288" s="1">
        <f>IFERROR(__xludf.DUMMYFUNCTION("""COMPUTED_VALUE"""),924.0)</f>
        <v>924</v>
      </c>
      <c r="E4288" s="1">
        <f>IFERROR(__xludf.DUMMYFUNCTION("""COMPUTED_VALUE"""),928.1)</f>
        <v>928.1</v>
      </c>
      <c r="F4288" s="1">
        <f>IFERROR(__xludf.DUMMYFUNCTION("""COMPUTED_VALUE"""),1615426.0)</f>
        <v>1615426</v>
      </c>
    </row>
    <row r="4289">
      <c r="A4289" s="2">
        <f>IFERROR(__xludf.DUMMYFUNCTION("""COMPUTED_VALUE"""),42858.64583333333)</f>
        <v>42858.64583</v>
      </c>
      <c r="B4289" s="1">
        <f>IFERROR(__xludf.DUMMYFUNCTION("""COMPUTED_VALUE"""),933.0)</f>
        <v>933</v>
      </c>
      <c r="C4289" s="1">
        <f>IFERROR(__xludf.DUMMYFUNCTION("""COMPUTED_VALUE"""),936.95)</f>
        <v>936.95</v>
      </c>
      <c r="D4289" s="1">
        <f>IFERROR(__xludf.DUMMYFUNCTION("""COMPUTED_VALUE"""),922.6)</f>
        <v>922.6</v>
      </c>
      <c r="E4289" s="1">
        <f>IFERROR(__xludf.DUMMYFUNCTION("""COMPUTED_VALUE"""),934.0)</f>
        <v>934</v>
      </c>
      <c r="F4289" s="1">
        <f>IFERROR(__xludf.DUMMYFUNCTION("""COMPUTED_VALUE"""),977037.0)</f>
        <v>977037</v>
      </c>
    </row>
    <row r="4290">
      <c r="A4290" s="2">
        <f>IFERROR(__xludf.DUMMYFUNCTION("""COMPUTED_VALUE"""),42859.64583333333)</f>
        <v>42859.64583</v>
      </c>
      <c r="B4290" s="1">
        <f>IFERROR(__xludf.DUMMYFUNCTION("""COMPUTED_VALUE"""),934.25)</f>
        <v>934.25</v>
      </c>
      <c r="C4290" s="1">
        <f>IFERROR(__xludf.DUMMYFUNCTION("""COMPUTED_VALUE"""),960.0)</f>
        <v>960</v>
      </c>
      <c r="D4290" s="1">
        <f>IFERROR(__xludf.DUMMYFUNCTION("""COMPUTED_VALUE"""),933.8)</f>
        <v>933.8</v>
      </c>
      <c r="E4290" s="1">
        <f>IFERROR(__xludf.DUMMYFUNCTION("""COMPUTED_VALUE"""),956.7)</f>
        <v>956.7</v>
      </c>
      <c r="F4290" s="1">
        <f>IFERROR(__xludf.DUMMYFUNCTION("""COMPUTED_VALUE"""),1234682.0)</f>
        <v>1234682</v>
      </c>
    </row>
    <row r="4291">
      <c r="A4291" s="2">
        <f>IFERROR(__xludf.DUMMYFUNCTION("""COMPUTED_VALUE"""),42860.64583333333)</f>
        <v>42860.64583</v>
      </c>
      <c r="B4291" s="1">
        <f>IFERROR(__xludf.DUMMYFUNCTION("""COMPUTED_VALUE"""),953.5)</f>
        <v>953.5</v>
      </c>
      <c r="C4291" s="1">
        <f>IFERROR(__xludf.DUMMYFUNCTION("""COMPUTED_VALUE"""),959.45)</f>
        <v>959.45</v>
      </c>
      <c r="D4291" s="1">
        <f>IFERROR(__xludf.DUMMYFUNCTION("""COMPUTED_VALUE"""),949.3)</f>
        <v>949.3</v>
      </c>
      <c r="E4291" s="1">
        <f>IFERROR(__xludf.DUMMYFUNCTION("""COMPUTED_VALUE"""),953.9)</f>
        <v>953.9</v>
      </c>
      <c r="F4291" s="1">
        <f>IFERROR(__xludf.DUMMYFUNCTION("""COMPUTED_VALUE"""),571239.0)</f>
        <v>571239</v>
      </c>
    </row>
    <row r="4292">
      <c r="A4292" s="2">
        <f>IFERROR(__xludf.DUMMYFUNCTION("""COMPUTED_VALUE"""),42863.64583333333)</f>
        <v>42863.64583</v>
      </c>
      <c r="B4292" s="1">
        <f>IFERROR(__xludf.DUMMYFUNCTION("""COMPUTED_VALUE"""),955.0)</f>
        <v>955</v>
      </c>
      <c r="C4292" s="1">
        <f>IFERROR(__xludf.DUMMYFUNCTION("""COMPUTED_VALUE"""),960.0)</f>
        <v>960</v>
      </c>
      <c r="D4292" s="1">
        <f>IFERROR(__xludf.DUMMYFUNCTION("""COMPUTED_VALUE"""),946.05)</f>
        <v>946.05</v>
      </c>
      <c r="E4292" s="1">
        <f>IFERROR(__xludf.DUMMYFUNCTION("""COMPUTED_VALUE"""),954.85)</f>
        <v>954.85</v>
      </c>
      <c r="F4292" s="1">
        <f>IFERROR(__xludf.DUMMYFUNCTION("""COMPUTED_VALUE"""),672197.0)</f>
        <v>672197</v>
      </c>
    </row>
    <row r="4293">
      <c r="A4293" s="2">
        <f>IFERROR(__xludf.DUMMYFUNCTION("""COMPUTED_VALUE"""),42864.64583333333)</f>
        <v>42864.64583</v>
      </c>
      <c r="B4293" s="1">
        <f>IFERROR(__xludf.DUMMYFUNCTION("""COMPUTED_VALUE"""),957.0)</f>
        <v>957</v>
      </c>
      <c r="C4293" s="1">
        <f>IFERROR(__xludf.DUMMYFUNCTION("""COMPUTED_VALUE"""),958.0)</f>
        <v>958</v>
      </c>
      <c r="D4293" s="1">
        <f>IFERROR(__xludf.DUMMYFUNCTION("""COMPUTED_VALUE"""),947.5)</f>
        <v>947.5</v>
      </c>
      <c r="E4293" s="1">
        <f>IFERROR(__xludf.DUMMYFUNCTION("""COMPUTED_VALUE"""),952.05)</f>
        <v>952.05</v>
      </c>
      <c r="F4293" s="1">
        <f>IFERROR(__xludf.DUMMYFUNCTION("""COMPUTED_VALUE"""),1292861.0)</f>
        <v>1292861</v>
      </c>
    </row>
    <row r="4294">
      <c r="A4294" s="2">
        <f>IFERROR(__xludf.DUMMYFUNCTION("""COMPUTED_VALUE"""),42865.64583333333)</f>
        <v>42865.64583</v>
      </c>
      <c r="B4294" s="1">
        <f>IFERROR(__xludf.DUMMYFUNCTION("""COMPUTED_VALUE"""),954.1)</f>
        <v>954.1</v>
      </c>
      <c r="C4294" s="1">
        <f>IFERROR(__xludf.DUMMYFUNCTION("""COMPUTED_VALUE"""),999.0)</f>
        <v>999</v>
      </c>
      <c r="D4294" s="1">
        <f>IFERROR(__xludf.DUMMYFUNCTION("""COMPUTED_VALUE"""),954.1)</f>
        <v>954.1</v>
      </c>
      <c r="E4294" s="1">
        <f>IFERROR(__xludf.DUMMYFUNCTION("""COMPUTED_VALUE"""),996.35)</f>
        <v>996.35</v>
      </c>
      <c r="F4294" s="1">
        <f>IFERROR(__xludf.DUMMYFUNCTION("""COMPUTED_VALUE"""),2928370.0)</f>
        <v>2928370</v>
      </c>
    </row>
    <row r="4295">
      <c r="A4295" s="2">
        <f>IFERROR(__xludf.DUMMYFUNCTION("""COMPUTED_VALUE"""),42866.64583333333)</f>
        <v>42866.64583</v>
      </c>
      <c r="B4295" s="1">
        <f>IFERROR(__xludf.DUMMYFUNCTION("""COMPUTED_VALUE"""),994.4)</f>
        <v>994.4</v>
      </c>
      <c r="C4295" s="1">
        <f>IFERROR(__xludf.DUMMYFUNCTION("""COMPUTED_VALUE"""),996.0)</f>
        <v>996</v>
      </c>
      <c r="D4295" s="1">
        <f>IFERROR(__xludf.DUMMYFUNCTION("""COMPUTED_VALUE"""),975.95)</f>
        <v>975.95</v>
      </c>
      <c r="E4295" s="1">
        <f>IFERROR(__xludf.DUMMYFUNCTION("""COMPUTED_VALUE"""),978.75)</f>
        <v>978.75</v>
      </c>
      <c r="F4295" s="1">
        <f>IFERROR(__xludf.DUMMYFUNCTION("""COMPUTED_VALUE"""),1354465.0)</f>
        <v>1354465</v>
      </c>
    </row>
    <row r="4296">
      <c r="A4296" s="2">
        <f>IFERROR(__xludf.DUMMYFUNCTION("""COMPUTED_VALUE"""),42867.64583333333)</f>
        <v>42867.64583</v>
      </c>
      <c r="B4296" s="1">
        <f>IFERROR(__xludf.DUMMYFUNCTION("""COMPUTED_VALUE"""),978.3)</f>
        <v>978.3</v>
      </c>
      <c r="C4296" s="1">
        <f>IFERROR(__xludf.DUMMYFUNCTION("""COMPUTED_VALUE"""),988.0)</f>
        <v>988</v>
      </c>
      <c r="D4296" s="1">
        <f>IFERROR(__xludf.DUMMYFUNCTION("""COMPUTED_VALUE"""),970.25)</f>
        <v>970.25</v>
      </c>
      <c r="E4296" s="1">
        <f>IFERROR(__xludf.DUMMYFUNCTION("""COMPUTED_VALUE"""),980.2)</f>
        <v>980.2</v>
      </c>
      <c r="F4296" s="1">
        <f>IFERROR(__xludf.DUMMYFUNCTION("""COMPUTED_VALUE"""),890243.0)</f>
        <v>890243</v>
      </c>
    </row>
    <row r="4297">
      <c r="A4297" s="2">
        <f>IFERROR(__xludf.DUMMYFUNCTION("""COMPUTED_VALUE"""),42870.64583333333)</f>
        <v>42870.64583</v>
      </c>
      <c r="B4297" s="1">
        <f>IFERROR(__xludf.DUMMYFUNCTION("""COMPUTED_VALUE"""),981.3)</f>
        <v>981.3</v>
      </c>
      <c r="C4297" s="1">
        <f>IFERROR(__xludf.DUMMYFUNCTION("""COMPUTED_VALUE"""),988.85)</f>
        <v>988.85</v>
      </c>
      <c r="D4297" s="1">
        <f>IFERROR(__xludf.DUMMYFUNCTION("""COMPUTED_VALUE"""),974.55)</f>
        <v>974.55</v>
      </c>
      <c r="E4297" s="1">
        <f>IFERROR(__xludf.DUMMYFUNCTION("""COMPUTED_VALUE"""),983.25)</f>
        <v>983.25</v>
      </c>
      <c r="F4297" s="1">
        <f>IFERROR(__xludf.DUMMYFUNCTION("""COMPUTED_VALUE"""),734446.0)</f>
        <v>734446</v>
      </c>
    </row>
    <row r="4298">
      <c r="A4298" s="2">
        <f>IFERROR(__xludf.DUMMYFUNCTION("""COMPUTED_VALUE"""),42871.64583333333)</f>
        <v>42871.64583</v>
      </c>
      <c r="B4298" s="1">
        <f>IFERROR(__xludf.DUMMYFUNCTION("""COMPUTED_VALUE"""),983.0)</f>
        <v>983</v>
      </c>
      <c r="C4298" s="1">
        <f>IFERROR(__xludf.DUMMYFUNCTION("""COMPUTED_VALUE"""),1002.5)</f>
        <v>1002.5</v>
      </c>
      <c r="D4298" s="1">
        <f>IFERROR(__xludf.DUMMYFUNCTION("""COMPUTED_VALUE"""),982.05)</f>
        <v>982.05</v>
      </c>
      <c r="E4298" s="1">
        <f>IFERROR(__xludf.DUMMYFUNCTION("""COMPUTED_VALUE"""),1000.4)</f>
        <v>1000.4</v>
      </c>
      <c r="F4298" s="1">
        <f>IFERROR(__xludf.DUMMYFUNCTION("""COMPUTED_VALUE"""),1503815.0)</f>
        <v>1503815</v>
      </c>
    </row>
    <row r="4299">
      <c r="A4299" s="2">
        <f>IFERROR(__xludf.DUMMYFUNCTION("""COMPUTED_VALUE"""),42872.64583333333)</f>
        <v>42872.64583</v>
      </c>
      <c r="B4299" s="1">
        <f>IFERROR(__xludf.DUMMYFUNCTION("""COMPUTED_VALUE"""),1004.0)</f>
        <v>1004</v>
      </c>
      <c r="C4299" s="1">
        <f>IFERROR(__xludf.DUMMYFUNCTION("""COMPUTED_VALUE"""),1012.0)</f>
        <v>1012</v>
      </c>
      <c r="D4299" s="1">
        <f>IFERROR(__xludf.DUMMYFUNCTION("""COMPUTED_VALUE"""),991.1)</f>
        <v>991.1</v>
      </c>
      <c r="E4299" s="1">
        <f>IFERROR(__xludf.DUMMYFUNCTION("""COMPUTED_VALUE"""),1009.4)</f>
        <v>1009.4</v>
      </c>
      <c r="F4299" s="1">
        <f>IFERROR(__xludf.DUMMYFUNCTION("""COMPUTED_VALUE"""),1999387.0)</f>
        <v>1999387</v>
      </c>
    </row>
    <row r="4300">
      <c r="A4300" s="2">
        <f>IFERROR(__xludf.DUMMYFUNCTION("""COMPUTED_VALUE"""),42873.64583333333)</f>
        <v>42873.64583</v>
      </c>
      <c r="B4300" s="1">
        <f>IFERROR(__xludf.DUMMYFUNCTION("""COMPUTED_VALUE"""),1008.0)</f>
        <v>1008</v>
      </c>
      <c r="C4300" s="1">
        <f>IFERROR(__xludf.DUMMYFUNCTION("""COMPUTED_VALUE"""),1009.0)</f>
        <v>1009</v>
      </c>
      <c r="D4300" s="1">
        <f>IFERROR(__xludf.DUMMYFUNCTION("""COMPUTED_VALUE"""),983.0)</f>
        <v>983</v>
      </c>
      <c r="E4300" s="1">
        <f>IFERROR(__xludf.DUMMYFUNCTION("""COMPUTED_VALUE"""),990.25)</f>
        <v>990.25</v>
      </c>
      <c r="F4300" s="1">
        <f>IFERROR(__xludf.DUMMYFUNCTION("""COMPUTED_VALUE"""),2690943.0)</f>
        <v>2690943</v>
      </c>
    </row>
    <row r="4301">
      <c r="A4301" s="2">
        <f>IFERROR(__xludf.DUMMYFUNCTION("""COMPUTED_VALUE"""),42874.64583333333)</f>
        <v>42874.64583</v>
      </c>
      <c r="B4301" s="1">
        <f>IFERROR(__xludf.DUMMYFUNCTION("""COMPUTED_VALUE"""),1000.0)</f>
        <v>1000</v>
      </c>
      <c r="C4301" s="1">
        <f>IFERROR(__xludf.DUMMYFUNCTION("""COMPUTED_VALUE"""),1022.75)</f>
        <v>1022.75</v>
      </c>
      <c r="D4301" s="1">
        <f>IFERROR(__xludf.DUMMYFUNCTION("""COMPUTED_VALUE"""),1000.0)</f>
        <v>1000</v>
      </c>
      <c r="E4301" s="1">
        <f>IFERROR(__xludf.DUMMYFUNCTION("""COMPUTED_VALUE"""),1008.0)</f>
        <v>1008</v>
      </c>
      <c r="F4301" s="1">
        <f>IFERROR(__xludf.DUMMYFUNCTION("""COMPUTED_VALUE"""),3059815.0)</f>
        <v>3059815</v>
      </c>
    </row>
    <row r="4302">
      <c r="A4302" s="2">
        <f>IFERROR(__xludf.DUMMYFUNCTION("""COMPUTED_VALUE"""),42877.64583333333)</f>
        <v>42877.64583</v>
      </c>
      <c r="B4302" s="1">
        <f>IFERROR(__xludf.DUMMYFUNCTION("""COMPUTED_VALUE"""),1011.35)</f>
        <v>1011.35</v>
      </c>
      <c r="C4302" s="1">
        <f>IFERROR(__xludf.DUMMYFUNCTION("""COMPUTED_VALUE"""),1028.2)</f>
        <v>1028.2</v>
      </c>
      <c r="D4302" s="1">
        <f>IFERROR(__xludf.DUMMYFUNCTION("""COMPUTED_VALUE"""),1009.0)</f>
        <v>1009</v>
      </c>
      <c r="E4302" s="1">
        <f>IFERROR(__xludf.DUMMYFUNCTION("""COMPUTED_VALUE"""),1018.6)</f>
        <v>1018.6</v>
      </c>
      <c r="F4302" s="1">
        <f>IFERROR(__xludf.DUMMYFUNCTION("""COMPUTED_VALUE"""),1788720.0)</f>
        <v>1788720</v>
      </c>
    </row>
    <row r="4303">
      <c r="A4303" s="2">
        <f>IFERROR(__xludf.DUMMYFUNCTION("""COMPUTED_VALUE"""),42878.64583333333)</f>
        <v>42878.64583</v>
      </c>
      <c r="B4303" s="1">
        <f>IFERROR(__xludf.DUMMYFUNCTION("""COMPUTED_VALUE"""),1018.8)</f>
        <v>1018.8</v>
      </c>
      <c r="C4303" s="1">
        <f>IFERROR(__xludf.DUMMYFUNCTION("""COMPUTED_VALUE"""),1032.0)</f>
        <v>1032</v>
      </c>
      <c r="D4303" s="1">
        <f>IFERROR(__xludf.DUMMYFUNCTION("""COMPUTED_VALUE"""),1014.0)</f>
        <v>1014</v>
      </c>
      <c r="E4303" s="1">
        <f>IFERROR(__xludf.DUMMYFUNCTION("""COMPUTED_VALUE"""),1024.8)</f>
        <v>1024.8</v>
      </c>
      <c r="F4303" s="1">
        <f>IFERROR(__xludf.DUMMYFUNCTION("""COMPUTED_VALUE"""),2640069.0)</f>
        <v>2640069</v>
      </c>
    </row>
    <row r="4304">
      <c r="A4304" s="2">
        <f>IFERROR(__xludf.DUMMYFUNCTION("""COMPUTED_VALUE"""),42879.64583333333)</f>
        <v>42879.64583</v>
      </c>
      <c r="B4304" s="1">
        <f>IFERROR(__xludf.DUMMYFUNCTION("""COMPUTED_VALUE"""),1026.55)</f>
        <v>1026.55</v>
      </c>
      <c r="C4304" s="1">
        <f>IFERROR(__xludf.DUMMYFUNCTION("""COMPUTED_VALUE"""),1040.0)</f>
        <v>1040</v>
      </c>
      <c r="D4304" s="1">
        <f>IFERROR(__xludf.DUMMYFUNCTION("""COMPUTED_VALUE"""),1023.5)</f>
        <v>1023.5</v>
      </c>
      <c r="E4304" s="1">
        <f>IFERROR(__xludf.DUMMYFUNCTION("""COMPUTED_VALUE"""),1038.05)</f>
        <v>1038.05</v>
      </c>
      <c r="F4304" s="1">
        <f>IFERROR(__xludf.DUMMYFUNCTION("""COMPUTED_VALUE"""),1992083.0)</f>
        <v>1992083</v>
      </c>
    </row>
    <row r="4305">
      <c r="A4305" s="2">
        <f>IFERROR(__xludf.DUMMYFUNCTION("""COMPUTED_VALUE"""),42880.64583333333)</f>
        <v>42880.64583</v>
      </c>
      <c r="B4305" s="1">
        <f>IFERROR(__xludf.DUMMYFUNCTION("""COMPUTED_VALUE"""),1037.9)</f>
        <v>1037.9</v>
      </c>
      <c r="C4305" s="1">
        <f>IFERROR(__xludf.DUMMYFUNCTION("""COMPUTED_VALUE"""),1050.0)</f>
        <v>1050</v>
      </c>
      <c r="D4305" s="1">
        <f>IFERROR(__xludf.DUMMYFUNCTION("""COMPUTED_VALUE"""),1030.3)</f>
        <v>1030.3</v>
      </c>
      <c r="E4305" s="1">
        <f>IFERROR(__xludf.DUMMYFUNCTION("""COMPUTED_VALUE"""),1043.45)</f>
        <v>1043.45</v>
      </c>
      <c r="F4305" s="1">
        <f>IFERROR(__xludf.DUMMYFUNCTION("""COMPUTED_VALUE"""),1918721.0)</f>
        <v>1918721</v>
      </c>
    </row>
    <row r="4306">
      <c r="A4306" s="2">
        <f>IFERROR(__xludf.DUMMYFUNCTION("""COMPUTED_VALUE"""),42881.64583333333)</f>
        <v>42881.64583</v>
      </c>
      <c r="B4306" s="1">
        <f>IFERROR(__xludf.DUMMYFUNCTION("""COMPUTED_VALUE"""),1042.05)</f>
        <v>1042.05</v>
      </c>
      <c r="C4306" s="1">
        <f>IFERROR(__xludf.DUMMYFUNCTION("""COMPUTED_VALUE"""),1046.95)</f>
        <v>1046.95</v>
      </c>
      <c r="D4306" s="1">
        <f>IFERROR(__xludf.DUMMYFUNCTION("""COMPUTED_VALUE"""),1032.4)</f>
        <v>1032.4</v>
      </c>
      <c r="E4306" s="1">
        <f>IFERROR(__xludf.DUMMYFUNCTION("""COMPUTED_VALUE"""),1040.95)</f>
        <v>1040.95</v>
      </c>
      <c r="F4306" s="1">
        <f>IFERROR(__xludf.DUMMYFUNCTION("""COMPUTED_VALUE"""),716421.0)</f>
        <v>716421</v>
      </c>
    </row>
    <row r="4307">
      <c r="A4307" s="2">
        <f>IFERROR(__xludf.DUMMYFUNCTION("""COMPUTED_VALUE"""),42884.64583333333)</f>
        <v>42884.64583</v>
      </c>
      <c r="B4307" s="1">
        <f>IFERROR(__xludf.DUMMYFUNCTION("""COMPUTED_VALUE"""),1041.0)</f>
        <v>1041</v>
      </c>
      <c r="C4307" s="1">
        <f>IFERROR(__xludf.DUMMYFUNCTION("""COMPUTED_VALUE"""),1077.0)</f>
        <v>1077</v>
      </c>
      <c r="D4307" s="1">
        <f>IFERROR(__xludf.DUMMYFUNCTION("""COMPUTED_VALUE"""),1038.75)</f>
        <v>1038.75</v>
      </c>
      <c r="E4307" s="1">
        <f>IFERROR(__xludf.DUMMYFUNCTION("""COMPUTED_VALUE"""),1072.25)</f>
        <v>1072.25</v>
      </c>
      <c r="F4307" s="1">
        <f>IFERROR(__xludf.DUMMYFUNCTION("""COMPUTED_VALUE"""),1771026.0)</f>
        <v>1771026</v>
      </c>
    </row>
    <row r="4308">
      <c r="A4308" s="2">
        <f>IFERROR(__xludf.DUMMYFUNCTION("""COMPUTED_VALUE"""),42885.64583333333)</f>
        <v>42885.64583</v>
      </c>
      <c r="B4308" s="1">
        <f>IFERROR(__xludf.DUMMYFUNCTION("""COMPUTED_VALUE"""),1071.1)</f>
        <v>1071.1</v>
      </c>
      <c r="C4308" s="1">
        <f>IFERROR(__xludf.DUMMYFUNCTION("""COMPUTED_VALUE"""),1074.95)</f>
        <v>1074.95</v>
      </c>
      <c r="D4308" s="1">
        <f>IFERROR(__xludf.DUMMYFUNCTION("""COMPUTED_VALUE"""),1053.3)</f>
        <v>1053.3</v>
      </c>
      <c r="E4308" s="1">
        <f>IFERROR(__xludf.DUMMYFUNCTION("""COMPUTED_VALUE"""),1072.6)</f>
        <v>1072.6</v>
      </c>
      <c r="F4308" s="1">
        <f>IFERROR(__xludf.DUMMYFUNCTION("""COMPUTED_VALUE"""),890684.0)</f>
        <v>890684</v>
      </c>
    </row>
    <row r="4309">
      <c r="A4309" s="2">
        <f>IFERROR(__xludf.DUMMYFUNCTION("""COMPUTED_VALUE"""),42886.64583333333)</f>
        <v>42886.64583</v>
      </c>
      <c r="B4309" s="1">
        <f>IFERROR(__xludf.DUMMYFUNCTION("""COMPUTED_VALUE"""),1065.8)</f>
        <v>1065.8</v>
      </c>
      <c r="C4309" s="1">
        <f>IFERROR(__xludf.DUMMYFUNCTION("""COMPUTED_VALUE"""),1074.45)</f>
        <v>1074.45</v>
      </c>
      <c r="D4309" s="1">
        <f>IFERROR(__xludf.DUMMYFUNCTION("""COMPUTED_VALUE"""),1061.05)</f>
        <v>1061.05</v>
      </c>
      <c r="E4309" s="1">
        <f>IFERROR(__xludf.DUMMYFUNCTION("""COMPUTED_VALUE"""),1067.0)</f>
        <v>1067</v>
      </c>
      <c r="F4309" s="1">
        <f>IFERROR(__xludf.DUMMYFUNCTION("""COMPUTED_VALUE"""),2226704.0)</f>
        <v>2226704</v>
      </c>
    </row>
    <row r="4310">
      <c r="A4310" s="2">
        <f>IFERROR(__xludf.DUMMYFUNCTION("""COMPUTED_VALUE"""),42887.64583333333)</f>
        <v>42887.64583</v>
      </c>
      <c r="B4310" s="1">
        <f>IFERROR(__xludf.DUMMYFUNCTION("""COMPUTED_VALUE"""),1067.0)</f>
        <v>1067</v>
      </c>
      <c r="C4310" s="1">
        <f>IFERROR(__xludf.DUMMYFUNCTION("""COMPUTED_VALUE"""),1099.45)</f>
        <v>1099.45</v>
      </c>
      <c r="D4310" s="1">
        <f>IFERROR(__xludf.DUMMYFUNCTION("""COMPUTED_VALUE"""),1061.2)</f>
        <v>1061.2</v>
      </c>
      <c r="E4310" s="1">
        <f>IFERROR(__xludf.DUMMYFUNCTION("""COMPUTED_VALUE"""),1095.35)</f>
        <v>1095.35</v>
      </c>
      <c r="F4310" s="1">
        <f>IFERROR(__xludf.DUMMYFUNCTION("""COMPUTED_VALUE"""),1782269.0)</f>
        <v>1782269</v>
      </c>
    </row>
    <row r="4311">
      <c r="A4311" s="2">
        <f>IFERROR(__xludf.DUMMYFUNCTION("""COMPUTED_VALUE"""),42888.64583333333)</f>
        <v>42888.64583</v>
      </c>
      <c r="B4311" s="1">
        <f>IFERROR(__xludf.DUMMYFUNCTION("""COMPUTED_VALUE"""),1100.05)</f>
        <v>1100.05</v>
      </c>
      <c r="C4311" s="1">
        <f>IFERROR(__xludf.DUMMYFUNCTION("""COMPUTED_VALUE"""),1103.0)</f>
        <v>1103</v>
      </c>
      <c r="D4311" s="1">
        <f>IFERROR(__xludf.DUMMYFUNCTION("""COMPUTED_VALUE"""),1046.1)</f>
        <v>1046.1</v>
      </c>
      <c r="E4311" s="1">
        <f>IFERROR(__xludf.DUMMYFUNCTION("""COMPUTED_VALUE"""),1086.4)</f>
        <v>1086.4</v>
      </c>
      <c r="F4311" s="1">
        <f>IFERROR(__xludf.DUMMYFUNCTION("""COMPUTED_VALUE"""),2216247.0)</f>
        <v>2216247</v>
      </c>
    </row>
    <row r="4312">
      <c r="A4312" s="2">
        <f>IFERROR(__xludf.DUMMYFUNCTION("""COMPUTED_VALUE"""),42891.64583333333)</f>
        <v>42891.64583</v>
      </c>
      <c r="B4312" s="1">
        <f>IFERROR(__xludf.DUMMYFUNCTION("""COMPUTED_VALUE"""),1092.0)</f>
        <v>1092</v>
      </c>
      <c r="C4312" s="1">
        <f>IFERROR(__xludf.DUMMYFUNCTION("""COMPUTED_VALUE"""),1101.3)</f>
        <v>1101.3</v>
      </c>
      <c r="D4312" s="1">
        <f>IFERROR(__xludf.DUMMYFUNCTION("""COMPUTED_VALUE"""),1088.0)</f>
        <v>1088</v>
      </c>
      <c r="E4312" s="1">
        <f>IFERROR(__xludf.DUMMYFUNCTION("""COMPUTED_VALUE"""),1097.75)</f>
        <v>1097.75</v>
      </c>
      <c r="F4312" s="1">
        <f>IFERROR(__xludf.DUMMYFUNCTION("""COMPUTED_VALUE"""),612171.0)</f>
        <v>612171</v>
      </c>
    </row>
    <row r="4313">
      <c r="A4313" s="2">
        <f>IFERROR(__xludf.DUMMYFUNCTION("""COMPUTED_VALUE"""),42892.64583333333)</f>
        <v>42892.64583</v>
      </c>
      <c r="B4313" s="1">
        <f>IFERROR(__xludf.DUMMYFUNCTION("""COMPUTED_VALUE"""),1097.95)</f>
        <v>1097.95</v>
      </c>
      <c r="C4313" s="1">
        <f>IFERROR(__xludf.DUMMYFUNCTION("""COMPUTED_VALUE"""),1101.8)</f>
        <v>1101.8</v>
      </c>
      <c r="D4313" s="1">
        <f>IFERROR(__xludf.DUMMYFUNCTION("""COMPUTED_VALUE"""),1087.0)</f>
        <v>1087</v>
      </c>
      <c r="E4313" s="1">
        <f>IFERROR(__xludf.DUMMYFUNCTION("""COMPUTED_VALUE"""),1091.55)</f>
        <v>1091.55</v>
      </c>
      <c r="F4313" s="1">
        <f>IFERROR(__xludf.DUMMYFUNCTION("""COMPUTED_VALUE"""),1203091.0)</f>
        <v>1203091</v>
      </c>
    </row>
    <row r="4314">
      <c r="A4314" s="2">
        <f>IFERROR(__xludf.DUMMYFUNCTION("""COMPUTED_VALUE"""),42893.64583333333)</f>
        <v>42893.64583</v>
      </c>
      <c r="B4314" s="1">
        <f>IFERROR(__xludf.DUMMYFUNCTION("""COMPUTED_VALUE"""),1105.2)</f>
        <v>1105.2</v>
      </c>
      <c r="C4314" s="1">
        <f>IFERROR(__xludf.DUMMYFUNCTION("""COMPUTED_VALUE"""),1114.25)</f>
        <v>1114.25</v>
      </c>
      <c r="D4314" s="1">
        <f>IFERROR(__xludf.DUMMYFUNCTION("""COMPUTED_VALUE"""),1091.5)</f>
        <v>1091.5</v>
      </c>
      <c r="E4314" s="1">
        <f>IFERROR(__xludf.DUMMYFUNCTION("""COMPUTED_VALUE"""),1106.35)</f>
        <v>1106.35</v>
      </c>
      <c r="F4314" s="1">
        <f>IFERROR(__xludf.DUMMYFUNCTION("""COMPUTED_VALUE"""),2392047.0)</f>
        <v>2392047</v>
      </c>
    </row>
    <row r="4315">
      <c r="A4315" s="2">
        <f>IFERROR(__xludf.DUMMYFUNCTION("""COMPUTED_VALUE"""),42894.64583333333)</f>
        <v>42894.64583</v>
      </c>
      <c r="B4315" s="1">
        <f>IFERROR(__xludf.DUMMYFUNCTION("""COMPUTED_VALUE"""),1106.7)</f>
        <v>1106.7</v>
      </c>
      <c r="C4315" s="1">
        <f>IFERROR(__xludf.DUMMYFUNCTION("""COMPUTED_VALUE"""),1115.0)</f>
        <v>1115</v>
      </c>
      <c r="D4315" s="1">
        <f>IFERROR(__xludf.DUMMYFUNCTION("""COMPUTED_VALUE"""),1088.55)</f>
        <v>1088.55</v>
      </c>
      <c r="E4315" s="1">
        <f>IFERROR(__xludf.DUMMYFUNCTION("""COMPUTED_VALUE"""),1093.5)</f>
        <v>1093.5</v>
      </c>
      <c r="F4315" s="1">
        <f>IFERROR(__xludf.DUMMYFUNCTION("""COMPUTED_VALUE"""),935574.0)</f>
        <v>935574</v>
      </c>
    </row>
    <row r="4316">
      <c r="A4316" s="2">
        <f>IFERROR(__xludf.DUMMYFUNCTION("""COMPUTED_VALUE"""),42895.64583333333)</f>
        <v>42895.64583</v>
      </c>
      <c r="B4316" s="1">
        <f>IFERROR(__xludf.DUMMYFUNCTION("""COMPUTED_VALUE"""),1091.0)</f>
        <v>1091</v>
      </c>
      <c r="C4316" s="1">
        <f>IFERROR(__xludf.DUMMYFUNCTION("""COMPUTED_VALUE"""),1105.4)</f>
        <v>1105.4</v>
      </c>
      <c r="D4316" s="1">
        <f>IFERROR(__xludf.DUMMYFUNCTION("""COMPUTED_VALUE"""),1090.0)</f>
        <v>1090</v>
      </c>
      <c r="E4316" s="1">
        <f>IFERROR(__xludf.DUMMYFUNCTION("""COMPUTED_VALUE"""),1095.35)</f>
        <v>1095.35</v>
      </c>
      <c r="F4316" s="1">
        <f>IFERROR(__xludf.DUMMYFUNCTION("""COMPUTED_VALUE"""),691085.0)</f>
        <v>691085</v>
      </c>
    </row>
    <row r="4317">
      <c r="A4317" s="2">
        <f>IFERROR(__xludf.DUMMYFUNCTION("""COMPUTED_VALUE"""),42898.64583333333)</f>
        <v>42898.64583</v>
      </c>
      <c r="B4317" s="1">
        <f>IFERROR(__xludf.DUMMYFUNCTION("""COMPUTED_VALUE"""),1096.0)</f>
        <v>1096</v>
      </c>
      <c r="C4317" s="1">
        <f>IFERROR(__xludf.DUMMYFUNCTION("""COMPUTED_VALUE"""),1105.0)</f>
        <v>1105</v>
      </c>
      <c r="D4317" s="1">
        <f>IFERROR(__xludf.DUMMYFUNCTION("""COMPUTED_VALUE"""),1083.0)</f>
        <v>1083</v>
      </c>
      <c r="E4317" s="1">
        <f>IFERROR(__xludf.DUMMYFUNCTION("""COMPUTED_VALUE"""),1099.65)</f>
        <v>1099.65</v>
      </c>
      <c r="F4317" s="1">
        <f>IFERROR(__xludf.DUMMYFUNCTION("""COMPUTED_VALUE"""),1059705.0)</f>
        <v>1059705</v>
      </c>
    </row>
    <row r="4318">
      <c r="A4318" s="2">
        <f>IFERROR(__xludf.DUMMYFUNCTION("""COMPUTED_VALUE"""),42899.64583333333)</f>
        <v>42899.64583</v>
      </c>
      <c r="B4318" s="1">
        <f>IFERROR(__xludf.DUMMYFUNCTION("""COMPUTED_VALUE"""),1096.0)</f>
        <v>1096</v>
      </c>
      <c r="C4318" s="1">
        <f>IFERROR(__xludf.DUMMYFUNCTION("""COMPUTED_VALUE"""),1109.35)</f>
        <v>1109.35</v>
      </c>
      <c r="D4318" s="1">
        <f>IFERROR(__xludf.DUMMYFUNCTION("""COMPUTED_VALUE"""),1095.05)</f>
        <v>1095.05</v>
      </c>
      <c r="E4318" s="1">
        <f>IFERROR(__xludf.DUMMYFUNCTION("""COMPUTED_VALUE"""),1102.75)</f>
        <v>1102.75</v>
      </c>
      <c r="F4318" s="1">
        <f>IFERROR(__xludf.DUMMYFUNCTION("""COMPUTED_VALUE"""),1040661.0)</f>
        <v>1040661</v>
      </c>
    </row>
    <row r="4319">
      <c r="A4319" s="2">
        <f>IFERROR(__xludf.DUMMYFUNCTION("""COMPUTED_VALUE"""),42900.64583333333)</f>
        <v>42900.64583</v>
      </c>
      <c r="B4319" s="1">
        <f>IFERROR(__xludf.DUMMYFUNCTION("""COMPUTED_VALUE"""),1105.0)</f>
        <v>1105</v>
      </c>
      <c r="C4319" s="1">
        <f>IFERROR(__xludf.DUMMYFUNCTION("""COMPUTED_VALUE"""),1119.6)</f>
        <v>1119.6</v>
      </c>
      <c r="D4319" s="1">
        <f>IFERROR(__xludf.DUMMYFUNCTION("""COMPUTED_VALUE"""),1094.2)</f>
        <v>1094.2</v>
      </c>
      <c r="E4319" s="1">
        <f>IFERROR(__xludf.DUMMYFUNCTION("""COMPUTED_VALUE"""),1113.7)</f>
        <v>1113.7</v>
      </c>
      <c r="F4319" s="1">
        <f>IFERROR(__xludf.DUMMYFUNCTION("""COMPUTED_VALUE"""),1139136.0)</f>
        <v>1139136</v>
      </c>
    </row>
    <row r="4320">
      <c r="A4320" s="2">
        <f>IFERROR(__xludf.DUMMYFUNCTION("""COMPUTED_VALUE"""),42901.64583333333)</f>
        <v>42901.64583</v>
      </c>
      <c r="B4320" s="1">
        <f>IFERROR(__xludf.DUMMYFUNCTION("""COMPUTED_VALUE"""),1117.5)</f>
        <v>1117.5</v>
      </c>
      <c r="C4320" s="1">
        <f>IFERROR(__xludf.DUMMYFUNCTION("""COMPUTED_VALUE"""),1121.5)</f>
        <v>1121.5</v>
      </c>
      <c r="D4320" s="1">
        <f>IFERROR(__xludf.DUMMYFUNCTION("""COMPUTED_VALUE"""),1101.6)</f>
        <v>1101.6</v>
      </c>
      <c r="E4320" s="1">
        <f>IFERROR(__xludf.DUMMYFUNCTION("""COMPUTED_VALUE"""),1104.0)</f>
        <v>1104</v>
      </c>
      <c r="F4320" s="1">
        <f>IFERROR(__xludf.DUMMYFUNCTION("""COMPUTED_VALUE"""),1051935.0)</f>
        <v>1051935</v>
      </c>
    </row>
    <row r="4321">
      <c r="A4321" s="2">
        <f>IFERROR(__xludf.DUMMYFUNCTION("""COMPUTED_VALUE"""),42902.64583333333)</f>
        <v>42902.64583</v>
      </c>
      <c r="B4321" s="1">
        <f>IFERROR(__xludf.DUMMYFUNCTION("""COMPUTED_VALUE"""),1104.0)</f>
        <v>1104</v>
      </c>
      <c r="C4321" s="1">
        <f>IFERROR(__xludf.DUMMYFUNCTION("""COMPUTED_VALUE"""),1110.85)</f>
        <v>1110.85</v>
      </c>
      <c r="D4321" s="1">
        <f>IFERROR(__xludf.DUMMYFUNCTION("""COMPUTED_VALUE"""),1088.45)</f>
        <v>1088.45</v>
      </c>
      <c r="E4321" s="1">
        <f>IFERROR(__xludf.DUMMYFUNCTION("""COMPUTED_VALUE"""),1091.8)</f>
        <v>1091.8</v>
      </c>
      <c r="F4321" s="1">
        <f>IFERROR(__xludf.DUMMYFUNCTION("""COMPUTED_VALUE"""),1550451.0)</f>
        <v>1550451</v>
      </c>
    </row>
    <row r="4322">
      <c r="A4322" s="2">
        <f>IFERROR(__xludf.DUMMYFUNCTION("""COMPUTED_VALUE"""),42905.64583333333)</f>
        <v>42905.64583</v>
      </c>
      <c r="B4322" s="1">
        <f>IFERROR(__xludf.DUMMYFUNCTION("""COMPUTED_VALUE"""),1094.4)</f>
        <v>1094.4</v>
      </c>
      <c r="C4322" s="1">
        <f>IFERROR(__xludf.DUMMYFUNCTION("""COMPUTED_VALUE"""),1101.0)</f>
        <v>1101</v>
      </c>
      <c r="D4322" s="1">
        <f>IFERROR(__xludf.DUMMYFUNCTION("""COMPUTED_VALUE"""),1090.3)</f>
        <v>1090.3</v>
      </c>
      <c r="E4322" s="1">
        <f>IFERROR(__xludf.DUMMYFUNCTION("""COMPUTED_VALUE"""),1095.65)</f>
        <v>1095.65</v>
      </c>
      <c r="F4322" s="1">
        <f>IFERROR(__xludf.DUMMYFUNCTION("""COMPUTED_VALUE"""),859068.0)</f>
        <v>859068</v>
      </c>
    </row>
    <row r="4323">
      <c r="A4323" s="2">
        <f>IFERROR(__xludf.DUMMYFUNCTION("""COMPUTED_VALUE"""),42906.64583333333)</f>
        <v>42906.64583</v>
      </c>
      <c r="B4323" s="1">
        <f>IFERROR(__xludf.DUMMYFUNCTION("""COMPUTED_VALUE"""),1098.85)</f>
        <v>1098.85</v>
      </c>
      <c r="C4323" s="1">
        <f>IFERROR(__xludf.DUMMYFUNCTION("""COMPUTED_VALUE"""),1101.0)</f>
        <v>1101</v>
      </c>
      <c r="D4323" s="1">
        <f>IFERROR(__xludf.DUMMYFUNCTION("""COMPUTED_VALUE"""),1091.1)</f>
        <v>1091.1</v>
      </c>
      <c r="E4323" s="1">
        <f>IFERROR(__xludf.DUMMYFUNCTION("""COMPUTED_VALUE"""),1093.05)</f>
        <v>1093.05</v>
      </c>
      <c r="F4323" s="1">
        <f>IFERROR(__xludf.DUMMYFUNCTION("""COMPUTED_VALUE"""),1272735.0)</f>
        <v>1272735</v>
      </c>
    </row>
    <row r="4324">
      <c r="A4324" s="2">
        <f>IFERROR(__xludf.DUMMYFUNCTION("""COMPUTED_VALUE"""),42907.64583333333)</f>
        <v>42907.64583</v>
      </c>
      <c r="B4324" s="1">
        <f>IFERROR(__xludf.DUMMYFUNCTION("""COMPUTED_VALUE"""),1094.25)</f>
        <v>1094.25</v>
      </c>
      <c r="C4324" s="1">
        <f>IFERROR(__xludf.DUMMYFUNCTION("""COMPUTED_VALUE"""),1129.0)</f>
        <v>1129</v>
      </c>
      <c r="D4324" s="1">
        <f>IFERROR(__xludf.DUMMYFUNCTION("""COMPUTED_VALUE"""),1093.95)</f>
        <v>1093.95</v>
      </c>
      <c r="E4324" s="1">
        <f>IFERROR(__xludf.DUMMYFUNCTION("""COMPUTED_VALUE"""),1123.45)</f>
        <v>1123.45</v>
      </c>
      <c r="F4324" s="1">
        <f>IFERROR(__xludf.DUMMYFUNCTION("""COMPUTED_VALUE"""),1411671.0)</f>
        <v>1411671</v>
      </c>
    </row>
    <row r="4325">
      <c r="A4325" s="2">
        <f>IFERROR(__xludf.DUMMYFUNCTION("""COMPUTED_VALUE"""),42908.64583333333)</f>
        <v>42908.64583</v>
      </c>
      <c r="B4325" s="1">
        <f>IFERROR(__xludf.DUMMYFUNCTION("""COMPUTED_VALUE"""),1117.0)</f>
        <v>1117</v>
      </c>
      <c r="C4325" s="1">
        <f>IFERROR(__xludf.DUMMYFUNCTION("""COMPUTED_VALUE"""),1117.4)</f>
        <v>1117.4</v>
      </c>
      <c r="D4325" s="1">
        <f>IFERROR(__xludf.DUMMYFUNCTION("""COMPUTED_VALUE"""),1092.05)</f>
        <v>1092.05</v>
      </c>
      <c r="E4325" s="1">
        <f>IFERROR(__xludf.DUMMYFUNCTION("""COMPUTED_VALUE"""),1094.05)</f>
        <v>1094.05</v>
      </c>
      <c r="F4325" s="1">
        <f>IFERROR(__xludf.DUMMYFUNCTION("""COMPUTED_VALUE"""),1000211.0)</f>
        <v>1000211</v>
      </c>
    </row>
    <row r="4326">
      <c r="A4326" s="2">
        <f>IFERROR(__xludf.DUMMYFUNCTION("""COMPUTED_VALUE"""),42909.64583333333)</f>
        <v>42909.64583</v>
      </c>
      <c r="B4326" s="1">
        <f>IFERROR(__xludf.DUMMYFUNCTION("""COMPUTED_VALUE"""),1093.9)</f>
        <v>1093.9</v>
      </c>
      <c r="C4326" s="1">
        <f>IFERROR(__xludf.DUMMYFUNCTION("""COMPUTED_VALUE"""),1102.75)</f>
        <v>1102.75</v>
      </c>
      <c r="D4326" s="1">
        <f>IFERROR(__xludf.DUMMYFUNCTION("""COMPUTED_VALUE"""),1075.0)</f>
        <v>1075</v>
      </c>
      <c r="E4326" s="1">
        <f>IFERROR(__xludf.DUMMYFUNCTION("""COMPUTED_VALUE"""),1097.9)</f>
        <v>1097.9</v>
      </c>
      <c r="F4326" s="1">
        <f>IFERROR(__xludf.DUMMYFUNCTION("""COMPUTED_VALUE"""),1600881.0)</f>
        <v>1600881</v>
      </c>
    </row>
    <row r="4327">
      <c r="A4327" s="2">
        <f>IFERROR(__xludf.DUMMYFUNCTION("""COMPUTED_VALUE"""),42913.64583333333)</f>
        <v>42913.64583</v>
      </c>
      <c r="B4327" s="1">
        <f>IFERROR(__xludf.DUMMYFUNCTION("""COMPUTED_VALUE"""),1096.5)</f>
        <v>1096.5</v>
      </c>
      <c r="C4327" s="1">
        <f>IFERROR(__xludf.DUMMYFUNCTION("""COMPUTED_VALUE"""),1114.95)</f>
        <v>1114.95</v>
      </c>
      <c r="D4327" s="1">
        <f>IFERROR(__xludf.DUMMYFUNCTION("""COMPUTED_VALUE"""),1087.0)</f>
        <v>1087</v>
      </c>
      <c r="E4327" s="1">
        <f>IFERROR(__xludf.DUMMYFUNCTION("""COMPUTED_VALUE"""),1092.1)</f>
        <v>1092.1</v>
      </c>
      <c r="F4327" s="1">
        <f>IFERROR(__xludf.DUMMYFUNCTION("""COMPUTED_VALUE"""),1809437.0)</f>
        <v>1809437</v>
      </c>
    </row>
    <row r="4328">
      <c r="A4328" s="2">
        <f>IFERROR(__xludf.DUMMYFUNCTION("""COMPUTED_VALUE"""),42914.64583333333)</f>
        <v>42914.64583</v>
      </c>
      <c r="B4328" s="1">
        <f>IFERROR(__xludf.DUMMYFUNCTION("""COMPUTED_VALUE"""),1095.0)</f>
        <v>1095</v>
      </c>
      <c r="C4328" s="1">
        <f>IFERROR(__xludf.DUMMYFUNCTION("""COMPUTED_VALUE"""),1104.95)</f>
        <v>1104.95</v>
      </c>
      <c r="D4328" s="1">
        <f>IFERROR(__xludf.DUMMYFUNCTION("""COMPUTED_VALUE"""),1084.25)</f>
        <v>1084.25</v>
      </c>
      <c r="E4328" s="1">
        <f>IFERROR(__xludf.DUMMYFUNCTION("""COMPUTED_VALUE"""),1090.0)</f>
        <v>1090</v>
      </c>
      <c r="F4328" s="1">
        <f>IFERROR(__xludf.DUMMYFUNCTION("""COMPUTED_VALUE"""),1084236.0)</f>
        <v>1084236</v>
      </c>
    </row>
    <row r="4329">
      <c r="A4329" s="2">
        <f>IFERROR(__xludf.DUMMYFUNCTION("""COMPUTED_VALUE"""),42915.64583333333)</f>
        <v>42915.64583</v>
      </c>
      <c r="B4329" s="1">
        <f>IFERROR(__xludf.DUMMYFUNCTION("""COMPUTED_VALUE"""),1094.65)</f>
        <v>1094.65</v>
      </c>
      <c r="C4329" s="1">
        <f>IFERROR(__xludf.DUMMYFUNCTION("""COMPUTED_VALUE"""),1094.65)</f>
        <v>1094.65</v>
      </c>
      <c r="D4329" s="1">
        <f>IFERROR(__xludf.DUMMYFUNCTION("""COMPUTED_VALUE"""),1084.25)</f>
        <v>1084.25</v>
      </c>
      <c r="E4329" s="1">
        <f>IFERROR(__xludf.DUMMYFUNCTION("""COMPUTED_VALUE"""),1088.1)</f>
        <v>1088.1</v>
      </c>
      <c r="F4329" s="1">
        <f>IFERROR(__xludf.DUMMYFUNCTION("""COMPUTED_VALUE"""),1771369.0)</f>
        <v>1771369</v>
      </c>
    </row>
    <row r="4330">
      <c r="A4330" s="2">
        <f>IFERROR(__xludf.DUMMYFUNCTION("""COMPUTED_VALUE"""),42916.64583333333)</f>
        <v>42916.64583</v>
      </c>
      <c r="B4330" s="1">
        <f>IFERROR(__xludf.DUMMYFUNCTION("""COMPUTED_VALUE"""),1085.0)</f>
        <v>1085</v>
      </c>
      <c r="C4330" s="1">
        <f>IFERROR(__xludf.DUMMYFUNCTION("""COMPUTED_VALUE"""),1092.7)</f>
        <v>1092.7</v>
      </c>
      <c r="D4330" s="1">
        <f>IFERROR(__xludf.DUMMYFUNCTION("""COMPUTED_VALUE"""),1064.0)</f>
        <v>1064</v>
      </c>
      <c r="E4330" s="1">
        <f>IFERROR(__xludf.DUMMYFUNCTION("""COMPUTED_VALUE"""),1079.6)</f>
        <v>1079.6</v>
      </c>
      <c r="F4330" s="1">
        <f>IFERROR(__xludf.DUMMYFUNCTION("""COMPUTED_VALUE"""),1501780.0)</f>
        <v>1501780</v>
      </c>
    </row>
    <row r="4331">
      <c r="A4331" s="2">
        <f>IFERROR(__xludf.DUMMYFUNCTION("""COMPUTED_VALUE"""),42919.64583333333)</f>
        <v>42919.64583</v>
      </c>
      <c r="B4331" s="1">
        <f>IFERROR(__xludf.DUMMYFUNCTION("""COMPUTED_VALUE"""),1093.0)</f>
        <v>1093</v>
      </c>
      <c r="C4331" s="1">
        <f>IFERROR(__xludf.DUMMYFUNCTION("""COMPUTED_VALUE"""),1100.1)</f>
        <v>1100.1</v>
      </c>
      <c r="D4331" s="1">
        <f>IFERROR(__xludf.DUMMYFUNCTION("""COMPUTED_VALUE"""),1081.1)</f>
        <v>1081.1</v>
      </c>
      <c r="E4331" s="1">
        <f>IFERROR(__xludf.DUMMYFUNCTION("""COMPUTED_VALUE"""),1097.75)</f>
        <v>1097.75</v>
      </c>
      <c r="F4331" s="1">
        <f>IFERROR(__xludf.DUMMYFUNCTION("""COMPUTED_VALUE"""),823810.0)</f>
        <v>823810</v>
      </c>
    </row>
    <row r="4332">
      <c r="A4332" s="2">
        <f>IFERROR(__xludf.DUMMYFUNCTION("""COMPUTED_VALUE"""),42920.64583333333)</f>
        <v>42920.64583</v>
      </c>
      <c r="B4332" s="1">
        <f>IFERROR(__xludf.DUMMYFUNCTION("""COMPUTED_VALUE"""),1104.4)</f>
        <v>1104.4</v>
      </c>
      <c r="C4332" s="1">
        <f>IFERROR(__xludf.DUMMYFUNCTION("""COMPUTED_VALUE"""),1112.0)</f>
        <v>1112</v>
      </c>
      <c r="D4332" s="1">
        <f>IFERROR(__xludf.DUMMYFUNCTION("""COMPUTED_VALUE"""),1083.85)</f>
        <v>1083.85</v>
      </c>
      <c r="E4332" s="1">
        <f>IFERROR(__xludf.DUMMYFUNCTION("""COMPUTED_VALUE"""),1088.1)</f>
        <v>1088.1</v>
      </c>
      <c r="F4332" s="1">
        <f>IFERROR(__xludf.DUMMYFUNCTION("""COMPUTED_VALUE"""),938993.0)</f>
        <v>938993</v>
      </c>
    </row>
    <row r="4333">
      <c r="A4333" s="2">
        <f>IFERROR(__xludf.DUMMYFUNCTION("""COMPUTED_VALUE"""),42921.64583333333)</f>
        <v>42921.64583</v>
      </c>
      <c r="B4333" s="1">
        <f>IFERROR(__xludf.DUMMYFUNCTION("""COMPUTED_VALUE"""),1087.0)</f>
        <v>1087</v>
      </c>
      <c r="C4333" s="1">
        <f>IFERROR(__xludf.DUMMYFUNCTION("""COMPUTED_VALUE"""),1098.0)</f>
        <v>1098</v>
      </c>
      <c r="D4333" s="1">
        <f>IFERROR(__xludf.DUMMYFUNCTION("""COMPUTED_VALUE"""),1082.05)</f>
        <v>1082.05</v>
      </c>
      <c r="E4333" s="1">
        <f>IFERROR(__xludf.DUMMYFUNCTION("""COMPUTED_VALUE"""),1096.7)</f>
        <v>1096.7</v>
      </c>
      <c r="F4333" s="1">
        <f>IFERROR(__xludf.DUMMYFUNCTION("""COMPUTED_VALUE"""),364842.0)</f>
        <v>364842</v>
      </c>
    </row>
    <row r="4334">
      <c r="A4334" s="2">
        <f>IFERROR(__xludf.DUMMYFUNCTION("""COMPUTED_VALUE"""),42922.64583333333)</f>
        <v>42922.64583</v>
      </c>
      <c r="B4334" s="1">
        <f>IFERROR(__xludf.DUMMYFUNCTION("""COMPUTED_VALUE"""),1096.7)</f>
        <v>1096.7</v>
      </c>
      <c r="C4334" s="1">
        <f>IFERROR(__xludf.DUMMYFUNCTION("""COMPUTED_VALUE"""),1096.7)</f>
        <v>1096.7</v>
      </c>
      <c r="D4334" s="1">
        <f>IFERROR(__xludf.DUMMYFUNCTION("""COMPUTED_VALUE"""),1086.4)</f>
        <v>1086.4</v>
      </c>
      <c r="E4334" s="1">
        <f>IFERROR(__xludf.DUMMYFUNCTION("""COMPUTED_VALUE"""),1092.5)</f>
        <v>1092.5</v>
      </c>
      <c r="F4334" s="1">
        <f>IFERROR(__xludf.DUMMYFUNCTION("""COMPUTED_VALUE"""),653440.0)</f>
        <v>653440</v>
      </c>
    </row>
    <row r="4335">
      <c r="A4335" s="2">
        <f>IFERROR(__xludf.DUMMYFUNCTION("""COMPUTED_VALUE"""),42923.64583333333)</f>
        <v>42923.64583</v>
      </c>
      <c r="B4335" s="1">
        <f>IFERROR(__xludf.DUMMYFUNCTION("""COMPUTED_VALUE"""),1091.0)</f>
        <v>1091</v>
      </c>
      <c r="C4335" s="1">
        <f>IFERROR(__xludf.DUMMYFUNCTION("""COMPUTED_VALUE"""),1109.9)</f>
        <v>1109.9</v>
      </c>
      <c r="D4335" s="1">
        <f>IFERROR(__xludf.DUMMYFUNCTION("""COMPUTED_VALUE"""),1089.8)</f>
        <v>1089.8</v>
      </c>
      <c r="E4335" s="1">
        <f>IFERROR(__xludf.DUMMYFUNCTION("""COMPUTED_VALUE"""),1097.7)</f>
        <v>1097.7</v>
      </c>
      <c r="F4335" s="1">
        <f>IFERROR(__xludf.DUMMYFUNCTION("""COMPUTED_VALUE"""),780216.0)</f>
        <v>780216</v>
      </c>
    </row>
    <row r="4336">
      <c r="A4336" s="2">
        <f>IFERROR(__xludf.DUMMYFUNCTION("""COMPUTED_VALUE"""),42926.64583333333)</f>
        <v>42926.64583</v>
      </c>
      <c r="B4336" s="1">
        <f>IFERROR(__xludf.DUMMYFUNCTION("""COMPUTED_VALUE"""),1102.5)</f>
        <v>1102.5</v>
      </c>
      <c r="C4336" s="1">
        <f>IFERROR(__xludf.DUMMYFUNCTION("""COMPUTED_VALUE"""),1104.95)</f>
        <v>1104.95</v>
      </c>
      <c r="D4336" s="1">
        <f>IFERROR(__xludf.DUMMYFUNCTION("""COMPUTED_VALUE"""),1090.0)</f>
        <v>1090</v>
      </c>
      <c r="E4336" s="1">
        <f>IFERROR(__xludf.DUMMYFUNCTION("""COMPUTED_VALUE"""),1096.25)</f>
        <v>1096.25</v>
      </c>
      <c r="F4336" s="1">
        <f>IFERROR(__xludf.DUMMYFUNCTION("""COMPUTED_VALUE"""),123910.0)</f>
        <v>123910</v>
      </c>
    </row>
    <row r="4337">
      <c r="A4337" s="2">
        <f>IFERROR(__xludf.DUMMYFUNCTION("""COMPUTED_VALUE"""),42927.64583333333)</f>
        <v>42927.64583</v>
      </c>
      <c r="B4337" s="1">
        <f>IFERROR(__xludf.DUMMYFUNCTION("""COMPUTED_VALUE"""),1102.0)</f>
        <v>1102</v>
      </c>
      <c r="C4337" s="1">
        <f>IFERROR(__xludf.DUMMYFUNCTION("""COMPUTED_VALUE"""),1112.95)</f>
        <v>1112.95</v>
      </c>
      <c r="D4337" s="1">
        <f>IFERROR(__xludf.DUMMYFUNCTION("""COMPUTED_VALUE"""),1097.0)</f>
        <v>1097</v>
      </c>
      <c r="E4337" s="1">
        <f>IFERROR(__xludf.DUMMYFUNCTION("""COMPUTED_VALUE"""),1106.45)</f>
        <v>1106.45</v>
      </c>
      <c r="F4337" s="1">
        <f>IFERROR(__xludf.DUMMYFUNCTION("""COMPUTED_VALUE"""),1088867.0)</f>
        <v>1088867</v>
      </c>
    </row>
    <row r="4338">
      <c r="A4338" s="2">
        <f>IFERROR(__xludf.DUMMYFUNCTION("""COMPUTED_VALUE"""),42928.64583333333)</f>
        <v>42928.64583</v>
      </c>
      <c r="B4338" s="1">
        <f>IFERROR(__xludf.DUMMYFUNCTION("""COMPUTED_VALUE"""),1110.0)</f>
        <v>1110</v>
      </c>
      <c r="C4338" s="1">
        <f>IFERROR(__xludf.DUMMYFUNCTION("""COMPUTED_VALUE"""),1138.4)</f>
        <v>1138.4</v>
      </c>
      <c r="D4338" s="1">
        <f>IFERROR(__xludf.DUMMYFUNCTION("""COMPUTED_VALUE"""),1105.0)</f>
        <v>1105</v>
      </c>
      <c r="E4338" s="1">
        <f>IFERROR(__xludf.DUMMYFUNCTION("""COMPUTED_VALUE"""),1131.65)</f>
        <v>1131.65</v>
      </c>
      <c r="F4338" s="1">
        <f>IFERROR(__xludf.DUMMYFUNCTION("""COMPUTED_VALUE"""),1749266.0)</f>
        <v>1749266</v>
      </c>
    </row>
    <row r="4339">
      <c r="A4339" s="2">
        <f>IFERROR(__xludf.DUMMYFUNCTION("""COMPUTED_VALUE"""),42929.64583333333)</f>
        <v>42929.64583</v>
      </c>
      <c r="B4339" s="1">
        <f>IFERROR(__xludf.DUMMYFUNCTION("""COMPUTED_VALUE"""),1134.7)</f>
        <v>1134.7</v>
      </c>
      <c r="C4339" s="1">
        <f>IFERROR(__xludf.DUMMYFUNCTION("""COMPUTED_VALUE"""),1139.9)</f>
        <v>1139.9</v>
      </c>
      <c r="D4339" s="1">
        <f>IFERROR(__xludf.DUMMYFUNCTION("""COMPUTED_VALUE"""),1131.0)</f>
        <v>1131</v>
      </c>
      <c r="E4339" s="1">
        <f>IFERROR(__xludf.DUMMYFUNCTION("""COMPUTED_VALUE"""),1134.7)</f>
        <v>1134.7</v>
      </c>
      <c r="F4339" s="1">
        <f>IFERROR(__xludf.DUMMYFUNCTION("""COMPUTED_VALUE"""),1390586.0)</f>
        <v>1390586</v>
      </c>
    </row>
    <row r="4340">
      <c r="A4340" s="2">
        <f>IFERROR(__xludf.DUMMYFUNCTION("""COMPUTED_VALUE"""),42930.64583333333)</f>
        <v>42930.64583</v>
      </c>
      <c r="B4340" s="1">
        <f>IFERROR(__xludf.DUMMYFUNCTION("""COMPUTED_VALUE"""),1135.0)</f>
        <v>1135</v>
      </c>
      <c r="C4340" s="1">
        <f>IFERROR(__xludf.DUMMYFUNCTION("""COMPUTED_VALUE"""),1144.95)</f>
        <v>1144.95</v>
      </c>
      <c r="D4340" s="1">
        <f>IFERROR(__xludf.DUMMYFUNCTION("""COMPUTED_VALUE"""),1125.3)</f>
        <v>1125.3</v>
      </c>
      <c r="E4340" s="1">
        <f>IFERROR(__xludf.DUMMYFUNCTION("""COMPUTED_VALUE"""),1139.3)</f>
        <v>1139.3</v>
      </c>
      <c r="F4340" s="1">
        <f>IFERROR(__xludf.DUMMYFUNCTION("""COMPUTED_VALUE"""),1430776.0)</f>
        <v>1430776</v>
      </c>
    </row>
    <row r="4341">
      <c r="A4341" s="2">
        <f>IFERROR(__xludf.DUMMYFUNCTION("""COMPUTED_VALUE"""),42933.64583333333)</f>
        <v>42933.64583</v>
      </c>
      <c r="B4341" s="1">
        <f>IFERROR(__xludf.DUMMYFUNCTION("""COMPUTED_VALUE"""),1140.0)</f>
        <v>1140</v>
      </c>
      <c r="C4341" s="1">
        <f>IFERROR(__xludf.DUMMYFUNCTION("""COMPUTED_VALUE"""),1156.0)</f>
        <v>1156</v>
      </c>
      <c r="D4341" s="1">
        <f>IFERROR(__xludf.DUMMYFUNCTION("""COMPUTED_VALUE"""),1130.05)</f>
        <v>1130.05</v>
      </c>
      <c r="E4341" s="1">
        <f>IFERROR(__xludf.DUMMYFUNCTION("""COMPUTED_VALUE"""),1152.95)</f>
        <v>1152.95</v>
      </c>
      <c r="F4341" s="1">
        <f>IFERROR(__xludf.DUMMYFUNCTION("""COMPUTED_VALUE"""),1177146.0)</f>
        <v>1177146</v>
      </c>
    </row>
    <row r="4342">
      <c r="A4342" s="2">
        <f>IFERROR(__xludf.DUMMYFUNCTION("""COMPUTED_VALUE"""),42934.64583333333)</f>
        <v>42934.64583</v>
      </c>
      <c r="B4342" s="1">
        <f>IFERROR(__xludf.DUMMYFUNCTION("""COMPUTED_VALUE"""),1153.25)</f>
        <v>1153.25</v>
      </c>
      <c r="C4342" s="1">
        <f>IFERROR(__xludf.DUMMYFUNCTION("""COMPUTED_VALUE"""),1169.8)</f>
        <v>1169.8</v>
      </c>
      <c r="D4342" s="1">
        <f>IFERROR(__xludf.DUMMYFUNCTION("""COMPUTED_VALUE"""),1147.3)</f>
        <v>1147.3</v>
      </c>
      <c r="E4342" s="1">
        <f>IFERROR(__xludf.DUMMYFUNCTION("""COMPUTED_VALUE"""),1157.85)</f>
        <v>1157.85</v>
      </c>
      <c r="F4342" s="1">
        <f>IFERROR(__xludf.DUMMYFUNCTION("""COMPUTED_VALUE"""),3322231.0)</f>
        <v>3322231</v>
      </c>
    </row>
    <row r="4343">
      <c r="A4343" s="2">
        <f>IFERROR(__xludf.DUMMYFUNCTION("""COMPUTED_VALUE"""),42935.64583333333)</f>
        <v>42935.64583</v>
      </c>
      <c r="B4343" s="1">
        <f>IFERROR(__xludf.DUMMYFUNCTION("""COMPUTED_VALUE"""),1190.0)</f>
        <v>1190</v>
      </c>
      <c r="C4343" s="1">
        <f>IFERROR(__xludf.DUMMYFUNCTION("""COMPUTED_VALUE"""),1195.05)</f>
        <v>1195.05</v>
      </c>
      <c r="D4343" s="1">
        <f>IFERROR(__xludf.DUMMYFUNCTION("""COMPUTED_VALUE"""),1135.5)</f>
        <v>1135.5</v>
      </c>
      <c r="E4343" s="1">
        <f>IFERROR(__xludf.DUMMYFUNCTION("""COMPUTED_VALUE"""),1154.35)</f>
        <v>1154.35</v>
      </c>
      <c r="F4343" s="1">
        <f>IFERROR(__xludf.DUMMYFUNCTION("""COMPUTED_VALUE"""),4799441.0)</f>
        <v>4799441</v>
      </c>
    </row>
    <row r="4344">
      <c r="A4344" s="2">
        <f>IFERROR(__xludf.DUMMYFUNCTION("""COMPUTED_VALUE"""),42936.64583333333)</f>
        <v>42936.64583</v>
      </c>
      <c r="B4344" s="1">
        <f>IFERROR(__xludf.DUMMYFUNCTION("""COMPUTED_VALUE"""),1155.45)</f>
        <v>1155.45</v>
      </c>
      <c r="C4344" s="1">
        <f>IFERROR(__xludf.DUMMYFUNCTION("""COMPUTED_VALUE"""),1161.05)</f>
        <v>1161.05</v>
      </c>
      <c r="D4344" s="1">
        <f>IFERROR(__xludf.DUMMYFUNCTION("""COMPUTED_VALUE"""),1145.0)</f>
        <v>1145</v>
      </c>
      <c r="E4344" s="1">
        <f>IFERROR(__xludf.DUMMYFUNCTION("""COMPUTED_VALUE"""),1152.9)</f>
        <v>1152.9</v>
      </c>
      <c r="F4344" s="1">
        <f>IFERROR(__xludf.DUMMYFUNCTION("""COMPUTED_VALUE"""),1295206.0)</f>
        <v>1295206</v>
      </c>
    </row>
    <row r="4345">
      <c r="A4345" s="2">
        <f>IFERROR(__xludf.DUMMYFUNCTION("""COMPUTED_VALUE"""),42937.64583333333)</f>
        <v>42937.64583</v>
      </c>
      <c r="B4345" s="1">
        <f>IFERROR(__xludf.DUMMYFUNCTION("""COMPUTED_VALUE"""),1158.9)</f>
        <v>1158.9</v>
      </c>
      <c r="C4345" s="1">
        <f>IFERROR(__xludf.DUMMYFUNCTION("""COMPUTED_VALUE"""),1164.2)</f>
        <v>1164.2</v>
      </c>
      <c r="D4345" s="1">
        <f>IFERROR(__xludf.DUMMYFUNCTION("""COMPUTED_VALUE"""),1145.0)</f>
        <v>1145</v>
      </c>
      <c r="E4345" s="1">
        <f>IFERROR(__xludf.DUMMYFUNCTION("""COMPUTED_VALUE"""),1158.65)</f>
        <v>1158.65</v>
      </c>
      <c r="F4345" s="1">
        <f>IFERROR(__xludf.DUMMYFUNCTION("""COMPUTED_VALUE"""),1690899.0)</f>
        <v>1690899</v>
      </c>
    </row>
    <row r="4346">
      <c r="A4346" s="2">
        <f>IFERROR(__xludf.DUMMYFUNCTION("""COMPUTED_VALUE"""),42940.64583333333)</f>
        <v>42940.64583</v>
      </c>
      <c r="B4346" s="1">
        <f>IFERROR(__xludf.DUMMYFUNCTION("""COMPUTED_VALUE"""),1162.0)</f>
        <v>1162</v>
      </c>
      <c r="C4346" s="1">
        <f>IFERROR(__xludf.DUMMYFUNCTION("""COMPUTED_VALUE"""),1164.3)</f>
        <v>1164.3</v>
      </c>
      <c r="D4346" s="1">
        <f>IFERROR(__xludf.DUMMYFUNCTION("""COMPUTED_VALUE"""),1154.05)</f>
        <v>1154.05</v>
      </c>
      <c r="E4346" s="1">
        <f>IFERROR(__xludf.DUMMYFUNCTION("""COMPUTED_VALUE"""),1159.35)</f>
        <v>1159.35</v>
      </c>
      <c r="F4346" s="1">
        <f>IFERROR(__xludf.DUMMYFUNCTION("""COMPUTED_VALUE"""),1102676.0)</f>
        <v>1102676</v>
      </c>
    </row>
    <row r="4347">
      <c r="A4347" s="2">
        <f>IFERROR(__xludf.DUMMYFUNCTION("""COMPUTED_VALUE"""),42941.64583333333)</f>
        <v>42941.64583</v>
      </c>
      <c r="B4347" s="1">
        <f>IFERROR(__xludf.DUMMYFUNCTION("""COMPUTED_VALUE"""),1155.55)</f>
        <v>1155.55</v>
      </c>
      <c r="C4347" s="1">
        <f>IFERROR(__xludf.DUMMYFUNCTION("""COMPUTED_VALUE"""),1161.0)</f>
        <v>1161</v>
      </c>
      <c r="D4347" s="1">
        <f>IFERROR(__xludf.DUMMYFUNCTION("""COMPUTED_VALUE"""),1143.0)</f>
        <v>1143</v>
      </c>
      <c r="E4347" s="1">
        <f>IFERROR(__xludf.DUMMYFUNCTION("""COMPUTED_VALUE"""),1149.6)</f>
        <v>1149.6</v>
      </c>
      <c r="F4347" s="1">
        <f>IFERROR(__xludf.DUMMYFUNCTION("""COMPUTED_VALUE"""),1686360.0)</f>
        <v>1686360</v>
      </c>
    </row>
    <row r="4348">
      <c r="A4348" s="2">
        <f>IFERROR(__xludf.DUMMYFUNCTION("""COMPUTED_VALUE"""),42942.64583333333)</f>
        <v>42942.64583</v>
      </c>
      <c r="B4348" s="1">
        <f>IFERROR(__xludf.DUMMYFUNCTION("""COMPUTED_VALUE"""),1154.0)</f>
        <v>1154</v>
      </c>
      <c r="C4348" s="1">
        <f>IFERROR(__xludf.DUMMYFUNCTION("""COMPUTED_VALUE"""),1167.0)</f>
        <v>1167</v>
      </c>
      <c r="D4348" s="1">
        <f>IFERROR(__xludf.DUMMYFUNCTION("""COMPUTED_VALUE"""),1141.35)</f>
        <v>1141.35</v>
      </c>
      <c r="E4348" s="1">
        <f>IFERROR(__xludf.DUMMYFUNCTION("""COMPUTED_VALUE"""),1164.55)</f>
        <v>1164.55</v>
      </c>
      <c r="F4348" s="1">
        <f>IFERROR(__xludf.DUMMYFUNCTION("""COMPUTED_VALUE"""),1563285.0)</f>
        <v>1563285</v>
      </c>
    </row>
    <row r="4349">
      <c r="A4349" s="2">
        <f>IFERROR(__xludf.DUMMYFUNCTION("""COMPUTED_VALUE"""),42943.64583333333)</f>
        <v>42943.64583</v>
      </c>
      <c r="B4349" s="1">
        <f>IFERROR(__xludf.DUMMYFUNCTION("""COMPUTED_VALUE"""),1163.8)</f>
        <v>1163.8</v>
      </c>
      <c r="C4349" s="1">
        <f>IFERROR(__xludf.DUMMYFUNCTION("""COMPUTED_VALUE"""),1192.45)</f>
        <v>1192.45</v>
      </c>
      <c r="D4349" s="1">
        <f>IFERROR(__xludf.DUMMYFUNCTION("""COMPUTED_VALUE"""),1162.15)</f>
        <v>1162.15</v>
      </c>
      <c r="E4349" s="1">
        <f>IFERROR(__xludf.DUMMYFUNCTION("""COMPUTED_VALUE"""),1171.9)</f>
        <v>1171.9</v>
      </c>
      <c r="F4349" s="1">
        <f>IFERROR(__xludf.DUMMYFUNCTION("""COMPUTED_VALUE"""),2090566.0)</f>
        <v>2090566</v>
      </c>
    </row>
    <row r="4350">
      <c r="A4350" s="2">
        <f>IFERROR(__xludf.DUMMYFUNCTION("""COMPUTED_VALUE"""),42944.64583333333)</f>
        <v>42944.64583</v>
      </c>
      <c r="B4350" s="1">
        <f>IFERROR(__xludf.DUMMYFUNCTION("""COMPUTED_VALUE"""),1168.6)</f>
        <v>1168.6</v>
      </c>
      <c r="C4350" s="1">
        <f>IFERROR(__xludf.DUMMYFUNCTION("""COMPUTED_VALUE"""),1168.6)</f>
        <v>1168.6</v>
      </c>
      <c r="D4350" s="1">
        <f>IFERROR(__xludf.DUMMYFUNCTION("""COMPUTED_VALUE"""),1141.6)</f>
        <v>1141.6</v>
      </c>
      <c r="E4350" s="1">
        <f>IFERROR(__xludf.DUMMYFUNCTION("""COMPUTED_VALUE"""),1153.85)</f>
        <v>1153.85</v>
      </c>
      <c r="F4350" s="1">
        <f>IFERROR(__xludf.DUMMYFUNCTION("""COMPUTED_VALUE"""),860381.0)</f>
        <v>860381</v>
      </c>
    </row>
    <row r="4351">
      <c r="A4351" s="2">
        <f>IFERROR(__xludf.DUMMYFUNCTION("""COMPUTED_VALUE"""),42947.64583333333)</f>
        <v>42947.64583</v>
      </c>
      <c r="B4351" s="1">
        <f>IFERROR(__xludf.DUMMYFUNCTION("""COMPUTED_VALUE"""),1159.95)</f>
        <v>1159.95</v>
      </c>
      <c r="C4351" s="1">
        <f>IFERROR(__xludf.DUMMYFUNCTION("""COMPUTED_VALUE"""),1162.6)</f>
        <v>1162.6</v>
      </c>
      <c r="D4351" s="1">
        <f>IFERROR(__xludf.DUMMYFUNCTION("""COMPUTED_VALUE"""),1142.1)</f>
        <v>1142.1</v>
      </c>
      <c r="E4351" s="1">
        <f>IFERROR(__xludf.DUMMYFUNCTION("""COMPUTED_VALUE"""),1155.75)</f>
        <v>1155.75</v>
      </c>
      <c r="F4351" s="1">
        <f>IFERROR(__xludf.DUMMYFUNCTION("""COMPUTED_VALUE"""),955459.0)</f>
        <v>955459</v>
      </c>
    </row>
    <row r="4352">
      <c r="A4352" s="2">
        <f>IFERROR(__xludf.DUMMYFUNCTION("""COMPUTED_VALUE"""),42948.64583333333)</f>
        <v>42948.64583</v>
      </c>
      <c r="B4352" s="1">
        <f>IFERROR(__xludf.DUMMYFUNCTION("""COMPUTED_VALUE"""),1154.0)</f>
        <v>1154</v>
      </c>
      <c r="C4352" s="1">
        <f>IFERROR(__xludf.DUMMYFUNCTION("""COMPUTED_VALUE"""),1176.9)</f>
        <v>1176.9</v>
      </c>
      <c r="D4352" s="1">
        <f>IFERROR(__xludf.DUMMYFUNCTION("""COMPUTED_VALUE"""),1154.0)</f>
        <v>1154</v>
      </c>
      <c r="E4352" s="1">
        <f>IFERROR(__xludf.DUMMYFUNCTION("""COMPUTED_VALUE"""),1173.95)</f>
        <v>1173.95</v>
      </c>
      <c r="F4352" s="1">
        <f>IFERROR(__xludf.DUMMYFUNCTION("""COMPUTED_VALUE"""),1359063.0)</f>
        <v>1359063</v>
      </c>
    </row>
    <row r="4353">
      <c r="A4353" s="2">
        <f>IFERROR(__xludf.DUMMYFUNCTION("""COMPUTED_VALUE"""),42949.64583333333)</f>
        <v>42949.64583</v>
      </c>
      <c r="B4353" s="1">
        <f>IFERROR(__xludf.DUMMYFUNCTION("""COMPUTED_VALUE"""),1174.0)</f>
        <v>1174</v>
      </c>
      <c r="C4353" s="1">
        <f>IFERROR(__xludf.DUMMYFUNCTION("""COMPUTED_VALUE"""),1175.0)</f>
        <v>1175</v>
      </c>
      <c r="D4353" s="1">
        <f>IFERROR(__xludf.DUMMYFUNCTION("""COMPUTED_VALUE"""),1159.7)</f>
        <v>1159.7</v>
      </c>
      <c r="E4353" s="1">
        <f>IFERROR(__xludf.DUMMYFUNCTION("""COMPUTED_VALUE"""),1168.75)</f>
        <v>1168.75</v>
      </c>
      <c r="F4353" s="1">
        <f>IFERROR(__xludf.DUMMYFUNCTION("""COMPUTED_VALUE"""),587711.0)</f>
        <v>587711</v>
      </c>
    </row>
    <row r="4354">
      <c r="A4354" s="2">
        <f>IFERROR(__xludf.DUMMYFUNCTION("""COMPUTED_VALUE"""),42950.64583333333)</f>
        <v>42950.64583</v>
      </c>
      <c r="B4354" s="1">
        <f>IFERROR(__xludf.DUMMYFUNCTION("""COMPUTED_VALUE"""),1165.5)</f>
        <v>1165.5</v>
      </c>
      <c r="C4354" s="1">
        <f>IFERROR(__xludf.DUMMYFUNCTION("""COMPUTED_VALUE"""),1179.6)</f>
        <v>1179.6</v>
      </c>
      <c r="D4354" s="1">
        <f>IFERROR(__xludf.DUMMYFUNCTION("""COMPUTED_VALUE"""),1158.0)</f>
        <v>1158</v>
      </c>
      <c r="E4354" s="1">
        <f>IFERROR(__xludf.DUMMYFUNCTION("""COMPUTED_VALUE"""),1169.9)</f>
        <v>1169.9</v>
      </c>
      <c r="F4354" s="1">
        <f>IFERROR(__xludf.DUMMYFUNCTION("""COMPUTED_VALUE"""),597333.0)</f>
        <v>597333</v>
      </c>
    </row>
    <row r="4355">
      <c r="A4355" s="2">
        <f>IFERROR(__xludf.DUMMYFUNCTION("""COMPUTED_VALUE"""),42951.64583333333)</f>
        <v>42951.64583</v>
      </c>
      <c r="B4355" s="1">
        <f>IFERROR(__xludf.DUMMYFUNCTION("""COMPUTED_VALUE"""),1162.0)</f>
        <v>1162</v>
      </c>
      <c r="C4355" s="1">
        <f>IFERROR(__xludf.DUMMYFUNCTION("""COMPUTED_VALUE"""),1196.3)</f>
        <v>1196.3</v>
      </c>
      <c r="D4355" s="1">
        <f>IFERROR(__xludf.DUMMYFUNCTION("""COMPUTED_VALUE"""),1162.0)</f>
        <v>1162</v>
      </c>
      <c r="E4355" s="1">
        <f>IFERROR(__xludf.DUMMYFUNCTION("""COMPUTED_VALUE"""),1192.1)</f>
        <v>1192.1</v>
      </c>
      <c r="F4355" s="1">
        <f>IFERROR(__xludf.DUMMYFUNCTION("""COMPUTED_VALUE"""),1116836.0)</f>
        <v>1116836</v>
      </c>
    </row>
    <row r="4356">
      <c r="A4356" s="2">
        <f>IFERROR(__xludf.DUMMYFUNCTION("""COMPUTED_VALUE"""),42954.64583333333)</f>
        <v>42954.64583</v>
      </c>
      <c r="B4356" s="1">
        <f>IFERROR(__xludf.DUMMYFUNCTION("""COMPUTED_VALUE"""),1173.0)</f>
        <v>1173</v>
      </c>
      <c r="C4356" s="1">
        <f>IFERROR(__xludf.DUMMYFUNCTION("""COMPUTED_VALUE"""),1193.1)</f>
        <v>1193.1</v>
      </c>
      <c r="D4356" s="1">
        <f>IFERROR(__xludf.DUMMYFUNCTION("""COMPUTED_VALUE"""),1171.35)</f>
        <v>1171.35</v>
      </c>
      <c r="E4356" s="1">
        <f>IFERROR(__xludf.DUMMYFUNCTION("""COMPUTED_VALUE"""),1186.3)</f>
        <v>1186.3</v>
      </c>
      <c r="F4356" s="1">
        <f>IFERROR(__xludf.DUMMYFUNCTION("""COMPUTED_VALUE"""),868190.0)</f>
        <v>868190</v>
      </c>
    </row>
    <row r="4357">
      <c r="A4357" s="2">
        <f>IFERROR(__xludf.DUMMYFUNCTION("""COMPUTED_VALUE"""),42955.64583333333)</f>
        <v>42955.64583</v>
      </c>
      <c r="B4357" s="1">
        <f>IFERROR(__xludf.DUMMYFUNCTION("""COMPUTED_VALUE"""),1181.7)</f>
        <v>1181.7</v>
      </c>
      <c r="C4357" s="1">
        <f>IFERROR(__xludf.DUMMYFUNCTION("""COMPUTED_VALUE"""),1209.0)</f>
        <v>1209</v>
      </c>
      <c r="D4357" s="1">
        <f>IFERROR(__xludf.DUMMYFUNCTION("""COMPUTED_VALUE"""),1181.0)</f>
        <v>1181</v>
      </c>
      <c r="E4357" s="1">
        <f>IFERROR(__xludf.DUMMYFUNCTION("""COMPUTED_VALUE"""),1191.0)</f>
        <v>1191</v>
      </c>
      <c r="F4357" s="1">
        <f>IFERROR(__xludf.DUMMYFUNCTION("""COMPUTED_VALUE"""),1329938.0)</f>
        <v>1329938</v>
      </c>
    </row>
    <row r="4358">
      <c r="A4358" s="2">
        <f>IFERROR(__xludf.DUMMYFUNCTION("""COMPUTED_VALUE"""),42956.64583333333)</f>
        <v>42956.64583</v>
      </c>
      <c r="B4358" s="1">
        <f>IFERROR(__xludf.DUMMYFUNCTION("""COMPUTED_VALUE"""),1189.5)</f>
        <v>1189.5</v>
      </c>
      <c r="C4358" s="1">
        <f>IFERROR(__xludf.DUMMYFUNCTION("""COMPUTED_VALUE"""),1195.5)</f>
        <v>1195.5</v>
      </c>
      <c r="D4358" s="1">
        <f>IFERROR(__xludf.DUMMYFUNCTION("""COMPUTED_VALUE"""),1176.35)</f>
        <v>1176.35</v>
      </c>
      <c r="E4358" s="1">
        <f>IFERROR(__xludf.DUMMYFUNCTION("""COMPUTED_VALUE"""),1185.35)</f>
        <v>1185.35</v>
      </c>
      <c r="F4358" s="1">
        <f>IFERROR(__xludf.DUMMYFUNCTION("""COMPUTED_VALUE"""),833002.0)</f>
        <v>833002</v>
      </c>
    </row>
    <row r="4359">
      <c r="A4359" s="2">
        <f>IFERROR(__xludf.DUMMYFUNCTION("""COMPUTED_VALUE"""),42957.64583333333)</f>
        <v>42957.64583</v>
      </c>
      <c r="B4359" s="1">
        <f>IFERROR(__xludf.DUMMYFUNCTION("""COMPUTED_VALUE"""),1174.85)</f>
        <v>1174.85</v>
      </c>
      <c r="C4359" s="1">
        <f>IFERROR(__xludf.DUMMYFUNCTION("""COMPUTED_VALUE"""),1183.6)</f>
        <v>1183.6</v>
      </c>
      <c r="D4359" s="1">
        <f>IFERROR(__xludf.DUMMYFUNCTION("""COMPUTED_VALUE"""),1166.2)</f>
        <v>1166.2</v>
      </c>
      <c r="E4359" s="1">
        <f>IFERROR(__xludf.DUMMYFUNCTION("""COMPUTED_VALUE"""),1170.7)</f>
        <v>1170.7</v>
      </c>
      <c r="F4359" s="1">
        <f>IFERROR(__xludf.DUMMYFUNCTION("""COMPUTED_VALUE"""),699787.0)</f>
        <v>699787</v>
      </c>
    </row>
    <row r="4360">
      <c r="A4360" s="2">
        <f>IFERROR(__xludf.DUMMYFUNCTION("""COMPUTED_VALUE"""),42958.64583333333)</f>
        <v>42958.64583</v>
      </c>
      <c r="B4360" s="1">
        <f>IFERROR(__xludf.DUMMYFUNCTION("""COMPUTED_VALUE"""),1160.05)</f>
        <v>1160.05</v>
      </c>
      <c r="C4360" s="1">
        <f>IFERROR(__xludf.DUMMYFUNCTION("""COMPUTED_VALUE"""),1174.8)</f>
        <v>1174.8</v>
      </c>
      <c r="D4360" s="1">
        <f>IFERROR(__xludf.DUMMYFUNCTION("""COMPUTED_VALUE"""),1143.55)</f>
        <v>1143.55</v>
      </c>
      <c r="E4360" s="1">
        <f>IFERROR(__xludf.DUMMYFUNCTION("""COMPUTED_VALUE"""),1152.8)</f>
        <v>1152.8</v>
      </c>
      <c r="F4360" s="1">
        <f>IFERROR(__xludf.DUMMYFUNCTION("""COMPUTED_VALUE"""),861457.0)</f>
        <v>861457</v>
      </c>
    </row>
    <row r="4361">
      <c r="A4361" s="2">
        <f>IFERROR(__xludf.DUMMYFUNCTION("""COMPUTED_VALUE"""),42961.64583333333)</f>
        <v>42961.64583</v>
      </c>
      <c r="B4361" s="1">
        <f>IFERROR(__xludf.DUMMYFUNCTION("""COMPUTED_VALUE"""),1154.5)</f>
        <v>1154.5</v>
      </c>
      <c r="C4361" s="1">
        <f>IFERROR(__xludf.DUMMYFUNCTION("""COMPUTED_VALUE"""),1169.9)</f>
        <v>1169.9</v>
      </c>
      <c r="D4361" s="1">
        <f>IFERROR(__xludf.DUMMYFUNCTION("""COMPUTED_VALUE"""),1147.2)</f>
        <v>1147.2</v>
      </c>
      <c r="E4361" s="1">
        <f>IFERROR(__xludf.DUMMYFUNCTION("""COMPUTED_VALUE"""),1155.7)</f>
        <v>1155.7</v>
      </c>
      <c r="F4361" s="1">
        <f>IFERROR(__xludf.DUMMYFUNCTION("""COMPUTED_VALUE"""),526828.0)</f>
        <v>526828</v>
      </c>
    </row>
    <row r="4362">
      <c r="A4362" s="2">
        <f>IFERROR(__xludf.DUMMYFUNCTION("""COMPUTED_VALUE"""),42963.64583333333)</f>
        <v>42963.64583</v>
      </c>
      <c r="B4362" s="1">
        <f>IFERROR(__xludf.DUMMYFUNCTION("""COMPUTED_VALUE"""),1151.0)</f>
        <v>1151</v>
      </c>
      <c r="C4362" s="1">
        <f>IFERROR(__xludf.DUMMYFUNCTION("""COMPUTED_VALUE"""),1190.6)</f>
        <v>1190.6</v>
      </c>
      <c r="D4362" s="1">
        <f>IFERROR(__xludf.DUMMYFUNCTION("""COMPUTED_VALUE"""),1151.0)</f>
        <v>1151</v>
      </c>
      <c r="E4362" s="1">
        <f>IFERROR(__xludf.DUMMYFUNCTION("""COMPUTED_VALUE"""),1186.35)</f>
        <v>1186.35</v>
      </c>
      <c r="F4362" s="1">
        <f>IFERROR(__xludf.DUMMYFUNCTION("""COMPUTED_VALUE"""),1366648.0)</f>
        <v>1366648</v>
      </c>
    </row>
    <row r="4363">
      <c r="A4363" s="2">
        <f>IFERROR(__xludf.DUMMYFUNCTION("""COMPUTED_VALUE"""),42964.64583333333)</f>
        <v>42964.64583</v>
      </c>
      <c r="B4363" s="1">
        <f>IFERROR(__xludf.DUMMYFUNCTION("""COMPUTED_VALUE"""),1185.0)</f>
        <v>1185</v>
      </c>
      <c r="C4363" s="1">
        <f>IFERROR(__xludf.DUMMYFUNCTION("""COMPUTED_VALUE"""),1185.0)</f>
        <v>1185</v>
      </c>
      <c r="D4363" s="1">
        <f>IFERROR(__xludf.DUMMYFUNCTION("""COMPUTED_VALUE"""),1165.0)</f>
        <v>1165</v>
      </c>
      <c r="E4363" s="1">
        <f>IFERROR(__xludf.DUMMYFUNCTION("""COMPUTED_VALUE"""),1177.3)</f>
        <v>1177.3</v>
      </c>
      <c r="F4363" s="1">
        <f>IFERROR(__xludf.DUMMYFUNCTION("""COMPUTED_VALUE"""),961319.0)</f>
        <v>961319</v>
      </c>
    </row>
    <row r="4364">
      <c r="A4364" s="2">
        <f>IFERROR(__xludf.DUMMYFUNCTION("""COMPUTED_VALUE"""),42965.64583333333)</f>
        <v>42965.64583</v>
      </c>
      <c r="B4364" s="1">
        <f>IFERROR(__xludf.DUMMYFUNCTION("""COMPUTED_VALUE"""),1170.0)</f>
        <v>1170</v>
      </c>
      <c r="C4364" s="1">
        <f>IFERROR(__xludf.DUMMYFUNCTION("""COMPUTED_VALUE"""),1206.3)</f>
        <v>1206.3</v>
      </c>
      <c r="D4364" s="1">
        <f>IFERROR(__xludf.DUMMYFUNCTION("""COMPUTED_VALUE"""),1169.45)</f>
        <v>1169.45</v>
      </c>
      <c r="E4364" s="1">
        <f>IFERROR(__xludf.DUMMYFUNCTION("""COMPUTED_VALUE"""),1202.2)</f>
        <v>1202.2</v>
      </c>
      <c r="F4364" s="1">
        <f>IFERROR(__xludf.DUMMYFUNCTION("""COMPUTED_VALUE"""),1407292.0)</f>
        <v>1407292</v>
      </c>
    </row>
    <row r="4365">
      <c r="A4365" s="2">
        <f>IFERROR(__xludf.DUMMYFUNCTION("""COMPUTED_VALUE"""),42968.64583333333)</f>
        <v>42968.64583</v>
      </c>
      <c r="B4365" s="1">
        <f>IFERROR(__xludf.DUMMYFUNCTION("""COMPUTED_VALUE"""),1202.3)</f>
        <v>1202.3</v>
      </c>
      <c r="C4365" s="1">
        <f>IFERROR(__xludf.DUMMYFUNCTION("""COMPUTED_VALUE"""),1208.0)</f>
        <v>1208</v>
      </c>
      <c r="D4365" s="1">
        <f>IFERROR(__xludf.DUMMYFUNCTION("""COMPUTED_VALUE"""),1182.35)</f>
        <v>1182.35</v>
      </c>
      <c r="E4365" s="1">
        <f>IFERROR(__xludf.DUMMYFUNCTION("""COMPUTED_VALUE"""),1191.45)</f>
        <v>1191.45</v>
      </c>
      <c r="F4365" s="1">
        <f>IFERROR(__xludf.DUMMYFUNCTION("""COMPUTED_VALUE"""),965962.0)</f>
        <v>965962</v>
      </c>
    </row>
    <row r="4366">
      <c r="A4366" s="2">
        <f>IFERROR(__xludf.DUMMYFUNCTION("""COMPUTED_VALUE"""),42969.64583333333)</f>
        <v>42969.64583</v>
      </c>
      <c r="B4366" s="1">
        <f>IFERROR(__xludf.DUMMYFUNCTION("""COMPUTED_VALUE"""),1206.3)</f>
        <v>1206.3</v>
      </c>
      <c r="C4366" s="1">
        <f>IFERROR(__xludf.DUMMYFUNCTION("""COMPUTED_VALUE"""),1207.35)</f>
        <v>1207.35</v>
      </c>
      <c r="D4366" s="1">
        <f>IFERROR(__xludf.DUMMYFUNCTION("""COMPUTED_VALUE"""),1188.05)</f>
        <v>1188.05</v>
      </c>
      <c r="E4366" s="1">
        <f>IFERROR(__xludf.DUMMYFUNCTION("""COMPUTED_VALUE"""),1199.6)</f>
        <v>1199.6</v>
      </c>
      <c r="F4366" s="1">
        <f>IFERROR(__xludf.DUMMYFUNCTION("""COMPUTED_VALUE"""),916218.0)</f>
        <v>916218</v>
      </c>
    </row>
    <row r="4367">
      <c r="A4367" s="2">
        <f>IFERROR(__xludf.DUMMYFUNCTION("""COMPUTED_VALUE"""),42970.64583333333)</f>
        <v>42970.64583</v>
      </c>
      <c r="B4367" s="1">
        <f>IFERROR(__xludf.DUMMYFUNCTION("""COMPUTED_VALUE"""),1195.1)</f>
        <v>1195.1</v>
      </c>
      <c r="C4367" s="1">
        <f>IFERROR(__xludf.DUMMYFUNCTION("""COMPUTED_VALUE"""),1195.45)</f>
        <v>1195.45</v>
      </c>
      <c r="D4367" s="1">
        <f>IFERROR(__xludf.DUMMYFUNCTION("""COMPUTED_VALUE"""),1183.0)</f>
        <v>1183</v>
      </c>
      <c r="E4367" s="1">
        <f>IFERROR(__xludf.DUMMYFUNCTION("""COMPUTED_VALUE"""),1188.15)</f>
        <v>1188.15</v>
      </c>
      <c r="F4367" s="1">
        <f>IFERROR(__xludf.DUMMYFUNCTION("""COMPUTED_VALUE"""),831796.0)</f>
        <v>831796</v>
      </c>
    </row>
    <row r="4368">
      <c r="A4368" s="2">
        <f>IFERROR(__xludf.DUMMYFUNCTION("""COMPUTED_VALUE"""),42971.64583333333)</f>
        <v>42971.64583</v>
      </c>
      <c r="B4368" s="1">
        <f>IFERROR(__xludf.DUMMYFUNCTION("""COMPUTED_VALUE"""),1188.0)</f>
        <v>1188</v>
      </c>
      <c r="C4368" s="1">
        <f>IFERROR(__xludf.DUMMYFUNCTION("""COMPUTED_VALUE"""),1189.7)</f>
        <v>1189.7</v>
      </c>
      <c r="D4368" s="1">
        <f>IFERROR(__xludf.DUMMYFUNCTION("""COMPUTED_VALUE"""),1175.3)</f>
        <v>1175.3</v>
      </c>
      <c r="E4368" s="1">
        <f>IFERROR(__xludf.DUMMYFUNCTION("""COMPUTED_VALUE"""),1179.7)</f>
        <v>1179.7</v>
      </c>
      <c r="F4368" s="1">
        <f>IFERROR(__xludf.DUMMYFUNCTION("""COMPUTED_VALUE"""),780599.0)</f>
        <v>780599</v>
      </c>
    </row>
    <row r="4369">
      <c r="A4369" s="2">
        <f>IFERROR(__xludf.DUMMYFUNCTION("""COMPUTED_VALUE"""),42975.64583333333)</f>
        <v>42975.64583</v>
      </c>
      <c r="B4369" s="1">
        <f>IFERROR(__xludf.DUMMYFUNCTION("""COMPUTED_VALUE"""),1181.35)</f>
        <v>1181.35</v>
      </c>
      <c r="C4369" s="1">
        <f>IFERROR(__xludf.DUMMYFUNCTION("""COMPUTED_VALUE"""),1202.85)</f>
        <v>1202.85</v>
      </c>
      <c r="D4369" s="1">
        <f>IFERROR(__xludf.DUMMYFUNCTION("""COMPUTED_VALUE"""),1178.75)</f>
        <v>1178.75</v>
      </c>
      <c r="E4369" s="1">
        <f>IFERROR(__xludf.DUMMYFUNCTION("""COMPUTED_VALUE"""),1199.7)</f>
        <v>1199.7</v>
      </c>
      <c r="F4369" s="1">
        <f>IFERROR(__xludf.DUMMYFUNCTION("""COMPUTED_VALUE"""),630713.0)</f>
        <v>630713</v>
      </c>
    </row>
    <row r="4370">
      <c r="A4370" s="2">
        <f>IFERROR(__xludf.DUMMYFUNCTION("""COMPUTED_VALUE"""),42976.64583333333)</f>
        <v>42976.64583</v>
      </c>
      <c r="B4370" s="1">
        <f>IFERROR(__xludf.DUMMYFUNCTION("""COMPUTED_VALUE"""),1195.15)</f>
        <v>1195.15</v>
      </c>
      <c r="C4370" s="1">
        <f>IFERROR(__xludf.DUMMYFUNCTION("""COMPUTED_VALUE"""),1198.55)</f>
        <v>1198.55</v>
      </c>
      <c r="D4370" s="1">
        <f>IFERROR(__xludf.DUMMYFUNCTION("""COMPUTED_VALUE"""),1183.0)</f>
        <v>1183</v>
      </c>
      <c r="E4370" s="1">
        <f>IFERROR(__xludf.DUMMYFUNCTION("""COMPUTED_VALUE"""),1190.45)</f>
        <v>1190.45</v>
      </c>
      <c r="F4370" s="1">
        <f>IFERROR(__xludf.DUMMYFUNCTION("""COMPUTED_VALUE"""),1002082.0)</f>
        <v>1002082</v>
      </c>
    </row>
    <row r="4371">
      <c r="A4371" s="2">
        <f>IFERROR(__xludf.DUMMYFUNCTION("""COMPUTED_VALUE"""),42977.64583333333)</f>
        <v>42977.64583</v>
      </c>
      <c r="B4371" s="1">
        <f>IFERROR(__xludf.DUMMYFUNCTION("""COMPUTED_VALUE"""),1197.5)</f>
        <v>1197.5</v>
      </c>
      <c r="C4371" s="1">
        <f>IFERROR(__xludf.DUMMYFUNCTION("""COMPUTED_VALUE"""),1209.6)</f>
        <v>1209.6</v>
      </c>
      <c r="D4371" s="1">
        <f>IFERROR(__xludf.DUMMYFUNCTION("""COMPUTED_VALUE"""),1187.25)</f>
        <v>1187.25</v>
      </c>
      <c r="E4371" s="1">
        <f>IFERROR(__xludf.DUMMYFUNCTION("""COMPUTED_VALUE"""),1204.3)</f>
        <v>1204.3</v>
      </c>
      <c r="F4371" s="1">
        <f>IFERROR(__xludf.DUMMYFUNCTION("""COMPUTED_VALUE"""),666156.0)</f>
        <v>666156</v>
      </c>
    </row>
    <row r="4372">
      <c r="A4372" s="2">
        <f>IFERROR(__xludf.DUMMYFUNCTION("""COMPUTED_VALUE"""),42978.64583333333)</f>
        <v>42978.64583</v>
      </c>
      <c r="B4372" s="1">
        <f>IFERROR(__xludf.DUMMYFUNCTION("""COMPUTED_VALUE"""),1201.85)</f>
        <v>1201.85</v>
      </c>
      <c r="C4372" s="1">
        <f>IFERROR(__xludf.DUMMYFUNCTION("""COMPUTED_VALUE"""),1222.8)</f>
        <v>1222.8</v>
      </c>
      <c r="D4372" s="1">
        <f>IFERROR(__xludf.DUMMYFUNCTION("""COMPUTED_VALUE"""),1194.3)</f>
        <v>1194.3</v>
      </c>
      <c r="E4372" s="1">
        <f>IFERROR(__xludf.DUMMYFUNCTION("""COMPUTED_VALUE"""),1219.75)</f>
        <v>1219.75</v>
      </c>
      <c r="F4372" s="1">
        <f>IFERROR(__xludf.DUMMYFUNCTION("""COMPUTED_VALUE"""),1425125.0)</f>
        <v>1425125</v>
      </c>
    </row>
    <row r="4373">
      <c r="A4373" s="2">
        <f>IFERROR(__xludf.DUMMYFUNCTION("""COMPUTED_VALUE"""),42979.64583333333)</f>
        <v>42979.64583</v>
      </c>
      <c r="B4373" s="1">
        <f>IFERROR(__xludf.DUMMYFUNCTION("""COMPUTED_VALUE"""),1216.25)</f>
        <v>1216.25</v>
      </c>
      <c r="C4373" s="1">
        <f>IFERROR(__xludf.DUMMYFUNCTION("""COMPUTED_VALUE"""),1222.0)</f>
        <v>1222</v>
      </c>
      <c r="D4373" s="1">
        <f>IFERROR(__xludf.DUMMYFUNCTION("""COMPUTED_VALUE"""),1207.15)</f>
        <v>1207.15</v>
      </c>
      <c r="E4373" s="1">
        <f>IFERROR(__xludf.DUMMYFUNCTION("""COMPUTED_VALUE"""),1216.15)</f>
        <v>1216.15</v>
      </c>
      <c r="F4373" s="1">
        <f>IFERROR(__xludf.DUMMYFUNCTION("""COMPUTED_VALUE"""),622867.0)</f>
        <v>622867</v>
      </c>
    </row>
    <row r="4374">
      <c r="A4374" s="2">
        <f>IFERROR(__xludf.DUMMYFUNCTION("""COMPUTED_VALUE"""),42982.64583333333)</f>
        <v>42982.64583</v>
      </c>
      <c r="B4374" s="1">
        <f>IFERROR(__xludf.DUMMYFUNCTION("""COMPUTED_VALUE"""),1214.85)</f>
        <v>1214.85</v>
      </c>
      <c r="C4374" s="1">
        <f>IFERROR(__xludf.DUMMYFUNCTION("""COMPUTED_VALUE"""),1214.85)</f>
        <v>1214.85</v>
      </c>
      <c r="D4374" s="1">
        <f>IFERROR(__xludf.DUMMYFUNCTION("""COMPUTED_VALUE"""),1193.75)</f>
        <v>1193.75</v>
      </c>
      <c r="E4374" s="1">
        <f>IFERROR(__xludf.DUMMYFUNCTION("""COMPUTED_VALUE"""),1197.15)</f>
        <v>1197.15</v>
      </c>
      <c r="F4374" s="1">
        <f>IFERROR(__xludf.DUMMYFUNCTION("""COMPUTED_VALUE"""),586791.0)</f>
        <v>586791</v>
      </c>
    </row>
    <row r="4375">
      <c r="A4375" s="2">
        <f>IFERROR(__xludf.DUMMYFUNCTION("""COMPUTED_VALUE"""),42983.64583333333)</f>
        <v>42983.64583</v>
      </c>
      <c r="B4375" s="1">
        <f>IFERROR(__xludf.DUMMYFUNCTION("""COMPUTED_VALUE"""),1196.4)</f>
        <v>1196.4</v>
      </c>
      <c r="C4375" s="1">
        <f>IFERROR(__xludf.DUMMYFUNCTION("""COMPUTED_VALUE"""),1211.5)</f>
        <v>1211.5</v>
      </c>
      <c r="D4375" s="1">
        <f>IFERROR(__xludf.DUMMYFUNCTION("""COMPUTED_VALUE"""),1192.3)</f>
        <v>1192.3</v>
      </c>
      <c r="E4375" s="1">
        <f>IFERROR(__xludf.DUMMYFUNCTION("""COMPUTED_VALUE"""),1205.2)</f>
        <v>1205.2</v>
      </c>
      <c r="F4375" s="1">
        <f>IFERROR(__xludf.DUMMYFUNCTION("""COMPUTED_VALUE"""),699191.0)</f>
        <v>699191</v>
      </c>
    </row>
    <row r="4376">
      <c r="A4376" s="2">
        <f>IFERROR(__xludf.DUMMYFUNCTION("""COMPUTED_VALUE"""),42984.64583333333)</f>
        <v>42984.64583</v>
      </c>
      <c r="B4376" s="1">
        <f>IFERROR(__xludf.DUMMYFUNCTION("""COMPUTED_VALUE"""),1202.0)</f>
        <v>1202</v>
      </c>
      <c r="C4376" s="1">
        <f>IFERROR(__xludf.DUMMYFUNCTION("""COMPUTED_VALUE"""),1212.0)</f>
        <v>1212</v>
      </c>
      <c r="D4376" s="1">
        <f>IFERROR(__xludf.DUMMYFUNCTION("""COMPUTED_VALUE"""),1200.3)</f>
        <v>1200.3</v>
      </c>
      <c r="E4376" s="1">
        <f>IFERROR(__xludf.DUMMYFUNCTION("""COMPUTED_VALUE"""),1206.4)</f>
        <v>1206.4</v>
      </c>
      <c r="F4376" s="1">
        <f>IFERROR(__xludf.DUMMYFUNCTION("""COMPUTED_VALUE"""),670064.0)</f>
        <v>670064</v>
      </c>
    </row>
    <row r="4377">
      <c r="A4377" s="2">
        <f>IFERROR(__xludf.DUMMYFUNCTION("""COMPUTED_VALUE"""),42985.64583333333)</f>
        <v>42985.64583</v>
      </c>
      <c r="B4377" s="1">
        <f>IFERROR(__xludf.DUMMYFUNCTION("""COMPUTED_VALUE"""),1209.0)</f>
        <v>1209</v>
      </c>
      <c r="C4377" s="1">
        <f>IFERROR(__xludf.DUMMYFUNCTION("""COMPUTED_VALUE"""),1221.75)</f>
        <v>1221.75</v>
      </c>
      <c r="D4377" s="1">
        <f>IFERROR(__xludf.DUMMYFUNCTION("""COMPUTED_VALUE"""),1203.7)</f>
        <v>1203.7</v>
      </c>
      <c r="E4377" s="1">
        <f>IFERROR(__xludf.DUMMYFUNCTION("""COMPUTED_VALUE"""),1208.75)</f>
        <v>1208.75</v>
      </c>
      <c r="F4377" s="1">
        <f>IFERROR(__xludf.DUMMYFUNCTION("""COMPUTED_VALUE"""),781792.0)</f>
        <v>781792</v>
      </c>
    </row>
    <row r="4378">
      <c r="A4378" s="2">
        <f>IFERROR(__xludf.DUMMYFUNCTION("""COMPUTED_VALUE"""),42986.64583333333)</f>
        <v>42986.64583</v>
      </c>
      <c r="B4378" s="1">
        <f>IFERROR(__xludf.DUMMYFUNCTION("""COMPUTED_VALUE"""),1210.25)</f>
        <v>1210.25</v>
      </c>
      <c r="C4378" s="1">
        <f>IFERROR(__xludf.DUMMYFUNCTION("""COMPUTED_VALUE"""),1218.35)</f>
        <v>1218.35</v>
      </c>
      <c r="D4378" s="1">
        <f>IFERROR(__xludf.DUMMYFUNCTION("""COMPUTED_VALUE"""),1202.1)</f>
        <v>1202.1</v>
      </c>
      <c r="E4378" s="1">
        <f>IFERROR(__xludf.DUMMYFUNCTION("""COMPUTED_VALUE"""),1207.55)</f>
        <v>1207.55</v>
      </c>
      <c r="F4378" s="1">
        <f>IFERROR(__xludf.DUMMYFUNCTION("""COMPUTED_VALUE"""),663219.0)</f>
        <v>663219</v>
      </c>
    </row>
    <row r="4379">
      <c r="A4379" s="2">
        <f>IFERROR(__xludf.DUMMYFUNCTION("""COMPUTED_VALUE"""),42989.64583333333)</f>
        <v>42989.64583</v>
      </c>
      <c r="B4379" s="1">
        <f>IFERROR(__xludf.DUMMYFUNCTION("""COMPUTED_VALUE"""),1206.0)</f>
        <v>1206</v>
      </c>
      <c r="C4379" s="1">
        <f>IFERROR(__xludf.DUMMYFUNCTION("""COMPUTED_VALUE"""),1232.0)</f>
        <v>1232</v>
      </c>
      <c r="D4379" s="1">
        <f>IFERROR(__xludf.DUMMYFUNCTION("""COMPUTED_VALUE"""),1206.0)</f>
        <v>1206</v>
      </c>
      <c r="E4379" s="1">
        <f>IFERROR(__xludf.DUMMYFUNCTION("""COMPUTED_VALUE"""),1219.9)</f>
        <v>1219.9</v>
      </c>
      <c r="F4379" s="1">
        <f>IFERROR(__xludf.DUMMYFUNCTION("""COMPUTED_VALUE"""),794869.0)</f>
        <v>794869</v>
      </c>
    </row>
    <row r="4380">
      <c r="A4380" s="2">
        <f>IFERROR(__xludf.DUMMYFUNCTION("""COMPUTED_VALUE"""),42990.64583333333)</f>
        <v>42990.64583</v>
      </c>
      <c r="B4380" s="1">
        <f>IFERROR(__xludf.DUMMYFUNCTION("""COMPUTED_VALUE"""),1224.0)</f>
        <v>1224</v>
      </c>
      <c r="C4380" s="1">
        <f>IFERROR(__xludf.DUMMYFUNCTION("""COMPUTED_VALUE"""),1255.0)</f>
        <v>1255</v>
      </c>
      <c r="D4380" s="1">
        <f>IFERROR(__xludf.DUMMYFUNCTION("""COMPUTED_VALUE"""),1223.0)</f>
        <v>1223</v>
      </c>
      <c r="E4380" s="1">
        <f>IFERROR(__xludf.DUMMYFUNCTION("""COMPUTED_VALUE"""),1249.8)</f>
        <v>1249.8</v>
      </c>
      <c r="F4380" s="1">
        <f>IFERROR(__xludf.DUMMYFUNCTION("""COMPUTED_VALUE"""),1164498.0)</f>
        <v>1164498</v>
      </c>
    </row>
    <row r="4381">
      <c r="A4381" s="2">
        <f>IFERROR(__xludf.DUMMYFUNCTION("""COMPUTED_VALUE"""),42991.64583333333)</f>
        <v>42991.64583</v>
      </c>
      <c r="B4381" s="1">
        <f>IFERROR(__xludf.DUMMYFUNCTION("""COMPUTED_VALUE"""),1250.0)</f>
        <v>1250</v>
      </c>
      <c r="C4381" s="1">
        <f>IFERROR(__xludf.DUMMYFUNCTION("""COMPUTED_VALUE"""),1259.0)</f>
        <v>1259</v>
      </c>
      <c r="D4381" s="1">
        <f>IFERROR(__xludf.DUMMYFUNCTION("""COMPUTED_VALUE"""),1245.2)</f>
        <v>1245.2</v>
      </c>
      <c r="E4381" s="1">
        <f>IFERROR(__xludf.DUMMYFUNCTION("""COMPUTED_VALUE"""),1250.95)</f>
        <v>1250.95</v>
      </c>
      <c r="F4381" s="1">
        <f>IFERROR(__xludf.DUMMYFUNCTION("""COMPUTED_VALUE"""),848136.0)</f>
        <v>848136</v>
      </c>
    </row>
    <row r="4382">
      <c r="A4382" s="2">
        <f>IFERROR(__xludf.DUMMYFUNCTION("""COMPUTED_VALUE"""),42992.64583333333)</f>
        <v>42992.64583</v>
      </c>
      <c r="B4382" s="1">
        <f>IFERROR(__xludf.DUMMYFUNCTION("""COMPUTED_VALUE"""),1262.1)</f>
        <v>1262.1</v>
      </c>
      <c r="C4382" s="1">
        <f>IFERROR(__xludf.DUMMYFUNCTION("""COMPUTED_VALUE"""),1262.1)</f>
        <v>1262.1</v>
      </c>
      <c r="D4382" s="1">
        <f>IFERROR(__xludf.DUMMYFUNCTION("""COMPUTED_VALUE"""),1230.1)</f>
        <v>1230.1</v>
      </c>
      <c r="E4382" s="1">
        <f>IFERROR(__xludf.DUMMYFUNCTION("""COMPUTED_VALUE"""),1247.85)</f>
        <v>1247.85</v>
      </c>
      <c r="F4382" s="1">
        <f>IFERROR(__xludf.DUMMYFUNCTION("""COMPUTED_VALUE"""),1239363.0)</f>
        <v>1239363</v>
      </c>
    </row>
    <row r="4383">
      <c r="A4383" s="2">
        <f>IFERROR(__xludf.DUMMYFUNCTION("""COMPUTED_VALUE"""),42993.64583333333)</f>
        <v>42993.64583</v>
      </c>
      <c r="B4383" s="1">
        <f>IFERROR(__xludf.DUMMYFUNCTION("""COMPUTED_VALUE"""),1242.1)</f>
        <v>1242.1</v>
      </c>
      <c r="C4383" s="1">
        <f>IFERROR(__xludf.DUMMYFUNCTION("""COMPUTED_VALUE"""),1256.8)</f>
        <v>1256.8</v>
      </c>
      <c r="D4383" s="1">
        <f>IFERROR(__xludf.DUMMYFUNCTION("""COMPUTED_VALUE"""),1235.6)</f>
        <v>1235.6</v>
      </c>
      <c r="E4383" s="1">
        <f>IFERROR(__xludf.DUMMYFUNCTION("""COMPUTED_VALUE"""),1246.0)</f>
        <v>1246</v>
      </c>
      <c r="F4383" s="1">
        <f>IFERROR(__xludf.DUMMYFUNCTION("""COMPUTED_VALUE"""),1333125.0)</f>
        <v>1333125</v>
      </c>
    </row>
    <row r="4384">
      <c r="A4384" s="2">
        <f>IFERROR(__xludf.DUMMYFUNCTION("""COMPUTED_VALUE"""),42996.64583333333)</f>
        <v>42996.64583</v>
      </c>
      <c r="B4384" s="1">
        <f>IFERROR(__xludf.DUMMYFUNCTION("""COMPUTED_VALUE"""),1250.0)</f>
        <v>1250</v>
      </c>
      <c r="C4384" s="1">
        <f>IFERROR(__xludf.DUMMYFUNCTION("""COMPUTED_VALUE"""),1285.95)</f>
        <v>1285.95</v>
      </c>
      <c r="D4384" s="1">
        <f>IFERROR(__xludf.DUMMYFUNCTION("""COMPUTED_VALUE"""),1246.0)</f>
        <v>1246</v>
      </c>
      <c r="E4384" s="1">
        <f>IFERROR(__xludf.DUMMYFUNCTION("""COMPUTED_VALUE"""),1280.05)</f>
        <v>1280.05</v>
      </c>
      <c r="F4384" s="1">
        <f>IFERROR(__xludf.DUMMYFUNCTION("""COMPUTED_VALUE"""),781532.0)</f>
        <v>781532</v>
      </c>
    </row>
    <row r="4385">
      <c r="A4385" s="2">
        <f>IFERROR(__xludf.DUMMYFUNCTION("""COMPUTED_VALUE"""),42997.64583333333)</f>
        <v>42997.64583</v>
      </c>
      <c r="B4385" s="1">
        <f>IFERROR(__xludf.DUMMYFUNCTION("""COMPUTED_VALUE"""),1287.6)</f>
        <v>1287.6</v>
      </c>
      <c r="C4385" s="1">
        <f>IFERROR(__xludf.DUMMYFUNCTION("""COMPUTED_VALUE"""),1287.6)</f>
        <v>1287.6</v>
      </c>
      <c r="D4385" s="1">
        <f>IFERROR(__xludf.DUMMYFUNCTION("""COMPUTED_VALUE"""),1273.55)</f>
        <v>1273.55</v>
      </c>
      <c r="E4385" s="1">
        <f>IFERROR(__xludf.DUMMYFUNCTION("""COMPUTED_VALUE"""),1279.3)</f>
        <v>1279.3</v>
      </c>
      <c r="F4385" s="1">
        <f>IFERROR(__xludf.DUMMYFUNCTION("""COMPUTED_VALUE"""),563558.0)</f>
        <v>563558</v>
      </c>
    </row>
    <row r="4386">
      <c r="A4386" s="2">
        <f>IFERROR(__xludf.DUMMYFUNCTION("""COMPUTED_VALUE"""),42998.64583333333)</f>
        <v>42998.64583</v>
      </c>
      <c r="B4386" s="1">
        <f>IFERROR(__xludf.DUMMYFUNCTION("""COMPUTED_VALUE"""),1280.0)</f>
        <v>1280</v>
      </c>
      <c r="C4386" s="1">
        <f>IFERROR(__xludf.DUMMYFUNCTION("""COMPUTED_VALUE"""),1281.35)</f>
        <v>1281.35</v>
      </c>
      <c r="D4386" s="1">
        <f>IFERROR(__xludf.DUMMYFUNCTION("""COMPUTED_VALUE"""),1255.1)</f>
        <v>1255.1</v>
      </c>
      <c r="E4386" s="1">
        <f>IFERROR(__xludf.DUMMYFUNCTION("""COMPUTED_VALUE"""),1259.35)</f>
        <v>1259.35</v>
      </c>
      <c r="F4386" s="1">
        <f>IFERROR(__xludf.DUMMYFUNCTION("""COMPUTED_VALUE"""),1179496.0)</f>
        <v>1179496</v>
      </c>
    </row>
    <row r="4387">
      <c r="A4387" s="2">
        <f>IFERROR(__xludf.DUMMYFUNCTION("""COMPUTED_VALUE"""),42999.64583333333)</f>
        <v>42999.64583</v>
      </c>
      <c r="B4387" s="1">
        <f>IFERROR(__xludf.DUMMYFUNCTION("""COMPUTED_VALUE"""),1261.0)</f>
        <v>1261</v>
      </c>
      <c r="C4387" s="1">
        <f>IFERROR(__xludf.DUMMYFUNCTION("""COMPUTED_VALUE"""),1261.9)</f>
        <v>1261.9</v>
      </c>
      <c r="D4387" s="1">
        <f>IFERROR(__xludf.DUMMYFUNCTION("""COMPUTED_VALUE"""),1248.0)</f>
        <v>1248</v>
      </c>
      <c r="E4387" s="1">
        <f>IFERROR(__xludf.DUMMYFUNCTION("""COMPUTED_VALUE"""),1256.7)</f>
        <v>1256.7</v>
      </c>
      <c r="F4387" s="1">
        <f>IFERROR(__xludf.DUMMYFUNCTION("""COMPUTED_VALUE"""),913615.0)</f>
        <v>913615</v>
      </c>
    </row>
    <row r="4388">
      <c r="A4388" s="2">
        <f>IFERROR(__xludf.DUMMYFUNCTION("""COMPUTED_VALUE"""),43000.64583333333)</f>
        <v>43000.64583</v>
      </c>
      <c r="B4388" s="1">
        <f>IFERROR(__xludf.DUMMYFUNCTION("""COMPUTED_VALUE"""),1252.2)</f>
        <v>1252.2</v>
      </c>
      <c r="C4388" s="1">
        <f>IFERROR(__xludf.DUMMYFUNCTION("""COMPUTED_VALUE"""),1252.25)</f>
        <v>1252.25</v>
      </c>
      <c r="D4388" s="1">
        <f>IFERROR(__xludf.DUMMYFUNCTION("""COMPUTED_VALUE"""),1234.1)</f>
        <v>1234.1</v>
      </c>
      <c r="E4388" s="1">
        <f>IFERROR(__xludf.DUMMYFUNCTION("""COMPUTED_VALUE"""),1239.2)</f>
        <v>1239.2</v>
      </c>
      <c r="F4388" s="1">
        <f>IFERROR(__xludf.DUMMYFUNCTION("""COMPUTED_VALUE"""),1208698.0)</f>
        <v>1208698</v>
      </c>
    </row>
    <row r="4389">
      <c r="A4389" s="2">
        <f>IFERROR(__xludf.DUMMYFUNCTION("""COMPUTED_VALUE"""),43003.64583333333)</f>
        <v>43003.64583</v>
      </c>
      <c r="B4389" s="1">
        <f>IFERROR(__xludf.DUMMYFUNCTION("""COMPUTED_VALUE"""),1239.9)</f>
        <v>1239.9</v>
      </c>
      <c r="C4389" s="1">
        <f>IFERROR(__xludf.DUMMYFUNCTION("""COMPUTED_VALUE"""),1259.0)</f>
        <v>1259</v>
      </c>
      <c r="D4389" s="1">
        <f>IFERROR(__xludf.DUMMYFUNCTION("""COMPUTED_VALUE"""),1237.5)</f>
        <v>1237.5</v>
      </c>
      <c r="E4389" s="1">
        <f>IFERROR(__xludf.DUMMYFUNCTION("""COMPUTED_VALUE"""),1247.15)</f>
        <v>1247.15</v>
      </c>
      <c r="F4389" s="1">
        <f>IFERROR(__xludf.DUMMYFUNCTION("""COMPUTED_VALUE"""),1271436.0)</f>
        <v>1271436</v>
      </c>
    </row>
    <row r="4390">
      <c r="A4390" s="2">
        <f>IFERROR(__xludf.DUMMYFUNCTION("""COMPUTED_VALUE"""),43004.64583333333)</f>
        <v>43004.64583</v>
      </c>
      <c r="B4390" s="1">
        <f>IFERROR(__xludf.DUMMYFUNCTION("""COMPUTED_VALUE"""),1261.1)</f>
        <v>1261.1</v>
      </c>
      <c r="C4390" s="1">
        <f>IFERROR(__xludf.DUMMYFUNCTION("""COMPUTED_VALUE"""),1261.1)</f>
        <v>1261.1</v>
      </c>
      <c r="D4390" s="1">
        <f>IFERROR(__xludf.DUMMYFUNCTION("""COMPUTED_VALUE"""),1201.05)</f>
        <v>1201.05</v>
      </c>
      <c r="E4390" s="1">
        <f>IFERROR(__xludf.DUMMYFUNCTION("""COMPUTED_VALUE"""),1217.35)</f>
        <v>1217.35</v>
      </c>
      <c r="F4390" s="1">
        <f>IFERROR(__xludf.DUMMYFUNCTION("""COMPUTED_VALUE"""),1751337.0)</f>
        <v>1751337</v>
      </c>
    </row>
    <row r="4391">
      <c r="A4391" s="2">
        <f>IFERROR(__xludf.DUMMYFUNCTION("""COMPUTED_VALUE"""),43005.64583333333)</f>
        <v>43005.64583</v>
      </c>
      <c r="B4391" s="1">
        <f>IFERROR(__xludf.DUMMYFUNCTION("""COMPUTED_VALUE"""),1217.0)</f>
        <v>1217</v>
      </c>
      <c r="C4391" s="1">
        <f>IFERROR(__xludf.DUMMYFUNCTION("""COMPUTED_VALUE"""),1217.5)</f>
        <v>1217.5</v>
      </c>
      <c r="D4391" s="1">
        <f>IFERROR(__xludf.DUMMYFUNCTION("""COMPUTED_VALUE"""),1188.0)</f>
        <v>1188</v>
      </c>
      <c r="E4391" s="1">
        <f>IFERROR(__xludf.DUMMYFUNCTION("""COMPUTED_VALUE"""),1205.9)</f>
        <v>1205.9</v>
      </c>
      <c r="F4391" s="1">
        <f>IFERROR(__xludf.DUMMYFUNCTION("""COMPUTED_VALUE"""),2299025.0)</f>
        <v>2299025</v>
      </c>
    </row>
    <row r="4392">
      <c r="A4392" s="2">
        <f>IFERROR(__xludf.DUMMYFUNCTION("""COMPUTED_VALUE"""),43006.64583333333)</f>
        <v>43006.64583</v>
      </c>
      <c r="B4392" s="1">
        <f>IFERROR(__xludf.DUMMYFUNCTION("""COMPUTED_VALUE"""),1205.8)</f>
        <v>1205.8</v>
      </c>
      <c r="C4392" s="1">
        <f>IFERROR(__xludf.DUMMYFUNCTION("""COMPUTED_VALUE"""),1212.95)</f>
        <v>1212.95</v>
      </c>
      <c r="D4392" s="1">
        <f>IFERROR(__xludf.DUMMYFUNCTION("""COMPUTED_VALUE"""),1192.15)</f>
        <v>1192.15</v>
      </c>
      <c r="E4392" s="1">
        <f>IFERROR(__xludf.DUMMYFUNCTION("""COMPUTED_VALUE"""),1202.8)</f>
        <v>1202.8</v>
      </c>
      <c r="F4392" s="1">
        <f>IFERROR(__xludf.DUMMYFUNCTION("""COMPUTED_VALUE"""),3007522.0)</f>
        <v>3007522</v>
      </c>
    </row>
    <row r="4393">
      <c r="A4393" s="2">
        <f>IFERROR(__xludf.DUMMYFUNCTION("""COMPUTED_VALUE"""),43007.64583333333)</f>
        <v>43007.64583</v>
      </c>
      <c r="B4393" s="1">
        <f>IFERROR(__xludf.DUMMYFUNCTION("""COMPUTED_VALUE"""),1209.8)</f>
        <v>1209.8</v>
      </c>
      <c r="C4393" s="1">
        <f>IFERROR(__xludf.DUMMYFUNCTION("""COMPUTED_VALUE"""),1209.8)</f>
        <v>1209.8</v>
      </c>
      <c r="D4393" s="1">
        <f>IFERROR(__xludf.DUMMYFUNCTION("""COMPUTED_VALUE"""),1169.0)</f>
        <v>1169</v>
      </c>
      <c r="E4393" s="1">
        <f>IFERROR(__xludf.DUMMYFUNCTION("""COMPUTED_VALUE"""),1173.9)</f>
        <v>1173.9</v>
      </c>
      <c r="F4393" s="1">
        <f>IFERROR(__xludf.DUMMYFUNCTION("""COMPUTED_VALUE"""),2274339.0)</f>
        <v>2274339</v>
      </c>
    </row>
    <row r="4394">
      <c r="A4394" s="2">
        <f>IFERROR(__xludf.DUMMYFUNCTION("""COMPUTED_VALUE"""),43011.64583333333)</f>
        <v>43011.64583</v>
      </c>
      <c r="B4394" s="1">
        <f>IFERROR(__xludf.DUMMYFUNCTION("""COMPUTED_VALUE"""),1176.5)</f>
        <v>1176.5</v>
      </c>
      <c r="C4394" s="1">
        <f>IFERROR(__xludf.DUMMYFUNCTION("""COMPUTED_VALUE"""),1191.85)</f>
        <v>1191.85</v>
      </c>
      <c r="D4394" s="1">
        <f>IFERROR(__xludf.DUMMYFUNCTION("""COMPUTED_VALUE"""),1171.0)</f>
        <v>1171</v>
      </c>
      <c r="E4394" s="1">
        <f>IFERROR(__xludf.DUMMYFUNCTION("""COMPUTED_VALUE"""),1186.35)</f>
        <v>1186.35</v>
      </c>
      <c r="F4394" s="1">
        <f>IFERROR(__xludf.DUMMYFUNCTION("""COMPUTED_VALUE"""),1970990.0)</f>
        <v>1970990</v>
      </c>
    </row>
    <row r="4395">
      <c r="A4395" s="2">
        <f>IFERROR(__xludf.DUMMYFUNCTION("""COMPUTED_VALUE"""),43012.64583333333)</f>
        <v>43012.64583</v>
      </c>
      <c r="B4395" s="1">
        <f>IFERROR(__xludf.DUMMYFUNCTION("""COMPUTED_VALUE"""),1191.1)</f>
        <v>1191.1</v>
      </c>
      <c r="C4395" s="1">
        <f>IFERROR(__xludf.DUMMYFUNCTION("""COMPUTED_VALUE"""),1204.5)</f>
        <v>1204.5</v>
      </c>
      <c r="D4395" s="1">
        <f>IFERROR(__xludf.DUMMYFUNCTION("""COMPUTED_VALUE"""),1178.7)</f>
        <v>1178.7</v>
      </c>
      <c r="E4395" s="1">
        <f>IFERROR(__xludf.DUMMYFUNCTION("""COMPUTED_VALUE"""),1197.5)</f>
        <v>1197.5</v>
      </c>
      <c r="F4395" s="1">
        <f>IFERROR(__xludf.DUMMYFUNCTION("""COMPUTED_VALUE"""),2448425.0)</f>
        <v>2448425</v>
      </c>
    </row>
    <row r="4396">
      <c r="A4396" s="2">
        <f>IFERROR(__xludf.DUMMYFUNCTION("""COMPUTED_VALUE"""),43013.64583333333)</f>
        <v>43013.64583</v>
      </c>
      <c r="B4396" s="1">
        <f>IFERROR(__xludf.DUMMYFUNCTION("""COMPUTED_VALUE"""),1204.35)</f>
        <v>1204.35</v>
      </c>
      <c r="C4396" s="1">
        <f>IFERROR(__xludf.DUMMYFUNCTION("""COMPUTED_VALUE"""),1204.5)</f>
        <v>1204.5</v>
      </c>
      <c r="D4396" s="1">
        <f>IFERROR(__xludf.DUMMYFUNCTION("""COMPUTED_VALUE"""),1183.2)</f>
        <v>1183.2</v>
      </c>
      <c r="E4396" s="1">
        <f>IFERROR(__xludf.DUMMYFUNCTION("""COMPUTED_VALUE"""),1187.65)</f>
        <v>1187.65</v>
      </c>
      <c r="F4396" s="1">
        <f>IFERROR(__xludf.DUMMYFUNCTION("""COMPUTED_VALUE"""),2305862.0)</f>
        <v>2305862</v>
      </c>
    </row>
    <row r="4397">
      <c r="A4397" s="2">
        <f>IFERROR(__xludf.DUMMYFUNCTION("""COMPUTED_VALUE"""),43014.64583333333)</f>
        <v>43014.64583</v>
      </c>
      <c r="B4397" s="1">
        <f>IFERROR(__xludf.DUMMYFUNCTION("""COMPUTED_VALUE"""),1193.0)</f>
        <v>1193</v>
      </c>
      <c r="C4397" s="1">
        <f>IFERROR(__xludf.DUMMYFUNCTION("""COMPUTED_VALUE"""),1211.6)</f>
        <v>1211.6</v>
      </c>
      <c r="D4397" s="1">
        <f>IFERROR(__xludf.DUMMYFUNCTION("""COMPUTED_VALUE"""),1192.15)</f>
        <v>1192.15</v>
      </c>
      <c r="E4397" s="1">
        <f>IFERROR(__xludf.DUMMYFUNCTION("""COMPUTED_VALUE"""),1207.3)</f>
        <v>1207.3</v>
      </c>
      <c r="F4397" s="1">
        <f>IFERROR(__xludf.DUMMYFUNCTION("""COMPUTED_VALUE"""),508700.0)</f>
        <v>508700</v>
      </c>
    </row>
    <row r="4398">
      <c r="A4398" s="2">
        <f>IFERROR(__xludf.DUMMYFUNCTION("""COMPUTED_VALUE"""),43017.64583333333)</f>
        <v>43017.64583</v>
      </c>
      <c r="B4398" s="1">
        <f>IFERROR(__xludf.DUMMYFUNCTION("""COMPUTED_VALUE"""),1217.5)</f>
        <v>1217.5</v>
      </c>
      <c r="C4398" s="1">
        <f>IFERROR(__xludf.DUMMYFUNCTION("""COMPUTED_VALUE"""),1223.35)</f>
        <v>1223.35</v>
      </c>
      <c r="D4398" s="1">
        <f>IFERROR(__xludf.DUMMYFUNCTION("""COMPUTED_VALUE"""),1205.05)</f>
        <v>1205.05</v>
      </c>
      <c r="E4398" s="1">
        <f>IFERROR(__xludf.DUMMYFUNCTION("""COMPUTED_VALUE"""),1220.25)</f>
        <v>1220.25</v>
      </c>
      <c r="F4398" s="1">
        <f>IFERROR(__xludf.DUMMYFUNCTION("""COMPUTED_VALUE"""),720819.0)</f>
        <v>720819</v>
      </c>
    </row>
    <row r="4399">
      <c r="A4399" s="2">
        <f>IFERROR(__xludf.DUMMYFUNCTION("""COMPUTED_VALUE"""),43018.64583333333)</f>
        <v>43018.64583</v>
      </c>
      <c r="B4399" s="1">
        <f>IFERROR(__xludf.DUMMYFUNCTION("""COMPUTED_VALUE"""),1224.1)</f>
        <v>1224.1</v>
      </c>
      <c r="C4399" s="1">
        <f>IFERROR(__xludf.DUMMYFUNCTION("""COMPUTED_VALUE"""),1230.35)</f>
        <v>1230.35</v>
      </c>
      <c r="D4399" s="1">
        <f>IFERROR(__xludf.DUMMYFUNCTION("""COMPUTED_VALUE"""),1205.0)</f>
        <v>1205</v>
      </c>
      <c r="E4399" s="1">
        <f>IFERROR(__xludf.DUMMYFUNCTION("""COMPUTED_VALUE"""),1209.2)</f>
        <v>1209.2</v>
      </c>
      <c r="F4399" s="1">
        <f>IFERROR(__xludf.DUMMYFUNCTION("""COMPUTED_VALUE"""),802675.0)</f>
        <v>802675</v>
      </c>
    </row>
    <row r="4400">
      <c r="A4400" s="2">
        <f>IFERROR(__xludf.DUMMYFUNCTION("""COMPUTED_VALUE"""),43019.64583333333)</f>
        <v>43019.64583</v>
      </c>
      <c r="B4400" s="1">
        <f>IFERROR(__xludf.DUMMYFUNCTION("""COMPUTED_VALUE"""),1215.0)</f>
        <v>1215</v>
      </c>
      <c r="C4400" s="1">
        <f>IFERROR(__xludf.DUMMYFUNCTION("""COMPUTED_VALUE"""),1220.5)</f>
        <v>1220.5</v>
      </c>
      <c r="D4400" s="1">
        <f>IFERROR(__xludf.DUMMYFUNCTION("""COMPUTED_VALUE"""),1198.6)</f>
        <v>1198.6</v>
      </c>
      <c r="E4400" s="1">
        <f>IFERROR(__xludf.DUMMYFUNCTION("""COMPUTED_VALUE"""),1218.05)</f>
        <v>1218.05</v>
      </c>
      <c r="F4400" s="1">
        <f>IFERROR(__xludf.DUMMYFUNCTION("""COMPUTED_VALUE"""),1096016.0)</f>
        <v>1096016</v>
      </c>
    </row>
    <row r="4401">
      <c r="A4401" s="2">
        <f>IFERROR(__xludf.DUMMYFUNCTION("""COMPUTED_VALUE"""),43020.64583333333)</f>
        <v>43020.64583</v>
      </c>
      <c r="B4401" s="1">
        <f>IFERROR(__xludf.DUMMYFUNCTION("""COMPUTED_VALUE"""),1220.05)</f>
        <v>1220.05</v>
      </c>
      <c r="C4401" s="1">
        <f>IFERROR(__xludf.DUMMYFUNCTION("""COMPUTED_VALUE"""),1245.0)</f>
        <v>1245</v>
      </c>
      <c r="D4401" s="1">
        <f>IFERROR(__xludf.DUMMYFUNCTION("""COMPUTED_VALUE"""),1216.25)</f>
        <v>1216.25</v>
      </c>
      <c r="E4401" s="1">
        <f>IFERROR(__xludf.DUMMYFUNCTION("""COMPUTED_VALUE"""),1241.0)</f>
        <v>1241</v>
      </c>
      <c r="F4401" s="1">
        <f>IFERROR(__xludf.DUMMYFUNCTION("""COMPUTED_VALUE"""),982442.0)</f>
        <v>982442</v>
      </c>
    </row>
    <row r="4402">
      <c r="A4402" s="2">
        <f>IFERROR(__xludf.DUMMYFUNCTION("""COMPUTED_VALUE"""),43021.64583333333)</f>
        <v>43021.64583</v>
      </c>
      <c r="B4402" s="1">
        <f>IFERROR(__xludf.DUMMYFUNCTION("""COMPUTED_VALUE"""),1238.0)</f>
        <v>1238</v>
      </c>
      <c r="C4402" s="1">
        <f>IFERROR(__xludf.DUMMYFUNCTION("""COMPUTED_VALUE"""),1253.0)</f>
        <v>1253</v>
      </c>
      <c r="D4402" s="1">
        <f>IFERROR(__xludf.DUMMYFUNCTION("""COMPUTED_VALUE"""),1231.2)</f>
        <v>1231.2</v>
      </c>
      <c r="E4402" s="1">
        <f>IFERROR(__xludf.DUMMYFUNCTION("""COMPUTED_VALUE"""),1248.6)</f>
        <v>1248.6</v>
      </c>
      <c r="F4402" s="1">
        <f>IFERROR(__xludf.DUMMYFUNCTION("""COMPUTED_VALUE"""),840717.0)</f>
        <v>840717</v>
      </c>
    </row>
    <row r="4403">
      <c r="A4403" s="2">
        <f>IFERROR(__xludf.DUMMYFUNCTION("""COMPUTED_VALUE"""),43024.64583333333)</f>
        <v>43024.64583</v>
      </c>
      <c r="B4403" s="1">
        <f>IFERROR(__xludf.DUMMYFUNCTION("""COMPUTED_VALUE"""),1250.0)</f>
        <v>1250</v>
      </c>
      <c r="C4403" s="1">
        <f>IFERROR(__xludf.DUMMYFUNCTION("""COMPUTED_VALUE"""),1287.5)</f>
        <v>1287.5</v>
      </c>
      <c r="D4403" s="1">
        <f>IFERROR(__xludf.DUMMYFUNCTION("""COMPUTED_VALUE"""),1249.95)</f>
        <v>1249.95</v>
      </c>
      <c r="E4403" s="1">
        <f>IFERROR(__xludf.DUMMYFUNCTION("""COMPUTED_VALUE"""),1281.3)</f>
        <v>1281.3</v>
      </c>
      <c r="F4403" s="1">
        <f>IFERROR(__xludf.DUMMYFUNCTION("""COMPUTED_VALUE"""),1276141.0)</f>
        <v>1276141</v>
      </c>
    </row>
    <row r="4404">
      <c r="A4404" s="2">
        <f>IFERROR(__xludf.DUMMYFUNCTION("""COMPUTED_VALUE"""),43025.83333333333)</f>
        <v>43025.83333</v>
      </c>
      <c r="B4404" s="1">
        <f>IFERROR(__xludf.DUMMYFUNCTION("""COMPUTED_VALUE"""),1285.0)</f>
        <v>1285</v>
      </c>
      <c r="C4404" s="1">
        <f>IFERROR(__xludf.DUMMYFUNCTION("""COMPUTED_VALUE"""),1288.65)</f>
        <v>1288.65</v>
      </c>
      <c r="D4404" s="1">
        <f>IFERROR(__xludf.DUMMYFUNCTION("""COMPUTED_VALUE"""),1271.0)</f>
        <v>1271</v>
      </c>
      <c r="E4404" s="1">
        <f>IFERROR(__xludf.DUMMYFUNCTION("""COMPUTED_VALUE"""),1282.15)</f>
        <v>1282.15</v>
      </c>
      <c r="F4404" s="1">
        <f>IFERROR(__xludf.DUMMYFUNCTION("""COMPUTED_VALUE"""),654497.0)</f>
        <v>654497</v>
      </c>
    </row>
    <row r="4405">
      <c r="A4405" s="2">
        <f>IFERROR(__xludf.DUMMYFUNCTION("""COMPUTED_VALUE"""),43026.64583333333)</f>
        <v>43026.64583</v>
      </c>
      <c r="B4405" s="1">
        <f>IFERROR(__xludf.DUMMYFUNCTION("""COMPUTED_VALUE"""),1277.0)</f>
        <v>1277</v>
      </c>
      <c r="C4405" s="1">
        <f>IFERROR(__xludf.DUMMYFUNCTION("""COMPUTED_VALUE"""),1282.6)</f>
        <v>1282.6</v>
      </c>
      <c r="D4405" s="1">
        <f>IFERROR(__xludf.DUMMYFUNCTION("""COMPUTED_VALUE"""),1260.0)</f>
        <v>1260</v>
      </c>
      <c r="E4405" s="1">
        <f>IFERROR(__xludf.DUMMYFUNCTION("""COMPUTED_VALUE"""),1263.95)</f>
        <v>1263.95</v>
      </c>
      <c r="F4405" s="1">
        <f>IFERROR(__xludf.DUMMYFUNCTION("""COMPUTED_VALUE"""),697765.0)</f>
        <v>697765</v>
      </c>
    </row>
    <row r="4406">
      <c r="A4406" s="2">
        <f>IFERROR(__xludf.DUMMYFUNCTION("""COMPUTED_VALUE"""),43027.83333333333)</f>
        <v>43027.83333</v>
      </c>
      <c r="B4406" s="1">
        <f>IFERROR(__xludf.DUMMYFUNCTION("""COMPUTED_VALUE"""),1265.0)</f>
        <v>1265</v>
      </c>
      <c r="C4406" s="1">
        <f>IFERROR(__xludf.DUMMYFUNCTION("""COMPUTED_VALUE"""),1270.0)</f>
        <v>1270</v>
      </c>
      <c r="D4406" s="1">
        <f>IFERROR(__xludf.DUMMYFUNCTION("""COMPUTED_VALUE"""),1253.7)</f>
        <v>1253.7</v>
      </c>
      <c r="E4406" s="1">
        <f>IFERROR(__xludf.DUMMYFUNCTION("""COMPUTED_VALUE"""),1255.0)</f>
        <v>1255</v>
      </c>
      <c r="F4406" s="1">
        <f>IFERROR(__xludf.DUMMYFUNCTION("""COMPUTED_VALUE"""),67835.0)</f>
        <v>67835</v>
      </c>
    </row>
    <row r="4407">
      <c r="A4407" s="2">
        <f>IFERROR(__xludf.DUMMYFUNCTION("""COMPUTED_VALUE"""),43031.64583333333)</f>
        <v>43031.64583</v>
      </c>
      <c r="B4407" s="1">
        <f>IFERROR(__xludf.DUMMYFUNCTION("""COMPUTED_VALUE"""),1266.0)</f>
        <v>1266</v>
      </c>
      <c r="C4407" s="1">
        <f>IFERROR(__xludf.DUMMYFUNCTION("""COMPUTED_VALUE"""),1277.6)</f>
        <v>1277.6</v>
      </c>
      <c r="D4407" s="1">
        <f>IFERROR(__xludf.DUMMYFUNCTION("""COMPUTED_VALUE"""),1238.6)</f>
        <v>1238.6</v>
      </c>
      <c r="E4407" s="1">
        <f>IFERROR(__xludf.DUMMYFUNCTION("""COMPUTED_VALUE"""),1249.95)</f>
        <v>1249.95</v>
      </c>
      <c r="F4407" s="1">
        <f>IFERROR(__xludf.DUMMYFUNCTION("""COMPUTED_VALUE"""),791883.0)</f>
        <v>791883</v>
      </c>
    </row>
    <row r="4408">
      <c r="A4408" s="2">
        <f>IFERROR(__xludf.DUMMYFUNCTION("""COMPUTED_VALUE"""),43032.64583333333)</f>
        <v>43032.64583</v>
      </c>
      <c r="B4408" s="1">
        <f>IFERROR(__xludf.DUMMYFUNCTION("""COMPUTED_VALUE"""),1254.9)</f>
        <v>1254.9</v>
      </c>
      <c r="C4408" s="1">
        <f>IFERROR(__xludf.DUMMYFUNCTION("""COMPUTED_VALUE"""),1274.0)</f>
        <v>1274</v>
      </c>
      <c r="D4408" s="1">
        <f>IFERROR(__xludf.DUMMYFUNCTION("""COMPUTED_VALUE"""),1254.0)</f>
        <v>1254</v>
      </c>
      <c r="E4408" s="1">
        <f>IFERROR(__xludf.DUMMYFUNCTION("""COMPUTED_VALUE"""),1270.05)</f>
        <v>1270.05</v>
      </c>
      <c r="F4408" s="1">
        <f>IFERROR(__xludf.DUMMYFUNCTION("""COMPUTED_VALUE"""),1055569.0)</f>
        <v>1055569</v>
      </c>
    </row>
    <row r="4409">
      <c r="A4409" s="2">
        <f>IFERROR(__xludf.DUMMYFUNCTION("""COMPUTED_VALUE"""),43033.64583333333)</f>
        <v>43033.64583</v>
      </c>
      <c r="B4409" s="1">
        <f>IFERROR(__xludf.DUMMYFUNCTION("""COMPUTED_VALUE"""),1281.0)</f>
        <v>1281</v>
      </c>
      <c r="C4409" s="1">
        <f>IFERROR(__xludf.DUMMYFUNCTION("""COMPUTED_VALUE"""),1283.4)</f>
        <v>1283.4</v>
      </c>
      <c r="D4409" s="1">
        <f>IFERROR(__xludf.DUMMYFUNCTION("""COMPUTED_VALUE"""),1265.1)</f>
        <v>1265.1</v>
      </c>
      <c r="E4409" s="1">
        <f>IFERROR(__xludf.DUMMYFUNCTION("""COMPUTED_VALUE"""),1272.45)</f>
        <v>1272.45</v>
      </c>
      <c r="F4409" s="1">
        <f>IFERROR(__xludf.DUMMYFUNCTION("""COMPUTED_VALUE"""),1332232.0)</f>
        <v>1332232</v>
      </c>
    </row>
    <row r="4410">
      <c r="A4410" s="2">
        <f>IFERROR(__xludf.DUMMYFUNCTION("""COMPUTED_VALUE"""),43034.64583333333)</f>
        <v>43034.64583</v>
      </c>
      <c r="B4410" s="1">
        <f>IFERROR(__xludf.DUMMYFUNCTION("""COMPUTED_VALUE"""),1285.0)</f>
        <v>1285</v>
      </c>
      <c r="C4410" s="1">
        <f>IFERROR(__xludf.DUMMYFUNCTION("""COMPUTED_VALUE"""),1285.0)</f>
        <v>1285</v>
      </c>
      <c r="D4410" s="1">
        <f>IFERROR(__xludf.DUMMYFUNCTION("""COMPUTED_VALUE"""),1253.5)</f>
        <v>1253.5</v>
      </c>
      <c r="E4410" s="1">
        <f>IFERROR(__xludf.DUMMYFUNCTION("""COMPUTED_VALUE"""),1273.7)</f>
        <v>1273.7</v>
      </c>
      <c r="F4410" s="1">
        <f>IFERROR(__xludf.DUMMYFUNCTION("""COMPUTED_VALUE"""),2321903.0)</f>
        <v>2321903</v>
      </c>
    </row>
    <row r="4411">
      <c r="A4411" s="2">
        <f>IFERROR(__xludf.DUMMYFUNCTION("""COMPUTED_VALUE"""),43035.64583333333)</f>
        <v>43035.64583</v>
      </c>
      <c r="B4411" s="1">
        <f>IFERROR(__xludf.DUMMYFUNCTION("""COMPUTED_VALUE"""),1273.7)</f>
        <v>1273.7</v>
      </c>
      <c r="C4411" s="1">
        <f>IFERROR(__xludf.DUMMYFUNCTION("""COMPUTED_VALUE"""),1273.7)</f>
        <v>1273.7</v>
      </c>
      <c r="D4411" s="1">
        <f>IFERROR(__xludf.DUMMYFUNCTION("""COMPUTED_VALUE"""),1246.0)</f>
        <v>1246</v>
      </c>
      <c r="E4411" s="1">
        <f>IFERROR(__xludf.DUMMYFUNCTION("""COMPUTED_VALUE"""),1260.15)</f>
        <v>1260.15</v>
      </c>
      <c r="F4411" s="1">
        <f>IFERROR(__xludf.DUMMYFUNCTION("""COMPUTED_VALUE"""),875032.0)</f>
        <v>875032</v>
      </c>
    </row>
    <row r="4412">
      <c r="A4412" s="2">
        <f>IFERROR(__xludf.DUMMYFUNCTION("""COMPUTED_VALUE"""),43038.64583333333)</f>
        <v>43038.64583</v>
      </c>
      <c r="B4412" s="1">
        <f>IFERROR(__xludf.DUMMYFUNCTION("""COMPUTED_VALUE"""),1260.0)</f>
        <v>1260</v>
      </c>
      <c r="C4412" s="1">
        <f>IFERROR(__xludf.DUMMYFUNCTION("""COMPUTED_VALUE"""),1269.45)</f>
        <v>1269.45</v>
      </c>
      <c r="D4412" s="1">
        <f>IFERROR(__xludf.DUMMYFUNCTION("""COMPUTED_VALUE"""),1230.0)</f>
        <v>1230</v>
      </c>
      <c r="E4412" s="1">
        <f>IFERROR(__xludf.DUMMYFUNCTION("""COMPUTED_VALUE"""),1234.2)</f>
        <v>1234.2</v>
      </c>
      <c r="F4412" s="1">
        <f>IFERROR(__xludf.DUMMYFUNCTION("""COMPUTED_VALUE"""),1063165.0)</f>
        <v>1063165</v>
      </c>
    </row>
    <row r="4413">
      <c r="A4413" s="2">
        <f>IFERROR(__xludf.DUMMYFUNCTION("""COMPUTED_VALUE"""),43039.64583333333)</f>
        <v>43039.64583</v>
      </c>
      <c r="B4413" s="1">
        <f>IFERROR(__xludf.DUMMYFUNCTION("""COMPUTED_VALUE"""),1241.0)</f>
        <v>1241</v>
      </c>
      <c r="C4413" s="1">
        <f>IFERROR(__xludf.DUMMYFUNCTION("""COMPUTED_VALUE"""),1249.9)</f>
        <v>1249.9</v>
      </c>
      <c r="D4413" s="1">
        <f>IFERROR(__xludf.DUMMYFUNCTION("""COMPUTED_VALUE"""),1230.45)</f>
        <v>1230.45</v>
      </c>
      <c r="E4413" s="1">
        <f>IFERROR(__xludf.DUMMYFUNCTION("""COMPUTED_VALUE"""),1237.45)</f>
        <v>1237.45</v>
      </c>
      <c r="F4413" s="1">
        <f>IFERROR(__xludf.DUMMYFUNCTION("""COMPUTED_VALUE"""),722440.0)</f>
        <v>722440</v>
      </c>
    </row>
    <row r="4414">
      <c r="A4414" s="2">
        <f>IFERROR(__xludf.DUMMYFUNCTION("""COMPUTED_VALUE"""),43040.64583333333)</f>
        <v>43040.64583</v>
      </c>
      <c r="B4414" s="1">
        <f>IFERROR(__xludf.DUMMYFUNCTION("""COMPUTED_VALUE"""),1238.7)</f>
        <v>1238.7</v>
      </c>
      <c r="C4414" s="1">
        <f>IFERROR(__xludf.DUMMYFUNCTION("""COMPUTED_VALUE"""),1263.0)</f>
        <v>1263</v>
      </c>
      <c r="D4414" s="1">
        <f>IFERROR(__xludf.DUMMYFUNCTION("""COMPUTED_VALUE"""),1238.0)</f>
        <v>1238</v>
      </c>
      <c r="E4414" s="1">
        <f>IFERROR(__xludf.DUMMYFUNCTION("""COMPUTED_VALUE"""),1258.0)</f>
        <v>1258</v>
      </c>
      <c r="F4414" s="1">
        <f>IFERROR(__xludf.DUMMYFUNCTION("""COMPUTED_VALUE"""),1243886.0)</f>
        <v>1243886</v>
      </c>
    </row>
    <row r="4415">
      <c r="A4415" s="2">
        <f>IFERROR(__xludf.DUMMYFUNCTION("""COMPUTED_VALUE"""),43041.64583333333)</f>
        <v>43041.64583</v>
      </c>
      <c r="B4415" s="1">
        <f>IFERROR(__xludf.DUMMYFUNCTION("""COMPUTED_VALUE"""),1261.0)</f>
        <v>1261</v>
      </c>
      <c r="C4415" s="1">
        <f>IFERROR(__xludf.DUMMYFUNCTION("""COMPUTED_VALUE"""),1261.05)</f>
        <v>1261.05</v>
      </c>
      <c r="D4415" s="1">
        <f>IFERROR(__xludf.DUMMYFUNCTION("""COMPUTED_VALUE"""),1238.05)</f>
        <v>1238.05</v>
      </c>
      <c r="E4415" s="1">
        <f>IFERROR(__xludf.DUMMYFUNCTION("""COMPUTED_VALUE"""),1241.5)</f>
        <v>1241.5</v>
      </c>
      <c r="F4415" s="1">
        <f>IFERROR(__xludf.DUMMYFUNCTION("""COMPUTED_VALUE"""),762274.0)</f>
        <v>762274</v>
      </c>
    </row>
    <row r="4416">
      <c r="A4416" s="2">
        <f>IFERROR(__xludf.DUMMYFUNCTION("""COMPUTED_VALUE"""),43042.64583333333)</f>
        <v>43042.64583</v>
      </c>
      <c r="B4416" s="1">
        <f>IFERROR(__xludf.DUMMYFUNCTION("""COMPUTED_VALUE"""),1245.0)</f>
        <v>1245</v>
      </c>
      <c r="C4416" s="1">
        <f>IFERROR(__xludf.DUMMYFUNCTION("""COMPUTED_VALUE"""),1245.0)</f>
        <v>1245</v>
      </c>
      <c r="D4416" s="1">
        <f>IFERROR(__xludf.DUMMYFUNCTION("""COMPUTED_VALUE"""),1232.0)</f>
        <v>1232</v>
      </c>
      <c r="E4416" s="1">
        <f>IFERROR(__xludf.DUMMYFUNCTION("""COMPUTED_VALUE"""),1239.5)</f>
        <v>1239.5</v>
      </c>
      <c r="F4416" s="1">
        <f>IFERROR(__xludf.DUMMYFUNCTION("""COMPUTED_VALUE"""),656886.0)</f>
        <v>656886</v>
      </c>
    </row>
    <row r="4417">
      <c r="A4417" s="2">
        <f>IFERROR(__xludf.DUMMYFUNCTION("""COMPUTED_VALUE"""),43045.64583333333)</f>
        <v>43045.64583</v>
      </c>
      <c r="B4417" s="1">
        <f>IFERROR(__xludf.DUMMYFUNCTION("""COMPUTED_VALUE"""),1239.0)</f>
        <v>1239</v>
      </c>
      <c r="C4417" s="1">
        <f>IFERROR(__xludf.DUMMYFUNCTION("""COMPUTED_VALUE"""),1249.5)</f>
        <v>1249.5</v>
      </c>
      <c r="D4417" s="1">
        <f>IFERROR(__xludf.DUMMYFUNCTION("""COMPUTED_VALUE"""),1234.95)</f>
        <v>1234.95</v>
      </c>
      <c r="E4417" s="1">
        <f>IFERROR(__xludf.DUMMYFUNCTION("""COMPUTED_VALUE"""),1240.6)</f>
        <v>1240.6</v>
      </c>
      <c r="F4417" s="1">
        <f>IFERROR(__xludf.DUMMYFUNCTION("""COMPUTED_VALUE"""),532305.0)</f>
        <v>532305</v>
      </c>
    </row>
    <row r="4418">
      <c r="A4418" s="2">
        <f>IFERROR(__xludf.DUMMYFUNCTION("""COMPUTED_VALUE"""),43046.64583333333)</f>
        <v>43046.64583</v>
      </c>
      <c r="B4418" s="1">
        <f>IFERROR(__xludf.DUMMYFUNCTION("""COMPUTED_VALUE"""),1235.1)</f>
        <v>1235.1</v>
      </c>
      <c r="C4418" s="1">
        <f>IFERROR(__xludf.DUMMYFUNCTION("""COMPUTED_VALUE"""),1252.2)</f>
        <v>1252.2</v>
      </c>
      <c r="D4418" s="1">
        <f>IFERROR(__xludf.DUMMYFUNCTION("""COMPUTED_VALUE"""),1226.35)</f>
        <v>1226.35</v>
      </c>
      <c r="E4418" s="1">
        <f>IFERROR(__xludf.DUMMYFUNCTION("""COMPUTED_VALUE"""),1234.2)</f>
        <v>1234.2</v>
      </c>
      <c r="F4418" s="1">
        <f>IFERROR(__xludf.DUMMYFUNCTION("""COMPUTED_VALUE"""),949224.0)</f>
        <v>949224</v>
      </c>
    </row>
    <row r="4419">
      <c r="A4419" s="2">
        <f>IFERROR(__xludf.DUMMYFUNCTION("""COMPUTED_VALUE"""),43047.64583333333)</f>
        <v>43047.64583</v>
      </c>
      <c r="B4419" s="1">
        <f>IFERROR(__xludf.DUMMYFUNCTION("""COMPUTED_VALUE"""),1240.35)</f>
        <v>1240.35</v>
      </c>
      <c r="C4419" s="1">
        <f>IFERROR(__xludf.DUMMYFUNCTION("""COMPUTED_VALUE"""),1247.9)</f>
        <v>1247.9</v>
      </c>
      <c r="D4419" s="1">
        <f>IFERROR(__xludf.DUMMYFUNCTION("""COMPUTED_VALUE"""),1228.6)</f>
        <v>1228.6</v>
      </c>
      <c r="E4419" s="1">
        <f>IFERROR(__xludf.DUMMYFUNCTION("""COMPUTED_VALUE"""),1235.3)</f>
        <v>1235.3</v>
      </c>
      <c r="F4419" s="1">
        <f>IFERROR(__xludf.DUMMYFUNCTION("""COMPUTED_VALUE"""),872203.0)</f>
        <v>872203</v>
      </c>
    </row>
    <row r="4420">
      <c r="A4420" s="2">
        <f>IFERROR(__xludf.DUMMYFUNCTION("""COMPUTED_VALUE"""),43048.64583333333)</f>
        <v>43048.64583</v>
      </c>
      <c r="B4420" s="1">
        <f>IFERROR(__xludf.DUMMYFUNCTION("""COMPUTED_VALUE"""),1249.5)</f>
        <v>1249.5</v>
      </c>
      <c r="C4420" s="1">
        <f>IFERROR(__xludf.DUMMYFUNCTION("""COMPUTED_VALUE"""),1286.05)</f>
        <v>1286.05</v>
      </c>
      <c r="D4420" s="1">
        <f>IFERROR(__xludf.DUMMYFUNCTION("""COMPUTED_VALUE"""),1241.2)</f>
        <v>1241.2</v>
      </c>
      <c r="E4420" s="1">
        <f>IFERROR(__xludf.DUMMYFUNCTION("""COMPUTED_VALUE"""),1252.9)</f>
        <v>1252.9</v>
      </c>
      <c r="F4420" s="1">
        <f>IFERROR(__xludf.DUMMYFUNCTION("""COMPUTED_VALUE"""),1417669.0)</f>
        <v>1417669</v>
      </c>
    </row>
    <row r="4421">
      <c r="A4421" s="2">
        <f>IFERROR(__xludf.DUMMYFUNCTION("""COMPUTED_VALUE"""),43049.64583333333)</f>
        <v>43049.64583</v>
      </c>
      <c r="B4421" s="1">
        <f>IFERROR(__xludf.DUMMYFUNCTION("""COMPUTED_VALUE"""),1254.65)</f>
        <v>1254.65</v>
      </c>
      <c r="C4421" s="1">
        <f>IFERROR(__xludf.DUMMYFUNCTION("""COMPUTED_VALUE"""),1299.25)</f>
        <v>1299.25</v>
      </c>
      <c r="D4421" s="1">
        <f>IFERROR(__xludf.DUMMYFUNCTION("""COMPUTED_VALUE"""),1244.3)</f>
        <v>1244.3</v>
      </c>
      <c r="E4421" s="1">
        <f>IFERROR(__xludf.DUMMYFUNCTION("""COMPUTED_VALUE"""),1290.65)</f>
        <v>1290.65</v>
      </c>
      <c r="F4421" s="1">
        <f>IFERROR(__xludf.DUMMYFUNCTION("""COMPUTED_VALUE"""),1933002.0)</f>
        <v>1933002</v>
      </c>
    </row>
    <row r="4422">
      <c r="A4422" s="2">
        <f>IFERROR(__xludf.DUMMYFUNCTION("""COMPUTED_VALUE"""),43052.64583333333)</f>
        <v>43052.64583</v>
      </c>
      <c r="B4422" s="1">
        <f>IFERROR(__xludf.DUMMYFUNCTION("""COMPUTED_VALUE"""),1295.0)</f>
        <v>1295</v>
      </c>
      <c r="C4422" s="1">
        <f>IFERROR(__xludf.DUMMYFUNCTION("""COMPUTED_VALUE"""),1315.0)</f>
        <v>1315</v>
      </c>
      <c r="D4422" s="1">
        <f>IFERROR(__xludf.DUMMYFUNCTION("""COMPUTED_VALUE"""),1269.25)</f>
        <v>1269.25</v>
      </c>
      <c r="E4422" s="1">
        <f>IFERROR(__xludf.DUMMYFUNCTION("""COMPUTED_VALUE"""),1279.5)</f>
        <v>1279.5</v>
      </c>
      <c r="F4422" s="1">
        <f>IFERROR(__xludf.DUMMYFUNCTION("""COMPUTED_VALUE"""),1413270.0)</f>
        <v>1413270</v>
      </c>
    </row>
    <row r="4423">
      <c r="A4423" s="2">
        <f>IFERROR(__xludf.DUMMYFUNCTION("""COMPUTED_VALUE"""),43053.64583333333)</f>
        <v>43053.64583</v>
      </c>
      <c r="B4423" s="1">
        <f>IFERROR(__xludf.DUMMYFUNCTION("""COMPUTED_VALUE"""),1286.1)</f>
        <v>1286.1</v>
      </c>
      <c r="C4423" s="1">
        <f>IFERROR(__xludf.DUMMYFUNCTION("""COMPUTED_VALUE"""),1289.0)</f>
        <v>1289</v>
      </c>
      <c r="D4423" s="1">
        <f>IFERROR(__xludf.DUMMYFUNCTION("""COMPUTED_VALUE"""),1279.25)</f>
        <v>1279.25</v>
      </c>
      <c r="E4423" s="1">
        <f>IFERROR(__xludf.DUMMYFUNCTION("""COMPUTED_VALUE"""),1283.9)</f>
        <v>1283.9</v>
      </c>
      <c r="F4423" s="1">
        <f>IFERROR(__xludf.DUMMYFUNCTION("""COMPUTED_VALUE"""),1131348.0)</f>
        <v>1131348</v>
      </c>
    </row>
    <row r="4424">
      <c r="A4424" s="2">
        <f>IFERROR(__xludf.DUMMYFUNCTION("""COMPUTED_VALUE"""),43054.64583333333)</f>
        <v>43054.64583</v>
      </c>
      <c r="B4424" s="1">
        <f>IFERROR(__xludf.DUMMYFUNCTION("""COMPUTED_VALUE"""),1283.9)</f>
        <v>1283.9</v>
      </c>
      <c r="C4424" s="1">
        <f>IFERROR(__xludf.DUMMYFUNCTION("""COMPUTED_VALUE"""),1285.0)</f>
        <v>1285</v>
      </c>
      <c r="D4424" s="1">
        <f>IFERROR(__xludf.DUMMYFUNCTION("""COMPUTED_VALUE"""),1258.55)</f>
        <v>1258.55</v>
      </c>
      <c r="E4424" s="1">
        <f>IFERROR(__xludf.DUMMYFUNCTION("""COMPUTED_VALUE"""),1265.0)</f>
        <v>1265</v>
      </c>
      <c r="F4424" s="1">
        <f>IFERROR(__xludf.DUMMYFUNCTION("""COMPUTED_VALUE"""),1195740.0)</f>
        <v>1195740</v>
      </c>
    </row>
    <row r="4425">
      <c r="A4425" s="2">
        <f>IFERROR(__xludf.DUMMYFUNCTION("""COMPUTED_VALUE"""),43055.64583333333)</f>
        <v>43055.64583</v>
      </c>
      <c r="B4425" s="1">
        <f>IFERROR(__xludf.DUMMYFUNCTION("""COMPUTED_VALUE"""),1270.0)</f>
        <v>1270</v>
      </c>
      <c r="C4425" s="1">
        <f>IFERROR(__xludf.DUMMYFUNCTION("""COMPUTED_VALUE"""),1287.0)</f>
        <v>1287</v>
      </c>
      <c r="D4425" s="1">
        <f>IFERROR(__xludf.DUMMYFUNCTION("""COMPUTED_VALUE"""),1246.15)</f>
        <v>1246.15</v>
      </c>
      <c r="E4425" s="1">
        <f>IFERROR(__xludf.DUMMYFUNCTION("""COMPUTED_VALUE"""),1276.5)</f>
        <v>1276.5</v>
      </c>
      <c r="F4425" s="1">
        <f>IFERROR(__xludf.DUMMYFUNCTION("""COMPUTED_VALUE"""),911479.0)</f>
        <v>911479</v>
      </c>
    </row>
    <row r="4426">
      <c r="A4426" s="2">
        <f>IFERROR(__xludf.DUMMYFUNCTION("""COMPUTED_VALUE"""),43056.64583333333)</f>
        <v>43056.64583</v>
      </c>
      <c r="B4426" s="1">
        <f>IFERROR(__xludf.DUMMYFUNCTION("""COMPUTED_VALUE"""),1282.0)</f>
        <v>1282</v>
      </c>
      <c r="C4426" s="1">
        <f>IFERROR(__xludf.DUMMYFUNCTION("""COMPUTED_VALUE"""),1297.4)</f>
        <v>1297.4</v>
      </c>
      <c r="D4426" s="1">
        <f>IFERROR(__xludf.DUMMYFUNCTION("""COMPUTED_VALUE"""),1271.3)</f>
        <v>1271.3</v>
      </c>
      <c r="E4426" s="1">
        <f>IFERROR(__xludf.DUMMYFUNCTION("""COMPUTED_VALUE"""),1278.15)</f>
        <v>1278.15</v>
      </c>
      <c r="F4426" s="1">
        <f>IFERROR(__xludf.DUMMYFUNCTION("""COMPUTED_VALUE"""),1134503.0)</f>
        <v>1134503</v>
      </c>
    </row>
    <row r="4427">
      <c r="A4427" s="2">
        <f>IFERROR(__xludf.DUMMYFUNCTION("""COMPUTED_VALUE"""),43059.64583333333)</f>
        <v>43059.64583</v>
      </c>
      <c r="B4427" s="1">
        <f>IFERROR(__xludf.DUMMYFUNCTION("""COMPUTED_VALUE"""),1280.0)</f>
        <v>1280</v>
      </c>
      <c r="C4427" s="1">
        <f>IFERROR(__xludf.DUMMYFUNCTION("""COMPUTED_VALUE"""),1281.15)</f>
        <v>1281.15</v>
      </c>
      <c r="D4427" s="1">
        <f>IFERROR(__xludf.DUMMYFUNCTION("""COMPUTED_VALUE"""),1266.15)</f>
        <v>1266.15</v>
      </c>
      <c r="E4427" s="1">
        <f>IFERROR(__xludf.DUMMYFUNCTION("""COMPUTED_VALUE"""),1274.5)</f>
        <v>1274.5</v>
      </c>
      <c r="F4427" s="1">
        <f>IFERROR(__xludf.DUMMYFUNCTION("""COMPUTED_VALUE"""),707096.0)</f>
        <v>707096</v>
      </c>
    </row>
    <row r="4428">
      <c r="A4428" s="2">
        <f>IFERROR(__xludf.DUMMYFUNCTION("""COMPUTED_VALUE"""),43060.64583333333)</f>
        <v>43060.64583</v>
      </c>
      <c r="B4428" s="1">
        <f>IFERROR(__xludf.DUMMYFUNCTION("""COMPUTED_VALUE"""),1275.0)</f>
        <v>1275</v>
      </c>
      <c r="C4428" s="1">
        <f>IFERROR(__xludf.DUMMYFUNCTION("""COMPUTED_VALUE"""),1285.0)</f>
        <v>1285</v>
      </c>
      <c r="D4428" s="1">
        <f>IFERROR(__xludf.DUMMYFUNCTION("""COMPUTED_VALUE"""),1272.0)</f>
        <v>1272</v>
      </c>
      <c r="E4428" s="1">
        <f>IFERROR(__xludf.DUMMYFUNCTION("""COMPUTED_VALUE"""),1277.35)</f>
        <v>1277.35</v>
      </c>
      <c r="F4428" s="1">
        <f>IFERROR(__xludf.DUMMYFUNCTION("""COMPUTED_VALUE"""),828746.0)</f>
        <v>828746</v>
      </c>
    </row>
    <row r="4429">
      <c r="A4429" s="2">
        <f>IFERROR(__xludf.DUMMYFUNCTION("""COMPUTED_VALUE"""),43061.64583333333)</f>
        <v>43061.64583</v>
      </c>
      <c r="B4429" s="1">
        <f>IFERROR(__xludf.DUMMYFUNCTION("""COMPUTED_VALUE"""),1275.0)</f>
        <v>1275</v>
      </c>
      <c r="C4429" s="1">
        <f>IFERROR(__xludf.DUMMYFUNCTION("""COMPUTED_VALUE"""),1277.0)</f>
        <v>1277</v>
      </c>
      <c r="D4429" s="1">
        <f>IFERROR(__xludf.DUMMYFUNCTION("""COMPUTED_VALUE"""),1263.65)</f>
        <v>1263.65</v>
      </c>
      <c r="E4429" s="1">
        <f>IFERROR(__xludf.DUMMYFUNCTION("""COMPUTED_VALUE"""),1270.45)</f>
        <v>1270.45</v>
      </c>
      <c r="F4429" s="1">
        <f>IFERROR(__xludf.DUMMYFUNCTION("""COMPUTED_VALUE"""),646368.0)</f>
        <v>646368</v>
      </c>
    </row>
    <row r="4430">
      <c r="A4430" s="2">
        <f>IFERROR(__xludf.DUMMYFUNCTION("""COMPUTED_VALUE"""),43062.64583333333)</f>
        <v>43062.64583</v>
      </c>
      <c r="B4430" s="1">
        <f>IFERROR(__xludf.DUMMYFUNCTION("""COMPUTED_VALUE"""),1275.0)</f>
        <v>1275</v>
      </c>
      <c r="C4430" s="1">
        <f>IFERROR(__xludf.DUMMYFUNCTION("""COMPUTED_VALUE"""),1276.0)</f>
        <v>1276</v>
      </c>
      <c r="D4430" s="1">
        <f>IFERROR(__xludf.DUMMYFUNCTION("""COMPUTED_VALUE"""),1262.0)</f>
        <v>1262</v>
      </c>
      <c r="E4430" s="1">
        <f>IFERROR(__xludf.DUMMYFUNCTION("""COMPUTED_VALUE"""),1267.5)</f>
        <v>1267.5</v>
      </c>
      <c r="F4430" s="1">
        <f>IFERROR(__xludf.DUMMYFUNCTION("""COMPUTED_VALUE"""),891839.0)</f>
        <v>891839</v>
      </c>
    </row>
    <row r="4431">
      <c r="A4431" s="2">
        <f>IFERROR(__xludf.DUMMYFUNCTION("""COMPUTED_VALUE"""),43063.64583333333)</f>
        <v>43063.64583</v>
      </c>
      <c r="B4431" s="1">
        <f>IFERROR(__xludf.DUMMYFUNCTION("""COMPUTED_VALUE"""),1269.4)</f>
        <v>1269.4</v>
      </c>
      <c r="C4431" s="1">
        <f>IFERROR(__xludf.DUMMYFUNCTION("""COMPUTED_VALUE"""),1270.0)</f>
        <v>1270</v>
      </c>
      <c r="D4431" s="1">
        <f>IFERROR(__xludf.DUMMYFUNCTION("""COMPUTED_VALUE"""),1253.0)</f>
        <v>1253</v>
      </c>
      <c r="E4431" s="1">
        <f>IFERROR(__xludf.DUMMYFUNCTION("""COMPUTED_VALUE"""),1265.95)</f>
        <v>1265.95</v>
      </c>
      <c r="F4431" s="1">
        <f>IFERROR(__xludf.DUMMYFUNCTION("""COMPUTED_VALUE"""),971523.0)</f>
        <v>971523</v>
      </c>
    </row>
    <row r="4432">
      <c r="A4432" s="2">
        <f>IFERROR(__xludf.DUMMYFUNCTION("""COMPUTED_VALUE"""),43066.64583333333)</f>
        <v>43066.64583</v>
      </c>
      <c r="B4432" s="1">
        <f>IFERROR(__xludf.DUMMYFUNCTION("""COMPUTED_VALUE"""),1261.0)</f>
        <v>1261</v>
      </c>
      <c r="C4432" s="1">
        <f>IFERROR(__xludf.DUMMYFUNCTION("""COMPUTED_VALUE"""),1266.9)</f>
        <v>1266.9</v>
      </c>
      <c r="D4432" s="1">
        <f>IFERROR(__xludf.DUMMYFUNCTION("""COMPUTED_VALUE"""),1250.55)</f>
        <v>1250.55</v>
      </c>
      <c r="E4432" s="1">
        <f>IFERROR(__xludf.DUMMYFUNCTION("""COMPUTED_VALUE"""),1260.3)</f>
        <v>1260.3</v>
      </c>
      <c r="F4432" s="1">
        <f>IFERROR(__xludf.DUMMYFUNCTION("""COMPUTED_VALUE"""),763155.0)</f>
        <v>763155</v>
      </c>
    </row>
    <row r="4433">
      <c r="A4433" s="2">
        <f>IFERROR(__xludf.DUMMYFUNCTION("""COMPUTED_VALUE"""),43067.64583333333)</f>
        <v>43067.64583</v>
      </c>
      <c r="B4433" s="1">
        <f>IFERROR(__xludf.DUMMYFUNCTION("""COMPUTED_VALUE"""),1263.0)</f>
        <v>1263</v>
      </c>
      <c r="C4433" s="1">
        <f>IFERROR(__xludf.DUMMYFUNCTION("""COMPUTED_VALUE"""),1272.95)</f>
        <v>1272.95</v>
      </c>
      <c r="D4433" s="1">
        <f>IFERROR(__xludf.DUMMYFUNCTION("""COMPUTED_VALUE"""),1262.4)</f>
        <v>1262.4</v>
      </c>
      <c r="E4433" s="1">
        <f>IFERROR(__xludf.DUMMYFUNCTION("""COMPUTED_VALUE"""),1267.85)</f>
        <v>1267.85</v>
      </c>
      <c r="F4433" s="1">
        <f>IFERROR(__xludf.DUMMYFUNCTION("""COMPUTED_VALUE"""),975006.0)</f>
        <v>975006</v>
      </c>
    </row>
    <row r="4434">
      <c r="A4434" s="2">
        <f>IFERROR(__xludf.DUMMYFUNCTION("""COMPUTED_VALUE"""),43068.64583333333)</f>
        <v>43068.64583</v>
      </c>
      <c r="B4434" s="1">
        <f>IFERROR(__xludf.DUMMYFUNCTION("""COMPUTED_VALUE"""),1267.85)</f>
        <v>1267.85</v>
      </c>
      <c r="C4434" s="1">
        <f>IFERROR(__xludf.DUMMYFUNCTION("""COMPUTED_VALUE"""),1281.1)</f>
        <v>1281.1</v>
      </c>
      <c r="D4434" s="1">
        <f>IFERROR(__xludf.DUMMYFUNCTION("""COMPUTED_VALUE"""),1263.5)</f>
        <v>1263.5</v>
      </c>
      <c r="E4434" s="1">
        <f>IFERROR(__xludf.DUMMYFUNCTION("""COMPUTED_VALUE"""),1276.15)</f>
        <v>1276.15</v>
      </c>
      <c r="F4434" s="1">
        <f>IFERROR(__xludf.DUMMYFUNCTION("""COMPUTED_VALUE"""),819468.0)</f>
        <v>819468</v>
      </c>
    </row>
    <row r="4435">
      <c r="A4435" s="2">
        <f>IFERROR(__xludf.DUMMYFUNCTION("""COMPUTED_VALUE"""),43069.64583333333)</f>
        <v>43069.64583</v>
      </c>
      <c r="B4435" s="1">
        <f>IFERROR(__xludf.DUMMYFUNCTION("""COMPUTED_VALUE"""),1273.0)</f>
        <v>1273</v>
      </c>
      <c r="C4435" s="1">
        <f>IFERROR(__xludf.DUMMYFUNCTION("""COMPUTED_VALUE"""),1276.15)</f>
        <v>1276.15</v>
      </c>
      <c r="D4435" s="1">
        <f>IFERROR(__xludf.DUMMYFUNCTION("""COMPUTED_VALUE"""),1258.0)</f>
        <v>1258</v>
      </c>
      <c r="E4435" s="1">
        <f>IFERROR(__xludf.DUMMYFUNCTION("""COMPUTED_VALUE"""),1272.45)</f>
        <v>1272.45</v>
      </c>
      <c r="F4435" s="1">
        <f>IFERROR(__xludf.DUMMYFUNCTION("""COMPUTED_VALUE"""),2308732.0)</f>
        <v>2308732</v>
      </c>
    </row>
    <row r="4436">
      <c r="A4436" s="2">
        <f>IFERROR(__xludf.DUMMYFUNCTION("""COMPUTED_VALUE"""),43070.64583333333)</f>
        <v>43070.64583</v>
      </c>
      <c r="B4436" s="1">
        <f>IFERROR(__xludf.DUMMYFUNCTION("""COMPUTED_VALUE"""),1272.45)</f>
        <v>1272.45</v>
      </c>
      <c r="C4436" s="1">
        <f>IFERROR(__xludf.DUMMYFUNCTION("""COMPUTED_VALUE"""),1278.75)</f>
        <v>1278.75</v>
      </c>
      <c r="D4436" s="1">
        <f>IFERROR(__xludf.DUMMYFUNCTION("""COMPUTED_VALUE"""),1245.25)</f>
        <v>1245.25</v>
      </c>
      <c r="E4436" s="1">
        <f>IFERROR(__xludf.DUMMYFUNCTION("""COMPUTED_VALUE"""),1250.5)</f>
        <v>1250.5</v>
      </c>
      <c r="F4436" s="1">
        <f>IFERROR(__xludf.DUMMYFUNCTION("""COMPUTED_VALUE"""),470360.0)</f>
        <v>470360</v>
      </c>
    </row>
    <row r="4437">
      <c r="A4437" s="2">
        <f>IFERROR(__xludf.DUMMYFUNCTION("""COMPUTED_VALUE"""),43073.64583333333)</f>
        <v>43073.64583</v>
      </c>
      <c r="B4437" s="1">
        <f>IFERROR(__xludf.DUMMYFUNCTION("""COMPUTED_VALUE"""),1256.65)</f>
        <v>1256.65</v>
      </c>
      <c r="C4437" s="1">
        <f>IFERROR(__xludf.DUMMYFUNCTION("""COMPUTED_VALUE"""),1274.0)</f>
        <v>1274</v>
      </c>
      <c r="D4437" s="1">
        <f>IFERROR(__xludf.DUMMYFUNCTION("""COMPUTED_VALUE"""),1241.2)</f>
        <v>1241.2</v>
      </c>
      <c r="E4437" s="1">
        <f>IFERROR(__xludf.DUMMYFUNCTION("""COMPUTED_VALUE"""),1268.6)</f>
        <v>1268.6</v>
      </c>
      <c r="F4437" s="1">
        <f>IFERROR(__xludf.DUMMYFUNCTION("""COMPUTED_VALUE"""),833814.0)</f>
        <v>833814</v>
      </c>
    </row>
    <row r="4438">
      <c r="A4438" s="2">
        <f>IFERROR(__xludf.DUMMYFUNCTION("""COMPUTED_VALUE"""),43074.64583333333)</f>
        <v>43074.64583</v>
      </c>
      <c r="B4438" s="1">
        <f>IFERROR(__xludf.DUMMYFUNCTION("""COMPUTED_VALUE"""),1274.0)</f>
        <v>1274</v>
      </c>
      <c r="C4438" s="1">
        <f>IFERROR(__xludf.DUMMYFUNCTION("""COMPUTED_VALUE"""),1274.0)</f>
        <v>1274</v>
      </c>
      <c r="D4438" s="1">
        <f>IFERROR(__xludf.DUMMYFUNCTION("""COMPUTED_VALUE"""),1255.0)</f>
        <v>1255</v>
      </c>
      <c r="E4438" s="1">
        <f>IFERROR(__xludf.DUMMYFUNCTION("""COMPUTED_VALUE"""),1261.0)</f>
        <v>1261</v>
      </c>
      <c r="F4438" s="1">
        <f>IFERROR(__xludf.DUMMYFUNCTION("""COMPUTED_VALUE"""),862459.0)</f>
        <v>862459</v>
      </c>
    </row>
    <row r="4439">
      <c r="A4439" s="2">
        <f>IFERROR(__xludf.DUMMYFUNCTION("""COMPUTED_VALUE"""),43075.64583333333)</f>
        <v>43075.64583</v>
      </c>
      <c r="B4439" s="1">
        <f>IFERROR(__xludf.DUMMYFUNCTION("""COMPUTED_VALUE"""),1258.25)</f>
        <v>1258.25</v>
      </c>
      <c r="C4439" s="1">
        <f>IFERROR(__xludf.DUMMYFUNCTION("""COMPUTED_VALUE"""),1282.3)</f>
        <v>1282.3</v>
      </c>
      <c r="D4439" s="1">
        <f>IFERROR(__xludf.DUMMYFUNCTION("""COMPUTED_VALUE"""),1255.6)</f>
        <v>1255.6</v>
      </c>
      <c r="E4439" s="1">
        <f>IFERROR(__xludf.DUMMYFUNCTION("""COMPUTED_VALUE"""),1275.6)</f>
        <v>1275.6</v>
      </c>
      <c r="F4439" s="1">
        <f>IFERROR(__xludf.DUMMYFUNCTION("""COMPUTED_VALUE"""),1516859.0)</f>
        <v>1516859</v>
      </c>
    </row>
    <row r="4440">
      <c r="A4440" s="2">
        <f>IFERROR(__xludf.DUMMYFUNCTION("""COMPUTED_VALUE"""),43076.64583333333)</f>
        <v>43076.64583</v>
      </c>
      <c r="B4440" s="1">
        <f>IFERROR(__xludf.DUMMYFUNCTION("""COMPUTED_VALUE"""),1277.2)</f>
        <v>1277.2</v>
      </c>
      <c r="C4440" s="1">
        <f>IFERROR(__xludf.DUMMYFUNCTION("""COMPUTED_VALUE"""),1298.85)</f>
        <v>1298.85</v>
      </c>
      <c r="D4440" s="1">
        <f>IFERROR(__xludf.DUMMYFUNCTION("""COMPUTED_VALUE"""),1272.05)</f>
        <v>1272.05</v>
      </c>
      <c r="E4440" s="1">
        <f>IFERROR(__xludf.DUMMYFUNCTION("""COMPUTED_VALUE"""),1296.0)</f>
        <v>1296</v>
      </c>
      <c r="F4440" s="1">
        <f>IFERROR(__xludf.DUMMYFUNCTION("""COMPUTED_VALUE"""),1407824.0)</f>
        <v>1407824</v>
      </c>
    </row>
    <row r="4441">
      <c r="A4441" s="2">
        <f>IFERROR(__xludf.DUMMYFUNCTION("""COMPUTED_VALUE"""),43077.64583333333)</f>
        <v>43077.64583</v>
      </c>
      <c r="B4441" s="1">
        <f>IFERROR(__xludf.DUMMYFUNCTION("""COMPUTED_VALUE"""),1296.4)</f>
        <v>1296.4</v>
      </c>
      <c r="C4441" s="1">
        <f>IFERROR(__xludf.DUMMYFUNCTION("""COMPUTED_VALUE"""),1331.0)</f>
        <v>1331</v>
      </c>
      <c r="D4441" s="1">
        <f>IFERROR(__xludf.DUMMYFUNCTION("""COMPUTED_VALUE"""),1291.3)</f>
        <v>1291.3</v>
      </c>
      <c r="E4441" s="1">
        <f>IFERROR(__xludf.DUMMYFUNCTION("""COMPUTED_VALUE"""),1326.65)</f>
        <v>1326.65</v>
      </c>
      <c r="F4441" s="1">
        <f>IFERROR(__xludf.DUMMYFUNCTION("""COMPUTED_VALUE"""),1267860.0)</f>
        <v>1267860</v>
      </c>
    </row>
    <row r="4442">
      <c r="A4442" s="2">
        <f>IFERROR(__xludf.DUMMYFUNCTION("""COMPUTED_VALUE"""),43080.64583333333)</f>
        <v>43080.64583</v>
      </c>
      <c r="B4442" s="1">
        <f>IFERROR(__xludf.DUMMYFUNCTION("""COMPUTED_VALUE"""),1329.0)</f>
        <v>1329</v>
      </c>
      <c r="C4442" s="1">
        <f>IFERROR(__xludf.DUMMYFUNCTION("""COMPUTED_VALUE"""),1329.0)</f>
        <v>1329</v>
      </c>
      <c r="D4442" s="1">
        <f>IFERROR(__xludf.DUMMYFUNCTION("""COMPUTED_VALUE"""),1311.65)</f>
        <v>1311.65</v>
      </c>
      <c r="E4442" s="1">
        <f>IFERROR(__xludf.DUMMYFUNCTION("""COMPUTED_VALUE"""),1324.05)</f>
        <v>1324.05</v>
      </c>
      <c r="F4442" s="1">
        <f>IFERROR(__xludf.DUMMYFUNCTION("""COMPUTED_VALUE"""),597953.0)</f>
        <v>597953</v>
      </c>
    </row>
    <row r="4443">
      <c r="A4443" s="2">
        <f>IFERROR(__xludf.DUMMYFUNCTION("""COMPUTED_VALUE"""),43081.64583333333)</f>
        <v>43081.64583</v>
      </c>
      <c r="B4443" s="1">
        <f>IFERROR(__xludf.DUMMYFUNCTION("""COMPUTED_VALUE"""),1319.1)</f>
        <v>1319.1</v>
      </c>
      <c r="C4443" s="1">
        <f>IFERROR(__xludf.DUMMYFUNCTION("""COMPUTED_VALUE"""),1324.0)</f>
        <v>1324</v>
      </c>
      <c r="D4443" s="1">
        <f>IFERROR(__xludf.DUMMYFUNCTION("""COMPUTED_VALUE"""),1308.65)</f>
        <v>1308.65</v>
      </c>
      <c r="E4443" s="1">
        <f>IFERROR(__xludf.DUMMYFUNCTION("""COMPUTED_VALUE"""),1314.65)</f>
        <v>1314.65</v>
      </c>
      <c r="F4443" s="1">
        <f>IFERROR(__xludf.DUMMYFUNCTION("""COMPUTED_VALUE"""),873443.0)</f>
        <v>873443</v>
      </c>
    </row>
    <row r="4444">
      <c r="A4444" s="2">
        <f>IFERROR(__xludf.DUMMYFUNCTION("""COMPUTED_VALUE"""),43082.64583333333)</f>
        <v>43082.64583</v>
      </c>
      <c r="B4444" s="1">
        <f>IFERROR(__xludf.DUMMYFUNCTION("""COMPUTED_VALUE"""),1319.4)</f>
        <v>1319.4</v>
      </c>
      <c r="C4444" s="1">
        <f>IFERROR(__xludf.DUMMYFUNCTION("""COMPUTED_VALUE"""),1337.0)</f>
        <v>1337</v>
      </c>
      <c r="D4444" s="1">
        <f>IFERROR(__xludf.DUMMYFUNCTION("""COMPUTED_VALUE"""),1306.2)</f>
        <v>1306.2</v>
      </c>
      <c r="E4444" s="1">
        <f>IFERROR(__xludf.DUMMYFUNCTION("""COMPUTED_VALUE"""),1315.05)</f>
        <v>1315.05</v>
      </c>
      <c r="F4444" s="1">
        <f>IFERROR(__xludf.DUMMYFUNCTION("""COMPUTED_VALUE"""),917877.0)</f>
        <v>917877</v>
      </c>
    </row>
    <row r="4445">
      <c r="A4445" s="2">
        <f>IFERROR(__xludf.DUMMYFUNCTION("""COMPUTED_VALUE"""),43083.64583333333)</f>
        <v>43083.64583</v>
      </c>
      <c r="B4445" s="1">
        <f>IFERROR(__xludf.DUMMYFUNCTION("""COMPUTED_VALUE"""),1314.0)</f>
        <v>1314</v>
      </c>
      <c r="C4445" s="1">
        <f>IFERROR(__xludf.DUMMYFUNCTION("""COMPUTED_VALUE"""),1326.85)</f>
        <v>1326.85</v>
      </c>
      <c r="D4445" s="1">
        <f>IFERROR(__xludf.DUMMYFUNCTION("""COMPUTED_VALUE"""),1304.25)</f>
        <v>1304.25</v>
      </c>
      <c r="E4445" s="1">
        <f>IFERROR(__xludf.DUMMYFUNCTION("""COMPUTED_VALUE"""),1321.6)</f>
        <v>1321.6</v>
      </c>
      <c r="F4445" s="1">
        <f>IFERROR(__xludf.DUMMYFUNCTION("""COMPUTED_VALUE"""),834383.0)</f>
        <v>834383</v>
      </c>
    </row>
    <row r="4446">
      <c r="A4446" s="2">
        <f>IFERROR(__xludf.DUMMYFUNCTION("""COMPUTED_VALUE"""),43084.64583333333)</f>
        <v>43084.64583</v>
      </c>
      <c r="B4446" s="1">
        <f>IFERROR(__xludf.DUMMYFUNCTION("""COMPUTED_VALUE"""),1328.3)</f>
        <v>1328.3</v>
      </c>
      <c r="C4446" s="1">
        <f>IFERROR(__xludf.DUMMYFUNCTION("""COMPUTED_VALUE"""),1335.0)</f>
        <v>1335</v>
      </c>
      <c r="D4446" s="1">
        <f>IFERROR(__xludf.DUMMYFUNCTION("""COMPUTED_VALUE"""),1310.6)</f>
        <v>1310.6</v>
      </c>
      <c r="E4446" s="1">
        <f>IFERROR(__xludf.DUMMYFUNCTION("""COMPUTED_VALUE"""),1324.55)</f>
        <v>1324.55</v>
      </c>
      <c r="F4446" s="1">
        <f>IFERROR(__xludf.DUMMYFUNCTION("""COMPUTED_VALUE"""),1420357.0)</f>
        <v>1420357</v>
      </c>
    </row>
    <row r="4447">
      <c r="A4447" s="2">
        <f>IFERROR(__xludf.DUMMYFUNCTION("""COMPUTED_VALUE"""),43087.64583333333)</f>
        <v>43087.64583</v>
      </c>
      <c r="B4447" s="1">
        <f>IFERROR(__xludf.DUMMYFUNCTION("""COMPUTED_VALUE"""),1320.0)</f>
        <v>1320</v>
      </c>
      <c r="C4447" s="1">
        <f>IFERROR(__xludf.DUMMYFUNCTION("""COMPUTED_VALUE"""),1345.0)</f>
        <v>1345</v>
      </c>
      <c r="D4447" s="1">
        <f>IFERROR(__xludf.DUMMYFUNCTION("""COMPUTED_VALUE"""),1300.95)</f>
        <v>1300.95</v>
      </c>
      <c r="E4447" s="1">
        <f>IFERROR(__xludf.DUMMYFUNCTION("""COMPUTED_VALUE"""),1331.75)</f>
        <v>1331.75</v>
      </c>
      <c r="F4447" s="1">
        <f>IFERROR(__xludf.DUMMYFUNCTION("""COMPUTED_VALUE"""),918171.0)</f>
        <v>918171</v>
      </c>
    </row>
    <row r="4448">
      <c r="A4448" s="2">
        <f>IFERROR(__xludf.DUMMYFUNCTION("""COMPUTED_VALUE"""),43088.64583333333)</f>
        <v>43088.64583</v>
      </c>
      <c r="B4448" s="1">
        <f>IFERROR(__xludf.DUMMYFUNCTION("""COMPUTED_VALUE"""),1333.1)</f>
        <v>1333.1</v>
      </c>
      <c r="C4448" s="1">
        <f>IFERROR(__xludf.DUMMYFUNCTION("""COMPUTED_VALUE"""),1352.0)</f>
        <v>1352</v>
      </c>
      <c r="D4448" s="1">
        <f>IFERROR(__xludf.DUMMYFUNCTION("""COMPUTED_VALUE"""),1326.5)</f>
        <v>1326.5</v>
      </c>
      <c r="E4448" s="1">
        <f>IFERROR(__xludf.DUMMYFUNCTION("""COMPUTED_VALUE"""),1349.7)</f>
        <v>1349.7</v>
      </c>
      <c r="F4448" s="1">
        <f>IFERROR(__xludf.DUMMYFUNCTION("""COMPUTED_VALUE"""),1227087.0)</f>
        <v>1227087</v>
      </c>
    </row>
    <row r="4449">
      <c r="A4449" s="2">
        <f>IFERROR(__xludf.DUMMYFUNCTION("""COMPUTED_VALUE"""),43089.64583333333)</f>
        <v>43089.64583</v>
      </c>
      <c r="B4449" s="1">
        <f>IFERROR(__xludf.DUMMYFUNCTION("""COMPUTED_VALUE"""),1346.2)</f>
        <v>1346.2</v>
      </c>
      <c r="C4449" s="1">
        <f>IFERROR(__xludf.DUMMYFUNCTION("""COMPUTED_VALUE"""),1367.95)</f>
        <v>1367.95</v>
      </c>
      <c r="D4449" s="1">
        <f>IFERROR(__xludf.DUMMYFUNCTION("""COMPUTED_VALUE"""),1333.5)</f>
        <v>1333.5</v>
      </c>
      <c r="E4449" s="1">
        <f>IFERROR(__xludf.DUMMYFUNCTION("""COMPUTED_VALUE"""),1362.65)</f>
        <v>1362.65</v>
      </c>
      <c r="F4449" s="1">
        <f>IFERROR(__xludf.DUMMYFUNCTION("""COMPUTED_VALUE"""),1198943.0)</f>
        <v>1198943</v>
      </c>
    </row>
    <row r="4450">
      <c r="A4450" s="2">
        <f>IFERROR(__xludf.DUMMYFUNCTION("""COMPUTED_VALUE"""),43090.64583333333)</f>
        <v>43090.64583</v>
      </c>
      <c r="B4450" s="1">
        <f>IFERROR(__xludf.DUMMYFUNCTION("""COMPUTED_VALUE"""),1365.0)</f>
        <v>1365</v>
      </c>
      <c r="C4450" s="1">
        <f>IFERROR(__xludf.DUMMYFUNCTION("""COMPUTED_VALUE"""),1365.15)</f>
        <v>1365.15</v>
      </c>
      <c r="D4450" s="1">
        <f>IFERROR(__xludf.DUMMYFUNCTION("""COMPUTED_VALUE"""),1345.1)</f>
        <v>1345.1</v>
      </c>
      <c r="E4450" s="1">
        <f>IFERROR(__xludf.DUMMYFUNCTION("""COMPUTED_VALUE"""),1348.45)</f>
        <v>1348.45</v>
      </c>
      <c r="F4450" s="1">
        <f>IFERROR(__xludf.DUMMYFUNCTION("""COMPUTED_VALUE"""),557871.0)</f>
        <v>557871</v>
      </c>
    </row>
    <row r="4451">
      <c r="A4451" s="2">
        <f>IFERROR(__xludf.DUMMYFUNCTION("""COMPUTED_VALUE"""),43091.64583333333)</f>
        <v>43091.64583</v>
      </c>
      <c r="B4451" s="1">
        <f>IFERROR(__xludf.DUMMYFUNCTION("""COMPUTED_VALUE"""),1341.3)</f>
        <v>1341.3</v>
      </c>
      <c r="C4451" s="1">
        <f>IFERROR(__xludf.DUMMYFUNCTION("""COMPUTED_VALUE"""),1359.5)</f>
        <v>1359.5</v>
      </c>
      <c r="D4451" s="1">
        <f>IFERROR(__xludf.DUMMYFUNCTION("""COMPUTED_VALUE"""),1341.3)</f>
        <v>1341.3</v>
      </c>
      <c r="E4451" s="1">
        <f>IFERROR(__xludf.DUMMYFUNCTION("""COMPUTED_VALUE"""),1356.5)</f>
        <v>1356.5</v>
      </c>
      <c r="F4451" s="1">
        <f>IFERROR(__xludf.DUMMYFUNCTION("""COMPUTED_VALUE"""),561400.0)</f>
        <v>561400</v>
      </c>
    </row>
    <row r="4452">
      <c r="A4452" s="2">
        <f>IFERROR(__xludf.DUMMYFUNCTION("""COMPUTED_VALUE"""),43095.64583333333)</f>
        <v>43095.64583</v>
      </c>
      <c r="B4452" s="1">
        <f>IFERROR(__xludf.DUMMYFUNCTION("""COMPUTED_VALUE"""),1350.4)</f>
        <v>1350.4</v>
      </c>
      <c r="C4452" s="1">
        <f>IFERROR(__xludf.DUMMYFUNCTION("""COMPUTED_VALUE"""),1353.9)</f>
        <v>1353.9</v>
      </c>
      <c r="D4452" s="1">
        <f>IFERROR(__xludf.DUMMYFUNCTION("""COMPUTED_VALUE"""),1340.0)</f>
        <v>1340</v>
      </c>
      <c r="E4452" s="1">
        <f>IFERROR(__xludf.DUMMYFUNCTION("""COMPUTED_VALUE"""),1348.1)</f>
        <v>1348.1</v>
      </c>
      <c r="F4452" s="1">
        <f>IFERROR(__xludf.DUMMYFUNCTION("""COMPUTED_VALUE"""),913529.0)</f>
        <v>913529</v>
      </c>
    </row>
    <row r="4453">
      <c r="A4453" s="2">
        <f>IFERROR(__xludf.DUMMYFUNCTION("""COMPUTED_VALUE"""),43096.64583333333)</f>
        <v>43096.64583</v>
      </c>
      <c r="B4453" s="1">
        <f>IFERROR(__xludf.DUMMYFUNCTION("""COMPUTED_VALUE"""),1350.8)</f>
        <v>1350.8</v>
      </c>
      <c r="C4453" s="1">
        <f>IFERROR(__xludf.DUMMYFUNCTION("""COMPUTED_VALUE"""),1364.0)</f>
        <v>1364</v>
      </c>
      <c r="D4453" s="1">
        <f>IFERROR(__xludf.DUMMYFUNCTION("""COMPUTED_VALUE"""),1342.65)</f>
        <v>1342.65</v>
      </c>
      <c r="E4453" s="1">
        <f>IFERROR(__xludf.DUMMYFUNCTION("""COMPUTED_VALUE"""),1352.45)</f>
        <v>1352.45</v>
      </c>
      <c r="F4453" s="1">
        <f>IFERROR(__xludf.DUMMYFUNCTION("""COMPUTED_VALUE"""),569851.0)</f>
        <v>569851</v>
      </c>
    </row>
    <row r="4454">
      <c r="A4454" s="2">
        <f>IFERROR(__xludf.DUMMYFUNCTION("""COMPUTED_VALUE"""),43097.64583333333)</f>
        <v>43097.64583</v>
      </c>
      <c r="B4454" s="1">
        <f>IFERROR(__xludf.DUMMYFUNCTION("""COMPUTED_VALUE"""),1358.0)</f>
        <v>1358</v>
      </c>
      <c r="C4454" s="1">
        <f>IFERROR(__xludf.DUMMYFUNCTION("""COMPUTED_VALUE"""),1382.8)</f>
        <v>1382.8</v>
      </c>
      <c r="D4454" s="1">
        <f>IFERROR(__xludf.DUMMYFUNCTION("""COMPUTED_VALUE"""),1348.8)</f>
        <v>1348.8</v>
      </c>
      <c r="E4454" s="1">
        <f>IFERROR(__xludf.DUMMYFUNCTION("""COMPUTED_VALUE"""),1354.5)</f>
        <v>1354.5</v>
      </c>
      <c r="F4454" s="1">
        <f>IFERROR(__xludf.DUMMYFUNCTION("""COMPUTED_VALUE"""),2608574.0)</f>
        <v>2608574</v>
      </c>
    </row>
    <row r="4455">
      <c r="A4455" s="2">
        <f>IFERROR(__xludf.DUMMYFUNCTION("""COMPUTED_VALUE"""),43098.64583333333)</f>
        <v>43098.64583</v>
      </c>
      <c r="B4455" s="1">
        <f>IFERROR(__xludf.DUMMYFUNCTION("""COMPUTED_VALUE"""),1359.0)</f>
        <v>1359</v>
      </c>
      <c r="C4455" s="1">
        <f>IFERROR(__xludf.DUMMYFUNCTION("""COMPUTED_VALUE"""),1374.9)</f>
        <v>1374.9</v>
      </c>
      <c r="D4455" s="1">
        <f>IFERROR(__xludf.DUMMYFUNCTION("""COMPUTED_VALUE"""),1350.0)</f>
        <v>1350</v>
      </c>
      <c r="E4455" s="1">
        <f>IFERROR(__xludf.DUMMYFUNCTION("""COMPUTED_VALUE"""),1367.85)</f>
        <v>1367.85</v>
      </c>
      <c r="F4455" s="1">
        <f>IFERROR(__xludf.DUMMYFUNCTION("""COMPUTED_VALUE"""),799006.0)</f>
        <v>799006</v>
      </c>
    </row>
    <row r="4456">
      <c r="A4456" s="2">
        <f>IFERROR(__xludf.DUMMYFUNCTION("""COMPUTED_VALUE"""),43101.64583333333)</f>
        <v>43101.64583</v>
      </c>
      <c r="B4456" s="1">
        <f>IFERROR(__xludf.DUMMYFUNCTION("""COMPUTED_VALUE"""),1367.0)</f>
        <v>1367</v>
      </c>
      <c r="C4456" s="1">
        <f>IFERROR(__xludf.DUMMYFUNCTION("""COMPUTED_VALUE"""),1367.0)</f>
        <v>1367</v>
      </c>
      <c r="D4456" s="1">
        <f>IFERROR(__xludf.DUMMYFUNCTION("""COMPUTED_VALUE"""),1340.05)</f>
        <v>1340.05</v>
      </c>
      <c r="E4456" s="1">
        <f>IFERROR(__xludf.DUMMYFUNCTION("""COMPUTED_VALUE"""),1344.5)</f>
        <v>1344.5</v>
      </c>
      <c r="F4456" s="1">
        <f>IFERROR(__xludf.DUMMYFUNCTION("""COMPUTED_VALUE"""),746852.0)</f>
        <v>746852</v>
      </c>
    </row>
    <row r="4457">
      <c r="A4457" s="2">
        <f>IFERROR(__xludf.DUMMYFUNCTION("""COMPUTED_VALUE"""),43102.64583333333)</f>
        <v>43102.64583</v>
      </c>
      <c r="B4457" s="1">
        <f>IFERROR(__xludf.DUMMYFUNCTION("""COMPUTED_VALUE"""),1345.0)</f>
        <v>1345</v>
      </c>
      <c r="C4457" s="1">
        <f>IFERROR(__xludf.DUMMYFUNCTION("""COMPUTED_VALUE"""),1349.8)</f>
        <v>1349.8</v>
      </c>
      <c r="D4457" s="1">
        <f>IFERROR(__xludf.DUMMYFUNCTION("""COMPUTED_VALUE"""),1328.55)</f>
        <v>1328.55</v>
      </c>
      <c r="E4457" s="1">
        <f>IFERROR(__xludf.DUMMYFUNCTION("""COMPUTED_VALUE"""),1338.6)</f>
        <v>1338.6</v>
      </c>
      <c r="F4457" s="1">
        <f>IFERROR(__xludf.DUMMYFUNCTION("""COMPUTED_VALUE"""),695988.0)</f>
        <v>695988</v>
      </c>
    </row>
    <row r="4458">
      <c r="A4458" s="2">
        <f>IFERROR(__xludf.DUMMYFUNCTION("""COMPUTED_VALUE"""),43103.64583333333)</f>
        <v>43103.64583</v>
      </c>
      <c r="B4458" s="1">
        <f>IFERROR(__xludf.DUMMYFUNCTION("""COMPUTED_VALUE"""),1344.7)</f>
        <v>1344.7</v>
      </c>
      <c r="C4458" s="1">
        <f>IFERROR(__xludf.DUMMYFUNCTION("""COMPUTED_VALUE"""),1356.8)</f>
        <v>1356.8</v>
      </c>
      <c r="D4458" s="1">
        <f>IFERROR(__xludf.DUMMYFUNCTION("""COMPUTED_VALUE"""),1335.0)</f>
        <v>1335</v>
      </c>
      <c r="E4458" s="1">
        <f>IFERROR(__xludf.DUMMYFUNCTION("""COMPUTED_VALUE"""),1350.35)</f>
        <v>1350.35</v>
      </c>
      <c r="F4458" s="1">
        <f>IFERROR(__xludf.DUMMYFUNCTION("""COMPUTED_VALUE"""),832810.0)</f>
        <v>832810</v>
      </c>
    </row>
    <row r="4459">
      <c r="A4459" s="2">
        <f>IFERROR(__xludf.DUMMYFUNCTION("""COMPUTED_VALUE"""),43104.64583333333)</f>
        <v>43104.64583</v>
      </c>
      <c r="B4459" s="1">
        <f>IFERROR(__xludf.DUMMYFUNCTION("""COMPUTED_VALUE"""),1350.1)</f>
        <v>1350.1</v>
      </c>
      <c r="C4459" s="1">
        <f>IFERROR(__xludf.DUMMYFUNCTION("""COMPUTED_VALUE"""),1356.15)</f>
        <v>1356.15</v>
      </c>
      <c r="D4459" s="1">
        <f>IFERROR(__xludf.DUMMYFUNCTION("""COMPUTED_VALUE"""),1341.45)</f>
        <v>1341.45</v>
      </c>
      <c r="E4459" s="1">
        <f>IFERROR(__xludf.DUMMYFUNCTION("""COMPUTED_VALUE"""),1352.25)</f>
        <v>1352.25</v>
      </c>
      <c r="F4459" s="1">
        <f>IFERROR(__xludf.DUMMYFUNCTION("""COMPUTED_VALUE"""),640189.0)</f>
        <v>640189</v>
      </c>
    </row>
    <row r="4460">
      <c r="A4460" s="2">
        <f>IFERROR(__xludf.DUMMYFUNCTION("""COMPUTED_VALUE"""),43105.64583333333)</f>
        <v>43105.64583</v>
      </c>
      <c r="B4460" s="1">
        <f>IFERROR(__xludf.DUMMYFUNCTION("""COMPUTED_VALUE"""),1351.0)</f>
        <v>1351</v>
      </c>
      <c r="C4460" s="1">
        <f>IFERROR(__xludf.DUMMYFUNCTION("""COMPUTED_VALUE"""),1362.95)</f>
        <v>1362.95</v>
      </c>
      <c r="D4460" s="1">
        <f>IFERROR(__xludf.DUMMYFUNCTION("""COMPUTED_VALUE"""),1348.25)</f>
        <v>1348.25</v>
      </c>
      <c r="E4460" s="1">
        <f>IFERROR(__xludf.DUMMYFUNCTION("""COMPUTED_VALUE"""),1356.55)</f>
        <v>1356.55</v>
      </c>
      <c r="F4460" s="1">
        <f>IFERROR(__xludf.DUMMYFUNCTION("""COMPUTED_VALUE"""),568451.0)</f>
        <v>568451</v>
      </c>
    </row>
    <row r="4461">
      <c r="A4461" s="2">
        <f>IFERROR(__xludf.DUMMYFUNCTION("""COMPUTED_VALUE"""),43108.64583333333)</f>
        <v>43108.64583</v>
      </c>
      <c r="B4461" s="1">
        <f>IFERROR(__xludf.DUMMYFUNCTION("""COMPUTED_VALUE"""),1348.6)</f>
        <v>1348.6</v>
      </c>
      <c r="C4461" s="1">
        <f>IFERROR(__xludf.DUMMYFUNCTION("""COMPUTED_VALUE"""),1371.0)</f>
        <v>1371</v>
      </c>
      <c r="D4461" s="1">
        <f>IFERROR(__xludf.DUMMYFUNCTION("""COMPUTED_VALUE"""),1348.6)</f>
        <v>1348.6</v>
      </c>
      <c r="E4461" s="1">
        <f>IFERROR(__xludf.DUMMYFUNCTION("""COMPUTED_VALUE"""),1368.4)</f>
        <v>1368.4</v>
      </c>
      <c r="F4461" s="1">
        <f>IFERROR(__xludf.DUMMYFUNCTION("""COMPUTED_VALUE"""),801796.0)</f>
        <v>801796</v>
      </c>
    </row>
    <row r="4462">
      <c r="A4462" s="2">
        <f>IFERROR(__xludf.DUMMYFUNCTION("""COMPUTED_VALUE"""),43109.64583333333)</f>
        <v>43109.64583</v>
      </c>
      <c r="B4462" s="1">
        <f>IFERROR(__xludf.DUMMYFUNCTION("""COMPUTED_VALUE"""),1374.0)</f>
        <v>1374</v>
      </c>
      <c r="C4462" s="1">
        <f>IFERROR(__xludf.DUMMYFUNCTION("""COMPUTED_VALUE"""),1375.9)</f>
        <v>1375.9</v>
      </c>
      <c r="D4462" s="1">
        <f>IFERROR(__xludf.DUMMYFUNCTION("""COMPUTED_VALUE"""),1356.0)</f>
        <v>1356</v>
      </c>
      <c r="E4462" s="1">
        <f>IFERROR(__xludf.DUMMYFUNCTION("""COMPUTED_VALUE"""),1361.3)</f>
        <v>1361.3</v>
      </c>
      <c r="F4462" s="1">
        <f>IFERROR(__xludf.DUMMYFUNCTION("""COMPUTED_VALUE"""),708386.0)</f>
        <v>708386</v>
      </c>
    </row>
    <row r="4463">
      <c r="A4463" s="2">
        <f>IFERROR(__xludf.DUMMYFUNCTION("""COMPUTED_VALUE"""),43110.64583333333)</f>
        <v>43110.64583</v>
      </c>
      <c r="B4463" s="1">
        <f>IFERROR(__xludf.DUMMYFUNCTION("""COMPUTED_VALUE"""),1361.35)</f>
        <v>1361.35</v>
      </c>
      <c r="C4463" s="1">
        <f>IFERROR(__xludf.DUMMYFUNCTION("""COMPUTED_VALUE"""),1370.0)</f>
        <v>1370</v>
      </c>
      <c r="D4463" s="1">
        <f>IFERROR(__xludf.DUMMYFUNCTION("""COMPUTED_VALUE"""),1355.0)</f>
        <v>1355</v>
      </c>
      <c r="E4463" s="1">
        <f>IFERROR(__xludf.DUMMYFUNCTION("""COMPUTED_VALUE"""),1365.8)</f>
        <v>1365.8</v>
      </c>
      <c r="F4463" s="1">
        <f>IFERROR(__xludf.DUMMYFUNCTION("""COMPUTED_VALUE"""),939525.0)</f>
        <v>939525</v>
      </c>
    </row>
    <row r="4464">
      <c r="A4464" s="2">
        <f>IFERROR(__xludf.DUMMYFUNCTION("""COMPUTED_VALUE"""),43111.64583333333)</f>
        <v>43111.64583</v>
      </c>
      <c r="B4464" s="1">
        <f>IFERROR(__xludf.DUMMYFUNCTION("""COMPUTED_VALUE"""),1357.0)</f>
        <v>1357</v>
      </c>
      <c r="C4464" s="1">
        <f>IFERROR(__xludf.DUMMYFUNCTION("""COMPUTED_VALUE"""),1382.9)</f>
        <v>1382.9</v>
      </c>
      <c r="D4464" s="1">
        <f>IFERROR(__xludf.DUMMYFUNCTION("""COMPUTED_VALUE"""),1357.0)</f>
        <v>1357</v>
      </c>
      <c r="E4464" s="1">
        <f>IFERROR(__xludf.DUMMYFUNCTION("""COMPUTED_VALUE"""),1378.65)</f>
        <v>1378.65</v>
      </c>
      <c r="F4464" s="1">
        <f>IFERROR(__xludf.DUMMYFUNCTION("""COMPUTED_VALUE"""),629248.0)</f>
        <v>629248</v>
      </c>
    </row>
    <row r="4465">
      <c r="A4465" s="2">
        <f>IFERROR(__xludf.DUMMYFUNCTION("""COMPUTED_VALUE"""),43112.64583333333)</f>
        <v>43112.64583</v>
      </c>
      <c r="B4465" s="1">
        <f>IFERROR(__xludf.DUMMYFUNCTION("""COMPUTED_VALUE"""),1380.8)</f>
        <v>1380.8</v>
      </c>
      <c r="C4465" s="1">
        <f>IFERROR(__xludf.DUMMYFUNCTION("""COMPUTED_VALUE"""),1384.4)</f>
        <v>1384.4</v>
      </c>
      <c r="D4465" s="1">
        <f>IFERROR(__xludf.DUMMYFUNCTION("""COMPUTED_VALUE"""),1357.0)</f>
        <v>1357</v>
      </c>
      <c r="E4465" s="1">
        <f>IFERROR(__xludf.DUMMYFUNCTION("""COMPUTED_VALUE"""),1374.0)</f>
        <v>1374</v>
      </c>
      <c r="F4465" s="1">
        <f>IFERROR(__xludf.DUMMYFUNCTION("""COMPUTED_VALUE"""),872539.0)</f>
        <v>872539</v>
      </c>
    </row>
    <row r="4466">
      <c r="A4466" s="2">
        <f>IFERROR(__xludf.DUMMYFUNCTION("""COMPUTED_VALUE"""),43115.64583333333)</f>
        <v>43115.64583</v>
      </c>
      <c r="B4466" s="1">
        <f>IFERROR(__xludf.DUMMYFUNCTION("""COMPUTED_VALUE"""),1375.6)</f>
        <v>1375.6</v>
      </c>
      <c r="C4466" s="1">
        <f>IFERROR(__xludf.DUMMYFUNCTION("""COMPUTED_VALUE"""),1375.6)</f>
        <v>1375.6</v>
      </c>
      <c r="D4466" s="1">
        <f>IFERROR(__xludf.DUMMYFUNCTION("""COMPUTED_VALUE"""),1364.0)</f>
        <v>1364</v>
      </c>
      <c r="E4466" s="1">
        <f>IFERROR(__xludf.DUMMYFUNCTION("""COMPUTED_VALUE"""),1367.2)</f>
        <v>1367.2</v>
      </c>
      <c r="F4466" s="1">
        <f>IFERROR(__xludf.DUMMYFUNCTION("""COMPUTED_VALUE"""),1324592.0)</f>
        <v>1324592</v>
      </c>
    </row>
    <row r="4467">
      <c r="A4467" s="2">
        <f>IFERROR(__xludf.DUMMYFUNCTION("""COMPUTED_VALUE"""),43116.64583333333)</f>
        <v>43116.64583</v>
      </c>
      <c r="B4467" s="1">
        <f>IFERROR(__xludf.DUMMYFUNCTION("""COMPUTED_VALUE"""),1369.3)</f>
        <v>1369.3</v>
      </c>
      <c r="C4467" s="1">
        <f>IFERROR(__xludf.DUMMYFUNCTION("""COMPUTED_VALUE"""),1389.5)</f>
        <v>1389.5</v>
      </c>
      <c r="D4467" s="1">
        <f>IFERROR(__xludf.DUMMYFUNCTION("""COMPUTED_VALUE"""),1363.75)</f>
        <v>1363.75</v>
      </c>
      <c r="E4467" s="1">
        <f>IFERROR(__xludf.DUMMYFUNCTION("""COMPUTED_VALUE"""),1382.0)</f>
        <v>1382</v>
      </c>
      <c r="F4467" s="1">
        <f>IFERROR(__xludf.DUMMYFUNCTION("""COMPUTED_VALUE"""),896453.0)</f>
        <v>896453</v>
      </c>
    </row>
    <row r="4468">
      <c r="A4468" s="2">
        <f>IFERROR(__xludf.DUMMYFUNCTION("""COMPUTED_VALUE"""),43117.64583333333)</f>
        <v>43117.64583</v>
      </c>
      <c r="B4468" s="1">
        <f>IFERROR(__xludf.DUMMYFUNCTION("""COMPUTED_VALUE"""),1389.0)</f>
        <v>1389</v>
      </c>
      <c r="C4468" s="1">
        <f>IFERROR(__xludf.DUMMYFUNCTION("""COMPUTED_VALUE"""),1391.0)</f>
        <v>1391</v>
      </c>
      <c r="D4468" s="1">
        <f>IFERROR(__xludf.DUMMYFUNCTION("""COMPUTED_VALUE"""),1366.25)</f>
        <v>1366.25</v>
      </c>
      <c r="E4468" s="1">
        <f>IFERROR(__xludf.DUMMYFUNCTION("""COMPUTED_VALUE"""),1371.2)</f>
        <v>1371.2</v>
      </c>
      <c r="F4468" s="1">
        <f>IFERROR(__xludf.DUMMYFUNCTION("""COMPUTED_VALUE"""),1409691.0)</f>
        <v>1409691</v>
      </c>
    </row>
    <row r="4469">
      <c r="A4469" s="2">
        <f>IFERROR(__xludf.DUMMYFUNCTION("""COMPUTED_VALUE"""),43118.64583333333)</f>
        <v>43118.64583</v>
      </c>
      <c r="B4469" s="1">
        <f>IFERROR(__xludf.DUMMYFUNCTION("""COMPUTED_VALUE"""),1400.0)</f>
        <v>1400</v>
      </c>
      <c r="C4469" s="1">
        <f>IFERROR(__xludf.DUMMYFUNCTION("""COMPUTED_VALUE"""),1406.9)</f>
        <v>1406.9</v>
      </c>
      <c r="D4469" s="1">
        <f>IFERROR(__xludf.DUMMYFUNCTION("""COMPUTED_VALUE"""),1350.6)</f>
        <v>1350.6</v>
      </c>
      <c r="E4469" s="1">
        <f>IFERROR(__xludf.DUMMYFUNCTION("""COMPUTED_VALUE"""),1356.95)</f>
        <v>1356.95</v>
      </c>
      <c r="F4469" s="1">
        <f>IFERROR(__xludf.DUMMYFUNCTION("""COMPUTED_VALUE"""),2465412.0)</f>
        <v>2465412</v>
      </c>
    </row>
    <row r="4470">
      <c r="A4470" s="2">
        <f>IFERROR(__xludf.DUMMYFUNCTION("""COMPUTED_VALUE"""),43119.64583333333)</f>
        <v>43119.64583</v>
      </c>
      <c r="B4470" s="1">
        <f>IFERROR(__xludf.DUMMYFUNCTION("""COMPUTED_VALUE"""),1370.4)</f>
        <v>1370.4</v>
      </c>
      <c r="C4470" s="1">
        <f>IFERROR(__xludf.DUMMYFUNCTION("""COMPUTED_VALUE"""),1372.85)</f>
        <v>1372.85</v>
      </c>
      <c r="D4470" s="1">
        <f>IFERROR(__xludf.DUMMYFUNCTION("""COMPUTED_VALUE"""),1350.05)</f>
        <v>1350.05</v>
      </c>
      <c r="E4470" s="1">
        <f>IFERROR(__xludf.DUMMYFUNCTION("""COMPUTED_VALUE"""),1362.45)</f>
        <v>1362.45</v>
      </c>
      <c r="F4470" s="1">
        <f>IFERROR(__xludf.DUMMYFUNCTION("""COMPUTED_VALUE"""),1491194.0)</f>
        <v>1491194</v>
      </c>
    </row>
    <row r="4471">
      <c r="A4471" s="2">
        <f>IFERROR(__xludf.DUMMYFUNCTION("""COMPUTED_VALUE"""),43122.64583333333)</f>
        <v>43122.64583</v>
      </c>
      <c r="B4471" s="1">
        <f>IFERROR(__xludf.DUMMYFUNCTION("""COMPUTED_VALUE"""),1363.0)</f>
        <v>1363</v>
      </c>
      <c r="C4471" s="1">
        <f>IFERROR(__xludf.DUMMYFUNCTION("""COMPUTED_VALUE"""),1365.0)</f>
        <v>1365</v>
      </c>
      <c r="D4471" s="1">
        <f>IFERROR(__xludf.DUMMYFUNCTION("""COMPUTED_VALUE"""),1346.45)</f>
        <v>1346.45</v>
      </c>
      <c r="E4471" s="1">
        <f>IFERROR(__xludf.DUMMYFUNCTION("""COMPUTED_VALUE"""),1355.1)</f>
        <v>1355.1</v>
      </c>
      <c r="F4471" s="1">
        <f>IFERROR(__xludf.DUMMYFUNCTION("""COMPUTED_VALUE"""),1014403.0)</f>
        <v>1014403</v>
      </c>
    </row>
    <row r="4472">
      <c r="A4472" s="2">
        <f>IFERROR(__xludf.DUMMYFUNCTION("""COMPUTED_VALUE"""),43123.64583333333)</f>
        <v>43123.64583</v>
      </c>
      <c r="B4472" s="1">
        <f>IFERROR(__xludf.DUMMYFUNCTION("""COMPUTED_VALUE"""),1360.7)</f>
        <v>1360.7</v>
      </c>
      <c r="C4472" s="1">
        <f>IFERROR(__xludf.DUMMYFUNCTION("""COMPUTED_VALUE"""),1372.35)</f>
        <v>1372.35</v>
      </c>
      <c r="D4472" s="1">
        <f>IFERROR(__xludf.DUMMYFUNCTION("""COMPUTED_VALUE"""),1350.05)</f>
        <v>1350.05</v>
      </c>
      <c r="E4472" s="1">
        <f>IFERROR(__xludf.DUMMYFUNCTION("""COMPUTED_VALUE"""),1368.35)</f>
        <v>1368.35</v>
      </c>
      <c r="F4472" s="1">
        <f>IFERROR(__xludf.DUMMYFUNCTION("""COMPUTED_VALUE"""),1284895.0)</f>
        <v>1284895</v>
      </c>
    </row>
    <row r="4473">
      <c r="A4473" s="2">
        <f>IFERROR(__xludf.DUMMYFUNCTION("""COMPUTED_VALUE"""),43124.64583333333)</f>
        <v>43124.64583</v>
      </c>
      <c r="B4473" s="1">
        <f>IFERROR(__xludf.DUMMYFUNCTION("""COMPUTED_VALUE"""),1368.0)</f>
        <v>1368</v>
      </c>
      <c r="C4473" s="1">
        <f>IFERROR(__xludf.DUMMYFUNCTION("""COMPUTED_VALUE"""),1372.0)</f>
        <v>1372</v>
      </c>
      <c r="D4473" s="1">
        <f>IFERROR(__xludf.DUMMYFUNCTION("""COMPUTED_VALUE"""),1335.05)</f>
        <v>1335.05</v>
      </c>
      <c r="E4473" s="1">
        <f>IFERROR(__xludf.DUMMYFUNCTION("""COMPUTED_VALUE"""),1365.9)</f>
        <v>1365.9</v>
      </c>
      <c r="F4473" s="1">
        <f>IFERROR(__xludf.DUMMYFUNCTION("""COMPUTED_VALUE"""),1819330.0)</f>
        <v>1819330</v>
      </c>
    </row>
    <row r="4474">
      <c r="A4474" s="2">
        <f>IFERROR(__xludf.DUMMYFUNCTION("""COMPUTED_VALUE"""),43125.64583333333)</f>
        <v>43125.64583</v>
      </c>
      <c r="B4474" s="1">
        <f>IFERROR(__xludf.DUMMYFUNCTION("""COMPUTED_VALUE"""),1368.9)</f>
        <v>1368.9</v>
      </c>
      <c r="C4474" s="1">
        <f>IFERROR(__xludf.DUMMYFUNCTION("""COMPUTED_VALUE"""),1378.0)</f>
        <v>1378</v>
      </c>
      <c r="D4474" s="1">
        <f>IFERROR(__xludf.DUMMYFUNCTION("""COMPUTED_VALUE"""),1359.55)</f>
        <v>1359.55</v>
      </c>
      <c r="E4474" s="1">
        <f>IFERROR(__xludf.DUMMYFUNCTION("""COMPUTED_VALUE"""),1372.75)</f>
        <v>1372.75</v>
      </c>
      <c r="F4474" s="1">
        <f>IFERROR(__xludf.DUMMYFUNCTION("""COMPUTED_VALUE"""),2125894.0)</f>
        <v>2125894</v>
      </c>
    </row>
    <row r="4475">
      <c r="A4475" s="2">
        <f>IFERROR(__xludf.DUMMYFUNCTION("""COMPUTED_VALUE"""),43129.64583333333)</f>
        <v>43129.64583</v>
      </c>
      <c r="B4475" s="1">
        <f>IFERROR(__xludf.DUMMYFUNCTION("""COMPUTED_VALUE"""),1370.0)</f>
        <v>1370</v>
      </c>
      <c r="C4475" s="1">
        <f>IFERROR(__xludf.DUMMYFUNCTION("""COMPUTED_VALUE"""),1400.0)</f>
        <v>1400</v>
      </c>
      <c r="D4475" s="1">
        <f>IFERROR(__xludf.DUMMYFUNCTION("""COMPUTED_VALUE"""),1367.2)</f>
        <v>1367.2</v>
      </c>
      <c r="E4475" s="1">
        <f>IFERROR(__xludf.DUMMYFUNCTION("""COMPUTED_VALUE"""),1397.3)</f>
        <v>1397.3</v>
      </c>
      <c r="F4475" s="1">
        <f>IFERROR(__xludf.DUMMYFUNCTION("""COMPUTED_VALUE"""),1406390.0)</f>
        <v>1406390</v>
      </c>
    </row>
    <row r="4476">
      <c r="A4476" s="2">
        <f>IFERROR(__xludf.DUMMYFUNCTION("""COMPUTED_VALUE"""),43130.64583333333)</f>
        <v>43130.64583</v>
      </c>
      <c r="B4476" s="1">
        <f>IFERROR(__xludf.DUMMYFUNCTION("""COMPUTED_VALUE"""),1397.3)</f>
        <v>1397.3</v>
      </c>
      <c r="C4476" s="1">
        <f>IFERROR(__xludf.DUMMYFUNCTION("""COMPUTED_VALUE"""),1410.0)</f>
        <v>1410</v>
      </c>
      <c r="D4476" s="1">
        <f>IFERROR(__xludf.DUMMYFUNCTION("""COMPUTED_VALUE"""),1390.1)</f>
        <v>1390.1</v>
      </c>
      <c r="E4476" s="1">
        <f>IFERROR(__xludf.DUMMYFUNCTION("""COMPUTED_VALUE"""),1400.25)</f>
        <v>1400.25</v>
      </c>
      <c r="F4476" s="1">
        <f>IFERROR(__xludf.DUMMYFUNCTION("""COMPUTED_VALUE"""),1310365.0)</f>
        <v>1310365</v>
      </c>
    </row>
    <row r="4477">
      <c r="A4477" s="2">
        <f>IFERROR(__xludf.DUMMYFUNCTION("""COMPUTED_VALUE"""),43131.64583333333)</f>
        <v>43131.64583</v>
      </c>
      <c r="B4477" s="1">
        <f>IFERROR(__xludf.DUMMYFUNCTION("""COMPUTED_VALUE"""),1400.0)</f>
        <v>1400</v>
      </c>
      <c r="C4477" s="1">
        <f>IFERROR(__xludf.DUMMYFUNCTION("""COMPUTED_VALUE"""),1400.0)</f>
        <v>1400</v>
      </c>
      <c r="D4477" s="1">
        <f>IFERROR(__xludf.DUMMYFUNCTION("""COMPUTED_VALUE"""),1362.6)</f>
        <v>1362.6</v>
      </c>
      <c r="E4477" s="1">
        <f>IFERROR(__xludf.DUMMYFUNCTION("""COMPUTED_VALUE"""),1369.35)</f>
        <v>1369.35</v>
      </c>
      <c r="F4477" s="1">
        <f>IFERROR(__xludf.DUMMYFUNCTION("""COMPUTED_VALUE"""),1491912.0)</f>
        <v>1491912</v>
      </c>
    </row>
    <row r="4478">
      <c r="A4478" s="2">
        <f>IFERROR(__xludf.DUMMYFUNCTION("""COMPUTED_VALUE"""),43132.64583333333)</f>
        <v>43132.64583</v>
      </c>
      <c r="B4478" s="1">
        <f>IFERROR(__xludf.DUMMYFUNCTION("""COMPUTED_VALUE"""),1373.0)</f>
        <v>1373</v>
      </c>
      <c r="C4478" s="1">
        <f>IFERROR(__xludf.DUMMYFUNCTION("""COMPUTED_VALUE"""),1384.8)</f>
        <v>1384.8</v>
      </c>
      <c r="D4478" s="1">
        <f>IFERROR(__xludf.DUMMYFUNCTION("""COMPUTED_VALUE"""),1351.0)</f>
        <v>1351</v>
      </c>
      <c r="E4478" s="1">
        <f>IFERROR(__xludf.DUMMYFUNCTION("""COMPUTED_VALUE"""),1371.25)</f>
        <v>1371.25</v>
      </c>
      <c r="F4478" s="1">
        <f>IFERROR(__xludf.DUMMYFUNCTION("""COMPUTED_VALUE"""),1563429.0)</f>
        <v>1563429</v>
      </c>
    </row>
    <row r="4479">
      <c r="A4479" s="2">
        <f>IFERROR(__xludf.DUMMYFUNCTION("""COMPUTED_VALUE"""),43133.64583333333)</f>
        <v>43133.64583</v>
      </c>
      <c r="B4479" s="1">
        <f>IFERROR(__xludf.DUMMYFUNCTION("""COMPUTED_VALUE"""),1352.0)</f>
        <v>1352</v>
      </c>
      <c r="C4479" s="1">
        <f>IFERROR(__xludf.DUMMYFUNCTION("""COMPUTED_VALUE"""),1377.9)</f>
        <v>1377.9</v>
      </c>
      <c r="D4479" s="1">
        <f>IFERROR(__xludf.DUMMYFUNCTION("""COMPUTED_VALUE"""),1352.0)</f>
        <v>1352</v>
      </c>
      <c r="E4479" s="1">
        <f>IFERROR(__xludf.DUMMYFUNCTION("""COMPUTED_VALUE"""),1372.2)</f>
        <v>1372.2</v>
      </c>
      <c r="F4479" s="1">
        <f>IFERROR(__xludf.DUMMYFUNCTION("""COMPUTED_VALUE"""),1699619.0)</f>
        <v>1699619</v>
      </c>
    </row>
    <row r="4480">
      <c r="A4480" s="2">
        <f>IFERROR(__xludf.DUMMYFUNCTION("""COMPUTED_VALUE"""),43136.64583333333)</f>
        <v>43136.64583</v>
      </c>
      <c r="B4480" s="1">
        <f>IFERROR(__xludf.DUMMYFUNCTION("""COMPUTED_VALUE"""),1352.1)</f>
        <v>1352.1</v>
      </c>
      <c r="C4480" s="1">
        <f>IFERROR(__xludf.DUMMYFUNCTION("""COMPUTED_VALUE"""),1361.45)</f>
        <v>1361.45</v>
      </c>
      <c r="D4480" s="1">
        <f>IFERROR(__xludf.DUMMYFUNCTION("""COMPUTED_VALUE"""),1341.25)</f>
        <v>1341.25</v>
      </c>
      <c r="E4480" s="1">
        <f>IFERROR(__xludf.DUMMYFUNCTION("""COMPUTED_VALUE"""),1355.75)</f>
        <v>1355.75</v>
      </c>
      <c r="F4480" s="1">
        <f>IFERROR(__xludf.DUMMYFUNCTION("""COMPUTED_VALUE"""),1585136.0)</f>
        <v>1585136</v>
      </c>
    </row>
    <row r="4481">
      <c r="A4481" s="2">
        <f>IFERROR(__xludf.DUMMYFUNCTION("""COMPUTED_VALUE"""),43137.64583333333)</f>
        <v>43137.64583</v>
      </c>
      <c r="B4481" s="1">
        <f>IFERROR(__xludf.DUMMYFUNCTION("""COMPUTED_VALUE"""),1300.0)</f>
        <v>1300</v>
      </c>
      <c r="C4481" s="1">
        <f>IFERROR(__xludf.DUMMYFUNCTION("""COMPUTED_VALUE"""),1348.5)</f>
        <v>1348.5</v>
      </c>
      <c r="D4481" s="1">
        <f>IFERROR(__xludf.DUMMYFUNCTION("""COMPUTED_VALUE"""),1299.0)</f>
        <v>1299</v>
      </c>
      <c r="E4481" s="1">
        <f>IFERROR(__xludf.DUMMYFUNCTION("""COMPUTED_VALUE"""),1325.35)</f>
        <v>1325.35</v>
      </c>
      <c r="F4481" s="1">
        <f>IFERROR(__xludf.DUMMYFUNCTION("""COMPUTED_VALUE"""),1540401.0)</f>
        <v>1540401</v>
      </c>
    </row>
    <row r="4482">
      <c r="A4482" s="2">
        <f>IFERROR(__xludf.DUMMYFUNCTION("""COMPUTED_VALUE"""),43138.64583333333)</f>
        <v>43138.64583</v>
      </c>
      <c r="B4482" s="1">
        <f>IFERROR(__xludf.DUMMYFUNCTION("""COMPUTED_VALUE"""),1322.0)</f>
        <v>1322</v>
      </c>
      <c r="C4482" s="1">
        <f>IFERROR(__xludf.DUMMYFUNCTION("""COMPUTED_VALUE"""),1330.0)</f>
        <v>1330</v>
      </c>
      <c r="D4482" s="1">
        <f>IFERROR(__xludf.DUMMYFUNCTION("""COMPUTED_VALUE"""),1307.05)</f>
        <v>1307.05</v>
      </c>
      <c r="E4482" s="1">
        <f>IFERROR(__xludf.DUMMYFUNCTION("""COMPUTED_VALUE"""),1312.65)</f>
        <v>1312.65</v>
      </c>
      <c r="F4482" s="1">
        <f>IFERROR(__xludf.DUMMYFUNCTION("""COMPUTED_VALUE"""),1561287.0)</f>
        <v>1561287</v>
      </c>
    </row>
    <row r="4483">
      <c r="A4483" s="2">
        <f>IFERROR(__xludf.DUMMYFUNCTION("""COMPUTED_VALUE"""),43139.64583333333)</f>
        <v>43139.64583</v>
      </c>
      <c r="B4483" s="1">
        <f>IFERROR(__xludf.DUMMYFUNCTION("""COMPUTED_VALUE"""),1325.7)</f>
        <v>1325.7</v>
      </c>
      <c r="C4483" s="1">
        <f>IFERROR(__xludf.DUMMYFUNCTION("""COMPUTED_VALUE"""),1337.55)</f>
        <v>1337.55</v>
      </c>
      <c r="D4483" s="1">
        <f>IFERROR(__xludf.DUMMYFUNCTION("""COMPUTED_VALUE"""),1305.25)</f>
        <v>1305.25</v>
      </c>
      <c r="E4483" s="1">
        <f>IFERROR(__xludf.DUMMYFUNCTION("""COMPUTED_VALUE"""),1329.55)</f>
        <v>1329.55</v>
      </c>
      <c r="F4483" s="1">
        <f>IFERROR(__xludf.DUMMYFUNCTION("""COMPUTED_VALUE"""),1146084.0)</f>
        <v>1146084</v>
      </c>
    </row>
    <row r="4484">
      <c r="A4484" s="2">
        <f>IFERROR(__xludf.DUMMYFUNCTION("""COMPUTED_VALUE"""),43140.64583333333)</f>
        <v>43140.64583</v>
      </c>
      <c r="B4484" s="1">
        <f>IFERROR(__xludf.DUMMYFUNCTION("""COMPUTED_VALUE"""),1319.0)</f>
        <v>1319</v>
      </c>
      <c r="C4484" s="1">
        <f>IFERROR(__xludf.DUMMYFUNCTION("""COMPUTED_VALUE"""),1340.0)</f>
        <v>1340</v>
      </c>
      <c r="D4484" s="1">
        <f>IFERROR(__xludf.DUMMYFUNCTION("""COMPUTED_VALUE"""),1311.8)</f>
        <v>1311.8</v>
      </c>
      <c r="E4484" s="1">
        <f>IFERROR(__xludf.DUMMYFUNCTION("""COMPUTED_VALUE"""),1333.05)</f>
        <v>1333.05</v>
      </c>
      <c r="F4484" s="1">
        <f>IFERROR(__xludf.DUMMYFUNCTION("""COMPUTED_VALUE"""),810004.0)</f>
        <v>810004</v>
      </c>
    </row>
    <row r="4485">
      <c r="A4485" s="2">
        <f>IFERROR(__xludf.DUMMYFUNCTION("""COMPUTED_VALUE"""),43143.64583333333)</f>
        <v>43143.64583</v>
      </c>
      <c r="B4485" s="1">
        <f>IFERROR(__xludf.DUMMYFUNCTION("""COMPUTED_VALUE"""),1340.0)</f>
        <v>1340</v>
      </c>
      <c r="C4485" s="1">
        <f>IFERROR(__xludf.DUMMYFUNCTION("""COMPUTED_VALUE"""),1349.9)</f>
        <v>1349.9</v>
      </c>
      <c r="D4485" s="1">
        <f>IFERROR(__xludf.DUMMYFUNCTION("""COMPUTED_VALUE"""),1333.15)</f>
        <v>1333.15</v>
      </c>
      <c r="E4485" s="1">
        <f>IFERROR(__xludf.DUMMYFUNCTION("""COMPUTED_VALUE"""),1344.45)</f>
        <v>1344.45</v>
      </c>
      <c r="F4485" s="1">
        <f>IFERROR(__xludf.DUMMYFUNCTION("""COMPUTED_VALUE"""),1166428.0)</f>
        <v>1166428</v>
      </c>
    </row>
    <row r="4486">
      <c r="A4486" s="2">
        <f>IFERROR(__xludf.DUMMYFUNCTION("""COMPUTED_VALUE"""),43145.64583333333)</f>
        <v>43145.64583</v>
      </c>
      <c r="B4486" s="1">
        <f>IFERROR(__xludf.DUMMYFUNCTION("""COMPUTED_VALUE"""),1349.8)</f>
        <v>1349.8</v>
      </c>
      <c r="C4486" s="1">
        <f>IFERROR(__xludf.DUMMYFUNCTION("""COMPUTED_VALUE"""),1353.2)</f>
        <v>1353.2</v>
      </c>
      <c r="D4486" s="1">
        <f>IFERROR(__xludf.DUMMYFUNCTION("""COMPUTED_VALUE"""),1332.0)</f>
        <v>1332</v>
      </c>
      <c r="E4486" s="1">
        <f>IFERROR(__xludf.DUMMYFUNCTION("""COMPUTED_VALUE"""),1349.4)</f>
        <v>1349.4</v>
      </c>
      <c r="F4486" s="1">
        <f>IFERROR(__xludf.DUMMYFUNCTION("""COMPUTED_VALUE"""),857401.0)</f>
        <v>857401</v>
      </c>
    </row>
    <row r="4487">
      <c r="A4487" s="2">
        <f>IFERROR(__xludf.DUMMYFUNCTION("""COMPUTED_VALUE"""),43146.64583333333)</f>
        <v>43146.64583</v>
      </c>
      <c r="B4487" s="1">
        <f>IFERROR(__xludf.DUMMYFUNCTION("""COMPUTED_VALUE"""),1353.0)</f>
        <v>1353</v>
      </c>
      <c r="C4487" s="1">
        <f>IFERROR(__xludf.DUMMYFUNCTION("""COMPUTED_VALUE"""),1364.45)</f>
        <v>1364.45</v>
      </c>
      <c r="D4487" s="1">
        <f>IFERROR(__xludf.DUMMYFUNCTION("""COMPUTED_VALUE"""),1338.75)</f>
        <v>1338.75</v>
      </c>
      <c r="E4487" s="1">
        <f>IFERROR(__xludf.DUMMYFUNCTION("""COMPUTED_VALUE"""),1358.15)</f>
        <v>1358.15</v>
      </c>
      <c r="F4487" s="1">
        <f>IFERROR(__xludf.DUMMYFUNCTION("""COMPUTED_VALUE"""),844856.0)</f>
        <v>844856</v>
      </c>
    </row>
    <row r="4488">
      <c r="A4488" s="2">
        <f>IFERROR(__xludf.DUMMYFUNCTION("""COMPUTED_VALUE"""),43147.64583333333)</f>
        <v>43147.64583</v>
      </c>
      <c r="B4488" s="1">
        <f>IFERROR(__xludf.DUMMYFUNCTION("""COMPUTED_VALUE"""),1364.0)</f>
        <v>1364</v>
      </c>
      <c r="C4488" s="1">
        <f>IFERROR(__xludf.DUMMYFUNCTION("""COMPUTED_VALUE"""),1364.0)</f>
        <v>1364</v>
      </c>
      <c r="D4488" s="1">
        <f>IFERROR(__xludf.DUMMYFUNCTION("""COMPUTED_VALUE"""),1348.0)</f>
        <v>1348</v>
      </c>
      <c r="E4488" s="1">
        <f>IFERROR(__xludf.DUMMYFUNCTION("""COMPUTED_VALUE"""),1352.1)</f>
        <v>1352.1</v>
      </c>
      <c r="F4488" s="1">
        <f>IFERROR(__xludf.DUMMYFUNCTION("""COMPUTED_VALUE"""),1091144.0)</f>
        <v>1091144</v>
      </c>
    </row>
    <row r="4489">
      <c r="A4489" s="2">
        <f>IFERROR(__xludf.DUMMYFUNCTION("""COMPUTED_VALUE"""),43150.64583333333)</f>
        <v>43150.64583</v>
      </c>
      <c r="B4489" s="1">
        <f>IFERROR(__xludf.DUMMYFUNCTION("""COMPUTED_VALUE"""),1359.0)</f>
        <v>1359</v>
      </c>
      <c r="C4489" s="1">
        <f>IFERROR(__xludf.DUMMYFUNCTION("""COMPUTED_VALUE"""),1359.0)</f>
        <v>1359</v>
      </c>
      <c r="D4489" s="1">
        <f>IFERROR(__xludf.DUMMYFUNCTION("""COMPUTED_VALUE"""),1328.8)</f>
        <v>1328.8</v>
      </c>
      <c r="E4489" s="1">
        <f>IFERROR(__xludf.DUMMYFUNCTION("""COMPUTED_VALUE"""),1335.9)</f>
        <v>1335.9</v>
      </c>
      <c r="F4489" s="1">
        <f>IFERROR(__xludf.DUMMYFUNCTION("""COMPUTED_VALUE"""),495950.0)</f>
        <v>495950</v>
      </c>
    </row>
    <row r="4490">
      <c r="A4490" s="2">
        <f>IFERROR(__xludf.DUMMYFUNCTION("""COMPUTED_VALUE"""),43151.64583333333)</f>
        <v>43151.64583</v>
      </c>
      <c r="B4490" s="1">
        <f>IFERROR(__xludf.DUMMYFUNCTION("""COMPUTED_VALUE"""),1332.15)</f>
        <v>1332.15</v>
      </c>
      <c r="C4490" s="1">
        <f>IFERROR(__xludf.DUMMYFUNCTION("""COMPUTED_VALUE"""),1343.35)</f>
        <v>1343.35</v>
      </c>
      <c r="D4490" s="1">
        <f>IFERROR(__xludf.DUMMYFUNCTION("""COMPUTED_VALUE"""),1327.85)</f>
        <v>1327.85</v>
      </c>
      <c r="E4490" s="1">
        <f>IFERROR(__xludf.DUMMYFUNCTION("""COMPUTED_VALUE"""),1331.8)</f>
        <v>1331.8</v>
      </c>
      <c r="F4490" s="1">
        <f>IFERROR(__xludf.DUMMYFUNCTION("""COMPUTED_VALUE"""),688130.0)</f>
        <v>688130</v>
      </c>
    </row>
    <row r="4491">
      <c r="A4491" s="2">
        <f>IFERROR(__xludf.DUMMYFUNCTION("""COMPUTED_VALUE"""),43152.64583333333)</f>
        <v>43152.64583</v>
      </c>
      <c r="B4491" s="1">
        <f>IFERROR(__xludf.DUMMYFUNCTION("""COMPUTED_VALUE"""),1339.0)</f>
        <v>1339</v>
      </c>
      <c r="C4491" s="1">
        <f>IFERROR(__xludf.DUMMYFUNCTION("""COMPUTED_VALUE"""),1339.0)</f>
        <v>1339</v>
      </c>
      <c r="D4491" s="1">
        <f>IFERROR(__xludf.DUMMYFUNCTION("""COMPUTED_VALUE"""),1323.0)</f>
        <v>1323</v>
      </c>
      <c r="E4491" s="1">
        <f>IFERROR(__xludf.DUMMYFUNCTION("""COMPUTED_VALUE"""),1330.6)</f>
        <v>1330.6</v>
      </c>
      <c r="F4491" s="1">
        <f>IFERROR(__xludf.DUMMYFUNCTION("""COMPUTED_VALUE"""),1406451.0)</f>
        <v>1406451</v>
      </c>
    </row>
    <row r="4492">
      <c r="A4492" s="2">
        <f>IFERROR(__xludf.DUMMYFUNCTION("""COMPUTED_VALUE"""),43153.64583333333)</f>
        <v>43153.64583</v>
      </c>
      <c r="B4492" s="1">
        <f>IFERROR(__xludf.DUMMYFUNCTION("""COMPUTED_VALUE"""),1330.1)</f>
        <v>1330.1</v>
      </c>
      <c r="C4492" s="1">
        <f>IFERROR(__xludf.DUMMYFUNCTION("""COMPUTED_VALUE"""),1333.8)</f>
        <v>1333.8</v>
      </c>
      <c r="D4492" s="1">
        <f>IFERROR(__xludf.DUMMYFUNCTION("""COMPUTED_VALUE"""),1313.25)</f>
        <v>1313.25</v>
      </c>
      <c r="E4492" s="1">
        <f>IFERROR(__xludf.DUMMYFUNCTION("""COMPUTED_VALUE"""),1326.45)</f>
        <v>1326.45</v>
      </c>
      <c r="F4492" s="1">
        <f>IFERROR(__xludf.DUMMYFUNCTION("""COMPUTED_VALUE"""),2173259.0)</f>
        <v>2173259</v>
      </c>
    </row>
    <row r="4493">
      <c r="A4493" s="2">
        <f>IFERROR(__xludf.DUMMYFUNCTION("""COMPUTED_VALUE"""),43154.64583333333)</f>
        <v>43154.64583</v>
      </c>
      <c r="B4493" s="1">
        <f>IFERROR(__xludf.DUMMYFUNCTION("""COMPUTED_VALUE"""),1326.5)</f>
        <v>1326.5</v>
      </c>
      <c r="C4493" s="1">
        <f>IFERROR(__xludf.DUMMYFUNCTION("""COMPUTED_VALUE"""),1331.6)</f>
        <v>1331.6</v>
      </c>
      <c r="D4493" s="1">
        <f>IFERROR(__xludf.DUMMYFUNCTION("""COMPUTED_VALUE"""),1320.2)</f>
        <v>1320.2</v>
      </c>
      <c r="E4493" s="1">
        <f>IFERROR(__xludf.DUMMYFUNCTION("""COMPUTED_VALUE"""),1323.15)</f>
        <v>1323.15</v>
      </c>
      <c r="F4493" s="1">
        <f>IFERROR(__xludf.DUMMYFUNCTION("""COMPUTED_VALUE"""),896708.0)</f>
        <v>896708</v>
      </c>
    </row>
    <row r="4494">
      <c r="A4494" s="2">
        <f>IFERROR(__xludf.DUMMYFUNCTION("""COMPUTED_VALUE"""),43157.64583333333)</f>
        <v>43157.64583</v>
      </c>
      <c r="B4494" s="1">
        <f>IFERROR(__xludf.DUMMYFUNCTION("""COMPUTED_VALUE"""),1316.25)</f>
        <v>1316.25</v>
      </c>
      <c r="C4494" s="1">
        <f>IFERROR(__xludf.DUMMYFUNCTION("""COMPUTED_VALUE"""),1338.4)</f>
        <v>1338.4</v>
      </c>
      <c r="D4494" s="1">
        <f>IFERROR(__xludf.DUMMYFUNCTION("""COMPUTED_VALUE"""),1316.25)</f>
        <v>1316.25</v>
      </c>
      <c r="E4494" s="1">
        <f>IFERROR(__xludf.DUMMYFUNCTION("""COMPUTED_VALUE"""),1333.3)</f>
        <v>1333.3</v>
      </c>
      <c r="F4494" s="1">
        <f>IFERROR(__xludf.DUMMYFUNCTION("""COMPUTED_VALUE"""),1109668.0)</f>
        <v>1109668</v>
      </c>
    </row>
    <row r="4495">
      <c r="A4495" s="2">
        <f>IFERROR(__xludf.DUMMYFUNCTION("""COMPUTED_VALUE"""),43158.64583333333)</f>
        <v>43158.64583</v>
      </c>
      <c r="B4495" s="1">
        <f>IFERROR(__xludf.DUMMYFUNCTION("""COMPUTED_VALUE"""),1340.0)</f>
        <v>1340</v>
      </c>
      <c r="C4495" s="1">
        <f>IFERROR(__xludf.DUMMYFUNCTION("""COMPUTED_VALUE"""),1352.5)</f>
        <v>1352.5</v>
      </c>
      <c r="D4495" s="1">
        <f>IFERROR(__xludf.DUMMYFUNCTION("""COMPUTED_VALUE"""),1334.1)</f>
        <v>1334.1</v>
      </c>
      <c r="E4495" s="1">
        <f>IFERROR(__xludf.DUMMYFUNCTION("""COMPUTED_VALUE"""),1346.35)</f>
        <v>1346.35</v>
      </c>
      <c r="F4495" s="1">
        <f>IFERROR(__xludf.DUMMYFUNCTION("""COMPUTED_VALUE"""),1316559.0)</f>
        <v>1316559</v>
      </c>
    </row>
    <row r="4496">
      <c r="A4496" s="2">
        <f>IFERROR(__xludf.DUMMYFUNCTION("""COMPUTED_VALUE"""),43159.64583333333)</f>
        <v>43159.64583</v>
      </c>
      <c r="B4496" s="1">
        <f>IFERROR(__xludf.DUMMYFUNCTION("""COMPUTED_VALUE"""),1338.4)</f>
        <v>1338.4</v>
      </c>
      <c r="C4496" s="1">
        <f>IFERROR(__xludf.DUMMYFUNCTION("""COMPUTED_VALUE"""),1338.5)</f>
        <v>1338.5</v>
      </c>
      <c r="D4496" s="1">
        <f>IFERROR(__xludf.DUMMYFUNCTION("""COMPUTED_VALUE"""),1311.0)</f>
        <v>1311</v>
      </c>
      <c r="E4496" s="1">
        <f>IFERROR(__xludf.DUMMYFUNCTION("""COMPUTED_VALUE"""),1317.75)</f>
        <v>1317.75</v>
      </c>
      <c r="F4496" s="1">
        <f>IFERROR(__xludf.DUMMYFUNCTION("""COMPUTED_VALUE"""),1862621.0)</f>
        <v>1862621</v>
      </c>
    </row>
    <row r="4497">
      <c r="A4497" s="2">
        <f>IFERROR(__xludf.DUMMYFUNCTION("""COMPUTED_VALUE"""),43160.64583333333)</f>
        <v>43160.64583</v>
      </c>
      <c r="B4497" s="1">
        <f>IFERROR(__xludf.DUMMYFUNCTION("""COMPUTED_VALUE"""),1320.0)</f>
        <v>1320</v>
      </c>
      <c r="C4497" s="1">
        <f>IFERROR(__xludf.DUMMYFUNCTION("""COMPUTED_VALUE"""),1329.0)</f>
        <v>1329</v>
      </c>
      <c r="D4497" s="1">
        <f>IFERROR(__xludf.DUMMYFUNCTION("""COMPUTED_VALUE"""),1314.25)</f>
        <v>1314.25</v>
      </c>
      <c r="E4497" s="1">
        <f>IFERROR(__xludf.DUMMYFUNCTION("""COMPUTED_VALUE"""),1324.25)</f>
        <v>1324.25</v>
      </c>
      <c r="F4497" s="1">
        <f>IFERROR(__xludf.DUMMYFUNCTION("""COMPUTED_VALUE"""),961945.0)</f>
        <v>961945</v>
      </c>
    </row>
    <row r="4498">
      <c r="A4498" s="2">
        <f>IFERROR(__xludf.DUMMYFUNCTION("""COMPUTED_VALUE"""),43164.64583333333)</f>
        <v>43164.64583</v>
      </c>
      <c r="B4498" s="1">
        <f>IFERROR(__xludf.DUMMYFUNCTION("""COMPUTED_VALUE"""),1320.0)</f>
        <v>1320</v>
      </c>
      <c r="C4498" s="1">
        <f>IFERROR(__xludf.DUMMYFUNCTION("""COMPUTED_VALUE"""),1320.95)</f>
        <v>1320.95</v>
      </c>
      <c r="D4498" s="1">
        <f>IFERROR(__xludf.DUMMYFUNCTION("""COMPUTED_VALUE"""),1293.75)</f>
        <v>1293.75</v>
      </c>
      <c r="E4498" s="1">
        <f>IFERROR(__xludf.DUMMYFUNCTION("""COMPUTED_VALUE"""),1299.75)</f>
        <v>1299.75</v>
      </c>
      <c r="F4498" s="1">
        <f>IFERROR(__xludf.DUMMYFUNCTION("""COMPUTED_VALUE"""),842790.0)</f>
        <v>842790</v>
      </c>
    </row>
    <row r="4499">
      <c r="A4499" s="2">
        <f>IFERROR(__xludf.DUMMYFUNCTION("""COMPUTED_VALUE"""),43165.64583333333)</f>
        <v>43165.64583</v>
      </c>
      <c r="B4499" s="1">
        <f>IFERROR(__xludf.DUMMYFUNCTION("""COMPUTED_VALUE"""),1300.0)</f>
        <v>1300</v>
      </c>
      <c r="C4499" s="1">
        <f>IFERROR(__xludf.DUMMYFUNCTION("""COMPUTED_VALUE"""),1307.9)</f>
        <v>1307.9</v>
      </c>
      <c r="D4499" s="1">
        <f>IFERROR(__xludf.DUMMYFUNCTION("""COMPUTED_VALUE"""),1289.2)</f>
        <v>1289.2</v>
      </c>
      <c r="E4499" s="1">
        <f>IFERROR(__xludf.DUMMYFUNCTION("""COMPUTED_VALUE"""),1293.2)</f>
        <v>1293.2</v>
      </c>
      <c r="F4499" s="1">
        <f>IFERROR(__xludf.DUMMYFUNCTION("""COMPUTED_VALUE"""),738512.0)</f>
        <v>738512</v>
      </c>
    </row>
    <row r="4500">
      <c r="A4500" s="2">
        <f>IFERROR(__xludf.DUMMYFUNCTION("""COMPUTED_VALUE"""),43166.64583333333)</f>
        <v>43166.64583</v>
      </c>
      <c r="B4500" s="1">
        <f>IFERROR(__xludf.DUMMYFUNCTION("""COMPUTED_VALUE"""),1293.05)</f>
        <v>1293.05</v>
      </c>
      <c r="C4500" s="1">
        <f>IFERROR(__xludf.DUMMYFUNCTION("""COMPUTED_VALUE"""),1307.6)</f>
        <v>1307.6</v>
      </c>
      <c r="D4500" s="1">
        <f>IFERROR(__xludf.DUMMYFUNCTION("""COMPUTED_VALUE"""),1291.1)</f>
        <v>1291.1</v>
      </c>
      <c r="E4500" s="1">
        <f>IFERROR(__xludf.DUMMYFUNCTION("""COMPUTED_VALUE"""),1293.85)</f>
        <v>1293.85</v>
      </c>
      <c r="F4500" s="1">
        <f>IFERROR(__xludf.DUMMYFUNCTION("""COMPUTED_VALUE"""),917890.0)</f>
        <v>917890</v>
      </c>
    </row>
    <row r="4501">
      <c r="A4501" s="2">
        <f>IFERROR(__xludf.DUMMYFUNCTION("""COMPUTED_VALUE"""),43167.64583333333)</f>
        <v>43167.64583</v>
      </c>
      <c r="B4501" s="1">
        <f>IFERROR(__xludf.DUMMYFUNCTION("""COMPUTED_VALUE"""),1300.0)</f>
        <v>1300</v>
      </c>
      <c r="C4501" s="1">
        <f>IFERROR(__xludf.DUMMYFUNCTION("""COMPUTED_VALUE"""),1305.55)</f>
        <v>1305.55</v>
      </c>
      <c r="D4501" s="1">
        <f>IFERROR(__xludf.DUMMYFUNCTION("""COMPUTED_VALUE"""),1284.2)</f>
        <v>1284.2</v>
      </c>
      <c r="E4501" s="1">
        <f>IFERROR(__xludf.DUMMYFUNCTION("""COMPUTED_VALUE"""),1293.15)</f>
        <v>1293.15</v>
      </c>
      <c r="F4501" s="1">
        <f>IFERROR(__xludf.DUMMYFUNCTION("""COMPUTED_VALUE"""),739272.0)</f>
        <v>739272</v>
      </c>
    </row>
    <row r="4502">
      <c r="A4502" s="2">
        <f>IFERROR(__xludf.DUMMYFUNCTION("""COMPUTED_VALUE"""),43168.64583333333)</f>
        <v>43168.64583</v>
      </c>
      <c r="B4502" s="1">
        <f>IFERROR(__xludf.DUMMYFUNCTION("""COMPUTED_VALUE"""),1295.0)</f>
        <v>1295</v>
      </c>
      <c r="C4502" s="1">
        <f>IFERROR(__xludf.DUMMYFUNCTION("""COMPUTED_VALUE"""),1303.0)</f>
        <v>1303</v>
      </c>
      <c r="D4502" s="1">
        <f>IFERROR(__xludf.DUMMYFUNCTION("""COMPUTED_VALUE"""),1286.1)</f>
        <v>1286.1</v>
      </c>
      <c r="E4502" s="1">
        <f>IFERROR(__xludf.DUMMYFUNCTION("""COMPUTED_VALUE"""),1300.75)</f>
        <v>1300.75</v>
      </c>
      <c r="F4502" s="1">
        <f>IFERROR(__xludf.DUMMYFUNCTION("""COMPUTED_VALUE"""),852176.0)</f>
        <v>852176</v>
      </c>
    </row>
    <row r="4503">
      <c r="A4503" s="2">
        <f>IFERROR(__xludf.DUMMYFUNCTION("""COMPUTED_VALUE"""),43171.64583333333)</f>
        <v>43171.64583</v>
      </c>
      <c r="B4503" s="1">
        <f>IFERROR(__xludf.DUMMYFUNCTION("""COMPUTED_VALUE"""),1305.0)</f>
        <v>1305</v>
      </c>
      <c r="C4503" s="1">
        <f>IFERROR(__xludf.DUMMYFUNCTION("""COMPUTED_VALUE"""),1327.95)</f>
        <v>1327.95</v>
      </c>
      <c r="D4503" s="1">
        <f>IFERROR(__xludf.DUMMYFUNCTION("""COMPUTED_VALUE"""),1294.05)</f>
        <v>1294.05</v>
      </c>
      <c r="E4503" s="1">
        <f>IFERROR(__xludf.DUMMYFUNCTION("""COMPUTED_VALUE"""),1324.2)</f>
        <v>1324.2</v>
      </c>
      <c r="F4503" s="1">
        <f>IFERROR(__xludf.DUMMYFUNCTION("""COMPUTED_VALUE"""),874857.0)</f>
        <v>874857</v>
      </c>
    </row>
    <row r="4504">
      <c r="A4504" s="2">
        <f>IFERROR(__xludf.DUMMYFUNCTION("""COMPUTED_VALUE"""),43172.64583333333)</f>
        <v>43172.64583</v>
      </c>
      <c r="B4504" s="1">
        <f>IFERROR(__xludf.DUMMYFUNCTION("""COMPUTED_VALUE"""),1324.9)</f>
        <v>1324.9</v>
      </c>
      <c r="C4504" s="1">
        <f>IFERROR(__xludf.DUMMYFUNCTION("""COMPUTED_VALUE"""),1331.45)</f>
        <v>1331.45</v>
      </c>
      <c r="D4504" s="1">
        <f>IFERROR(__xludf.DUMMYFUNCTION("""COMPUTED_VALUE"""),1313.7)</f>
        <v>1313.7</v>
      </c>
      <c r="E4504" s="1">
        <f>IFERROR(__xludf.DUMMYFUNCTION("""COMPUTED_VALUE"""),1320.55)</f>
        <v>1320.55</v>
      </c>
      <c r="F4504" s="1">
        <f>IFERROR(__xludf.DUMMYFUNCTION("""COMPUTED_VALUE"""),1067772.0)</f>
        <v>1067772</v>
      </c>
    </row>
    <row r="4505">
      <c r="A4505" s="2">
        <f>IFERROR(__xludf.DUMMYFUNCTION("""COMPUTED_VALUE"""),43173.64583333333)</f>
        <v>43173.64583</v>
      </c>
      <c r="B4505" s="1">
        <f>IFERROR(__xludf.DUMMYFUNCTION("""COMPUTED_VALUE"""),1317.4)</f>
        <v>1317.4</v>
      </c>
      <c r="C4505" s="1">
        <f>IFERROR(__xludf.DUMMYFUNCTION("""COMPUTED_VALUE"""),1325.0)</f>
        <v>1325</v>
      </c>
      <c r="D4505" s="1">
        <f>IFERROR(__xludf.DUMMYFUNCTION("""COMPUTED_VALUE"""),1311.15)</f>
        <v>1311.15</v>
      </c>
      <c r="E4505" s="1">
        <f>IFERROR(__xludf.DUMMYFUNCTION("""COMPUTED_VALUE"""),1316.9)</f>
        <v>1316.9</v>
      </c>
      <c r="F4505" s="1">
        <f>IFERROR(__xludf.DUMMYFUNCTION("""COMPUTED_VALUE"""),760665.0)</f>
        <v>760665</v>
      </c>
    </row>
    <row r="4506">
      <c r="A4506" s="2">
        <f>IFERROR(__xludf.DUMMYFUNCTION("""COMPUTED_VALUE"""),43174.64583333333)</f>
        <v>43174.64583</v>
      </c>
      <c r="B4506" s="1">
        <f>IFERROR(__xludf.DUMMYFUNCTION("""COMPUTED_VALUE"""),1313.9)</f>
        <v>1313.9</v>
      </c>
      <c r="C4506" s="1">
        <f>IFERROR(__xludf.DUMMYFUNCTION("""COMPUTED_VALUE"""),1320.0)</f>
        <v>1320</v>
      </c>
      <c r="D4506" s="1">
        <f>IFERROR(__xludf.DUMMYFUNCTION("""COMPUTED_VALUE"""),1294.25)</f>
        <v>1294.25</v>
      </c>
      <c r="E4506" s="1">
        <f>IFERROR(__xludf.DUMMYFUNCTION("""COMPUTED_VALUE"""),1299.95)</f>
        <v>1299.95</v>
      </c>
      <c r="F4506" s="1">
        <f>IFERROR(__xludf.DUMMYFUNCTION("""COMPUTED_VALUE"""),536838.0)</f>
        <v>536838</v>
      </c>
    </row>
    <row r="4507">
      <c r="A4507" s="2">
        <f>IFERROR(__xludf.DUMMYFUNCTION("""COMPUTED_VALUE"""),43175.64583333333)</f>
        <v>43175.64583</v>
      </c>
      <c r="B4507" s="1">
        <f>IFERROR(__xludf.DUMMYFUNCTION("""COMPUTED_VALUE"""),1303.0)</f>
        <v>1303</v>
      </c>
      <c r="C4507" s="1">
        <f>IFERROR(__xludf.DUMMYFUNCTION("""COMPUTED_VALUE"""),1310.7)</f>
        <v>1310.7</v>
      </c>
      <c r="D4507" s="1">
        <f>IFERROR(__xludf.DUMMYFUNCTION("""COMPUTED_VALUE"""),1281.1)</f>
        <v>1281.1</v>
      </c>
      <c r="E4507" s="1">
        <f>IFERROR(__xludf.DUMMYFUNCTION("""COMPUTED_VALUE"""),1299.15)</f>
        <v>1299.15</v>
      </c>
      <c r="F4507" s="1">
        <f>IFERROR(__xludf.DUMMYFUNCTION("""COMPUTED_VALUE"""),3646692.0)</f>
        <v>3646692</v>
      </c>
    </row>
    <row r="4508">
      <c r="A4508" s="2">
        <f>IFERROR(__xludf.DUMMYFUNCTION("""COMPUTED_VALUE"""),43178.64583333333)</f>
        <v>43178.64583</v>
      </c>
      <c r="B4508" s="1">
        <f>IFERROR(__xludf.DUMMYFUNCTION("""COMPUTED_VALUE"""),1308.0)</f>
        <v>1308</v>
      </c>
      <c r="C4508" s="1">
        <f>IFERROR(__xludf.DUMMYFUNCTION("""COMPUTED_VALUE"""),1318.2)</f>
        <v>1318.2</v>
      </c>
      <c r="D4508" s="1">
        <f>IFERROR(__xludf.DUMMYFUNCTION("""COMPUTED_VALUE"""),1303.25)</f>
        <v>1303.25</v>
      </c>
      <c r="E4508" s="1">
        <f>IFERROR(__xludf.DUMMYFUNCTION("""COMPUTED_VALUE"""),1309.4)</f>
        <v>1309.4</v>
      </c>
      <c r="F4508" s="1">
        <f>IFERROR(__xludf.DUMMYFUNCTION("""COMPUTED_VALUE"""),1244199.0)</f>
        <v>1244199</v>
      </c>
    </row>
    <row r="4509">
      <c r="A4509" s="2">
        <f>IFERROR(__xludf.DUMMYFUNCTION("""COMPUTED_VALUE"""),43179.64583333333)</f>
        <v>43179.64583</v>
      </c>
      <c r="B4509" s="1">
        <f>IFERROR(__xludf.DUMMYFUNCTION("""COMPUTED_VALUE"""),1306.0)</f>
        <v>1306</v>
      </c>
      <c r="C4509" s="1">
        <f>IFERROR(__xludf.DUMMYFUNCTION("""COMPUTED_VALUE"""),1320.5)</f>
        <v>1320.5</v>
      </c>
      <c r="D4509" s="1">
        <f>IFERROR(__xludf.DUMMYFUNCTION("""COMPUTED_VALUE"""),1306.0)</f>
        <v>1306</v>
      </c>
      <c r="E4509" s="1">
        <f>IFERROR(__xludf.DUMMYFUNCTION("""COMPUTED_VALUE"""),1313.25)</f>
        <v>1313.25</v>
      </c>
      <c r="F4509" s="1">
        <f>IFERROR(__xludf.DUMMYFUNCTION("""COMPUTED_VALUE"""),1249242.0)</f>
        <v>1249242</v>
      </c>
    </row>
    <row r="4510">
      <c r="A4510" s="2">
        <f>IFERROR(__xludf.DUMMYFUNCTION("""COMPUTED_VALUE"""),43180.64583333333)</f>
        <v>43180.64583</v>
      </c>
      <c r="B4510" s="1">
        <f>IFERROR(__xludf.DUMMYFUNCTION("""COMPUTED_VALUE"""),1313.25)</f>
        <v>1313.25</v>
      </c>
      <c r="C4510" s="1">
        <f>IFERROR(__xludf.DUMMYFUNCTION("""COMPUTED_VALUE"""),1323.1)</f>
        <v>1323.1</v>
      </c>
      <c r="D4510" s="1">
        <f>IFERROR(__xludf.DUMMYFUNCTION("""COMPUTED_VALUE"""),1305.0)</f>
        <v>1305</v>
      </c>
      <c r="E4510" s="1">
        <f>IFERROR(__xludf.DUMMYFUNCTION("""COMPUTED_VALUE"""),1315.6)</f>
        <v>1315.6</v>
      </c>
      <c r="F4510" s="1">
        <f>IFERROR(__xludf.DUMMYFUNCTION("""COMPUTED_VALUE"""),1698614.0)</f>
        <v>1698614</v>
      </c>
    </row>
    <row r="4511">
      <c r="A4511" s="2">
        <f>IFERROR(__xludf.DUMMYFUNCTION("""COMPUTED_VALUE"""),43181.64583333333)</f>
        <v>43181.64583</v>
      </c>
      <c r="B4511" s="1">
        <f>IFERROR(__xludf.DUMMYFUNCTION("""COMPUTED_VALUE"""),1312.5)</f>
        <v>1312.5</v>
      </c>
      <c r="C4511" s="1">
        <f>IFERROR(__xludf.DUMMYFUNCTION("""COMPUTED_VALUE"""),1320.5)</f>
        <v>1320.5</v>
      </c>
      <c r="D4511" s="1">
        <f>IFERROR(__xludf.DUMMYFUNCTION("""COMPUTED_VALUE"""),1309.05)</f>
        <v>1309.05</v>
      </c>
      <c r="E4511" s="1">
        <f>IFERROR(__xludf.DUMMYFUNCTION("""COMPUTED_VALUE"""),1311.85)</f>
        <v>1311.85</v>
      </c>
      <c r="F4511" s="1">
        <f>IFERROR(__xludf.DUMMYFUNCTION("""COMPUTED_VALUE"""),950972.0)</f>
        <v>950972</v>
      </c>
    </row>
    <row r="4512">
      <c r="A4512" s="2">
        <f>IFERROR(__xludf.DUMMYFUNCTION("""COMPUTED_VALUE"""),43182.64583333333)</f>
        <v>43182.64583</v>
      </c>
      <c r="B4512" s="1">
        <f>IFERROR(__xludf.DUMMYFUNCTION("""COMPUTED_VALUE"""),1290.0)</f>
        <v>1290</v>
      </c>
      <c r="C4512" s="1">
        <f>IFERROR(__xludf.DUMMYFUNCTION("""COMPUTED_VALUE"""),1314.0)</f>
        <v>1314</v>
      </c>
      <c r="D4512" s="1">
        <f>IFERROR(__xludf.DUMMYFUNCTION("""COMPUTED_VALUE"""),1283.8)</f>
        <v>1283.8</v>
      </c>
      <c r="E4512" s="1">
        <f>IFERROR(__xludf.DUMMYFUNCTION("""COMPUTED_VALUE"""),1301.65)</f>
        <v>1301.65</v>
      </c>
      <c r="F4512" s="1">
        <f>IFERROR(__xludf.DUMMYFUNCTION("""COMPUTED_VALUE"""),1301609.0)</f>
        <v>1301609</v>
      </c>
    </row>
    <row r="4513">
      <c r="A4513" s="2">
        <f>IFERROR(__xludf.DUMMYFUNCTION("""COMPUTED_VALUE"""),43185.64583333333)</f>
        <v>43185.64583</v>
      </c>
      <c r="B4513" s="1">
        <f>IFERROR(__xludf.DUMMYFUNCTION("""COMPUTED_VALUE"""),1303.0)</f>
        <v>1303</v>
      </c>
      <c r="C4513" s="1">
        <f>IFERROR(__xludf.DUMMYFUNCTION("""COMPUTED_VALUE"""),1329.9)</f>
        <v>1329.9</v>
      </c>
      <c r="D4513" s="1">
        <f>IFERROR(__xludf.DUMMYFUNCTION("""COMPUTED_VALUE"""),1298.0)</f>
        <v>1298</v>
      </c>
      <c r="E4513" s="1">
        <f>IFERROR(__xludf.DUMMYFUNCTION("""COMPUTED_VALUE"""),1324.3)</f>
        <v>1324.3</v>
      </c>
      <c r="F4513" s="1">
        <f>IFERROR(__xludf.DUMMYFUNCTION("""COMPUTED_VALUE"""),1032138.0)</f>
        <v>1032138</v>
      </c>
    </row>
    <row r="4514">
      <c r="A4514" s="2">
        <f>IFERROR(__xludf.DUMMYFUNCTION("""COMPUTED_VALUE"""),43186.64583333333)</f>
        <v>43186.64583</v>
      </c>
      <c r="B4514" s="1">
        <f>IFERROR(__xludf.DUMMYFUNCTION("""COMPUTED_VALUE"""),1339.0)</f>
        <v>1339</v>
      </c>
      <c r="C4514" s="1">
        <f>IFERROR(__xludf.DUMMYFUNCTION("""COMPUTED_VALUE"""),1340.0)</f>
        <v>1340</v>
      </c>
      <c r="D4514" s="1">
        <f>IFERROR(__xludf.DUMMYFUNCTION("""COMPUTED_VALUE"""),1321.15)</f>
        <v>1321.15</v>
      </c>
      <c r="E4514" s="1">
        <f>IFERROR(__xludf.DUMMYFUNCTION("""COMPUTED_VALUE"""),1332.8)</f>
        <v>1332.8</v>
      </c>
      <c r="F4514" s="1">
        <f>IFERROR(__xludf.DUMMYFUNCTION("""COMPUTED_VALUE"""),1040328.0)</f>
        <v>1040328</v>
      </c>
    </row>
    <row r="4515">
      <c r="A4515" s="2">
        <f>IFERROR(__xludf.DUMMYFUNCTION("""COMPUTED_VALUE"""),43187.64583333333)</f>
        <v>43187.64583</v>
      </c>
      <c r="B4515" s="1">
        <f>IFERROR(__xludf.DUMMYFUNCTION("""COMPUTED_VALUE"""),1326.05)</f>
        <v>1326.05</v>
      </c>
      <c r="C4515" s="1">
        <f>IFERROR(__xludf.DUMMYFUNCTION("""COMPUTED_VALUE"""),1339.4)</f>
        <v>1339.4</v>
      </c>
      <c r="D4515" s="1">
        <f>IFERROR(__xludf.DUMMYFUNCTION("""COMPUTED_VALUE"""),1322.2)</f>
        <v>1322.2</v>
      </c>
      <c r="E4515" s="1">
        <f>IFERROR(__xludf.DUMMYFUNCTION("""COMPUTED_VALUE"""),1333.35)</f>
        <v>1333.35</v>
      </c>
      <c r="F4515" s="1">
        <f>IFERROR(__xludf.DUMMYFUNCTION("""COMPUTED_VALUE"""),1337677.0)</f>
        <v>1337677</v>
      </c>
    </row>
    <row r="4516">
      <c r="A4516" s="2">
        <f>IFERROR(__xludf.DUMMYFUNCTION("""COMPUTED_VALUE"""),43192.64583333333)</f>
        <v>43192.64583</v>
      </c>
      <c r="B4516" s="1">
        <f>IFERROR(__xludf.DUMMYFUNCTION("""COMPUTED_VALUE"""),1315.0)</f>
        <v>1315</v>
      </c>
      <c r="C4516" s="1">
        <f>IFERROR(__xludf.DUMMYFUNCTION("""COMPUTED_VALUE"""),1360.55)</f>
        <v>1360.55</v>
      </c>
      <c r="D4516" s="1">
        <f>IFERROR(__xludf.DUMMYFUNCTION("""COMPUTED_VALUE"""),1315.0)</f>
        <v>1315</v>
      </c>
      <c r="E4516" s="1">
        <f>IFERROR(__xludf.DUMMYFUNCTION("""COMPUTED_VALUE"""),1351.3)</f>
        <v>1351.3</v>
      </c>
      <c r="F4516" s="1">
        <f>IFERROR(__xludf.DUMMYFUNCTION("""COMPUTED_VALUE"""),708747.0)</f>
        <v>708747</v>
      </c>
    </row>
    <row r="4517">
      <c r="A4517" s="2">
        <f>IFERROR(__xludf.DUMMYFUNCTION("""COMPUTED_VALUE"""),43193.64583333333)</f>
        <v>43193.64583</v>
      </c>
      <c r="B4517" s="1">
        <f>IFERROR(__xludf.DUMMYFUNCTION("""COMPUTED_VALUE"""),1347.1)</f>
        <v>1347.1</v>
      </c>
      <c r="C4517" s="1">
        <f>IFERROR(__xludf.DUMMYFUNCTION("""COMPUTED_VALUE"""),1355.5)</f>
        <v>1355.5</v>
      </c>
      <c r="D4517" s="1">
        <f>IFERROR(__xludf.DUMMYFUNCTION("""COMPUTED_VALUE"""),1338.65)</f>
        <v>1338.65</v>
      </c>
      <c r="E4517" s="1">
        <f>IFERROR(__xludf.DUMMYFUNCTION("""COMPUTED_VALUE"""),1348.4)</f>
        <v>1348.4</v>
      </c>
      <c r="F4517" s="1">
        <f>IFERROR(__xludf.DUMMYFUNCTION("""COMPUTED_VALUE"""),979726.0)</f>
        <v>979726</v>
      </c>
    </row>
    <row r="4518">
      <c r="A4518" s="2">
        <f>IFERROR(__xludf.DUMMYFUNCTION("""COMPUTED_VALUE"""),43194.64583333333)</f>
        <v>43194.64583</v>
      </c>
      <c r="B4518" s="1">
        <f>IFERROR(__xludf.DUMMYFUNCTION("""COMPUTED_VALUE"""),1348.0)</f>
        <v>1348</v>
      </c>
      <c r="C4518" s="1">
        <f>IFERROR(__xludf.DUMMYFUNCTION("""COMPUTED_VALUE"""),1360.0)</f>
        <v>1360</v>
      </c>
      <c r="D4518" s="1">
        <f>IFERROR(__xludf.DUMMYFUNCTION("""COMPUTED_VALUE"""),1339.55)</f>
        <v>1339.55</v>
      </c>
      <c r="E4518" s="1">
        <f>IFERROR(__xludf.DUMMYFUNCTION("""COMPUTED_VALUE"""),1357.45)</f>
        <v>1357.45</v>
      </c>
      <c r="F4518" s="1">
        <f>IFERROR(__xludf.DUMMYFUNCTION("""COMPUTED_VALUE"""),912607.0)</f>
        <v>912607</v>
      </c>
    </row>
    <row r="4519">
      <c r="A4519" s="2">
        <f>IFERROR(__xludf.DUMMYFUNCTION("""COMPUTED_VALUE"""),43195.64583333333)</f>
        <v>43195.64583</v>
      </c>
      <c r="B4519" s="1">
        <f>IFERROR(__xludf.DUMMYFUNCTION("""COMPUTED_VALUE"""),1380.0)</f>
        <v>1380</v>
      </c>
      <c r="C4519" s="1">
        <f>IFERROR(__xludf.DUMMYFUNCTION("""COMPUTED_VALUE"""),1383.8)</f>
        <v>1383.8</v>
      </c>
      <c r="D4519" s="1">
        <f>IFERROR(__xludf.DUMMYFUNCTION("""COMPUTED_VALUE"""),1362.7)</f>
        <v>1362.7</v>
      </c>
      <c r="E4519" s="1">
        <f>IFERROR(__xludf.DUMMYFUNCTION("""COMPUTED_VALUE"""),1382.2)</f>
        <v>1382.2</v>
      </c>
      <c r="F4519" s="1">
        <f>IFERROR(__xludf.DUMMYFUNCTION("""COMPUTED_VALUE"""),588716.0)</f>
        <v>588716</v>
      </c>
    </row>
    <row r="4520">
      <c r="A4520" s="2">
        <f>IFERROR(__xludf.DUMMYFUNCTION("""COMPUTED_VALUE"""),43196.64583333333)</f>
        <v>43196.64583</v>
      </c>
      <c r="B4520" s="1">
        <f>IFERROR(__xludf.DUMMYFUNCTION("""COMPUTED_VALUE"""),1381.95)</f>
        <v>1381.95</v>
      </c>
      <c r="C4520" s="1">
        <f>IFERROR(__xludf.DUMMYFUNCTION("""COMPUTED_VALUE"""),1381.95)</f>
        <v>1381.95</v>
      </c>
      <c r="D4520" s="1">
        <f>IFERROR(__xludf.DUMMYFUNCTION("""COMPUTED_VALUE"""),1362.45)</f>
        <v>1362.45</v>
      </c>
      <c r="E4520" s="1">
        <f>IFERROR(__xludf.DUMMYFUNCTION("""COMPUTED_VALUE"""),1374.8)</f>
        <v>1374.8</v>
      </c>
      <c r="F4520" s="1">
        <f>IFERROR(__xludf.DUMMYFUNCTION("""COMPUTED_VALUE"""),633937.0)</f>
        <v>633937</v>
      </c>
    </row>
    <row r="4521">
      <c r="A4521" s="2">
        <f>IFERROR(__xludf.DUMMYFUNCTION("""COMPUTED_VALUE"""),43199.64583333333)</f>
        <v>43199.64583</v>
      </c>
      <c r="B4521" s="1">
        <f>IFERROR(__xludf.DUMMYFUNCTION("""COMPUTED_VALUE"""),1367.95)</f>
        <v>1367.95</v>
      </c>
      <c r="C4521" s="1">
        <f>IFERROR(__xludf.DUMMYFUNCTION("""COMPUTED_VALUE"""),1396.4)</f>
        <v>1396.4</v>
      </c>
      <c r="D4521" s="1">
        <f>IFERROR(__xludf.DUMMYFUNCTION("""COMPUTED_VALUE"""),1367.5)</f>
        <v>1367.5</v>
      </c>
      <c r="E4521" s="1">
        <f>IFERROR(__xludf.DUMMYFUNCTION("""COMPUTED_VALUE"""),1391.6)</f>
        <v>1391.6</v>
      </c>
      <c r="F4521" s="1">
        <f>IFERROR(__xludf.DUMMYFUNCTION("""COMPUTED_VALUE"""),923543.0)</f>
        <v>923543</v>
      </c>
    </row>
    <row r="4522">
      <c r="A4522" s="2">
        <f>IFERROR(__xludf.DUMMYFUNCTION("""COMPUTED_VALUE"""),43200.64583333333)</f>
        <v>43200.64583</v>
      </c>
      <c r="B4522" s="1">
        <f>IFERROR(__xludf.DUMMYFUNCTION("""COMPUTED_VALUE"""),1398.8)</f>
        <v>1398.8</v>
      </c>
      <c r="C4522" s="1">
        <f>IFERROR(__xludf.DUMMYFUNCTION("""COMPUTED_VALUE"""),1402.8)</f>
        <v>1402.8</v>
      </c>
      <c r="D4522" s="1">
        <f>IFERROR(__xludf.DUMMYFUNCTION("""COMPUTED_VALUE"""),1387.0)</f>
        <v>1387</v>
      </c>
      <c r="E4522" s="1">
        <f>IFERROR(__xludf.DUMMYFUNCTION("""COMPUTED_VALUE"""),1391.5)</f>
        <v>1391.5</v>
      </c>
      <c r="F4522" s="1">
        <f>IFERROR(__xludf.DUMMYFUNCTION("""COMPUTED_VALUE"""),969036.0)</f>
        <v>969036</v>
      </c>
    </row>
    <row r="4523">
      <c r="A4523" s="2">
        <f>IFERROR(__xludf.DUMMYFUNCTION("""COMPUTED_VALUE"""),43201.64583333333)</f>
        <v>43201.64583</v>
      </c>
      <c r="B4523" s="1">
        <f>IFERROR(__xludf.DUMMYFUNCTION("""COMPUTED_VALUE"""),1393.0)</f>
        <v>1393</v>
      </c>
      <c r="C4523" s="1">
        <f>IFERROR(__xludf.DUMMYFUNCTION("""COMPUTED_VALUE"""),1420.5)</f>
        <v>1420.5</v>
      </c>
      <c r="D4523" s="1">
        <f>IFERROR(__xludf.DUMMYFUNCTION("""COMPUTED_VALUE"""),1385.55)</f>
        <v>1385.55</v>
      </c>
      <c r="E4523" s="1">
        <f>IFERROR(__xludf.DUMMYFUNCTION("""COMPUTED_VALUE"""),1409.15)</f>
        <v>1409.15</v>
      </c>
      <c r="F4523" s="1">
        <f>IFERROR(__xludf.DUMMYFUNCTION("""COMPUTED_VALUE"""),1015714.0)</f>
        <v>1015714</v>
      </c>
    </row>
    <row r="4524">
      <c r="A4524" s="2">
        <f>IFERROR(__xludf.DUMMYFUNCTION("""COMPUTED_VALUE"""),43202.64583333333)</f>
        <v>43202.64583</v>
      </c>
      <c r="B4524" s="1">
        <f>IFERROR(__xludf.DUMMYFUNCTION("""COMPUTED_VALUE"""),1408.0)</f>
        <v>1408</v>
      </c>
      <c r="C4524" s="1">
        <f>IFERROR(__xludf.DUMMYFUNCTION("""COMPUTED_VALUE"""),1416.0)</f>
        <v>1416</v>
      </c>
      <c r="D4524" s="1">
        <f>IFERROR(__xludf.DUMMYFUNCTION("""COMPUTED_VALUE"""),1397.1)</f>
        <v>1397.1</v>
      </c>
      <c r="E4524" s="1">
        <f>IFERROR(__xludf.DUMMYFUNCTION("""COMPUTED_VALUE"""),1412.75)</f>
        <v>1412.75</v>
      </c>
      <c r="F4524" s="1">
        <f>IFERROR(__xludf.DUMMYFUNCTION("""COMPUTED_VALUE"""),510556.0)</f>
        <v>510556</v>
      </c>
    </row>
    <row r="4525">
      <c r="A4525" s="2">
        <f>IFERROR(__xludf.DUMMYFUNCTION("""COMPUTED_VALUE"""),43203.64583333333)</f>
        <v>43203.64583</v>
      </c>
      <c r="B4525" s="1">
        <f>IFERROR(__xludf.DUMMYFUNCTION("""COMPUTED_VALUE"""),1412.0)</f>
        <v>1412</v>
      </c>
      <c r="C4525" s="1">
        <f>IFERROR(__xludf.DUMMYFUNCTION("""COMPUTED_VALUE"""),1413.85)</f>
        <v>1413.85</v>
      </c>
      <c r="D4525" s="1">
        <f>IFERROR(__xludf.DUMMYFUNCTION("""COMPUTED_VALUE"""),1399.2)</f>
        <v>1399.2</v>
      </c>
      <c r="E4525" s="1">
        <f>IFERROR(__xludf.DUMMYFUNCTION("""COMPUTED_VALUE"""),1410.55)</f>
        <v>1410.55</v>
      </c>
      <c r="F4525" s="1">
        <f>IFERROR(__xludf.DUMMYFUNCTION("""COMPUTED_VALUE"""),534981.0)</f>
        <v>534981</v>
      </c>
    </row>
    <row r="4526">
      <c r="A4526" s="2">
        <f>IFERROR(__xludf.DUMMYFUNCTION("""COMPUTED_VALUE"""),43206.64583333333)</f>
        <v>43206.64583</v>
      </c>
      <c r="B4526" s="1">
        <f>IFERROR(__xludf.DUMMYFUNCTION("""COMPUTED_VALUE"""),1408.9)</f>
        <v>1408.9</v>
      </c>
      <c r="C4526" s="1">
        <f>IFERROR(__xludf.DUMMYFUNCTION("""COMPUTED_VALUE"""),1423.2)</f>
        <v>1423.2</v>
      </c>
      <c r="D4526" s="1">
        <f>IFERROR(__xludf.DUMMYFUNCTION("""COMPUTED_VALUE"""),1404.85)</f>
        <v>1404.85</v>
      </c>
      <c r="E4526" s="1">
        <f>IFERROR(__xludf.DUMMYFUNCTION("""COMPUTED_VALUE"""),1419.5)</f>
        <v>1419.5</v>
      </c>
      <c r="F4526" s="1">
        <f>IFERROR(__xludf.DUMMYFUNCTION("""COMPUTED_VALUE"""),325041.0)</f>
        <v>325041</v>
      </c>
    </row>
    <row r="4527">
      <c r="A4527" s="2">
        <f>IFERROR(__xludf.DUMMYFUNCTION("""COMPUTED_VALUE"""),43207.64583333333)</f>
        <v>43207.64583</v>
      </c>
      <c r="B4527" s="1">
        <f>IFERROR(__xludf.DUMMYFUNCTION("""COMPUTED_VALUE"""),1420.5)</f>
        <v>1420.5</v>
      </c>
      <c r="C4527" s="1">
        <f>IFERROR(__xludf.DUMMYFUNCTION("""COMPUTED_VALUE"""),1450.5)</f>
        <v>1450.5</v>
      </c>
      <c r="D4527" s="1">
        <f>IFERROR(__xludf.DUMMYFUNCTION("""COMPUTED_VALUE"""),1419.8)</f>
        <v>1419.8</v>
      </c>
      <c r="E4527" s="1">
        <f>IFERROR(__xludf.DUMMYFUNCTION("""COMPUTED_VALUE"""),1445.55)</f>
        <v>1445.55</v>
      </c>
      <c r="F4527" s="1">
        <f>IFERROR(__xludf.DUMMYFUNCTION("""COMPUTED_VALUE"""),1176082.0)</f>
        <v>1176082</v>
      </c>
    </row>
    <row r="4528">
      <c r="A4528" s="2">
        <f>IFERROR(__xludf.DUMMYFUNCTION("""COMPUTED_VALUE"""),43208.64583333333)</f>
        <v>43208.64583</v>
      </c>
      <c r="B4528" s="1">
        <f>IFERROR(__xludf.DUMMYFUNCTION("""COMPUTED_VALUE"""),1450.5)</f>
        <v>1450.5</v>
      </c>
      <c r="C4528" s="1">
        <f>IFERROR(__xludf.DUMMYFUNCTION("""COMPUTED_VALUE"""),1456.15)</f>
        <v>1456.15</v>
      </c>
      <c r="D4528" s="1">
        <f>IFERROR(__xludf.DUMMYFUNCTION("""COMPUTED_VALUE"""),1440.0)</f>
        <v>1440</v>
      </c>
      <c r="E4528" s="1">
        <f>IFERROR(__xludf.DUMMYFUNCTION("""COMPUTED_VALUE"""),1450.5)</f>
        <v>1450.5</v>
      </c>
      <c r="F4528" s="1">
        <f>IFERROR(__xludf.DUMMYFUNCTION("""COMPUTED_VALUE"""),765225.0)</f>
        <v>765225</v>
      </c>
    </row>
    <row r="4529">
      <c r="A4529" s="2">
        <f>IFERROR(__xludf.DUMMYFUNCTION("""COMPUTED_VALUE"""),43209.64583333333)</f>
        <v>43209.64583</v>
      </c>
      <c r="B4529" s="1">
        <f>IFERROR(__xludf.DUMMYFUNCTION("""COMPUTED_VALUE"""),1451.4)</f>
        <v>1451.4</v>
      </c>
      <c r="C4529" s="1">
        <f>IFERROR(__xludf.DUMMYFUNCTION("""COMPUTED_VALUE"""),1467.9)</f>
        <v>1467.9</v>
      </c>
      <c r="D4529" s="1">
        <f>IFERROR(__xludf.DUMMYFUNCTION("""COMPUTED_VALUE"""),1448.35)</f>
        <v>1448.35</v>
      </c>
      <c r="E4529" s="1">
        <f>IFERROR(__xludf.DUMMYFUNCTION("""COMPUTED_VALUE"""),1454.2)</f>
        <v>1454.2</v>
      </c>
      <c r="F4529" s="1">
        <f>IFERROR(__xludf.DUMMYFUNCTION("""COMPUTED_VALUE"""),682820.0)</f>
        <v>682820</v>
      </c>
    </row>
    <row r="4530">
      <c r="A4530" s="2">
        <f>IFERROR(__xludf.DUMMYFUNCTION("""COMPUTED_VALUE"""),43210.64583333333)</f>
        <v>43210.64583</v>
      </c>
      <c r="B4530" s="1">
        <f>IFERROR(__xludf.DUMMYFUNCTION("""COMPUTED_VALUE"""),1442.0)</f>
        <v>1442</v>
      </c>
      <c r="C4530" s="1">
        <f>IFERROR(__xludf.DUMMYFUNCTION("""COMPUTED_VALUE"""),1472.15)</f>
        <v>1472.15</v>
      </c>
      <c r="D4530" s="1">
        <f>IFERROR(__xludf.DUMMYFUNCTION("""COMPUTED_VALUE"""),1441.2)</f>
        <v>1441.2</v>
      </c>
      <c r="E4530" s="1">
        <f>IFERROR(__xludf.DUMMYFUNCTION("""COMPUTED_VALUE"""),1467.8)</f>
        <v>1467.8</v>
      </c>
      <c r="F4530" s="1">
        <f>IFERROR(__xludf.DUMMYFUNCTION("""COMPUTED_VALUE"""),674146.0)</f>
        <v>674146</v>
      </c>
    </row>
    <row r="4531">
      <c r="A4531" s="2">
        <f>IFERROR(__xludf.DUMMYFUNCTION("""COMPUTED_VALUE"""),43213.64583333333)</f>
        <v>43213.64583</v>
      </c>
      <c r="B4531" s="1">
        <f>IFERROR(__xludf.DUMMYFUNCTION("""COMPUTED_VALUE"""),1471.0)</f>
        <v>1471</v>
      </c>
      <c r="C4531" s="1">
        <f>IFERROR(__xludf.DUMMYFUNCTION("""COMPUTED_VALUE"""),1471.0)</f>
        <v>1471</v>
      </c>
      <c r="D4531" s="1">
        <f>IFERROR(__xludf.DUMMYFUNCTION("""COMPUTED_VALUE"""),1450.0)</f>
        <v>1450</v>
      </c>
      <c r="E4531" s="1">
        <f>IFERROR(__xludf.DUMMYFUNCTION("""COMPUTED_VALUE"""),1452.75)</f>
        <v>1452.75</v>
      </c>
      <c r="F4531" s="1">
        <f>IFERROR(__xludf.DUMMYFUNCTION("""COMPUTED_VALUE"""),395622.0)</f>
        <v>395622</v>
      </c>
    </row>
    <row r="4532">
      <c r="A4532" s="2">
        <f>IFERROR(__xludf.DUMMYFUNCTION("""COMPUTED_VALUE"""),43214.64583333333)</f>
        <v>43214.64583</v>
      </c>
      <c r="B4532" s="1">
        <f>IFERROR(__xludf.DUMMYFUNCTION("""COMPUTED_VALUE"""),1464.0)</f>
        <v>1464</v>
      </c>
      <c r="C4532" s="1">
        <f>IFERROR(__xludf.DUMMYFUNCTION("""COMPUTED_VALUE"""),1469.75)</f>
        <v>1469.75</v>
      </c>
      <c r="D4532" s="1">
        <f>IFERROR(__xludf.DUMMYFUNCTION("""COMPUTED_VALUE"""),1445.7)</f>
        <v>1445.7</v>
      </c>
      <c r="E4532" s="1">
        <f>IFERROR(__xludf.DUMMYFUNCTION("""COMPUTED_VALUE"""),1459.65)</f>
        <v>1459.65</v>
      </c>
      <c r="F4532" s="1">
        <f>IFERROR(__xludf.DUMMYFUNCTION("""COMPUTED_VALUE"""),1218174.0)</f>
        <v>1218174</v>
      </c>
    </row>
    <row r="4533">
      <c r="A4533" s="2">
        <f>IFERROR(__xludf.DUMMYFUNCTION("""COMPUTED_VALUE"""),43215.64583333333)</f>
        <v>43215.64583</v>
      </c>
      <c r="B4533" s="1">
        <f>IFERROR(__xludf.DUMMYFUNCTION("""COMPUTED_VALUE"""),1459.0)</f>
        <v>1459</v>
      </c>
      <c r="C4533" s="1">
        <f>IFERROR(__xludf.DUMMYFUNCTION("""COMPUTED_VALUE"""),1463.0)</f>
        <v>1463</v>
      </c>
      <c r="D4533" s="1">
        <f>IFERROR(__xludf.DUMMYFUNCTION("""COMPUTED_VALUE"""),1449.05)</f>
        <v>1449.05</v>
      </c>
      <c r="E4533" s="1">
        <f>IFERROR(__xludf.DUMMYFUNCTION("""COMPUTED_VALUE"""),1459.2)</f>
        <v>1459.2</v>
      </c>
      <c r="F4533" s="1">
        <f>IFERROR(__xludf.DUMMYFUNCTION("""COMPUTED_VALUE"""),504777.0)</f>
        <v>504777</v>
      </c>
    </row>
    <row r="4534">
      <c r="A4534" s="2">
        <f>IFERROR(__xludf.DUMMYFUNCTION("""COMPUTED_VALUE"""),43216.64583333333)</f>
        <v>43216.64583</v>
      </c>
      <c r="B4534" s="1">
        <f>IFERROR(__xludf.DUMMYFUNCTION("""COMPUTED_VALUE"""),1463.0)</f>
        <v>1463</v>
      </c>
      <c r="C4534" s="1">
        <f>IFERROR(__xludf.DUMMYFUNCTION("""COMPUTED_VALUE"""),1498.6)</f>
        <v>1498.6</v>
      </c>
      <c r="D4534" s="1">
        <f>IFERROR(__xludf.DUMMYFUNCTION("""COMPUTED_VALUE"""),1459.85)</f>
        <v>1459.85</v>
      </c>
      <c r="E4534" s="1">
        <f>IFERROR(__xludf.DUMMYFUNCTION("""COMPUTED_VALUE"""),1491.25)</f>
        <v>1491.25</v>
      </c>
      <c r="F4534" s="1">
        <f>IFERROR(__xludf.DUMMYFUNCTION("""COMPUTED_VALUE"""),1321586.0)</f>
        <v>1321586</v>
      </c>
    </row>
    <row r="4535">
      <c r="A4535" s="2">
        <f>IFERROR(__xludf.DUMMYFUNCTION("""COMPUTED_VALUE"""),43217.64583333333)</f>
        <v>43217.64583</v>
      </c>
      <c r="B4535" s="1">
        <f>IFERROR(__xludf.DUMMYFUNCTION("""COMPUTED_VALUE"""),1491.25)</f>
        <v>1491.25</v>
      </c>
      <c r="C4535" s="1">
        <f>IFERROR(__xludf.DUMMYFUNCTION("""COMPUTED_VALUE"""),1497.5)</f>
        <v>1497.5</v>
      </c>
      <c r="D4535" s="1">
        <f>IFERROR(__xludf.DUMMYFUNCTION("""COMPUTED_VALUE"""),1469.9)</f>
        <v>1469.9</v>
      </c>
      <c r="E4535" s="1">
        <f>IFERROR(__xludf.DUMMYFUNCTION("""COMPUTED_VALUE"""),1473.95)</f>
        <v>1473.95</v>
      </c>
      <c r="F4535" s="1">
        <f>IFERROR(__xludf.DUMMYFUNCTION("""COMPUTED_VALUE"""),818770.0)</f>
        <v>818770</v>
      </c>
    </row>
    <row r="4536">
      <c r="A4536" s="2">
        <f>IFERROR(__xludf.DUMMYFUNCTION("""COMPUTED_VALUE"""),43220.64583333333)</f>
        <v>43220.64583</v>
      </c>
      <c r="B4536" s="1">
        <f>IFERROR(__xludf.DUMMYFUNCTION("""COMPUTED_VALUE"""),1475.0)</f>
        <v>1475</v>
      </c>
      <c r="C4536" s="1">
        <f>IFERROR(__xludf.DUMMYFUNCTION("""COMPUTED_VALUE"""),1513.55)</f>
        <v>1513.55</v>
      </c>
      <c r="D4536" s="1">
        <f>IFERROR(__xludf.DUMMYFUNCTION("""COMPUTED_VALUE"""),1474.55)</f>
        <v>1474.55</v>
      </c>
      <c r="E4536" s="1">
        <f>IFERROR(__xludf.DUMMYFUNCTION("""COMPUTED_VALUE"""),1508.9)</f>
        <v>1508.9</v>
      </c>
      <c r="F4536" s="1">
        <f>IFERROR(__xludf.DUMMYFUNCTION("""COMPUTED_VALUE"""),612159.0)</f>
        <v>612159</v>
      </c>
    </row>
    <row r="4537">
      <c r="A4537" s="2">
        <f>IFERROR(__xludf.DUMMYFUNCTION("""COMPUTED_VALUE"""),43222.64583333333)</f>
        <v>43222.64583</v>
      </c>
      <c r="B4537" s="1">
        <f>IFERROR(__xludf.DUMMYFUNCTION("""COMPUTED_VALUE"""),1512.0)</f>
        <v>1512</v>
      </c>
      <c r="C4537" s="1">
        <f>IFERROR(__xludf.DUMMYFUNCTION("""COMPUTED_VALUE"""),1514.0)</f>
        <v>1514</v>
      </c>
      <c r="D4537" s="1">
        <f>IFERROR(__xludf.DUMMYFUNCTION("""COMPUTED_VALUE"""),1464.65)</f>
        <v>1464.65</v>
      </c>
      <c r="E4537" s="1">
        <f>IFERROR(__xludf.DUMMYFUNCTION("""COMPUTED_VALUE"""),1471.95)</f>
        <v>1471.95</v>
      </c>
      <c r="F4537" s="1">
        <f>IFERROR(__xludf.DUMMYFUNCTION("""COMPUTED_VALUE"""),1047583.0)</f>
        <v>1047583</v>
      </c>
    </row>
    <row r="4538">
      <c r="A4538" s="2">
        <f>IFERROR(__xludf.DUMMYFUNCTION("""COMPUTED_VALUE"""),43223.64583333333)</f>
        <v>43223.64583</v>
      </c>
      <c r="B4538" s="1">
        <f>IFERROR(__xludf.DUMMYFUNCTION("""COMPUTED_VALUE"""),1465.6)</f>
        <v>1465.6</v>
      </c>
      <c r="C4538" s="1">
        <f>IFERROR(__xludf.DUMMYFUNCTION("""COMPUTED_VALUE"""),1468.95)</f>
        <v>1468.95</v>
      </c>
      <c r="D4538" s="1">
        <f>IFERROR(__xludf.DUMMYFUNCTION("""COMPUTED_VALUE"""),1441.6)</f>
        <v>1441.6</v>
      </c>
      <c r="E4538" s="1">
        <f>IFERROR(__xludf.DUMMYFUNCTION("""COMPUTED_VALUE"""),1452.2)</f>
        <v>1452.2</v>
      </c>
      <c r="F4538" s="1">
        <f>IFERROR(__xludf.DUMMYFUNCTION("""COMPUTED_VALUE"""),1243694.0)</f>
        <v>1243694</v>
      </c>
    </row>
    <row r="4539">
      <c r="A4539" s="2">
        <f>IFERROR(__xludf.DUMMYFUNCTION("""COMPUTED_VALUE"""),43224.64583333333)</f>
        <v>43224.64583</v>
      </c>
      <c r="B4539" s="1">
        <f>IFERROR(__xludf.DUMMYFUNCTION("""COMPUTED_VALUE"""),1455.0)</f>
        <v>1455</v>
      </c>
      <c r="C4539" s="1">
        <f>IFERROR(__xludf.DUMMYFUNCTION("""COMPUTED_VALUE"""),1471.0)</f>
        <v>1471</v>
      </c>
      <c r="D4539" s="1">
        <f>IFERROR(__xludf.DUMMYFUNCTION("""COMPUTED_VALUE"""),1447.65)</f>
        <v>1447.65</v>
      </c>
      <c r="E4539" s="1">
        <f>IFERROR(__xludf.DUMMYFUNCTION("""COMPUTED_VALUE"""),1464.2)</f>
        <v>1464.2</v>
      </c>
      <c r="F4539" s="1">
        <f>IFERROR(__xludf.DUMMYFUNCTION("""COMPUTED_VALUE"""),586841.0)</f>
        <v>586841</v>
      </c>
    </row>
    <row r="4540">
      <c r="A4540" s="2">
        <f>IFERROR(__xludf.DUMMYFUNCTION("""COMPUTED_VALUE"""),43227.64583333333)</f>
        <v>43227.64583</v>
      </c>
      <c r="B4540" s="1">
        <f>IFERROR(__xludf.DUMMYFUNCTION("""COMPUTED_VALUE"""),1472.4)</f>
        <v>1472.4</v>
      </c>
      <c r="C4540" s="1">
        <f>IFERROR(__xludf.DUMMYFUNCTION("""COMPUTED_VALUE"""),1502.0)</f>
        <v>1502</v>
      </c>
      <c r="D4540" s="1">
        <f>IFERROR(__xludf.DUMMYFUNCTION("""COMPUTED_VALUE"""),1465.0)</f>
        <v>1465</v>
      </c>
      <c r="E4540" s="1">
        <f>IFERROR(__xludf.DUMMYFUNCTION("""COMPUTED_VALUE"""),1497.9)</f>
        <v>1497.9</v>
      </c>
      <c r="F4540" s="1">
        <f>IFERROR(__xludf.DUMMYFUNCTION("""COMPUTED_VALUE"""),887065.0)</f>
        <v>887065</v>
      </c>
    </row>
    <row r="4541">
      <c r="A4541" s="2">
        <f>IFERROR(__xludf.DUMMYFUNCTION("""COMPUTED_VALUE"""),43228.64583333333)</f>
        <v>43228.64583</v>
      </c>
      <c r="B4541" s="1">
        <f>IFERROR(__xludf.DUMMYFUNCTION("""COMPUTED_VALUE"""),1494.0)</f>
        <v>1494</v>
      </c>
      <c r="C4541" s="1">
        <f>IFERROR(__xludf.DUMMYFUNCTION("""COMPUTED_VALUE"""),1504.8)</f>
        <v>1504.8</v>
      </c>
      <c r="D4541" s="1">
        <f>IFERROR(__xludf.DUMMYFUNCTION("""COMPUTED_VALUE"""),1478.5)</f>
        <v>1478.5</v>
      </c>
      <c r="E4541" s="1">
        <f>IFERROR(__xludf.DUMMYFUNCTION("""COMPUTED_VALUE"""),1496.05)</f>
        <v>1496.05</v>
      </c>
      <c r="F4541" s="1">
        <f>IFERROR(__xludf.DUMMYFUNCTION("""COMPUTED_VALUE"""),906975.0)</f>
        <v>906975</v>
      </c>
    </row>
    <row r="4542">
      <c r="A4542" s="2">
        <f>IFERROR(__xludf.DUMMYFUNCTION("""COMPUTED_VALUE"""),43229.64583333333)</f>
        <v>43229.64583</v>
      </c>
      <c r="B4542" s="1">
        <f>IFERROR(__xludf.DUMMYFUNCTION("""COMPUTED_VALUE"""),1496.9)</f>
        <v>1496.9</v>
      </c>
      <c r="C4542" s="1">
        <f>IFERROR(__xludf.DUMMYFUNCTION("""COMPUTED_VALUE"""),1511.0)</f>
        <v>1511</v>
      </c>
      <c r="D4542" s="1">
        <f>IFERROR(__xludf.DUMMYFUNCTION("""COMPUTED_VALUE"""),1486.25)</f>
        <v>1486.25</v>
      </c>
      <c r="E4542" s="1">
        <f>IFERROR(__xludf.DUMMYFUNCTION("""COMPUTED_VALUE"""),1496.0)</f>
        <v>1496</v>
      </c>
      <c r="F4542" s="1">
        <f>IFERROR(__xludf.DUMMYFUNCTION("""COMPUTED_VALUE"""),759263.0)</f>
        <v>759263</v>
      </c>
    </row>
    <row r="4543">
      <c r="A4543" s="2">
        <f>IFERROR(__xludf.DUMMYFUNCTION("""COMPUTED_VALUE"""),43230.64583333333)</f>
        <v>43230.64583</v>
      </c>
      <c r="B4543" s="1">
        <f>IFERROR(__xludf.DUMMYFUNCTION("""COMPUTED_VALUE"""),1494.0)</f>
        <v>1494</v>
      </c>
      <c r="C4543" s="1">
        <f>IFERROR(__xludf.DUMMYFUNCTION("""COMPUTED_VALUE"""),1506.85)</f>
        <v>1506.85</v>
      </c>
      <c r="D4543" s="1">
        <f>IFERROR(__xludf.DUMMYFUNCTION("""COMPUTED_VALUE"""),1480.0)</f>
        <v>1480</v>
      </c>
      <c r="E4543" s="1">
        <f>IFERROR(__xludf.DUMMYFUNCTION("""COMPUTED_VALUE"""),1486.5)</f>
        <v>1486.5</v>
      </c>
      <c r="F4543" s="1">
        <f>IFERROR(__xludf.DUMMYFUNCTION("""COMPUTED_VALUE"""),932116.0)</f>
        <v>932116</v>
      </c>
    </row>
    <row r="4544">
      <c r="A4544" s="2">
        <f>IFERROR(__xludf.DUMMYFUNCTION("""COMPUTED_VALUE"""),43231.64583333333)</f>
        <v>43231.64583</v>
      </c>
      <c r="B4544" s="1">
        <f>IFERROR(__xludf.DUMMYFUNCTION("""COMPUTED_VALUE"""),1489.0)</f>
        <v>1489</v>
      </c>
      <c r="C4544" s="1">
        <f>IFERROR(__xludf.DUMMYFUNCTION("""COMPUTED_VALUE"""),1506.0)</f>
        <v>1506</v>
      </c>
      <c r="D4544" s="1">
        <f>IFERROR(__xludf.DUMMYFUNCTION("""COMPUTED_VALUE"""),1485.1)</f>
        <v>1485.1</v>
      </c>
      <c r="E4544" s="1">
        <f>IFERROR(__xludf.DUMMYFUNCTION("""COMPUTED_VALUE"""),1504.1)</f>
        <v>1504.1</v>
      </c>
      <c r="F4544" s="1">
        <f>IFERROR(__xludf.DUMMYFUNCTION("""COMPUTED_VALUE"""),591179.0)</f>
        <v>591179</v>
      </c>
    </row>
    <row r="4545">
      <c r="A4545" s="2">
        <f>IFERROR(__xludf.DUMMYFUNCTION("""COMPUTED_VALUE"""),43234.64583333333)</f>
        <v>43234.64583</v>
      </c>
      <c r="B4545" s="1">
        <f>IFERROR(__xludf.DUMMYFUNCTION("""COMPUTED_VALUE"""),1515.0)</f>
        <v>1515</v>
      </c>
      <c r="C4545" s="1">
        <f>IFERROR(__xludf.DUMMYFUNCTION("""COMPUTED_VALUE"""),1521.2)</f>
        <v>1521.2</v>
      </c>
      <c r="D4545" s="1">
        <f>IFERROR(__xludf.DUMMYFUNCTION("""COMPUTED_VALUE"""),1494.05)</f>
        <v>1494.05</v>
      </c>
      <c r="E4545" s="1">
        <f>IFERROR(__xludf.DUMMYFUNCTION("""COMPUTED_VALUE"""),1503.55)</f>
        <v>1503.55</v>
      </c>
      <c r="F4545" s="1">
        <f>IFERROR(__xludf.DUMMYFUNCTION("""COMPUTED_VALUE"""),1479249.0)</f>
        <v>1479249</v>
      </c>
    </row>
    <row r="4546">
      <c r="A4546" s="2">
        <f>IFERROR(__xludf.DUMMYFUNCTION("""COMPUTED_VALUE"""),43235.64583333333)</f>
        <v>43235.64583</v>
      </c>
      <c r="B4546" s="1">
        <f>IFERROR(__xludf.DUMMYFUNCTION("""COMPUTED_VALUE"""),1530.0)</f>
        <v>1530</v>
      </c>
      <c r="C4546" s="1">
        <f>IFERROR(__xludf.DUMMYFUNCTION("""COMPUTED_VALUE"""),1542.4)</f>
        <v>1542.4</v>
      </c>
      <c r="D4546" s="1">
        <f>IFERROR(__xludf.DUMMYFUNCTION("""COMPUTED_VALUE"""),1510.5)</f>
        <v>1510.5</v>
      </c>
      <c r="E4546" s="1">
        <f>IFERROR(__xludf.DUMMYFUNCTION("""COMPUTED_VALUE"""),1515.5)</f>
        <v>1515.5</v>
      </c>
      <c r="F4546" s="1">
        <f>IFERROR(__xludf.DUMMYFUNCTION("""COMPUTED_VALUE"""),3239290.0)</f>
        <v>3239290</v>
      </c>
    </row>
    <row r="4547">
      <c r="A4547" s="2">
        <f>IFERROR(__xludf.DUMMYFUNCTION("""COMPUTED_VALUE"""),43236.64583333333)</f>
        <v>43236.64583</v>
      </c>
      <c r="B4547" s="1">
        <f>IFERROR(__xludf.DUMMYFUNCTION("""COMPUTED_VALUE"""),1509.0)</f>
        <v>1509</v>
      </c>
      <c r="C4547" s="1">
        <f>IFERROR(__xludf.DUMMYFUNCTION("""COMPUTED_VALUE"""),1582.4)</f>
        <v>1582.4</v>
      </c>
      <c r="D4547" s="1">
        <f>IFERROR(__xludf.DUMMYFUNCTION("""COMPUTED_VALUE"""),1506.6)</f>
        <v>1506.6</v>
      </c>
      <c r="E4547" s="1">
        <f>IFERROR(__xludf.DUMMYFUNCTION("""COMPUTED_VALUE"""),1574.1)</f>
        <v>1574.1</v>
      </c>
      <c r="F4547" s="1">
        <f>IFERROR(__xludf.DUMMYFUNCTION("""COMPUTED_VALUE"""),2420630.0)</f>
        <v>2420630</v>
      </c>
    </row>
    <row r="4548">
      <c r="A4548" s="2">
        <f>IFERROR(__xludf.DUMMYFUNCTION("""COMPUTED_VALUE"""),43237.64583333333)</f>
        <v>43237.64583</v>
      </c>
      <c r="B4548" s="1">
        <f>IFERROR(__xludf.DUMMYFUNCTION("""COMPUTED_VALUE"""),1574.1)</f>
        <v>1574.1</v>
      </c>
      <c r="C4548" s="1">
        <f>IFERROR(__xludf.DUMMYFUNCTION("""COMPUTED_VALUE"""),1596.4)</f>
        <v>1596.4</v>
      </c>
      <c r="D4548" s="1">
        <f>IFERROR(__xludf.DUMMYFUNCTION("""COMPUTED_VALUE"""),1560.25)</f>
        <v>1560.25</v>
      </c>
      <c r="E4548" s="1">
        <f>IFERROR(__xludf.DUMMYFUNCTION("""COMPUTED_VALUE"""),1569.8)</f>
        <v>1569.8</v>
      </c>
      <c r="F4548" s="1">
        <f>IFERROR(__xludf.DUMMYFUNCTION("""COMPUTED_VALUE"""),2082393.0)</f>
        <v>2082393</v>
      </c>
    </row>
    <row r="4549">
      <c r="A4549" s="2">
        <f>IFERROR(__xludf.DUMMYFUNCTION("""COMPUTED_VALUE"""),43238.64583333333)</f>
        <v>43238.64583</v>
      </c>
      <c r="B4549" s="1">
        <f>IFERROR(__xludf.DUMMYFUNCTION("""COMPUTED_VALUE"""),1563.3)</f>
        <v>1563.3</v>
      </c>
      <c r="C4549" s="1">
        <f>IFERROR(__xludf.DUMMYFUNCTION("""COMPUTED_VALUE"""),1612.5)</f>
        <v>1612.5</v>
      </c>
      <c r="D4549" s="1">
        <f>IFERROR(__xludf.DUMMYFUNCTION("""COMPUTED_VALUE"""),1563.3)</f>
        <v>1563.3</v>
      </c>
      <c r="E4549" s="1">
        <f>IFERROR(__xludf.DUMMYFUNCTION("""COMPUTED_VALUE"""),1605.8)</f>
        <v>1605.8</v>
      </c>
      <c r="F4549" s="1">
        <f>IFERROR(__xludf.DUMMYFUNCTION("""COMPUTED_VALUE"""),2041908.0)</f>
        <v>2041908</v>
      </c>
    </row>
    <row r="4550">
      <c r="A4550" s="2">
        <f>IFERROR(__xludf.DUMMYFUNCTION("""COMPUTED_VALUE"""),43241.64583333333)</f>
        <v>43241.64583</v>
      </c>
      <c r="B4550" s="1">
        <f>IFERROR(__xludf.DUMMYFUNCTION("""COMPUTED_VALUE"""),1613.0)</f>
        <v>1613</v>
      </c>
      <c r="C4550" s="1">
        <f>IFERROR(__xludf.DUMMYFUNCTION("""COMPUTED_VALUE"""),1619.4)</f>
        <v>1619.4</v>
      </c>
      <c r="D4550" s="1">
        <f>IFERROR(__xludf.DUMMYFUNCTION("""COMPUTED_VALUE"""),1573.05)</f>
        <v>1573.05</v>
      </c>
      <c r="E4550" s="1">
        <f>IFERROR(__xludf.DUMMYFUNCTION("""COMPUTED_VALUE"""),1578.65)</f>
        <v>1578.65</v>
      </c>
      <c r="F4550" s="1">
        <f>IFERROR(__xludf.DUMMYFUNCTION("""COMPUTED_VALUE"""),1510806.0)</f>
        <v>1510806</v>
      </c>
    </row>
    <row r="4551">
      <c r="A4551" s="2">
        <f>IFERROR(__xludf.DUMMYFUNCTION("""COMPUTED_VALUE"""),43242.64583333333)</f>
        <v>43242.64583</v>
      </c>
      <c r="B4551" s="1">
        <f>IFERROR(__xludf.DUMMYFUNCTION("""COMPUTED_VALUE"""),1565.75)</f>
        <v>1565.75</v>
      </c>
      <c r="C4551" s="1">
        <f>IFERROR(__xludf.DUMMYFUNCTION("""COMPUTED_VALUE"""),1588.95)</f>
        <v>1588.95</v>
      </c>
      <c r="D4551" s="1">
        <f>IFERROR(__xludf.DUMMYFUNCTION("""COMPUTED_VALUE"""),1558.2)</f>
        <v>1558.2</v>
      </c>
      <c r="E4551" s="1">
        <f>IFERROR(__xludf.DUMMYFUNCTION("""COMPUTED_VALUE"""),1574.3)</f>
        <v>1574.3</v>
      </c>
      <c r="F4551" s="1">
        <f>IFERROR(__xludf.DUMMYFUNCTION("""COMPUTED_VALUE"""),1137466.0)</f>
        <v>1137466</v>
      </c>
    </row>
    <row r="4552">
      <c r="A4552" s="2">
        <f>IFERROR(__xludf.DUMMYFUNCTION("""COMPUTED_VALUE"""),43243.64583333333)</f>
        <v>43243.64583</v>
      </c>
      <c r="B4552" s="1">
        <f>IFERROR(__xludf.DUMMYFUNCTION("""COMPUTED_VALUE"""),1567.0)</f>
        <v>1567</v>
      </c>
      <c r="C4552" s="1">
        <f>IFERROR(__xludf.DUMMYFUNCTION("""COMPUTED_VALUE"""),1586.3)</f>
        <v>1586.3</v>
      </c>
      <c r="D4552" s="1">
        <f>IFERROR(__xludf.DUMMYFUNCTION("""COMPUTED_VALUE"""),1561.0)</f>
        <v>1561</v>
      </c>
      <c r="E4552" s="1">
        <f>IFERROR(__xludf.DUMMYFUNCTION("""COMPUTED_VALUE"""),1568.1)</f>
        <v>1568.1</v>
      </c>
      <c r="F4552" s="1">
        <f>IFERROR(__xludf.DUMMYFUNCTION("""COMPUTED_VALUE"""),891664.0)</f>
        <v>891664</v>
      </c>
    </row>
    <row r="4553">
      <c r="A4553" s="2">
        <f>IFERROR(__xludf.DUMMYFUNCTION("""COMPUTED_VALUE"""),43244.64583333333)</f>
        <v>43244.64583</v>
      </c>
      <c r="B4553" s="1">
        <f>IFERROR(__xludf.DUMMYFUNCTION("""COMPUTED_VALUE"""),1570.1)</f>
        <v>1570.1</v>
      </c>
      <c r="C4553" s="1">
        <f>IFERROR(__xludf.DUMMYFUNCTION("""COMPUTED_VALUE"""),1571.65)</f>
        <v>1571.65</v>
      </c>
      <c r="D4553" s="1">
        <f>IFERROR(__xludf.DUMMYFUNCTION("""COMPUTED_VALUE"""),1550.05)</f>
        <v>1550.05</v>
      </c>
      <c r="E4553" s="1">
        <f>IFERROR(__xludf.DUMMYFUNCTION("""COMPUTED_VALUE"""),1561.1)</f>
        <v>1561.1</v>
      </c>
      <c r="F4553" s="1">
        <f>IFERROR(__xludf.DUMMYFUNCTION("""COMPUTED_VALUE"""),915840.0)</f>
        <v>915840</v>
      </c>
    </row>
    <row r="4554">
      <c r="A4554" s="2">
        <f>IFERROR(__xludf.DUMMYFUNCTION("""COMPUTED_VALUE"""),43245.64583333333)</f>
        <v>43245.64583</v>
      </c>
      <c r="B4554" s="1">
        <f>IFERROR(__xludf.DUMMYFUNCTION("""COMPUTED_VALUE"""),1566.0)</f>
        <v>1566</v>
      </c>
      <c r="C4554" s="1">
        <f>IFERROR(__xludf.DUMMYFUNCTION("""COMPUTED_VALUE"""),1591.25)</f>
        <v>1591.25</v>
      </c>
      <c r="D4554" s="1">
        <f>IFERROR(__xludf.DUMMYFUNCTION("""COMPUTED_VALUE"""),1557.3)</f>
        <v>1557.3</v>
      </c>
      <c r="E4554" s="1">
        <f>IFERROR(__xludf.DUMMYFUNCTION("""COMPUTED_VALUE"""),1575.75)</f>
        <v>1575.75</v>
      </c>
      <c r="F4554" s="1">
        <f>IFERROR(__xludf.DUMMYFUNCTION("""COMPUTED_VALUE"""),968884.0)</f>
        <v>968884</v>
      </c>
    </row>
    <row r="4555">
      <c r="A4555" s="2">
        <f>IFERROR(__xludf.DUMMYFUNCTION("""COMPUTED_VALUE"""),43248.64583333333)</f>
        <v>43248.64583</v>
      </c>
      <c r="B4555" s="1">
        <f>IFERROR(__xludf.DUMMYFUNCTION("""COMPUTED_VALUE"""),1585.0)</f>
        <v>1585</v>
      </c>
      <c r="C4555" s="1">
        <f>IFERROR(__xludf.DUMMYFUNCTION("""COMPUTED_VALUE"""),1585.7)</f>
        <v>1585.7</v>
      </c>
      <c r="D4555" s="1">
        <f>IFERROR(__xludf.DUMMYFUNCTION("""COMPUTED_VALUE"""),1576.0)</f>
        <v>1576</v>
      </c>
      <c r="E4555" s="1">
        <f>IFERROR(__xludf.DUMMYFUNCTION("""COMPUTED_VALUE"""),1582.85)</f>
        <v>1582.85</v>
      </c>
      <c r="F4555" s="1">
        <f>IFERROR(__xludf.DUMMYFUNCTION("""COMPUTED_VALUE"""),563972.0)</f>
        <v>563972</v>
      </c>
    </row>
    <row r="4556">
      <c r="A4556" s="2">
        <f>IFERROR(__xludf.DUMMYFUNCTION("""COMPUTED_VALUE"""),43249.64583333333)</f>
        <v>43249.64583</v>
      </c>
      <c r="B4556" s="1">
        <f>IFERROR(__xludf.DUMMYFUNCTION("""COMPUTED_VALUE"""),1575.55)</f>
        <v>1575.55</v>
      </c>
      <c r="C4556" s="1">
        <f>IFERROR(__xludf.DUMMYFUNCTION("""COMPUTED_VALUE"""),1597.8)</f>
        <v>1597.8</v>
      </c>
      <c r="D4556" s="1">
        <f>IFERROR(__xludf.DUMMYFUNCTION("""COMPUTED_VALUE"""),1563.7)</f>
        <v>1563.7</v>
      </c>
      <c r="E4556" s="1">
        <f>IFERROR(__xludf.DUMMYFUNCTION("""COMPUTED_VALUE"""),1572.7)</f>
        <v>1572.7</v>
      </c>
      <c r="F4556" s="1">
        <f>IFERROR(__xludf.DUMMYFUNCTION("""COMPUTED_VALUE"""),944652.0)</f>
        <v>944652</v>
      </c>
    </row>
    <row r="4557">
      <c r="A4557" s="2">
        <f>IFERROR(__xludf.DUMMYFUNCTION("""COMPUTED_VALUE"""),43250.64583333333)</f>
        <v>43250.64583</v>
      </c>
      <c r="B4557" s="1">
        <f>IFERROR(__xludf.DUMMYFUNCTION("""COMPUTED_VALUE"""),1569.5)</f>
        <v>1569.5</v>
      </c>
      <c r="C4557" s="1">
        <f>IFERROR(__xludf.DUMMYFUNCTION("""COMPUTED_VALUE"""),1594.8)</f>
        <v>1594.8</v>
      </c>
      <c r="D4557" s="1">
        <f>IFERROR(__xludf.DUMMYFUNCTION("""COMPUTED_VALUE"""),1557.0)</f>
        <v>1557</v>
      </c>
      <c r="E4557" s="1">
        <f>IFERROR(__xludf.DUMMYFUNCTION("""COMPUTED_VALUE"""),1585.8)</f>
        <v>1585.8</v>
      </c>
      <c r="F4557" s="1">
        <f>IFERROR(__xludf.DUMMYFUNCTION("""COMPUTED_VALUE"""),1089156.0)</f>
        <v>1089156</v>
      </c>
    </row>
    <row r="4558">
      <c r="A4558" s="2">
        <f>IFERROR(__xludf.DUMMYFUNCTION("""COMPUTED_VALUE"""),43251.64583333333)</f>
        <v>43251.64583</v>
      </c>
      <c r="B4558" s="1">
        <f>IFERROR(__xludf.DUMMYFUNCTION("""COMPUTED_VALUE"""),1595.0)</f>
        <v>1595</v>
      </c>
      <c r="C4558" s="1">
        <f>IFERROR(__xludf.DUMMYFUNCTION("""COMPUTED_VALUE"""),1617.65)</f>
        <v>1617.65</v>
      </c>
      <c r="D4558" s="1">
        <f>IFERROR(__xludf.DUMMYFUNCTION("""COMPUTED_VALUE"""),1579.7)</f>
        <v>1579.7</v>
      </c>
      <c r="E4558" s="1">
        <f>IFERROR(__xludf.DUMMYFUNCTION("""COMPUTED_VALUE"""),1611.45)</f>
        <v>1611.45</v>
      </c>
      <c r="F4558" s="1">
        <f>IFERROR(__xludf.DUMMYFUNCTION("""COMPUTED_VALUE"""),3315162.0)</f>
        <v>3315162</v>
      </c>
    </row>
    <row r="4559">
      <c r="A4559" s="2">
        <f>IFERROR(__xludf.DUMMYFUNCTION("""COMPUTED_VALUE"""),43252.64583333333)</f>
        <v>43252.64583</v>
      </c>
      <c r="B4559" s="1">
        <f>IFERROR(__xludf.DUMMYFUNCTION("""COMPUTED_VALUE"""),1613.0)</f>
        <v>1613</v>
      </c>
      <c r="C4559" s="1">
        <f>IFERROR(__xludf.DUMMYFUNCTION("""COMPUTED_VALUE"""),1624.4)</f>
        <v>1624.4</v>
      </c>
      <c r="D4559" s="1">
        <f>IFERROR(__xludf.DUMMYFUNCTION("""COMPUTED_VALUE"""),1581.1)</f>
        <v>1581.1</v>
      </c>
      <c r="E4559" s="1">
        <f>IFERROR(__xludf.DUMMYFUNCTION("""COMPUTED_VALUE"""),1588.85)</f>
        <v>1588.85</v>
      </c>
      <c r="F4559" s="1">
        <f>IFERROR(__xludf.DUMMYFUNCTION("""COMPUTED_VALUE"""),1444570.0)</f>
        <v>1444570</v>
      </c>
    </row>
    <row r="4560">
      <c r="A4560" s="2">
        <f>IFERROR(__xludf.DUMMYFUNCTION("""COMPUTED_VALUE"""),43255.64583333333)</f>
        <v>43255.64583</v>
      </c>
      <c r="B4560" s="1">
        <f>IFERROR(__xludf.DUMMYFUNCTION("""COMPUTED_VALUE"""),1590.0)</f>
        <v>1590</v>
      </c>
      <c r="C4560" s="1">
        <f>IFERROR(__xludf.DUMMYFUNCTION("""COMPUTED_VALUE"""),1590.0)</f>
        <v>1590</v>
      </c>
      <c r="D4560" s="1">
        <f>IFERROR(__xludf.DUMMYFUNCTION("""COMPUTED_VALUE"""),1558.0)</f>
        <v>1558</v>
      </c>
      <c r="E4560" s="1">
        <f>IFERROR(__xludf.DUMMYFUNCTION("""COMPUTED_VALUE"""),1563.2)</f>
        <v>1563.2</v>
      </c>
      <c r="F4560" s="1">
        <f>IFERROR(__xludf.DUMMYFUNCTION("""COMPUTED_VALUE"""),857157.0)</f>
        <v>857157</v>
      </c>
    </row>
    <row r="4561">
      <c r="A4561" s="2">
        <f>IFERROR(__xludf.DUMMYFUNCTION("""COMPUTED_VALUE"""),43256.64583333333)</f>
        <v>43256.64583</v>
      </c>
      <c r="B4561" s="1">
        <f>IFERROR(__xludf.DUMMYFUNCTION("""COMPUTED_VALUE"""),1564.0)</f>
        <v>1564</v>
      </c>
      <c r="C4561" s="1">
        <f>IFERROR(__xludf.DUMMYFUNCTION("""COMPUTED_VALUE"""),1573.0)</f>
        <v>1573</v>
      </c>
      <c r="D4561" s="1">
        <f>IFERROR(__xludf.DUMMYFUNCTION("""COMPUTED_VALUE"""),1547.05)</f>
        <v>1547.05</v>
      </c>
      <c r="E4561" s="1">
        <f>IFERROR(__xludf.DUMMYFUNCTION("""COMPUTED_VALUE"""),1562.8)</f>
        <v>1562.8</v>
      </c>
      <c r="F4561" s="1">
        <f>IFERROR(__xludf.DUMMYFUNCTION("""COMPUTED_VALUE"""),1531015.0)</f>
        <v>1531015</v>
      </c>
    </row>
    <row r="4562">
      <c r="A4562" s="2">
        <f>IFERROR(__xludf.DUMMYFUNCTION("""COMPUTED_VALUE"""),43257.64583333333)</f>
        <v>43257.64583</v>
      </c>
      <c r="B4562" s="1">
        <f>IFERROR(__xludf.DUMMYFUNCTION("""COMPUTED_VALUE"""),1561.1)</f>
        <v>1561.1</v>
      </c>
      <c r="C4562" s="1">
        <f>IFERROR(__xludf.DUMMYFUNCTION("""COMPUTED_VALUE"""),1579.0)</f>
        <v>1579</v>
      </c>
      <c r="D4562" s="1">
        <f>IFERROR(__xludf.DUMMYFUNCTION("""COMPUTED_VALUE"""),1557.45)</f>
        <v>1557.45</v>
      </c>
      <c r="E4562" s="1">
        <f>IFERROR(__xludf.DUMMYFUNCTION("""COMPUTED_VALUE"""),1571.15)</f>
        <v>1571.15</v>
      </c>
      <c r="F4562" s="1">
        <f>IFERROR(__xludf.DUMMYFUNCTION("""COMPUTED_VALUE"""),1085135.0)</f>
        <v>1085135</v>
      </c>
    </row>
    <row r="4563">
      <c r="A4563" s="2">
        <f>IFERROR(__xludf.DUMMYFUNCTION("""COMPUTED_VALUE"""),43258.64583333333)</f>
        <v>43258.64583</v>
      </c>
      <c r="B4563" s="1">
        <f>IFERROR(__xludf.DUMMYFUNCTION("""COMPUTED_VALUE"""),1575.0)</f>
        <v>1575</v>
      </c>
      <c r="C4563" s="1">
        <f>IFERROR(__xludf.DUMMYFUNCTION("""COMPUTED_VALUE"""),1606.7)</f>
        <v>1606.7</v>
      </c>
      <c r="D4563" s="1">
        <f>IFERROR(__xludf.DUMMYFUNCTION("""COMPUTED_VALUE"""),1575.0)</f>
        <v>1575</v>
      </c>
      <c r="E4563" s="1">
        <f>IFERROR(__xludf.DUMMYFUNCTION("""COMPUTED_VALUE"""),1603.05)</f>
        <v>1603.05</v>
      </c>
      <c r="F4563" s="1">
        <f>IFERROR(__xludf.DUMMYFUNCTION("""COMPUTED_VALUE"""),1479204.0)</f>
        <v>1479204</v>
      </c>
    </row>
    <row r="4564">
      <c r="A4564" s="2">
        <f>IFERROR(__xludf.DUMMYFUNCTION("""COMPUTED_VALUE"""),43259.64583333333)</f>
        <v>43259.64583</v>
      </c>
      <c r="B4564" s="1">
        <f>IFERROR(__xludf.DUMMYFUNCTION("""COMPUTED_VALUE"""),1599.9)</f>
        <v>1599.9</v>
      </c>
      <c r="C4564" s="1">
        <f>IFERROR(__xludf.DUMMYFUNCTION("""COMPUTED_VALUE"""),1601.25)</f>
        <v>1601.25</v>
      </c>
      <c r="D4564" s="1">
        <f>IFERROR(__xludf.DUMMYFUNCTION("""COMPUTED_VALUE"""),1581.5)</f>
        <v>1581.5</v>
      </c>
      <c r="E4564" s="1">
        <f>IFERROR(__xludf.DUMMYFUNCTION("""COMPUTED_VALUE"""),1595.6)</f>
        <v>1595.6</v>
      </c>
      <c r="F4564" s="1">
        <f>IFERROR(__xludf.DUMMYFUNCTION("""COMPUTED_VALUE"""),760059.0)</f>
        <v>760059</v>
      </c>
    </row>
    <row r="4565">
      <c r="A4565" s="2">
        <f>IFERROR(__xludf.DUMMYFUNCTION("""COMPUTED_VALUE"""),43262.64583333333)</f>
        <v>43262.64583</v>
      </c>
      <c r="B4565" s="1">
        <f>IFERROR(__xludf.DUMMYFUNCTION("""COMPUTED_VALUE"""),1596.0)</f>
        <v>1596</v>
      </c>
      <c r="C4565" s="1">
        <f>IFERROR(__xludf.DUMMYFUNCTION("""COMPUTED_VALUE"""),1617.0)</f>
        <v>1617</v>
      </c>
      <c r="D4565" s="1">
        <f>IFERROR(__xludf.DUMMYFUNCTION("""COMPUTED_VALUE"""),1584.4)</f>
        <v>1584.4</v>
      </c>
      <c r="E4565" s="1">
        <f>IFERROR(__xludf.DUMMYFUNCTION("""COMPUTED_VALUE"""),1601.4)</f>
        <v>1601.4</v>
      </c>
      <c r="F4565" s="1">
        <f>IFERROR(__xludf.DUMMYFUNCTION("""COMPUTED_VALUE"""),905198.0)</f>
        <v>905198</v>
      </c>
    </row>
    <row r="4566">
      <c r="A4566" s="2">
        <f>IFERROR(__xludf.DUMMYFUNCTION("""COMPUTED_VALUE"""),43263.64583333333)</f>
        <v>43263.64583</v>
      </c>
      <c r="B4566" s="1">
        <f>IFERROR(__xludf.DUMMYFUNCTION("""COMPUTED_VALUE"""),1604.8)</f>
        <v>1604.8</v>
      </c>
      <c r="C4566" s="1">
        <f>IFERROR(__xludf.DUMMYFUNCTION("""COMPUTED_VALUE"""),1645.0)</f>
        <v>1645</v>
      </c>
      <c r="D4566" s="1">
        <f>IFERROR(__xludf.DUMMYFUNCTION("""COMPUTED_VALUE"""),1590.4)</f>
        <v>1590.4</v>
      </c>
      <c r="E4566" s="1">
        <f>IFERROR(__xludf.DUMMYFUNCTION("""COMPUTED_VALUE"""),1638.45)</f>
        <v>1638.45</v>
      </c>
      <c r="F4566" s="1">
        <f>IFERROR(__xludf.DUMMYFUNCTION("""COMPUTED_VALUE"""),1707972.0)</f>
        <v>1707972</v>
      </c>
    </row>
    <row r="4567">
      <c r="A4567" s="2">
        <f>IFERROR(__xludf.DUMMYFUNCTION("""COMPUTED_VALUE"""),43264.64583333333)</f>
        <v>43264.64583</v>
      </c>
      <c r="B4567" s="1">
        <f>IFERROR(__xludf.DUMMYFUNCTION("""COMPUTED_VALUE"""),1644.0)</f>
        <v>1644</v>
      </c>
      <c r="C4567" s="1">
        <f>IFERROR(__xludf.DUMMYFUNCTION("""COMPUTED_VALUE"""),1644.75)</f>
        <v>1644.75</v>
      </c>
      <c r="D4567" s="1">
        <f>IFERROR(__xludf.DUMMYFUNCTION("""COMPUTED_VALUE"""),1619.5)</f>
        <v>1619.5</v>
      </c>
      <c r="E4567" s="1">
        <f>IFERROR(__xludf.DUMMYFUNCTION("""COMPUTED_VALUE"""),1621.2)</f>
        <v>1621.2</v>
      </c>
      <c r="F4567" s="1">
        <f>IFERROR(__xludf.DUMMYFUNCTION("""COMPUTED_VALUE"""),845842.0)</f>
        <v>845842</v>
      </c>
    </row>
    <row r="4568">
      <c r="A4568" s="2">
        <f>IFERROR(__xludf.DUMMYFUNCTION("""COMPUTED_VALUE"""),43265.64583333333)</f>
        <v>43265.64583</v>
      </c>
      <c r="B4568" s="1">
        <f>IFERROR(__xludf.DUMMYFUNCTION("""COMPUTED_VALUE"""),1617.8)</f>
        <v>1617.8</v>
      </c>
      <c r="C4568" s="1">
        <f>IFERROR(__xludf.DUMMYFUNCTION("""COMPUTED_VALUE"""),1644.0)</f>
        <v>1644</v>
      </c>
      <c r="D4568" s="1">
        <f>IFERROR(__xludf.DUMMYFUNCTION("""COMPUTED_VALUE"""),1598.3)</f>
        <v>1598.3</v>
      </c>
      <c r="E4568" s="1">
        <f>IFERROR(__xludf.DUMMYFUNCTION("""COMPUTED_VALUE"""),1609.6)</f>
        <v>1609.6</v>
      </c>
      <c r="F4568" s="1">
        <f>IFERROR(__xludf.DUMMYFUNCTION("""COMPUTED_VALUE"""),1348038.0)</f>
        <v>1348038</v>
      </c>
    </row>
    <row r="4569">
      <c r="A4569" s="2">
        <f>IFERROR(__xludf.DUMMYFUNCTION("""COMPUTED_VALUE"""),43266.64583333333)</f>
        <v>43266.64583</v>
      </c>
      <c r="B4569" s="1">
        <f>IFERROR(__xludf.DUMMYFUNCTION("""COMPUTED_VALUE"""),1590.0)</f>
        <v>1590</v>
      </c>
      <c r="C4569" s="1">
        <f>IFERROR(__xludf.DUMMYFUNCTION("""COMPUTED_VALUE"""),1628.9)</f>
        <v>1628.9</v>
      </c>
      <c r="D4569" s="1">
        <f>IFERROR(__xludf.DUMMYFUNCTION("""COMPUTED_VALUE"""),1590.0)</f>
        <v>1590</v>
      </c>
      <c r="E4569" s="1">
        <f>IFERROR(__xludf.DUMMYFUNCTION("""COMPUTED_VALUE"""),1621.3)</f>
        <v>1621.3</v>
      </c>
      <c r="F4569" s="1">
        <f>IFERROR(__xludf.DUMMYFUNCTION("""COMPUTED_VALUE"""),2101892.0)</f>
        <v>2101892</v>
      </c>
    </row>
    <row r="4570">
      <c r="A4570" s="2">
        <f>IFERROR(__xludf.DUMMYFUNCTION("""COMPUTED_VALUE"""),43269.64583333333)</f>
        <v>43269.64583</v>
      </c>
      <c r="B4570" s="1">
        <f>IFERROR(__xludf.DUMMYFUNCTION("""COMPUTED_VALUE"""),1629.95)</f>
        <v>1629.95</v>
      </c>
      <c r="C4570" s="1">
        <f>IFERROR(__xludf.DUMMYFUNCTION("""COMPUTED_VALUE"""),1639.0)</f>
        <v>1639</v>
      </c>
      <c r="D4570" s="1">
        <f>IFERROR(__xludf.DUMMYFUNCTION("""COMPUTED_VALUE"""),1603.5)</f>
        <v>1603.5</v>
      </c>
      <c r="E4570" s="1">
        <f>IFERROR(__xludf.DUMMYFUNCTION("""COMPUTED_VALUE"""),1608.55)</f>
        <v>1608.55</v>
      </c>
      <c r="F4570" s="1">
        <f>IFERROR(__xludf.DUMMYFUNCTION("""COMPUTED_VALUE"""),846403.0)</f>
        <v>846403</v>
      </c>
    </row>
    <row r="4571">
      <c r="A4571" s="2">
        <f>IFERROR(__xludf.DUMMYFUNCTION("""COMPUTED_VALUE"""),43270.64583333333)</f>
        <v>43270.64583</v>
      </c>
      <c r="B4571" s="1">
        <f>IFERROR(__xludf.DUMMYFUNCTION("""COMPUTED_VALUE"""),1603.6)</f>
        <v>1603.6</v>
      </c>
      <c r="C4571" s="1">
        <f>IFERROR(__xludf.DUMMYFUNCTION("""COMPUTED_VALUE"""),1612.0)</f>
        <v>1612</v>
      </c>
      <c r="D4571" s="1">
        <f>IFERROR(__xludf.DUMMYFUNCTION("""COMPUTED_VALUE"""),1589.7)</f>
        <v>1589.7</v>
      </c>
      <c r="E4571" s="1">
        <f>IFERROR(__xludf.DUMMYFUNCTION("""COMPUTED_VALUE"""),1601.0)</f>
        <v>1601</v>
      </c>
      <c r="F4571" s="1">
        <f>IFERROR(__xludf.DUMMYFUNCTION("""COMPUTED_VALUE"""),1118708.0)</f>
        <v>1118708</v>
      </c>
    </row>
    <row r="4572">
      <c r="A4572" s="2">
        <f>IFERROR(__xludf.DUMMYFUNCTION("""COMPUTED_VALUE"""),43271.64583333333)</f>
        <v>43271.64583</v>
      </c>
      <c r="B4572" s="1">
        <f>IFERROR(__xludf.DUMMYFUNCTION("""COMPUTED_VALUE"""),1597.0)</f>
        <v>1597</v>
      </c>
      <c r="C4572" s="1">
        <f>IFERROR(__xludf.DUMMYFUNCTION("""COMPUTED_VALUE"""),1617.6)</f>
        <v>1617.6</v>
      </c>
      <c r="D4572" s="1">
        <f>IFERROR(__xludf.DUMMYFUNCTION("""COMPUTED_VALUE"""),1597.0)</f>
        <v>1597</v>
      </c>
      <c r="E4572" s="1">
        <f>IFERROR(__xludf.DUMMYFUNCTION("""COMPUTED_VALUE"""),1602.4)</f>
        <v>1602.4</v>
      </c>
      <c r="F4572" s="1">
        <f>IFERROR(__xludf.DUMMYFUNCTION("""COMPUTED_VALUE"""),1535703.0)</f>
        <v>1535703</v>
      </c>
    </row>
    <row r="4573">
      <c r="A4573" s="2">
        <f>IFERROR(__xludf.DUMMYFUNCTION("""COMPUTED_VALUE"""),43272.64583333333)</f>
        <v>43272.64583</v>
      </c>
      <c r="B4573" s="1">
        <f>IFERROR(__xludf.DUMMYFUNCTION("""COMPUTED_VALUE"""),1594.0)</f>
        <v>1594</v>
      </c>
      <c r="C4573" s="1">
        <f>IFERROR(__xludf.DUMMYFUNCTION("""COMPUTED_VALUE"""),1610.5)</f>
        <v>1610.5</v>
      </c>
      <c r="D4573" s="1">
        <f>IFERROR(__xludf.DUMMYFUNCTION("""COMPUTED_VALUE"""),1588.0)</f>
        <v>1588</v>
      </c>
      <c r="E4573" s="1">
        <f>IFERROR(__xludf.DUMMYFUNCTION("""COMPUTED_VALUE"""),1593.45)</f>
        <v>1593.45</v>
      </c>
      <c r="F4573" s="1">
        <f>IFERROR(__xludf.DUMMYFUNCTION("""COMPUTED_VALUE"""),1185462.0)</f>
        <v>1185462</v>
      </c>
    </row>
    <row r="4574">
      <c r="A4574" s="2">
        <f>IFERROR(__xludf.DUMMYFUNCTION("""COMPUTED_VALUE"""),43273.64583333333)</f>
        <v>43273.64583</v>
      </c>
      <c r="B4574" s="1">
        <f>IFERROR(__xludf.DUMMYFUNCTION("""COMPUTED_VALUE"""),1592.0)</f>
        <v>1592</v>
      </c>
      <c r="C4574" s="1">
        <f>IFERROR(__xludf.DUMMYFUNCTION("""COMPUTED_VALUE"""),1610.7)</f>
        <v>1610.7</v>
      </c>
      <c r="D4574" s="1">
        <f>IFERROR(__xludf.DUMMYFUNCTION("""COMPUTED_VALUE"""),1581.0)</f>
        <v>1581</v>
      </c>
      <c r="E4574" s="1">
        <f>IFERROR(__xludf.DUMMYFUNCTION("""COMPUTED_VALUE"""),1608.1)</f>
        <v>1608.1</v>
      </c>
      <c r="F4574" s="1">
        <f>IFERROR(__xludf.DUMMYFUNCTION("""COMPUTED_VALUE"""),1098709.0)</f>
        <v>1098709</v>
      </c>
    </row>
    <row r="4575">
      <c r="A4575" s="2">
        <f>IFERROR(__xludf.DUMMYFUNCTION("""COMPUTED_VALUE"""),43276.64583333333)</f>
        <v>43276.64583</v>
      </c>
      <c r="B4575" s="1">
        <f>IFERROR(__xludf.DUMMYFUNCTION("""COMPUTED_VALUE"""),1616.0)</f>
        <v>1616</v>
      </c>
      <c r="C4575" s="1">
        <f>IFERROR(__xludf.DUMMYFUNCTION("""COMPUTED_VALUE"""),1629.0)</f>
        <v>1629</v>
      </c>
      <c r="D4575" s="1">
        <f>IFERROR(__xludf.DUMMYFUNCTION("""COMPUTED_VALUE"""),1607.4)</f>
        <v>1607.4</v>
      </c>
      <c r="E4575" s="1">
        <f>IFERROR(__xludf.DUMMYFUNCTION("""COMPUTED_VALUE"""),1615.15)</f>
        <v>1615.15</v>
      </c>
      <c r="F4575" s="1">
        <f>IFERROR(__xludf.DUMMYFUNCTION("""COMPUTED_VALUE"""),1082199.0)</f>
        <v>1082199</v>
      </c>
    </row>
    <row r="4576">
      <c r="A4576" s="2">
        <f>IFERROR(__xludf.DUMMYFUNCTION("""COMPUTED_VALUE"""),43277.64583333333)</f>
        <v>43277.64583</v>
      </c>
      <c r="B4576" s="1">
        <f>IFERROR(__xludf.DUMMYFUNCTION("""COMPUTED_VALUE"""),1615.0)</f>
        <v>1615</v>
      </c>
      <c r="C4576" s="1">
        <f>IFERROR(__xludf.DUMMYFUNCTION("""COMPUTED_VALUE"""),1630.8)</f>
        <v>1630.8</v>
      </c>
      <c r="D4576" s="1">
        <f>IFERROR(__xludf.DUMMYFUNCTION("""COMPUTED_VALUE"""),1614.25)</f>
        <v>1614.25</v>
      </c>
      <c r="E4576" s="1">
        <f>IFERROR(__xludf.DUMMYFUNCTION("""COMPUTED_VALUE"""),1621.75)</f>
        <v>1621.75</v>
      </c>
      <c r="F4576" s="1">
        <f>IFERROR(__xludf.DUMMYFUNCTION("""COMPUTED_VALUE"""),759142.0)</f>
        <v>759142</v>
      </c>
    </row>
    <row r="4577">
      <c r="A4577" s="2">
        <f>IFERROR(__xludf.DUMMYFUNCTION("""COMPUTED_VALUE"""),43278.64583333333)</f>
        <v>43278.64583</v>
      </c>
      <c r="B4577" s="1">
        <f>IFERROR(__xludf.DUMMYFUNCTION("""COMPUTED_VALUE"""),1629.0)</f>
        <v>1629</v>
      </c>
      <c r="C4577" s="1">
        <f>IFERROR(__xludf.DUMMYFUNCTION("""COMPUTED_VALUE"""),1656.65)</f>
        <v>1656.65</v>
      </c>
      <c r="D4577" s="1">
        <f>IFERROR(__xludf.DUMMYFUNCTION("""COMPUTED_VALUE"""),1598.35)</f>
        <v>1598.35</v>
      </c>
      <c r="E4577" s="1">
        <f>IFERROR(__xludf.DUMMYFUNCTION("""COMPUTED_VALUE"""),1609.3)</f>
        <v>1609.3</v>
      </c>
      <c r="F4577" s="1">
        <f>IFERROR(__xludf.DUMMYFUNCTION("""COMPUTED_VALUE"""),2251405.0)</f>
        <v>2251405</v>
      </c>
    </row>
    <row r="4578">
      <c r="A4578" s="2">
        <f>IFERROR(__xludf.DUMMYFUNCTION("""COMPUTED_VALUE"""),43279.64583333333)</f>
        <v>43279.64583</v>
      </c>
      <c r="B4578" s="1">
        <f>IFERROR(__xludf.DUMMYFUNCTION("""COMPUTED_VALUE"""),1610.0)</f>
        <v>1610</v>
      </c>
      <c r="C4578" s="1">
        <f>IFERROR(__xludf.DUMMYFUNCTION("""COMPUTED_VALUE"""),1620.5)</f>
        <v>1620.5</v>
      </c>
      <c r="D4578" s="1">
        <f>IFERROR(__xludf.DUMMYFUNCTION("""COMPUTED_VALUE"""),1596.0)</f>
        <v>1596</v>
      </c>
      <c r="E4578" s="1">
        <f>IFERROR(__xludf.DUMMYFUNCTION("""COMPUTED_VALUE"""),1602.75)</f>
        <v>1602.75</v>
      </c>
      <c r="F4578" s="1">
        <f>IFERROR(__xludf.DUMMYFUNCTION("""COMPUTED_VALUE"""),1177218.0)</f>
        <v>1177218</v>
      </c>
    </row>
    <row r="4579">
      <c r="A4579" s="2">
        <f>IFERROR(__xludf.DUMMYFUNCTION("""COMPUTED_VALUE"""),43280.64583333333)</f>
        <v>43280.64583</v>
      </c>
      <c r="B4579" s="1">
        <f>IFERROR(__xludf.DUMMYFUNCTION("""COMPUTED_VALUE"""),1605.45)</f>
        <v>1605.45</v>
      </c>
      <c r="C4579" s="1">
        <f>IFERROR(__xludf.DUMMYFUNCTION("""COMPUTED_VALUE"""),1645.0)</f>
        <v>1645</v>
      </c>
      <c r="D4579" s="1">
        <f>IFERROR(__xludf.DUMMYFUNCTION("""COMPUTED_VALUE"""),1605.45)</f>
        <v>1605.45</v>
      </c>
      <c r="E4579" s="1">
        <f>IFERROR(__xludf.DUMMYFUNCTION("""COMPUTED_VALUE"""),1641.15)</f>
        <v>1641.15</v>
      </c>
      <c r="F4579" s="1">
        <f>IFERROR(__xludf.DUMMYFUNCTION("""COMPUTED_VALUE"""),1722592.0)</f>
        <v>1722592</v>
      </c>
    </row>
    <row r="4580">
      <c r="A4580" s="2">
        <f>IFERROR(__xludf.DUMMYFUNCTION("""COMPUTED_VALUE"""),43283.64583333333)</f>
        <v>43283.64583</v>
      </c>
      <c r="B4580" s="1">
        <f>IFERROR(__xludf.DUMMYFUNCTION("""COMPUTED_VALUE"""),1640.9)</f>
        <v>1640.9</v>
      </c>
      <c r="C4580" s="1">
        <f>IFERROR(__xludf.DUMMYFUNCTION("""COMPUTED_VALUE"""),1647.75)</f>
        <v>1647.75</v>
      </c>
      <c r="D4580" s="1">
        <f>IFERROR(__xludf.DUMMYFUNCTION("""COMPUTED_VALUE"""),1625.05)</f>
        <v>1625.05</v>
      </c>
      <c r="E4580" s="1">
        <f>IFERROR(__xludf.DUMMYFUNCTION("""COMPUTED_VALUE"""),1643.45)</f>
        <v>1643.45</v>
      </c>
      <c r="F4580" s="1">
        <f>IFERROR(__xludf.DUMMYFUNCTION("""COMPUTED_VALUE"""),1099574.0)</f>
        <v>1099574</v>
      </c>
    </row>
    <row r="4581">
      <c r="A4581" s="2">
        <f>IFERROR(__xludf.DUMMYFUNCTION("""COMPUTED_VALUE"""),43284.64583333333)</f>
        <v>43284.64583</v>
      </c>
      <c r="B4581" s="1">
        <f>IFERROR(__xludf.DUMMYFUNCTION("""COMPUTED_VALUE"""),1645.0)</f>
        <v>1645</v>
      </c>
      <c r="C4581" s="1">
        <f>IFERROR(__xludf.DUMMYFUNCTION("""COMPUTED_VALUE"""),1661.1)</f>
        <v>1661.1</v>
      </c>
      <c r="D4581" s="1">
        <f>IFERROR(__xludf.DUMMYFUNCTION("""COMPUTED_VALUE"""),1635.0)</f>
        <v>1635</v>
      </c>
      <c r="E4581" s="1">
        <f>IFERROR(__xludf.DUMMYFUNCTION("""COMPUTED_VALUE"""),1643.5)</f>
        <v>1643.5</v>
      </c>
      <c r="F4581" s="1">
        <f>IFERROR(__xludf.DUMMYFUNCTION("""COMPUTED_VALUE"""),1381265.0)</f>
        <v>1381265</v>
      </c>
    </row>
    <row r="4582">
      <c r="A4582" s="2">
        <f>IFERROR(__xludf.DUMMYFUNCTION("""COMPUTED_VALUE"""),43285.64583333333)</f>
        <v>43285.64583</v>
      </c>
      <c r="B4582" s="1">
        <f>IFERROR(__xludf.DUMMYFUNCTION("""COMPUTED_VALUE"""),1642.0)</f>
        <v>1642</v>
      </c>
      <c r="C4582" s="1">
        <f>IFERROR(__xludf.DUMMYFUNCTION("""COMPUTED_VALUE"""),1682.4)</f>
        <v>1682.4</v>
      </c>
      <c r="D4582" s="1">
        <f>IFERROR(__xludf.DUMMYFUNCTION("""COMPUTED_VALUE"""),1639.65)</f>
        <v>1639.65</v>
      </c>
      <c r="E4582" s="1">
        <f>IFERROR(__xludf.DUMMYFUNCTION("""COMPUTED_VALUE"""),1676.0)</f>
        <v>1676</v>
      </c>
      <c r="F4582" s="1">
        <f>IFERROR(__xludf.DUMMYFUNCTION("""COMPUTED_VALUE"""),1244751.0)</f>
        <v>1244751</v>
      </c>
    </row>
    <row r="4583">
      <c r="A4583" s="2">
        <f>IFERROR(__xludf.DUMMYFUNCTION("""COMPUTED_VALUE"""),43286.64583333333)</f>
        <v>43286.64583</v>
      </c>
      <c r="B4583" s="1">
        <f>IFERROR(__xludf.DUMMYFUNCTION("""COMPUTED_VALUE"""),1679.0)</f>
        <v>1679</v>
      </c>
      <c r="C4583" s="1">
        <f>IFERROR(__xludf.DUMMYFUNCTION("""COMPUTED_VALUE"""),1692.35)</f>
        <v>1692.35</v>
      </c>
      <c r="D4583" s="1">
        <f>IFERROR(__xludf.DUMMYFUNCTION("""COMPUTED_VALUE"""),1668.4)</f>
        <v>1668.4</v>
      </c>
      <c r="E4583" s="1">
        <f>IFERROR(__xludf.DUMMYFUNCTION("""COMPUTED_VALUE"""),1688.0)</f>
        <v>1688</v>
      </c>
      <c r="F4583" s="1">
        <f>IFERROR(__xludf.DUMMYFUNCTION("""COMPUTED_VALUE"""),1449303.0)</f>
        <v>1449303</v>
      </c>
    </row>
    <row r="4584">
      <c r="A4584" s="2">
        <f>IFERROR(__xludf.DUMMYFUNCTION("""COMPUTED_VALUE"""),43287.64583333333)</f>
        <v>43287.64583</v>
      </c>
      <c r="B4584" s="1">
        <f>IFERROR(__xludf.DUMMYFUNCTION("""COMPUTED_VALUE"""),1689.0)</f>
        <v>1689</v>
      </c>
      <c r="C4584" s="1">
        <f>IFERROR(__xludf.DUMMYFUNCTION("""COMPUTED_VALUE"""),1697.65)</f>
        <v>1697.65</v>
      </c>
      <c r="D4584" s="1">
        <f>IFERROR(__xludf.DUMMYFUNCTION("""COMPUTED_VALUE"""),1672.4)</f>
        <v>1672.4</v>
      </c>
      <c r="E4584" s="1">
        <f>IFERROR(__xludf.DUMMYFUNCTION("""COMPUTED_VALUE"""),1678.3)</f>
        <v>1678.3</v>
      </c>
      <c r="F4584" s="1">
        <f>IFERROR(__xludf.DUMMYFUNCTION("""COMPUTED_VALUE"""),1458899.0)</f>
        <v>1458899</v>
      </c>
    </row>
    <row r="4585">
      <c r="A4585" s="2">
        <f>IFERROR(__xludf.DUMMYFUNCTION("""COMPUTED_VALUE"""),43290.64583333333)</f>
        <v>43290.64583</v>
      </c>
      <c r="B4585" s="1">
        <f>IFERROR(__xludf.DUMMYFUNCTION("""COMPUTED_VALUE"""),1682.0)</f>
        <v>1682</v>
      </c>
      <c r="C4585" s="1">
        <f>IFERROR(__xludf.DUMMYFUNCTION("""COMPUTED_VALUE"""),1696.0)</f>
        <v>1696</v>
      </c>
      <c r="D4585" s="1">
        <f>IFERROR(__xludf.DUMMYFUNCTION("""COMPUTED_VALUE"""),1674.0)</f>
        <v>1674</v>
      </c>
      <c r="E4585" s="1">
        <f>IFERROR(__xludf.DUMMYFUNCTION("""COMPUTED_VALUE"""),1691.9)</f>
        <v>1691.9</v>
      </c>
      <c r="F4585" s="1">
        <f>IFERROR(__xludf.DUMMYFUNCTION("""COMPUTED_VALUE"""),773248.0)</f>
        <v>773248</v>
      </c>
    </row>
    <row r="4586">
      <c r="A4586" s="2">
        <f>IFERROR(__xludf.DUMMYFUNCTION("""COMPUTED_VALUE"""),43291.64583333333)</f>
        <v>43291.64583</v>
      </c>
      <c r="B4586" s="1">
        <f>IFERROR(__xludf.DUMMYFUNCTION("""COMPUTED_VALUE"""),1693.25)</f>
        <v>1693.25</v>
      </c>
      <c r="C4586" s="1">
        <f>IFERROR(__xludf.DUMMYFUNCTION("""COMPUTED_VALUE"""),1698.85)</f>
        <v>1698.85</v>
      </c>
      <c r="D4586" s="1">
        <f>IFERROR(__xludf.DUMMYFUNCTION("""COMPUTED_VALUE"""),1678.1)</f>
        <v>1678.1</v>
      </c>
      <c r="E4586" s="1">
        <f>IFERROR(__xludf.DUMMYFUNCTION("""COMPUTED_VALUE"""),1687.0)</f>
        <v>1687</v>
      </c>
      <c r="F4586" s="1">
        <f>IFERROR(__xludf.DUMMYFUNCTION("""COMPUTED_VALUE"""),1093651.0)</f>
        <v>1093651</v>
      </c>
    </row>
    <row r="4587">
      <c r="A4587" s="2">
        <f>IFERROR(__xludf.DUMMYFUNCTION("""COMPUTED_VALUE"""),43292.64583333333)</f>
        <v>43292.64583</v>
      </c>
      <c r="B4587" s="1">
        <f>IFERROR(__xludf.DUMMYFUNCTION("""COMPUTED_VALUE"""),1685.0)</f>
        <v>1685</v>
      </c>
      <c r="C4587" s="1">
        <f>IFERROR(__xludf.DUMMYFUNCTION("""COMPUTED_VALUE"""),1721.0)</f>
        <v>1721</v>
      </c>
      <c r="D4587" s="1">
        <f>IFERROR(__xludf.DUMMYFUNCTION("""COMPUTED_VALUE"""),1679.05)</f>
        <v>1679.05</v>
      </c>
      <c r="E4587" s="1">
        <f>IFERROR(__xludf.DUMMYFUNCTION("""COMPUTED_VALUE"""),1718.15)</f>
        <v>1718.15</v>
      </c>
      <c r="F4587" s="1">
        <f>IFERROR(__xludf.DUMMYFUNCTION("""COMPUTED_VALUE"""),1158397.0)</f>
        <v>1158397</v>
      </c>
    </row>
    <row r="4588">
      <c r="A4588" s="2">
        <f>IFERROR(__xludf.DUMMYFUNCTION("""COMPUTED_VALUE"""),43293.64583333333)</f>
        <v>43293.64583</v>
      </c>
      <c r="B4588" s="1">
        <f>IFERROR(__xludf.DUMMYFUNCTION("""COMPUTED_VALUE"""),1720.0)</f>
        <v>1720</v>
      </c>
      <c r="C4588" s="1">
        <f>IFERROR(__xludf.DUMMYFUNCTION("""COMPUTED_VALUE"""),1749.4)</f>
        <v>1749.4</v>
      </c>
      <c r="D4588" s="1">
        <f>IFERROR(__xludf.DUMMYFUNCTION("""COMPUTED_VALUE"""),1718.25)</f>
        <v>1718.25</v>
      </c>
      <c r="E4588" s="1">
        <f>IFERROR(__xludf.DUMMYFUNCTION("""COMPUTED_VALUE"""),1742.35)</f>
        <v>1742.35</v>
      </c>
      <c r="F4588" s="1">
        <f>IFERROR(__xludf.DUMMYFUNCTION("""COMPUTED_VALUE"""),1471465.0)</f>
        <v>1471465</v>
      </c>
    </row>
    <row r="4589">
      <c r="A4589" s="2">
        <f>IFERROR(__xludf.DUMMYFUNCTION("""COMPUTED_VALUE"""),43294.64583333333)</f>
        <v>43294.64583</v>
      </c>
      <c r="B4589" s="1">
        <f>IFERROR(__xludf.DUMMYFUNCTION("""COMPUTED_VALUE"""),1742.0)</f>
        <v>1742</v>
      </c>
      <c r="C4589" s="1">
        <f>IFERROR(__xludf.DUMMYFUNCTION("""COMPUTED_VALUE"""),1750.05)</f>
        <v>1750.05</v>
      </c>
      <c r="D4589" s="1">
        <f>IFERROR(__xludf.DUMMYFUNCTION("""COMPUTED_VALUE"""),1724.0)</f>
        <v>1724</v>
      </c>
      <c r="E4589" s="1">
        <f>IFERROR(__xludf.DUMMYFUNCTION("""COMPUTED_VALUE"""),1742.65)</f>
        <v>1742.65</v>
      </c>
      <c r="F4589" s="1">
        <f>IFERROR(__xludf.DUMMYFUNCTION("""COMPUTED_VALUE"""),976456.0)</f>
        <v>976456</v>
      </c>
    </row>
    <row r="4590">
      <c r="A4590" s="2">
        <f>IFERROR(__xludf.DUMMYFUNCTION("""COMPUTED_VALUE"""),43297.64583333333)</f>
        <v>43297.64583</v>
      </c>
      <c r="B4590" s="1">
        <f>IFERROR(__xludf.DUMMYFUNCTION("""COMPUTED_VALUE"""),1749.8)</f>
        <v>1749.8</v>
      </c>
      <c r="C4590" s="1">
        <f>IFERROR(__xludf.DUMMYFUNCTION("""COMPUTED_VALUE"""),1779.0)</f>
        <v>1779</v>
      </c>
      <c r="D4590" s="1">
        <f>IFERROR(__xludf.DUMMYFUNCTION("""COMPUTED_VALUE"""),1743.85)</f>
        <v>1743.85</v>
      </c>
      <c r="E4590" s="1">
        <f>IFERROR(__xludf.DUMMYFUNCTION("""COMPUTED_VALUE"""),1751.25)</f>
        <v>1751.25</v>
      </c>
      <c r="F4590" s="1">
        <f>IFERROR(__xludf.DUMMYFUNCTION("""COMPUTED_VALUE"""),2218046.0)</f>
        <v>2218046</v>
      </c>
    </row>
    <row r="4591">
      <c r="A4591" s="2">
        <f>IFERROR(__xludf.DUMMYFUNCTION("""COMPUTED_VALUE"""),43298.64583333333)</f>
        <v>43298.64583</v>
      </c>
      <c r="B4591" s="1">
        <f>IFERROR(__xludf.DUMMYFUNCTION("""COMPUTED_VALUE"""),1767.0)</f>
        <v>1767</v>
      </c>
      <c r="C4591" s="1">
        <f>IFERROR(__xludf.DUMMYFUNCTION("""COMPUTED_VALUE"""),1780.0)</f>
        <v>1780</v>
      </c>
      <c r="D4591" s="1">
        <f>IFERROR(__xludf.DUMMYFUNCTION("""COMPUTED_VALUE"""),1678.2)</f>
        <v>1678.2</v>
      </c>
      <c r="E4591" s="1">
        <f>IFERROR(__xludf.DUMMYFUNCTION("""COMPUTED_VALUE"""),1681.7)</f>
        <v>1681.7</v>
      </c>
      <c r="F4591" s="1">
        <f>IFERROR(__xludf.DUMMYFUNCTION("""COMPUTED_VALUE"""),6188478.0)</f>
        <v>6188478</v>
      </c>
    </row>
    <row r="4592">
      <c r="A4592" s="2">
        <f>IFERROR(__xludf.DUMMYFUNCTION("""COMPUTED_VALUE"""),43299.64583333333)</f>
        <v>43299.64583</v>
      </c>
      <c r="B4592" s="1">
        <f>IFERROR(__xludf.DUMMYFUNCTION("""COMPUTED_VALUE"""),1693.0)</f>
        <v>1693</v>
      </c>
      <c r="C4592" s="1">
        <f>IFERROR(__xludf.DUMMYFUNCTION("""COMPUTED_VALUE"""),1699.7)</f>
        <v>1699.7</v>
      </c>
      <c r="D4592" s="1">
        <f>IFERROR(__xludf.DUMMYFUNCTION("""COMPUTED_VALUE"""),1627.0)</f>
        <v>1627</v>
      </c>
      <c r="E4592" s="1">
        <f>IFERROR(__xludf.DUMMYFUNCTION("""COMPUTED_VALUE"""),1643.75)</f>
        <v>1643.75</v>
      </c>
      <c r="F4592" s="1">
        <f>IFERROR(__xludf.DUMMYFUNCTION("""COMPUTED_VALUE"""),2372869.0)</f>
        <v>2372869</v>
      </c>
    </row>
    <row r="4593">
      <c r="A4593" s="2">
        <f>IFERROR(__xludf.DUMMYFUNCTION("""COMPUTED_VALUE"""),43300.64583333333)</f>
        <v>43300.64583</v>
      </c>
      <c r="B4593" s="1">
        <f>IFERROR(__xludf.DUMMYFUNCTION("""COMPUTED_VALUE"""),1651.9)</f>
        <v>1651.9</v>
      </c>
      <c r="C4593" s="1">
        <f>IFERROR(__xludf.DUMMYFUNCTION("""COMPUTED_VALUE"""),1670.0)</f>
        <v>1670</v>
      </c>
      <c r="D4593" s="1">
        <f>IFERROR(__xludf.DUMMYFUNCTION("""COMPUTED_VALUE"""),1643.65)</f>
        <v>1643.65</v>
      </c>
      <c r="E4593" s="1">
        <f>IFERROR(__xludf.DUMMYFUNCTION("""COMPUTED_VALUE"""),1647.45)</f>
        <v>1647.45</v>
      </c>
      <c r="F4593" s="1">
        <f>IFERROR(__xludf.DUMMYFUNCTION("""COMPUTED_VALUE"""),1457149.0)</f>
        <v>1457149</v>
      </c>
    </row>
    <row r="4594">
      <c r="A4594" s="2">
        <f>IFERROR(__xludf.DUMMYFUNCTION("""COMPUTED_VALUE"""),43301.64583333333)</f>
        <v>43301.64583</v>
      </c>
      <c r="B4594" s="1">
        <f>IFERROR(__xludf.DUMMYFUNCTION("""COMPUTED_VALUE"""),1655.9)</f>
        <v>1655.9</v>
      </c>
      <c r="C4594" s="1">
        <f>IFERROR(__xludf.DUMMYFUNCTION("""COMPUTED_VALUE"""),1671.45)</f>
        <v>1671.45</v>
      </c>
      <c r="D4594" s="1">
        <f>IFERROR(__xludf.DUMMYFUNCTION("""COMPUTED_VALUE"""),1628.8)</f>
        <v>1628.8</v>
      </c>
      <c r="E4594" s="1">
        <f>IFERROR(__xludf.DUMMYFUNCTION("""COMPUTED_VALUE"""),1655.85)</f>
        <v>1655.85</v>
      </c>
      <c r="F4594" s="1">
        <f>IFERROR(__xludf.DUMMYFUNCTION("""COMPUTED_VALUE"""),1734748.0)</f>
        <v>1734748</v>
      </c>
    </row>
    <row r="4595">
      <c r="A4595" s="2">
        <f>IFERROR(__xludf.DUMMYFUNCTION("""COMPUTED_VALUE"""),43304.64583333333)</f>
        <v>43304.64583</v>
      </c>
      <c r="B4595" s="1">
        <f>IFERROR(__xludf.DUMMYFUNCTION("""COMPUTED_VALUE"""),1668.95)</f>
        <v>1668.95</v>
      </c>
      <c r="C4595" s="1">
        <f>IFERROR(__xludf.DUMMYFUNCTION("""COMPUTED_VALUE"""),1702.95)</f>
        <v>1702.95</v>
      </c>
      <c r="D4595" s="1">
        <f>IFERROR(__xludf.DUMMYFUNCTION("""COMPUTED_VALUE"""),1660.55)</f>
        <v>1660.55</v>
      </c>
      <c r="E4595" s="1">
        <f>IFERROR(__xludf.DUMMYFUNCTION("""COMPUTED_VALUE"""),1689.65)</f>
        <v>1689.65</v>
      </c>
      <c r="F4595" s="1">
        <f>IFERROR(__xludf.DUMMYFUNCTION("""COMPUTED_VALUE"""),1382893.0)</f>
        <v>1382893</v>
      </c>
    </row>
    <row r="4596">
      <c r="A4596" s="2">
        <f>IFERROR(__xludf.DUMMYFUNCTION("""COMPUTED_VALUE"""),43305.64583333333)</f>
        <v>43305.64583</v>
      </c>
      <c r="B4596" s="1">
        <f>IFERROR(__xludf.DUMMYFUNCTION("""COMPUTED_VALUE"""),1700.0)</f>
        <v>1700</v>
      </c>
      <c r="C4596" s="1">
        <f>IFERROR(__xludf.DUMMYFUNCTION("""COMPUTED_VALUE"""),1709.7)</f>
        <v>1709.7</v>
      </c>
      <c r="D4596" s="1">
        <f>IFERROR(__xludf.DUMMYFUNCTION("""COMPUTED_VALUE"""),1662.45)</f>
        <v>1662.45</v>
      </c>
      <c r="E4596" s="1">
        <f>IFERROR(__xludf.DUMMYFUNCTION("""COMPUTED_VALUE"""),1667.9)</f>
        <v>1667.9</v>
      </c>
      <c r="F4596" s="1">
        <f>IFERROR(__xludf.DUMMYFUNCTION("""COMPUTED_VALUE"""),1084438.0)</f>
        <v>1084438</v>
      </c>
    </row>
    <row r="4597">
      <c r="A4597" s="2">
        <f>IFERROR(__xludf.DUMMYFUNCTION("""COMPUTED_VALUE"""),43306.64583333333)</f>
        <v>43306.64583</v>
      </c>
      <c r="B4597" s="1">
        <f>IFERROR(__xludf.DUMMYFUNCTION("""COMPUTED_VALUE"""),1671.0)</f>
        <v>1671</v>
      </c>
      <c r="C4597" s="1">
        <f>IFERROR(__xludf.DUMMYFUNCTION("""COMPUTED_VALUE"""),1679.45)</f>
        <v>1679.45</v>
      </c>
      <c r="D4597" s="1">
        <f>IFERROR(__xludf.DUMMYFUNCTION("""COMPUTED_VALUE"""),1638.25)</f>
        <v>1638.25</v>
      </c>
      <c r="E4597" s="1">
        <f>IFERROR(__xludf.DUMMYFUNCTION("""COMPUTED_VALUE"""),1652.95)</f>
        <v>1652.95</v>
      </c>
      <c r="F4597" s="1">
        <f>IFERROR(__xludf.DUMMYFUNCTION("""COMPUTED_VALUE"""),1526620.0)</f>
        <v>1526620</v>
      </c>
    </row>
    <row r="4598">
      <c r="A4598" s="2">
        <f>IFERROR(__xludf.DUMMYFUNCTION("""COMPUTED_VALUE"""),43307.64583333333)</f>
        <v>43307.64583</v>
      </c>
      <c r="B4598" s="1">
        <f>IFERROR(__xludf.DUMMYFUNCTION("""COMPUTED_VALUE"""),1655.0)</f>
        <v>1655</v>
      </c>
      <c r="C4598" s="1">
        <f>IFERROR(__xludf.DUMMYFUNCTION("""COMPUTED_VALUE"""),1679.65)</f>
        <v>1679.65</v>
      </c>
      <c r="D4598" s="1">
        <f>IFERROR(__xludf.DUMMYFUNCTION("""COMPUTED_VALUE"""),1645.05)</f>
        <v>1645.05</v>
      </c>
      <c r="E4598" s="1">
        <f>IFERROR(__xludf.DUMMYFUNCTION("""COMPUTED_VALUE"""),1669.95)</f>
        <v>1669.95</v>
      </c>
      <c r="F4598" s="1">
        <f>IFERROR(__xludf.DUMMYFUNCTION("""COMPUTED_VALUE"""),2088548.0)</f>
        <v>2088548</v>
      </c>
    </row>
    <row r="4599">
      <c r="A4599" s="2">
        <f>IFERROR(__xludf.DUMMYFUNCTION("""COMPUTED_VALUE"""),43308.64583333333)</f>
        <v>43308.64583</v>
      </c>
      <c r="B4599" s="1">
        <f>IFERROR(__xludf.DUMMYFUNCTION("""COMPUTED_VALUE"""),1670.0)</f>
        <v>1670</v>
      </c>
      <c r="C4599" s="1">
        <f>IFERROR(__xludf.DUMMYFUNCTION("""COMPUTED_VALUE"""),1674.8)</f>
        <v>1674.8</v>
      </c>
      <c r="D4599" s="1">
        <f>IFERROR(__xludf.DUMMYFUNCTION("""COMPUTED_VALUE"""),1641.45)</f>
        <v>1641.45</v>
      </c>
      <c r="E4599" s="1">
        <f>IFERROR(__xludf.DUMMYFUNCTION("""COMPUTED_VALUE"""),1659.0)</f>
        <v>1659</v>
      </c>
      <c r="F4599" s="1">
        <f>IFERROR(__xludf.DUMMYFUNCTION("""COMPUTED_VALUE"""),1030665.0)</f>
        <v>1030665</v>
      </c>
    </row>
    <row r="4600">
      <c r="A4600" s="2">
        <f>IFERROR(__xludf.DUMMYFUNCTION("""COMPUTED_VALUE"""),43311.64583333333)</f>
        <v>43311.64583</v>
      </c>
      <c r="B4600" s="1">
        <f>IFERROR(__xludf.DUMMYFUNCTION("""COMPUTED_VALUE"""),1666.25)</f>
        <v>1666.25</v>
      </c>
      <c r="C4600" s="1">
        <f>IFERROR(__xludf.DUMMYFUNCTION("""COMPUTED_VALUE"""),1692.0)</f>
        <v>1692</v>
      </c>
      <c r="D4600" s="1">
        <f>IFERROR(__xludf.DUMMYFUNCTION("""COMPUTED_VALUE"""),1651.0)</f>
        <v>1651</v>
      </c>
      <c r="E4600" s="1">
        <f>IFERROR(__xludf.DUMMYFUNCTION("""COMPUTED_VALUE"""),1688.7)</f>
        <v>1688.7</v>
      </c>
      <c r="F4600" s="1">
        <f>IFERROR(__xludf.DUMMYFUNCTION("""COMPUTED_VALUE"""),1237254.0)</f>
        <v>1237254</v>
      </c>
    </row>
    <row r="4601">
      <c r="A4601" s="2">
        <f>IFERROR(__xludf.DUMMYFUNCTION("""COMPUTED_VALUE"""),43312.64583333333)</f>
        <v>43312.64583</v>
      </c>
      <c r="B4601" s="1">
        <f>IFERROR(__xludf.DUMMYFUNCTION("""COMPUTED_VALUE"""),1690.0)</f>
        <v>1690</v>
      </c>
      <c r="C4601" s="1">
        <f>IFERROR(__xludf.DUMMYFUNCTION("""COMPUTED_VALUE"""),1737.45)</f>
        <v>1737.45</v>
      </c>
      <c r="D4601" s="1">
        <f>IFERROR(__xludf.DUMMYFUNCTION("""COMPUTED_VALUE"""),1681.7)</f>
        <v>1681.7</v>
      </c>
      <c r="E4601" s="1">
        <f>IFERROR(__xludf.DUMMYFUNCTION("""COMPUTED_VALUE"""),1731.65)</f>
        <v>1731.65</v>
      </c>
      <c r="F4601" s="1">
        <f>IFERROR(__xludf.DUMMYFUNCTION("""COMPUTED_VALUE"""),1877744.0)</f>
        <v>1877744</v>
      </c>
    </row>
    <row r="4602">
      <c r="A4602" s="2">
        <f>IFERROR(__xludf.DUMMYFUNCTION("""COMPUTED_VALUE"""),43313.64583333333)</f>
        <v>43313.64583</v>
      </c>
      <c r="B4602" s="1">
        <f>IFERROR(__xludf.DUMMYFUNCTION("""COMPUTED_VALUE"""),1732.95)</f>
        <v>1732.95</v>
      </c>
      <c r="C4602" s="1">
        <f>IFERROR(__xludf.DUMMYFUNCTION("""COMPUTED_VALUE"""),1743.0)</f>
        <v>1743</v>
      </c>
      <c r="D4602" s="1">
        <f>IFERROR(__xludf.DUMMYFUNCTION("""COMPUTED_VALUE"""),1718.6)</f>
        <v>1718.6</v>
      </c>
      <c r="E4602" s="1">
        <f>IFERROR(__xludf.DUMMYFUNCTION("""COMPUTED_VALUE"""),1734.3)</f>
        <v>1734.3</v>
      </c>
      <c r="F4602" s="1">
        <f>IFERROR(__xludf.DUMMYFUNCTION("""COMPUTED_VALUE"""),1191134.0)</f>
        <v>1191134</v>
      </c>
    </row>
    <row r="4603">
      <c r="A4603" s="2">
        <f>IFERROR(__xludf.DUMMYFUNCTION("""COMPUTED_VALUE"""),43314.64583333333)</f>
        <v>43314.64583</v>
      </c>
      <c r="B4603" s="1">
        <f>IFERROR(__xludf.DUMMYFUNCTION("""COMPUTED_VALUE"""),1742.25)</f>
        <v>1742.25</v>
      </c>
      <c r="C4603" s="1">
        <f>IFERROR(__xludf.DUMMYFUNCTION("""COMPUTED_VALUE"""),1759.75)</f>
        <v>1759.75</v>
      </c>
      <c r="D4603" s="1">
        <f>IFERROR(__xludf.DUMMYFUNCTION("""COMPUTED_VALUE"""),1739.0)</f>
        <v>1739</v>
      </c>
      <c r="E4603" s="1">
        <f>IFERROR(__xludf.DUMMYFUNCTION("""COMPUTED_VALUE"""),1748.5)</f>
        <v>1748.5</v>
      </c>
      <c r="F4603" s="1">
        <f>IFERROR(__xludf.DUMMYFUNCTION("""COMPUTED_VALUE"""),1127209.0)</f>
        <v>1127209</v>
      </c>
    </row>
    <row r="4604">
      <c r="A4604" s="2">
        <f>IFERROR(__xludf.DUMMYFUNCTION("""COMPUTED_VALUE"""),43315.64583333333)</f>
        <v>43315.64583</v>
      </c>
      <c r="B4604" s="1">
        <f>IFERROR(__xludf.DUMMYFUNCTION("""COMPUTED_VALUE"""),1754.0)</f>
        <v>1754</v>
      </c>
      <c r="C4604" s="1">
        <f>IFERROR(__xludf.DUMMYFUNCTION("""COMPUTED_VALUE"""),1767.35)</f>
        <v>1767.35</v>
      </c>
      <c r="D4604" s="1">
        <f>IFERROR(__xludf.DUMMYFUNCTION("""COMPUTED_VALUE"""),1746.9)</f>
        <v>1746.9</v>
      </c>
      <c r="E4604" s="1">
        <f>IFERROR(__xludf.DUMMYFUNCTION("""COMPUTED_VALUE"""),1763.0)</f>
        <v>1763</v>
      </c>
      <c r="F4604" s="1">
        <f>IFERROR(__xludf.DUMMYFUNCTION("""COMPUTED_VALUE"""),758933.0)</f>
        <v>758933</v>
      </c>
    </row>
    <row r="4605">
      <c r="A4605" s="2">
        <f>IFERROR(__xludf.DUMMYFUNCTION("""COMPUTED_VALUE"""),43318.64583333333)</f>
        <v>43318.64583</v>
      </c>
      <c r="B4605" s="1">
        <f>IFERROR(__xludf.DUMMYFUNCTION("""COMPUTED_VALUE"""),1760.0)</f>
        <v>1760</v>
      </c>
      <c r="C4605" s="1">
        <f>IFERROR(__xludf.DUMMYFUNCTION("""COMPUTED_VALUE"""),1760.0)</f>
        <v>1760</v>
      </c>
      <c r="D4605" s="1">
        <f>IFERROR(__xludf.DUMMYFUNCTION("""COMPUTED_VALUE"""),1715.05)</f>
        <v>1715.05</v>
      </c>
      <c r="E4605" s="1">
        <f>IFERROR(__xludf.DUMMYFUNCTION("""COMPUTED_VALUE"""),1730.3)</f>
        <v>1730.3</v>
      </c>
      <c r="F4605" s="1">
        <f>IFERROR(__xludf.DUMMYFUNCTION("""COMPUTED_VALUE"""),1629015.0)</f>
        <v>1629015</v>
      </c>
    </row>
    <row r="4606">
      <c r="A4606" s="2">
        <f>IFERROR(__xludf.DUMMYFUNCTION("""COMPUTED_VALUE"""),43319.64583333333)</f>
        <v>43319.64583</v>
      </c>
      <c r="B4606" s="1">
        <f>IFERROR(__xludf.DUMMYFUNCTION("""COMPUTED_VALUE"""),1730.8)</f>
        <v>1730.8</v>
      </c>
      <c r="C4606" s="1">
        <f>IFERROR(__xludf.DUMMYFUNCTION("""COMPUTED_VALUE"""),1742.0)</f>
        <v>1742</v>
      </c>
      <c r="D4606" s="1">
        <f>IFERROR(__xludf.DUMMYFUNCTION("""COMPUTED_VALUE"""),1724.0)</f>
        <v>1724</v>
      </c>
      <c r="E4606" s="1">
        <f>IFERROR(__xludf.DUMMYFUNCTION("""COMPUTED_VALUE"""),1730.05)</f>
        <v>1730.05</v>
      </c>
      <c r="F4606" s="1">
        <f>IFERROR(__xludf.DUMMYFUNCTION("""COMPUTED_VALUE"""),863577.0)</f>
        <v>863577</v>
      </c>
    </row>
    <row r="4607">
      <c r="A4607" s="2">
        <f>IFERROR(__xludf.DUMMYFUNCTION("""COMPUTED_VALUE"""),43320.64583333333)</f>
        <v>43320.64583</v>
      </c>
      <c r="B4607" s="1">
        <f>IFERROR(__xludf.DUMMYFUNCTION("""COMPUTED_VALUE"""),1728.0)</f>
        <v>1728</v>
      </c>
      <c r="C4607" s="1">
        <f>IFERROR(__xludf.DUMMYFUNCTION("""COMPUTED_VALUE"""),1763.0)</f>
        <v>1763</v>
      </c>
      <c r="D4607" s="1">
        <f>IFERROR(__xludf.DUMMYFUNCTION("""COMPUTED_VALUE"""),1721.35)</f>
        <v>1721.35</v>
      </c>
      <c r="E4607" s="1">
        <f>IFERROR(__xludf.DUMMYFUNCTION("""COMPUTED_VALUE"""),1757.15)</f>
        <v>1757.15</v>
      </c>
      <c r="F4607" s="1">
        <f>IFERROR(__xludf.DUMMYFUNCTION("""COMPUTED_VALUE"""),1423256.0)</f>
        <v>1423256</v>
      </c>
    </row>
    <row r="4608">
      <c r="A4608" s="2">
        <f>IFERROR(__xludf.DUMMYFUNCTION("""COMPUTED_VALUE"""),43321.64583333333)</f>
        <v>43321.64583</v>
      </c>
      <c r="B4608" s="1">
        <f>IFERROR(__xludf.DUMMYFUNCTION("""COMPUTED_VALUE"""),1761.5)</f>
        <v>1761.5</v>
      </c>
      <c r="C4608" s="1">
        <f>IFERROR(__xludf.DUMMYFUNCTION("""COMPUTED_VALUE"""),1765.0)</f>
        <v>1765</v>
      </c>
      <c r="D4608" s="1">
        <f>IFERROR(__xludf.DUMMYFUNCTION("""COMPUTED_VALUE"""),1738.2)</f>
        <v>1738.2</v>
      </c>
      <c r="E4608" s="1">
        <f>IFERROR(__xludf.DUMMYFUNCTION("""COMPUTED_VALUE"""),1754.2)</f>
        <v>1754.2</v>
      </c>
      <c r="F4608" s="1">
        <f>IFERROR(__xludf.DUMMYFUNCTION("""COMPUTED_VALUE"""),939345.0)</f>
        <v>939345</v>
      </c>
    </row>
    <row r="4609">
      <c r="A4609" s="2">
        <f>IFERROR(__xludf.DUMMYFUNCTION("""COMPUTED_VALUE"""),43322.64583333333)</f>
        <v>43322.64583</v>
      </c>
      <c r="B4609" s="1">
        <f>IFERROR(__xludf.DUMMYFUNCTION("""COMPUTED_VALUE"""),1750.0)</f>
        <v>1750</v>
      </c>
      <c r="C4609" s="1">
        <f>IFERROR(__xludf.DUMMYFUNCTION("""COMPUTED_VALUE"""),1763.6)</f>
        <v>1763.6</v>
      </c>
      <c r="D4609" s="1">
        <f>IFERROR(__xludf.DUMMYFUNCTION("""COMPUTED_VALUE"""),1741.5)</f>
        <v>1741.5</v>
      </c>
      <c r="E4609" s="1">
        <f>IFERROR(__xludf.DUMMYFUNCTION("""COMPUTED_VALUE"""),1752.7)</f>
        <v>1752.7</v>
      </c>
      <c r="F4609" s="1">
        <f>IFERROR(__xludf.DUMMYFUNCTION("""COMPUTED_VALUE"""),730724.0)</f>
        <v>730724</v>
      </c>
    </row>
    <row r="4610">
      <c r="A4610" s="2">
        <f>IFERROR(__xludf.DUMMYFUNCTION("""COMPUTED_VALUE"""),43325.64583333333)</f>
        <v>43325.64583</v>
      </c>
      <c r="B4610" s="1">
        <f>IFERROR(__xludf.DUMMYFUNCTION("""COMPUTED_VALUE"""),1739.0)</f>
        <v>1739</v>
      </c>
      <c r="C4610" s="1">
        <f>IFERROR(__xludf.DUMMYFUNCTION("""COMPUTED_VALUE"""),1756.5)</f>
        <v>1756.5</v>
      </c>
      <c r="D4610" s="1">
        <f>IFERROR(__xludf.DUMMYFUNCTION("""COMPUTED_VALUE"""),1725.75)</f>
        <v>1725.75</v>
      </c>
      <c r="E4610" s="1">
        <f>IFERROR(__xludf.DUMMYFUNCTION("""COMPUTED_VALUE"""),1728.85)</f>
        <v>1728.85</v>
      </c>
      <c r="F4610" s="1">
        <f>IFERROR(__xludf.DUMMYFUNCTION("""COMPUTED_VALUE"""),691024.0)</f>
        <v>691024</v>
      </c>
    </row>
    <row r="4611">
      <c r="A4611" s="2">
        <f>IFERROR(__xludf.DUMMYFUNCTION("""COMPUTED_VALUE"""),43326.64583333333)</f>
        <v>43326.64583</v>
      </c>
      <c r="B4611" s="1">
        <f>IFERROR(__xludf.DUMMYFUNCTION("""COMPUTED_VALUE"""),1729.0)</f>
        <v>1729</v>
      </c>
      <c r="C4611" s="1">
        <f>IFERROR(__xludf.DUMMYFUNCTION("""COMPUTED_VALUE"""),1759.3)</f>
        <v>1759.3</v>
      </c>
      <c r="D4611" s="1">
        <f>IFERROR(__xludf.DUMMYFUNCTION("""COMPUTED_VALUE"""),1729.0)</f>
        <v>1729</v>
      </c>
      <c r="E4611" s="1">
        <f>IFERROR(__xludf.DUMMYFUNCTION("""COMPUTED_VALUE"""),1744.25)</f>
        <v>1744.25</v>
      </c>
      <c r="F4611" s="1">
        <f>IFERROR(__xludf.DUMMYFUNCTION("""COMPUTED_VALUE"""),850399.0)</f>
        <v>850399</v>
      </c>
    </row>
    <row r="4612">
      <c r="A4612" s="2">
        <f>IFERROR(__xludf.DUMMYFUNCTION("""COMPUTED_VALUE"""),43328.64583333333)</f>
        <v>43328.64583</v>
      </c>
      <c r="B4612" s="1">
        <f>IFERROR(__xludf.DUMMYFUNCTION("""COMPUTED_VALUE"""),1741.0)</f>
        <v>1741</v>
      </c>
      <c r="C4612" s="1">
        <f>IFERROR(__xludf.DUMMYFUNCTION("""COMPUTED_VALUE"""),1751.95)</f>
        <v>1751.95</v>
      </c>
      <c r="D4612" s="1">
        <f>IFERROR(__xludf.DUMMYFUNCTION("""COMPUTED_VALUE"""),1730.6)</f>
        <v>1730.6</v>
      </c>
      <c r="E4612" s="1">
        <f>IFERROR(__xludf.DUMMYFUNCTION("""COMPUTED_VALUE"""),1737.4)</f>
        <v>1737.4</v>
      </c>
      <c r="F4612" s="1">
        <f>IFERROR(__xludf.DUMMYFUNCTION("""COMPUTED_VALUE"""),638454.0)</f>
        <v>638454</v>
      </c>
    </row>
    <row r="4613">
      <c r="A4613" s="2">
        <f>IFERROR(__xludf.DUMMYFUNCTION("""COMPUTED_VALUE"""),43329.64583333333)</f>
        <v>43329.64583</v>
      </c>
      <c r="B4613" s="1">
        <f>IFERROR(__xludf.DUMMYFUNCTION("""COMPUTED_VALUE"""),1741.1)</f>
        <v>1741.1</v>
      </c>
      <c r="C4613" s="1">
        <f>IFERROR(__xludf.DUMMYFUNCTION("""COMPUTED_VALUE"""),1788.6)</f>
        <v>1788.6</v>
      </c>
      <c r="D4613" s="1">
        <f>IFERROR(__xludf.DUMMYFUNCTION("""COMPUTED_VALUE"""),1731.75)</f>
        <v>1731.75</v>
      </c>
      <c r="E4613" s="1">
        <f>IFERROR(__xludf.DUMMYFUNCTION("""COMPUTED_VALUE"""),1784.75)</f>
        <v>1784.75</v>
      </c>
      <c r="F4613" s="1">
        <f>IFERROR(__xludf.DUMMYFUNCTION("""COMPUTED_VALUE"""),1420289.0)</f>
        <v>1420289</v>
      </c>
    </row>
    <row r="4614">
      <c r="A4614" s="2">
        <f>IFERROR(__xludf.DUMMYFUNCTION("""COMPUTED_VALUE"""),43332.64583333333)</f>
        <v>43332.64583</v>
      </c>
      <c r="B4614" s="1">
        <f>IFERROR(__xludf.DUMMYFUNCTION("""COMPUTED_VALUE"""),1790.0)</f>
        <v>1790</v>
      </c>
      <c r="C4614" s="1">
        <f>IFERROR(__xludf.DUMMYFUNCTION("""COMPUTED_VALUE"""),1808.65)</f>
        <v>1808.65</v>
      </c>
      <c r="D4614" s="1">
        <f>IFERROR(__xludf.DUMMYFUNCTION("""COMPUTED_VALUE"""),1773.2)</f>
        <v>1773.2</v>
      </c>
      <c r="E4614" s="1">
        <f>IFERROR(__xludf.DUMMYFUNCTION("""COMPUTED_VALUE"""),1777.0)</f>
        <v>1777</v>
      </c>
      <c r="F4614" s="1">
        <f>IFERROR(__xludf.DUMMYFUNCTION("""COMPUTED_VALUE"""),924623.0)</f>
        <v>924623</v>
      </c>
    </row>
    <row r="4615">
      <c r="A4615" s="2">
        <f>IFERROR(__xludf.DUMMYFUNCTION("""COMPUTED_VALUE"""),43333.64583333333)</f>
        <v>43333.64583</v>
      </c>
      <c r="B4615" s="1">
        <f>IFERROR(__xludf.DUMMYFUNCTION("""COMPUTED_VALUE"""),1777.0)</f>
        <v>1777</v>
      </c>
      <c r="C4615" s="1">
        <f>IFERROR(__xludf.DUMMYFUNCTION("""COMPUTED_VALUE"""),1777.0)</f>
        <v>1777</v>
      </c>
      <c r="D4615" s="1">
        <f>IFERROR(__xludf.DUMMYFUNCTION("""COMPUTED_VALUE"""),1750.0)</f>
        <v>1750</v>
      </c>
      <c r="E4615" s="1">
        <f>IFERROR(__xludf.DUMMYFUNCTION("""COMPUTED_VALUE"""),1752.5)</f>
        <v>1752.5</v>
      </c>
      <c r="F4615" s="1">
        <f>IFERROR(__xludf.DUMMYFUNCTION("""COMPUTED_VALUE"""),1169476.0)</f>
        <v>1169476</v>
      </c>
    </row>
    <row r="4616">
      <c r="A4616" s="2">
        <f>IFERROR(__xludf.DUMMYFUNCTION("""COMPUTED_VALUE"""),43335.64583333333)</f>
        <v>43335.64583</v>
      </c>
      <c r="B4616" s="1">
        <f>IFERROR(__xludf.DUMMYFUNCTION("""COMPUTED_VALUE"""),1764.95)</f>
        <v>1764.95</v>
      </c>
      <c r="C4616" s="1">
        <f>IFERROR(__xludf.DUMMYFUNCTION("""COMPUTED_VALUE"""),1783.5)</f>
        <v>1783.5</v>
      </c>
      <c r="D4616" s="1">
        <f>IFERROR(__xludf.DUMMYFUNCTION("""COMPUTED_VALUE"""),1757.5)</f>
        <v>1757.5</v>
      </c>
      <c r="E4616" s="1">
        <f>IFERROR(__xludf.DUMMYFUNCTION("""COMPUTED_VALUE"""),1772.8)</f>
        <v>1772.8</v>
      </c>
      <c r="F4616" s="1">
        <f>IFERROR(__xludf.DUMMYFUNCTION("""COMPUTED_VALUE"""),1375102.0)</f>
        <v>1375102</v>
      </c>
    </row>
    <row r="4617">
      <c r="A4617" s="2">
        <f>IFERROR(__xludf.DUMMYFUNCTION("""COMPUTED_VALUE"""),43336.64583333333)</f>
        <v>43336.64583</v>
      </c>
      <c r="B4617" s="1">
        <f>IFERROR(__xludf.DUMMYFUNCTION("""COMPUTED_VALUE"""),1773.25)</f>
        <v>1773.25</v>
      </c>
      <c r="C4617" s="1">
        <f>IFERROR(__xludf.DUMMYFUNCTION("""COMPUTED_VALUE"""),1789.0)</f>
        <v>1789</v>
      </c>
      <c r="D4617" s="1">
        <f>IFERROR(__xludf.DUMMYFUNCTION("""COMPUTED_VALUE"""),1762.25)</f>
        <v>1762.25</v>
      </c>
      <c r="E4617" s="1">
        <f>IFERROR(__xludf.DUMMYFUNCTION("""COMPUTED_VALUE"""),1780.95)</f>
        <v>1780.95</v>
      </c>
      <c r="F4617" s="1">
        <f>IFERROR(__xludf.DUMMYFUNCTION("""COMPUTED_VALUE"""),866648.0)</f>
        <v>866648</v>
      </c>
    </row>
    <row r="4618">
      <c r="A4618" s="2">
        <f>IFERROR(__xludf.DUMMYFUNCTION("""COMPUTED_VALUE"""),43339.64583333333)</f>
        <v>43339.64583</v>
      </c>
      <c r="B4618" s="1">
        <f>IFERROR(__xludf.DUMMYFUNCTION("""COMPUTED_VALUE"""),1791.0)</f>
        <v>1791</v>
      </c>
      <c r="C4618" s="1">
        <f>IFERROR(__xludf.DUMMYFUNCTION("""COMPUTED_VALUE"""),1798.0)</f>
        <v>1798</v>
      </c>
      <c r="D4618" s="1">
        <f>IFERROR(__xludf.DUMMYFUNCTION("""COMPUTED_VALUE"""),1778.7)</f>
        <v>1778.7</v>
      </c>
      <c r="E4618" s="1">
        <f>IFERROR(__xludf.DUMMYFUNCTION("""COMPUTED_VALUE"""),1792.3)</f>
        <v>1792.3</v>
      </c>
      <c r="F4618" s="1">
        <f>IFERROR(__xludf.DUMMYFUNCTION("""COMPUTED_VALUE"""),627163.0)</f>
        <v>627163</v>
      </c>
    </row>
    <row r="4619">
      <c r="A4619" s="2">
        <f>IFERROR(__xludf.DUMMYFUNCTION("""COMPUTED_VALUE"""),43340.64583333333)</f>
        <v>43340.64583</v>
      </c>
      <c r="B4619" s="1">
        <f>IFERROR(__xludf.DUMMYFUNCTION("""COMPUTED_VALUE"""),1789.0)</f>
        <v>1789</v>
      </c>
      <c r="C4619" s="1">
        <f>IFERROR(__xludf.DUMMYFUNCTION("""COMPUTED_VALUE"""),1790.95)</f>
        <v>1790.95</v>
      </c>
      <c r="D4619" s="1">
        <f>IFERROR(__xludf.DUMMYFUNCTION("""COMPUTED_VALUE"""),1767.85)</f>
        <v>1767.85</v>
      </c>
      <c r="E4619" s="1">
        <f>IFERROR(__xludf.DUMMYFUNCTION("""COMPUTED_VALUE"""),1771.2)</f>
        <v>1771.2</v>
      </c>
      <c r="F4619" s="1">
        <f>IFERROR(__xludf.DUMMYFUNCTION("""COMPUTED_VALUE"""),991764.0)</f>
        <v>991764</v>
      </c>
    </row>
    <row r="4620">
      <c r="A4620" s="2">
        <f>IFERROR(__xludf.DUMMYFUNCTION("""COMPUTED_VALUE"""),43341.64583333333)</f>
        <v>43341.64583</v>
      </c>
      <c r="B4620" s="1">
        <f>IFERROR(__xludf.DUMMYFUNCTION("""COMPUTED_VALUE"""),1775.0)</f>
        <v>1775</v>
      </c>
      <c r="C4620" s="1">
        <f>IFERROR(__xludf.DUMMYFUNCTION("""COMPUTED_VALUE"""),1779.4)</f>
        <v>1779.4</v>
      </c>
      <c r="D4620" s="1">
        <f>IFERROR(__xludf.DUMMYFUNCTION("""COMPUTED_VALUE"""),1751.25)</f>
        <v>1751.25</v>
      </c>
      <c r="E4620" s="1">
        <f>IFERROR(__xludf.DUMMYFUNCTION("""COMPUTED_VALUE"""),1755.85)</f>
        <v>1755.85</v>
      </c>
      <c r="F4620" s="1">
        <f>IFERROR(__xludf.DUMMYFUNCTION("""COMPUTED_VALUE"""),777922.0)</f>
        <v>777922</v>
      </c>
    </row>
    <row r="4621">
      <c r="A4621" s="2">
        <f>IFERROR(__xludf.DUMMYFUNCTION("""COMPUTED_VALUE"""),43342.64583333333)</f>
        <v>43342.64583</v>
      </c>
      <c r="B4621" s="1">
        <f>IFERROR(__xludf.DUMMYFUNCTION("""COMPUTED_VALUE"""),1755.0)</f>
        <v>1755</v>
      </c>
      <c r="C4621" s="1">
        <f>IFERROR(__xludf.DUMMYFUNCTION("""COMPUTED_VALUE"""),1779.8)</f>
        <v>1779.8</v>
      </c>
      <c r="D4621" s="1">
        <f>IFERROR(__xludf.DUMMYFUNCTION("""COMPUTED_VALUE"""),1755.0)</f>
        <v>1755</v>
      </c>
      <c r="E4621" s="1">
        <f>IFERROR(__xludf.DUMMYFUNCTION("""COMPUTED_VALUE"""),1772.85)</f>
        <v>1772.85</v>
      </c>
      <c r="F4621" s="1">
        <f>IFERROR(__xludf.DUMMYFUNCTION("""COMPUTED_VALUE"""),1586926.0)</f>
        <v>1586926</v>
      </c>
    </row>
    <row r="4622">
      <c r="A4622" s="2">
        <f>IFERROR(__xludf.DUMMYFUNCTION("""COMPUTED_VALUE"""),43343.64583333333)</f>
        <v>43343.64583</v>
      </c>
      <c r="B4622" s="1">
        <f>IFERROR(__xludf.DUMMYFUNCTION("""COMPUTED_VALUE"""),1777.0)</f>
        <v>1777</v>
      </c>
      <c r="C4622" s="1">
        <f>IFERROR(__xludf.DUMMYFUNCTION("""COMPUTED_VALUE"""),1789.95)</f>
        <v>1789.95</v>
      </c>
      <c r="D4622" s="1">
        <f>IFERROR(__xludf.DUMMYFUNCTION("""COMPUTED_VALUE"""),1765.0)</f>
        <v>1765</v>
      </c>
      <c r="E4622" s="1">
        <f>IFERROR(__xludf.DUMMYFUNCTION("""COMPUTED_VALUE"""),1780.1)</f>
        <v>1780.1</v>
      </c>
      <c r="F4622" s="1">
        <f>IFERROR(__xludf.DUMMYFUNCTION("""COMPUTED_VALUE"""),1335542.0)</f>
        <v>1335542</v>
      </c>
    </row>
    <row r="4623">
      <c r="A4623" s="2">
        <f>IFERROR(__xludf.DUMMYFUNCTION("""COMPUTED_VALUE"""),43346.64583333333)</f>
        <v>43346.64583</v>
      </c>
      <c r="B4623" s="1">
        <f>IFERROR(__xludf.DUMMYFUNCTION("""COMPUTED_VALUE"""),1791.5)</f>
        <v>1791.5</v>
      </c>
      <c r="C4623" s="1">
        <f>IFERROR(__xludf.DUMMYFUNCTION("""COMPUTED_VALUE"""),1791.5)</f>
        <v>1791.5</v>
      </c>
      <c r="D4623" s="1">
        <f>IFERROR(__xludf.DUMMYFUNCTION("""COMPUTED_VALUE"""),1695.85)</f>
        <v>1695.85</v>
      </c>
      <c r="E4623" s="1">
        <f>IFERROR(__xludf.DUMMYFUNCTION("""COMPUTED_VALUE"""),1699.1)</f>
        <v>1699.1</v>
      </c>
      <c r="F4623" s="1">
        <f>IFERROR(__xludf.DUMMYFUNCTION("""COMPUTED_VALUE"""),1744229.0)</f>
        <v>1744229</v>
      </c>
    </row>
    <row r="4624">
      <c r="A4624" s="2">
        <f>IFERROR(__xludf.DUMMYFUNCTION("""COMPUTED_VALUE"""),43347.64583333333)</f>
        <v>43347.64583</v>
      </c>
      <c r="B4624" s="1">
        <f>IFERROR(__xludf.DUMMYFUNCTION("""COMPUTED_VALUE"""),1697.0)</f>
        <v>1697</v>
      </c>
      <c r="C4624" s="1">
        <f>IFERROR(__xludf.DUMMYFUNCTION("""COMPUTED_VALUE"""),1697.95)</f>
        <v>1697.95</v>
      </c>
      <c r="D4624" s="1">
        <f>IFERROR(__xludf.DUMMYFUNCTION("""COMPUTED_VALUE"""),1623.85)</f>
        <v>1623.85</v>
      </c>
      <c r="E4624" s="1">
        <f>IFERROR(__xludf.DUMMYFUNCTION("""COMPUTED_VALUE"""),1651.2)</f>
        <v>1651.2</v>
      </c>
      <c r="F4624" s="1">
        <f>IFERROR(__xludf.DUMMYFUNCTION("""COMPUTED_VALUE"""),3852609.0)</f>
        <v>3852609</v>
      </c>
    </row>
    <row r="4625">
      <c r="A4625" s="2">
        <f>IFERROR(__xludf.DUMMYFUNCTION("""COMPUTED_VALUE"""),43348.64583333333)</f>
        <v>43348.64583</v>
      </c>
      <c r="B4625" s="1">
        <f>IFERROR(__xludf.DUMMYFUNCTION("""COMPUTED_VALUE"""),1643.0)</f>
        <v>1643</v>
      </c>
      <c r="C4625" s="1">
        <f>IFERROR(__xludf.DUMMYFUNCTION("""COMPUTED_VALUE"""),1647.55)</f>
        <v>1647.55</v>
      </c>
      <c r="D4625" s="1">
        <f>IFERROR(__xludf.DUMMYFUNCTION("""COMPUTED_VALUE"""),1596.0)</f>
        <v>1596</v>
      </c>
      <c r="E4625" s="1">
        <f>IFERROR(__xludf.DUMMYFUNCTION("""COMPUTED_VALUE"""),1611.7)</f>
        <v>1611.7</v>
      </c>
      <c r="F4625" s="1">
        <f>IFERROR(__xludf.DUMMYFUNCTION("""COMPUTED_VALUE"""),2693195.0)</f>
        <v>2693195</v>
      </c>
    </row>
    <row r="4626">
      <c r="A4626" s="2">
        <f>IFERROR(__xludf.DUMMYFUNCTION("""COMPUTED_VALUE"""),43349.64583333333)</f>
        <v>43349.64583</v>
      </c>
      <c r="B4626" s="1">
        <f>IFERROR(__xludf.DUMMYFUNCTION("""COMPUTED_VALUE"""),1623.45)</f>
        <v>1623.45</v>
      </c>
      <c r="C4626" s="1">
        <f>IFERROR(__xludf.DUMMYFUNCTION("""COMPUTED_VALUE"""),1636.5)</f>
        <v>1636.5</v>
      </c>
      <c r="D4626" s="1">
        <f>IFERROR(__xludf.DUMMYFUNCTION("""COMPUTED_VALUE"""),1598.65)</f>
        <v>1598.65</v>
      </c>
      <c r="E4626" s="1">
        <f>IFERROR(__xludf.DUMMYFUNCTION("""COMPUTED_VALUE"""),1608.6)</f>
        <v>1608.6</v>
      </c>
      <c r="F4626" s="1">
        <f>IFERROR(__xludf.DUMMYFUNCTION("""COMPUTED_VALUE"""),2008264.0)</f>
        <v>2008264</v>
      </c>
    </row>
    <row r="4627">
      <c r="A4627" s="2">
        <f>IFERROR(__xludf.DUMMYFUNCTION("""COMPUTED_VALUE"""),43350.64583333333)</f>
        <v>43350.64583</v>
      </c>
      <c r="B4627" s="1">
        <f>IFERROR(__xludf.DUMMYFUNCTION("""COMPUTED_VALUE"""),1611.9)</f>
        <v>1611.9</v>
      </c>
      <c r="C4627" s="1">
        <f>IFERROR(__xludf.DUMMYFUNCTION("""COMPUTED_VALUE"""),1644.7)</f>
        <v>1644.7</v>
      </c>
      <c r="D4627" s="1">
        <f>IFERROR(__xludf.DUMMYFUNCTION("""COMPUTED_VALUE"""),1601.0)</f>
        <v>1601</v>
      </c>
      <c r="E4627" s="1">
        <f>IFERROR(__xludf.DUMMYFUNCTION("""COMPUTED_VALUE"""),1638.75)</f>
        <v>1638.75</v>
      </c>
      <c r="F4627" s="1">
        <f>IFERROR(__xludf.DUMMYFUNCTION("""COMPUTED_VALUE"""),1571003.0)</f>
        <v>1571003</v>
      </c>
    </row>
    <row r="4628">
      <c r="A4628" s="2">
        <f>IFERROR(__xludf.DUMMYFUNCTION("""COMPUTED_VALUE"""),43353.64583333333)</f>
        <v>43353.64583</v>
      </c>
      <c r="B4628" s="1">
        <f>IFERROR(__xludf.DUMMYFUNCTION("""COMPUTED_VALUE"""),1632.7)</f>
        <v>1632.7</v>
      </c>
      <c r="C4628" s="1">
        <f>IFERROR(__xludf.DUMMYFUNCTION("""COMPUTED_VALUE"""),1640.4)</f>
        <v>1640.4</v>
      </c>
      <c r="D4628" s="1">
        <f>IFERROR(__xludf.DUMMYFUNCTION("""COMPUTED_VALUE"""),1604.0)</f>
        <v>1604</v>
      </c>
      <c r="E4628" s="1">
        <f>IFERROR(__xludf.DUMMYFUNCTION("""COMPUTED_VALUE"""),1610.3)</f>
        <v>1610.3</v>
      </c>
      <c r="F4628" s="1">
        <f>IFERROR(__xludf.DUMMYFUNCTION("""COMPUTED_VALUE"""),1423511.0)</f>
        <v>1423511</v>
      </c>
    </row>
    <row r="4629">
      <c r="A4629" s="2">
        <f>IFERROR(__xludf.DUMMYFUNCTION("""COMPUTED_VALUE"""),43354.64583333333)</f>
        <v>43354.64583</v>
      </c>
      <c r="B4629" s="1">
        <f>IFERROR(__xludf.DUMMYFUNCTION("""COMPUTED_VALUE"""),1613.0)</f>
        <v>1613</v>
      </c>
      <c r="C4629" s="1">
        <f>IFERROR(__xludf.DUMMYFUNCTION("""COMPUTED_VALUE"""),1624.0)</f>
        <v>1624</v>
      </c>
      <c r="D4629" s="1">
        <f>IFERROR(__xludf.DUMMYFUNCTION("""COMPUTED_VALUE"""),1576.05)</f>
        <v>1576.05</v>
      </c>
      <c r="E4629" s="1">
        <f>IFERROR(__xludf.DUMMYFUNCTION("""COMPUTED_VALUE"""),1590.65)</f>
        <v>1590.65</v>
      </c>
      <c r="F4629" s="1">
        <f>IFERROR(__xludf.DUMMYFUNCTION("""COMPUTED_VALUE"""),2381214.0)</f>
        <v>2381214</v>
      </c>
    </row>
    <row r="4630">
      <c r="A4630" s="2">
        <f>IFERROR(__xludf.DUMMYFUNCTION("""COMPUTED_VALUE"""),43355.64583333333)</f>
        <v>43355.64583</v>
      </c>
      <c r="B4630" s="1">
        <f>IFERROR(__xludf.DUMMYFUNCTION("""COMPUTED_VALUE"""),1599.95)</f>
        <v>1599.95</v>
      </c>
      <c r="C4630" s="1">
        <f>IFERROR(__xludf.DUMMYFUNCTION("""COMPUTED_VALUE"""),1636.9)</f>
        <v>1636.9</v>
      </c>
      <c r="D4630" s="1">
        <f>IFERROR(__xludf.DUMMYFUNCTION("""COMPUTED_VALUE"""),1587.5)</f>
        <v>1587.5</v>
      </c>
      <c r="E4630" s="1">
        <f>IFERROR(__xludf.DUMMYFUNCTION("""COMPUTED_VALUE"""),1626.85)</f>
        <v>1626.85</v>
      </c>
      <c r="F4630" s="1">
        <f>IFERROR(__xludf.DUMMYFUNCTION("""COMPUTED_VALUE"""),1789295.0)</f>
        <v>1789295</v>
      </c>
    </row>
    <row r="4631">
      <c r="A4631" s="2">
        <f>IFERROR(__xludf.DUMMYFUNCTION("""COMPUTED_VALUE"""),43357.64583333333)</f>
        <v>43357.64583</v>
      </c>
      <c r="B4631" s="1">
        <f>IFERROR(__xludf.DUMMYFUNCTION("""COMPUTED_VALUE"""),1637.9)</f>
        <v>1637.9</v>
      </c>
      <c r="C4631" s="1">
        <f>IFERROR(__xludf.DUMMYFUNCTION("""COMPUTED_VALUE"""),1649.0)</f>
        <v>1649</v>
      </c>
      <c r="D4631" s="1">
        <f>IFERROR(__xludf.DUMMYFUNCTION("""COMPUTED_VALUE"""),1612.5)</f>
        <v>1612.5</v>
      </c>
      <c r="E4631" s="1">
        <f>IFERROR(__xludf.DUMMYFUNCTION("""COMPUTED_VALUE"""),1629.3)</f>
        <v>1629.3</v>
      </c>
      <c r="F4631" s="1">
        <f>IFERROR(__xludf.DUMMYFUNCTION("""COMPUTED_VALUE"""),1920969.0)</f>
        <v>1920969</v>
      </c>
    </row>
    <row r="4632">
      <c r="A4632" s="2">
        <f>IFERROR(__xludf.DUMMYFUNCTION("""COMPUTED_VALUE"""),43360.64583333333)</f>
        <v>43360.64583</v>
      </c>
      <c r="B4632" s="1">
        <f>IFERROR(__xludf.DUMMYFUNCTION("""COMPUTED_VALUE"""),1620.0)</f>
        <v>1620</v>
      </c>
      <c r="C4632" s="1">
        <f>IFERROR(__xludf.DUMMYFUNCTION("""COMPUTED_VALUE"""),1626.0)</f>
        <v>1626</v>
      </c>
      <c r="D4632" s="1">
        <f>IFERROR(__xludf.DUMMYFUNCTION("""COMPUTED_VALUE"""),1595.0)</f>
        <v>1595</v>
      </c>
      <c r="E4632" s="1">
        <f>IFERROR(__xludf.DUMMYFUNCTION("""COMPUTED_VALUE"""),1605.45)</f>
        <v>1605.45</v>
      </c>
      <c r="F4632" s="1">
        <f>IFERROR(__xludf.DUMMYFUNCTION("""COMPUTED_VALUE"""),904395.0)</f>
        <v>904395</v>
      </c>
    </row>
    <row r="4633">
      <c r="A4633" s="2">
        <f>IFERROR(__xludf.DUMMYFUNCTION("""COMPUTED_VALUE"""),43361.64583333333)</f>
        <v>43361.64583</v>
      </c>
      <c r="B4633" s="1">
        <f>IFERROR(__xludf.DUMMYFUNCTION("""COMPUTED_VALUE"""),1622.0)</f>
        <v>1622</v>
      </c>
      <c r="C4633" s="1">
        <f>IFERROR(__xludf.DUMMYFUNCTION("""COMPUTED_VALUE"""),1670.95)</f>
        <v>1670.95</v>
      </c>
      <c r="D4633" s="1">
        <f>IFERROR(__xludf.DUMMYFUNCTION("""COMPUTED_VALUE"""),1618.0)</f>
        <v>1618</v>
      </c>
      <c r="E4633" s="1">
        <f>IFERROR(__xludf.DUMMYFUNCTION("""COMPUTED_VALUE"""),1664.95)</f>
        <v>1664.95</v>
      </c>
      <c r="F4633" s="1">
        <f>IFERROR(__xludf.DUMMYFUNCTION("""COMPUTED_VALUE"""),2932792.0)</f>
        <v>2932792</v>
      </c>
    </row>
    <row r="4634">
      <c r="A4634" s="2">
        <f>IFERROR(__xludf.DUMMYFUNCTION("""COMPUTED_VALUE"""),43362.64583333333)</f>
        <v>43362.64583</v>
      </c>
      <c r="B4634" s="1">
        <f>IFERROR(__xludf.DUMMYFUNCTION("""COMPUTED_VALUE"""),1671.0)</f>
        <v>1671</v>
      </c>
      <c r="C4634" s="1">
        <f>IFERROR(__xludf.DUMMYFUNCTION("""COMPUTED_VALUE"""),1678.5)</f>
        <v>1678.5</v>
      </c>
      <c r="D4634" s="1">
        <f>IFERROR(__xludf.DUMMYFUNCTION("""COMPUTED_VALUE"""),1637.15)</f>
        <v>1637.15</v>
      </c>
      <c r="E4634" s="1">
        <f>IFERROR(__xludf.DUMMYFUNCTION("""COMPUTED_VALUE"""),1647.1)</f>
        <v>1647.1</v>
      </c>
      <c r="F4634" s="1">
        <f>IFERROR(__xludf.DUMMYFUNCTION("""COMPUTED_VALUE"""),1589108.0)</f>
        <v>1589108</v>
      </c>
    </row>
    <row r="4635">
      <c r="A4635" s="2">
        <f>IFERROR(__xludf.DUMMYFUNCTION("""COMPUTED_VALUE"""),43364.64583333333)</f>
        <v>43364.64583</v>
      </c>
      <c r="B4635" s="1">
        <f>IFERROR(__xludf.DUMMYFUNCTION("""COMPUTED_VALUE"""),1651.0)</f>
        <v>1651</v>
      </c>
      <c r="C4635" s="1">
        <f>IFERROR(__xludf.DUMMYFUNCTION("""COMPUTED_VALUE"""),1656.9)</f>
        <v>1656.9</v>
      </c>
      <c r="D4635" s="1">
        <f>IFERROR(__xludf.DUMMYFUNCTION("""COMPUTED_VALUE"""),1606.3)</f>
        <v>1606.3</v>
      </c>
      <c r="E4635" s="1">
        <f>IFERROR(__xludf.DUMMYFUNCTION("""COMPUTED_VALUE"""),1621.3)</f>
        <v>1621.3</v>
      </c>
      <c r="F4635" s="1">
        <f>IFERROR(__xludf.DUMMYFUNCTION("""COMPUTED_VALUE"""),3032792.0)</f>
        <v>3032792</v>
      </c>
    </row>
    <row r="4636">
      <c r="A4636" s="2">
        <f>IFERROR(__xludf.DUMMYFUNCTION("""COMPUTED_VALUE"""),43367.64583333333)</f>
        <v>43367.64583</v>
      </c>
      <c r="B4636" s="1">
        <f>IFERROR(__xludf.DUMMYFUNCTION("""COMPUTED_VALUE"""),1622.05)</f>
        <v>1622.05</v>
      </c>
      <c r="C4636" s="1">
        <f>IFERROR(__xludf.DUMMYFUNCTION("""COMPUTED_VALUE"""),1639.5)</f>
        <v>1639.5</v>
      </c>
      <c r="D4636" s="1">
        <f>IFERROR(__xludf.DUMMYFUNCTION("""COMPUTED_VALUE"""),1564.1)</f>
        <v>1564.1</v>
      </c>
      <c r="E4636" s="1">
        <f>IFERROR(__xludf.DUMMYFUNCTION("""COMPUTED_VALUE"""),1590.45)</f>
        <v>1590.45</v>
      </c>
      <c r="F4636" s="1">
        <f>IFERROR(__xludf.DUMMYFUNCTION("""COMPUTED_VALUE"""),1817390.0)</f>
        <v>1817390</v>
      </c>
    </row>
    <row r="4637">
      <c r="A4637" s="2">
        <f>IFERROR(__xludf.DUMMYFUNCTION("""COMPUTED_VALUE"""),43368.64583333333)</f>
        <v>43368.64583</v>
      </c>
      <c r="B4637" s="1">
        <f>IFERROR(__xludf.DUMMYFUNCTION("""COMPUTED_VALUE"""),1600.0)</f>
        <v>1600</v>
      </c>
      <c r="C4637" s="1">
        <f>IFERROR(__xludf.DUMMYFUNCTION("""COMPUTED_VALUE"""),1640.0)</f>
        <v>1640</v>
      </c>
      <c r="D4637" s="1">
        <f>IFERROR(__xludf.DUMMYFUNCTION("""COMPUTED_VALUE"""),1577.05)</f>
        <v>1577.05</v>
      </c>
      <c r="E4637" s="1">
        <f>IFERROR(__xludf.DUMMYFUNCTION("""COMPUTED_VALUE"""),1630.85)</f>
        <v>1630.85</v>
      </c>
      <c r="F4637" s="1">
        <f>IFERROR(__xludf.DUMMYFUNCTION("""COMPUTED_VALUE"""),1229970.0)</f>
        <v>1229970</v>
      </c>
    </row>
    <row r="4638">
      <c r="A4638" s="2">
        <f>IFERROR(__xludf.DUMMYFUNCTION("""COMPUTED_VALUE"""),43369.64583333333)</f>
        <v>43369.64583</v>
      </c>
      <c r="B4638" s="1">
        <f>IFERROR(__xludf.DUMMYFUNCTION("""COMPUTED_VALUE"""),1644.4)</f>
        <v>1644.4</v>
      </c>
      <c r="C4638" s="1">
        <f>IFERROR(__xludf.DUMMYFUNCTION("""COMPUTED_VALUE"""),1649.0)</f>
        <v>1649</v>
      </c>
      <c r="D4638" s="1">
        <f>IFERROR(__xludf.DUMMYFUNCTION("""COMPUTED_VALUE"""),1598.0)</f>
        <v>1598</v>
      </c>
      <c r="E4638" s="1">
        <f>IFERROR(__xludf.DUMMYFUNCTION("""COMPUTED_VALUE"""),1610.75)</f>
        <v>1610.75</v>
      </c>
      <c r="F4638" s="1">
        <f>IFERROR(__xludf.DUMMYFUNCTION("""COMPUTED_VALUE"""),980726.0)</f>
        <v>980726</v>
      </c>
    </row>
    <row r="4639">
      <c r="A4639" s="2">
        <f>IFERROR(__xludf.DUMMYFUNCTION("""COMPUTED_VALUE"""),43370.64583333333)</f>
        <v>43370.64583</v>
      </c>
      <c r="B4639" s="1">
        <f>IFERROR(__xludf.DUMMYFUNCTION("""COMPUTED_VALUE"""),1610.0)</f>
        <v>1610</v>
      </c>
      <c r="C4639" s="1">
        <f>IFERROR(__xludf.DUMMYFUNCTION("""COMPUTED_VALUE"""),1625.0)</f>
        <v>1625</v>
      </c>
      <c r="D4639" s="1">
        <f>IFERROR(__xludf.DUMMYFUNCTION("""COMPUTED_VALUE"""),1603.2)</f>
        <v>1603.2</v>
      </c>
      <c r="E4639" s="1">
        <f>IFERROR(__xludf.DUMMYFUNCTION("""COMPUTED_VALUE"""),1620.1)</f>
        <v>1620.1</v>
      </c>
      <c r="F4639" s="1">
        <f>IFERROR(__xludf.DUMMYFUNCTION("""COMPUTED_VALUE"""),1572603.0)</f>
        <v>1572603</v>
      </c>
    </row>
    <row r="4640">
      <c r="A4640" s="2">
        <f>IFERROR(__xludf.DUMMYFUNCTION("""COMPUTED_VALUE"""),43371.64583333333)</f>
        <v>43371.64583</v>
      </c>
      <c r="B4640" s="1">
        <f>IFERROR(__xludf.DUMMYFUNCTION("""COMPUTED_VALUE"""),1620.1)</f>
        <v>1620.1</v>
      </c>
      <c r="C4640" s="1">
        <f>IFERROR(__xludf.DUMMYFUNCTION("""COMPUTED_VALUE"""),1627.3)</f>
        <v>1627.3</v>
      </c>
      <c r="D4640" s="1">
        <f>IFERROR(__xludf.DUMMYFUNCTION("""COMPUTED_VALUE"""),1600.05)</f>
        <v>1600.05</v>
      </c>
      <c r="E4640" s="1">
        <f>IFERROR(__xludf.DUMMYFUNCTION("""COMPUTED_VALUE"""),1608.4)</f>
        <v>1608.4</v>
      </c>
      <c r="F4640" s="1">
        <f>IFERROR(__xludf.DUMMYFUNCTION("""COMPUTED_VALUE"""),1735076.0)</f>
        <v>1735076</v>
      </c>
    </row>
    <row r="4641">
      <c r="A4641" s="2">
        <f>IFERROR(__xludf.DUMMYFUNCTION("""COMPUTED_VALUE"""),43374.64583333333)</f>
        <v>43374.64583</v>
      </c>
      <c r="B4641" s="1">
        <f>IFERROR(__xludf.DUMMYFUNCTION("""COMPUTED_VALUE"""),1606.5)</f>
        <v>1606.5</v>
      </c>
      <c r="C4641" s="1">
        <f>IFERROR(__xludf.DUMMYFUNCTION("""COMPUTED_VALUE"""),1652.4)</f>
        <v>1652.4</v>
      </c>
      <c r="D4641" s="1">
        <f>IFERROR(__xludf.DUMMYFUNCTION("""COMPUTED_VALUE"""),1601.6)</f>
        <v>1601.6</v>
      </c>
      <c r="E4641" s="1">
        <f>IFERROR(__xludf.DUMMYFUNCTION("""COMPUTED_VALUE"""),1642.3)</f>
        <v>1642.3</v>
      </c>
      <c r="F4641" s="1">
        <f>IFERROR(__xludf.DUMMYFUNCTION("""COMPUTED_VALUE"""),1721675.0)</f>
        <v>1721675</v>
      </c>
    </row>
    <row r="4642">
      <c r="A4642" s="2">
        <f>IFERROR(__xludf.DUMMYFUNCTION("""COMPUTED_VALUE"""),43376.64583333333)</f>
        <v>43376.64583</v>
      </c>
      <c r="B4642" s="1">
        <f>IFERROR(__xludf.DUMMYFUNCTION("""COMPUTED_VALUE"""),1642.0)</f>
        <v>1642</v>
      </c>
      <c r="C4642" s="1">
        <f>IFERROR(__xludf.DUMMYFUNCTION("""COMPUTED_VALUE"""),1642.05)</f>
        <v>1642.05</v>
      </c>
      <c r="D4642" s="1">
        <f>IFERROR(__xludf.DUMMYFUNCTION("""COMPUTED_VALUE"""),1606.65)</f>
        <v>1606.65</v>
      </c>
      <c r="E4642" s="1">
        <f>IFERROR(__xludf.DUMMYFUNCTION("""COMPUTED_VALUE"""),1618.85)</f>
        <v>1618.85</v>
      </c>
      <c r="F4642" s="1">
        <f>IFERROR(__xludf.DUMMYFUNCTION("""COMPUTED_VALUE"""),1213562.0)</f>
        <v>1213562</v>
      </c>
    </row>
    <row r="4643">
      <c r="A4643" s="2">
        <f>IFERROR(__xludf.DUMMYFUNCTION("""COMPUTED_VALUE"""),43377.64583333333)</f>
        <v>43377.64583</v>
      </c>
      <c r="B4643" s="1">
        <f>IFERROR(__xludf.DUMMYFUNCTION("""COMPUTED_VALUE"""),1600.0)</f>
        <v>1600</v>
      </c>
      <c r="C4643" s="1">
        <f>IFERROR(__xludf.DUMMYFUNCTION("""COMPUTED_VALUE"""),1602.8)</f>
        <v>1602.8</v>
      </c>
      <c r="D4643" s="1">
        <f>IFERROR(__xludf.DUMMYFUNCTION("""COMPUTED_VALUE"""),1562.1)</f>
        <v>1562.1</v>
      </c>
      <c r="E4643" s="1">
        <f>IFERROR(__xludf.DUMMYFUNCTION("""COMPUTED_VALUE"""),1573.95)</f>
        <v>1573.95</v>
      </c>
      <c r="F4643" s="1">
        <f>IFERROR(__xludf.DUMMYFUNCTION("""COMPUTED_VALUE"""),1544573.0)</f>
        <v>1544573</v>
      </c>
    </row>
    <row r="4644">
      <c r="A4644" s="2">
        <f>IFERROR(__xludf.DUMMYFUNCTION("""COMPUTED_VALUE"""),43378.64583333333)</f>
        <v>43378.64583</v>
      </c>
      <c r="B4644" s="1">
        <f>IFERROR(__xludf.DUMMYFUNCTION("""COMPUTED_VALUE"""),1559.5)</f>
        <v>1559.5</v>
      </c>
      <c r="C4644" s="1">
        <f>IFERROR(__xludf.DUMMYFUNCTION("""COMPUTED_VALUE"""),1574.85)</f>
        <v>1574.85</v>
      </c>
      <c r="D4644" s="1">
        <f>IFERROR(__xludf.DUMMYFUNCTION("""COMPUTED_VALUE"""),1528.6)</f>
        <v>1528.6</v>
      </c>
      <c r="E4644" s="1">
        <f>IFERROR(__xludf.DUMMYFUNCTION("""COMPUTED_VALUE"""),1558.55)</f>
        <v>1558.55</v>
      </c>
      <c r="F4644" s="1">
        <f>IFERROR(__xludf.DUMMYFUNCTION("""COMPUTED_VALUE"""),1638027.0)</f>
        <v>1638027</v>
      </c>
    </row>
    <row r="4645">
      <c r="A4645" s="2">
        <f>IFERROR(__xludf.DUMMYFUNCTION("""COMPUTED_VALUE"""),43381.64583333333)</f>
        <v>43381.64583</v>
      </c>
      <c r="B4645" s="1">
        <f>IFERROR(__xludf.DUMMYFUNCTION("""COMPUTED_VALUE"""),1551.0)</f>
        <v>1551</v>
      </c>
      <c r="C4645" s="1">
        <f>IFERROR(__xludf.DUMMYFUNCTION("""COMPUTED_VALUE"""),1570.4)</f>
        <v>1570.4</v>
      </c>
      <c r="D4645" s="1">
        <f>IFERROR(__xludf.DUMMYFUNCTION("""COMPUTED_VALUE"""),1537.1)</f>
        <v>1537.1</v>
      </c>
      <c r="E4645" s="1">
        <f>IFERROR(__xludf.DUMMYFUNCTION("""COMPUTED_VALUE"""),1559.35)</f>
        <v>1559.35</v>
      </c>
      <c r="F4645" s="1">
        <f>IFERROR(__xludf.DUMMYFUNCTION("""COMPUTED_VALUE"""),1998863.0)</f>
        <v>1998863</v>
      </c>
    </row>
    <row r="4646">
      <c r="A4646" s="2">
        <f>IFERROR(__xludf.DUMMYFUNCTION("""COMPUTED_VALUE"""),43382.64583333333)</f>
        <v>43382.64583</v>
      </c>
      <c r="B4646" s="1">
        <f>IFERROR(__xludf.DUMMYFUNCTION("""COMPUTED_VALUE"""),1563.0)</f>
        <v>1563</v>
      </c>
      <c r="C4646" s="1">
        <f>IFERROR(__xludf.DUMMYFUNCTION("""COMPUTED_VALUE"""),1570.0)</f>
        <v>1570</v>
      </c>
      <c r="D4646" s="1">
        <f>IFERROR(__xludf.DUMMYFUNCTION("""COMPUTED_VALUE"""),1492.5)</f>
        <v>1492.5</v>
      </c>
      <c r="E4646" s="1">
        <f>IFERROR(__xludf.DUMMYFUNCTION("""COMPUTED_VALUE"""),1512.45)</f>
        <v>1512.45</v>
      </c>
      <c r="F4646" s="1">
        <f>IFERROR(__xludf.DUMMYFUNCTION("""COMPUTED_VALUE"""),1562134.0)</f>
        <v>1562134</v>
      </c>
    </row>
    <row r="4647">
      <c r="A4647" s="2">
        <f>IFERROR(__xludf.DUMMYFUNCTION("""COMPUTED_VALUE"""),43383.64583333333)</f>
        <v>43383.64583</v>
      </c>
      <c r="B4647" s="1">
        <f>IFERROR(__xludf.DUMMYFUNCTION("""COMPUTED_VALUE"""),1512.5)</f>
        <v>1512.5</v>
      </c>
      <c r="C4647" s="1">
        <f>IFERROR(__xludf.DUMMYFUNCTION("""COMPUTED_VALUE"""),1543.2)</f>
        <v>1543.2</v>
      </c>
      <c r="D4647" s="1">
        <f>IFERROR(__xludf.DUMMYFUNCTION("""COMPUTED_VALUE"""),1490.55)</f>
        <v>1490.55</v>
      </c>
      <c r="E4647" s="1">
        <f>IFERROR(__xludf.DUMMYFUNCTION("""COMPUTED_VALUE"""),1527.65)</f>
        <v>1527.65</v>
      </c>
      <c r="F4647" s="1">
        <f>IFERROR(__xludf.DUMMYFUNCTION("""COMPUTED_VALUE"""),2294071.0)</f>
        <v>2294071</v>
      </c>
    </row>
    <row r="4648">
      <c r="A4648" s="2">
        <f>IFERROR(__xludf.DUMMYFUNCTION("""COMPUTED_VALUE"""),43384.64583333333)</f>
        <v>43384.64583</v>
      </c>
      <c r="B4648" s="1">
        <f>IFERROR(__xludf.DUMMYFUNCTION("""COMPUTED_VALUE"""),1490.0)</f>
        <v>1490</v>
      </c>
      <c r="C4648" s="1">
        <f>IFERROR(__xludf.DUMMYFUNCTION("""COMPUTED_VALUE"""),1540.0)</f>
        <v>1540</v>
      </c>
      <c r="D4648" s="1">
        <f>IFERROR(__xludf.DUMMYFUNCTION("""COMPUTED_VALUE"""),1477.2)</f>
        <v>1477.2</v>
      </c>
      <c r="E4648" s="1">
        <f>IFERROR(__xludf.DUMMYFUNCTION("""COMPUTED_VALUE"""),1526.1)</f>
        <v>1526.1</v>
      </c>
      <c r="F4648" s="1">
        <f>IFERROR(__xludf.DUMMYFUNCTION("""COMPUTED_VALUE"""),1823960.0)</f>
        <v>1823960</v>
      </c>
    </row>
    <row r="4649">
      <c r="A4649" s="2">
        <f>IFERROR(__xludf.DUMMYFUNCTION("""COMPUTED_VALUE"""),43385.64583333333)</f>
        <v>43385.64583</v>
      </c>
      <c r="B4649" s="1">
        <f>IFERROR(__xludf.DUMMYFUNCTION("""COMPUTED_VALUE"""),1555.5)</f>
        <v>1555.5</v>
      </c>
      <c r="C4649" s="1">
        <f>IFERROR(__xludf.DUMMYFUNCTION("""COMPUTED_VALUE"""),1577.5)</f>
        <v>1577.5</v>
      </c>
      <c r="D4649" s="1">
        <f>IFERROR(__xludf.DUMMYFUNCTION("""COMPUTED_VALUE"""),1540.1)</f>
        <v>1540.1</v>
      </c>
      <c r="E4649" s="1">
        <f>IFERROR(__xludf.DUMMYFUNCTION("""COMPUTED_VALUE"""),1569.6)</f>
        <v>1569.6</v>
      </c>
      <c r="F4649" s="1">
        <f>IFERROR(__xludf.DUMMYFUNCTION("""COMPUTED_VALUE"""),1728063.0)</f>
        <v>1728063</v>
      </c>
    </row>
    <row r="4650">
      <c r="A4650" s="2">
        <f>IFERROR(__xludf.DUMMYFUNCTION("""COMPUTED_VALUE"""),43388.64583333333)</f>
        <v>43388.64583</v>
      </c>
      <c r="B4650" s="1">
        <f>IFERROR(__xludf.DUMMYFUNCTION("""COMPUTED_VALUE"""),1549.7)</f>
        <v>1549.7</v>
      </c>
      <c r="C4650" s="1">
        <f>IFERROR(__xludf.DUMMYFUNCTION("""COMPUTED_VALUE"""),1592.95)</f>
        <v>1592.95</v>
      </c>
      <c r="D4650" s="1">
        <f>IFERROR(__xludf.DUMMYFUNCTION("""COMPUTED_VALUE"""),1500.0)</f>
        <v>1500</v>
      </c>
      <c r="E4650" s="1">
        <f>IFERROR(__xludf.DUMMYFUNCTION("""COMPUTED_VALUE"""),1526.3)</f>
        <v>1526.3</v>
      </c>
      <c r="F4650" s="1">
        <f>IFERROR(__xludf.DUMMYFUNCTION("""COMPUTED_VALUE"""),3913322.0)</f>
        <v>3913322</v>
      </c>
    </row>
    <row r="4651">
      <c r="A4651" s="2">
        <f>IFERROR(__xludf.DUMMYFUNCTION("""COMPUTED_VALUE"""),43389.64583333333)</f>
        <v>43389.64583</v>
      </c>
      <c r="B4651" s="1">
        <f>IFERROR(__xludf.DUMMYFUNCTION("""COMPUTED_VALUE"""),1535.7)</f>
        <v>1535.7</v>
      </c>
      <c r="C4651" s="1">
        <f>IFERROR(__xludf.DUMMYFUNCTION("""COMPUTED_VALUE"""),1557.55)</f>
        <v>1557.55</v>
      </c>
      <c r="D4651" s="1">
        <f>IFERROR(__xludf.DUMMYFUNCTION("""COMPUTED_VALUE"""),1526.5)</f>
        <v>1526.5</v>
      </c>
      <c r="E4651" s="1">
        <f>IFERROR(__xludf.DUMMYFUNCTION("""COMPUTED_VALUE"""),1546.2)</f>
        <v>1546.2</v>
      </c>
      <c r="F4651" s="1">
        <f>IFERROR(__xludf.DUMMYFUNCTION("""COMPUTED_VALUE"""),1374834.0)</f>
        <v>1374834</v>
      </c>
    </row>
    <row r="4652">
      <c r="A4652" s="2">
        <f>IFERROR(__xludf.DUMMYFUNCTION("""COMPUTED_VALUE"""),43390.64583333333)</f>
        <v>43390.64583</v>
      </c>
      <c r="B4652" s="1">
        <f>IFERROR(__xludf.DUMMYFUNCTION("""COMPUTED_VALUE"""),1558.1)</f>
        <v>1558.1</v>
      </c>
      <c r="C4652" s="1">
        <f>IFERROR(__xludf.DUMMYFUNCTION("""COMPUTED_VALUE"""),1577.8)</f>
        <v>1577.8</v>
      </c>
      <c r="D4652" s="1">
        <f>IFERROR(__xludf.DUMMYFUNCTION("""COMPUTED_VALUE"""),1546.05)</f>
        <v>1546.05</v>
      </c>
      <c r="E4652" s="1">
        <f>IFERROR(__xludf.DUMMYFUNCTION("""COMPUTED_VALUE"""),1562.0)</f>
        <v>1562</v>
      </c>
      <c r="F4652" s="1">
        <f>IFERROR(__xludf.DUMMYFUNCTION("""COMPUTED_VALUE"""),1223188.0)</f>
        <v>1223188</v>
      </c>
    </row>
    <row r="4653">
      <c r="A4653" s="2">
        <f>IFERROR(__xludf.DUMMYFUNCTION("""COMPUTED_VALUE"""),43392.64583333333)</f>
        <v>43392.64583</v>
      </c>
      <c r="B4653" s="1">
        <f>IFERROR(__xludf.DUMMYFUNCTION("""COMPUTED_VALUE"""),1551.2)</f>
        <v>1551.2</v>
      </c>
      <c r="C4653" s="1">
        <f>IFERROR(__xludf.DUMMYFUNCTION("""COMPUTED_VALUE"""),1585.75)</f>
        <v>1585.75</v>
      </c>
      <c r="D4653" s="1">
        <f>IFERROR(__xludf.DUMMYFUNCTION("""COMPUTED_VALUE"""),1543.05)</f>
        <v>1543.05</v>
      </c>
      <c r="E4653" s="1">
        <f>IFERROR(__xludf.DUMMYFUNCTION("""COMPUTED_VALUE"""),1578.4)</f>
        <v>1578.4</v>
      </c>
      <c r="F4653" s="1">
        <f>IFERROR(__xludf.DUMMYFUNCTION("""COMPUTED_VALUE"""),932433.0)</f>
        <v>932433</v>
      </c>
    </row>
    <row r="4654">
      <c r="A4654" s="2">
        <f>IFERROR(__xludf.DUMMYFUNCTION("""COMPUTED_VALUE"""),43395.64583333333)</f>
        <v>43395.64583</v>
      </c>
      <c r="B4654" s="1">
        <f>IFERROR(__xludf.DUMMYFUNCTION("""COMPUTED_VALUE"""),1588.0)</f>
        <v>1588</v>
      </c>
      <c r="C4654" s="1">
        <f>IFERROR(__xludf.DUMMYFUNCTION("""COMPUTED_VALUE"""),1590.0)</f>
        <v>1590</v>
      </c>
      <c r="D4654" s="1">
        <f>IFERROR(__xludf.DUMMYFUNCTION("""COMPUTED_VALUE"""),1566.6)</f>
        <v>1566.6</v>
      </c>
      <c r="E4654" s="1">
        <f>IFERROR(__xludf.DUMMYFUNCTION("""COMPUTED_VALUE"""),1584.9)</f>
        <v>1584.9</v>
      </c>
      <c r="F4654" s="1">
        <f>IFERROR(__xludf.DUMMYFUNCTION("""COMPUTED_VALUE"""),614209.0)</f>
        <v>614209</v>
      </c>
    </row>
    <row r="4655">
      <c r="A4655" s="2">
        <f>IFERROR(__xludf.DUMMYFUNCTION("""COMPUTED_VALUE"""),43396.64583333333)</f>
        <v>43396.64583</v>
      </c>
      <c r="B4655" s="1">
        <f>IFERROR(__xludf.DUMMYFUNCTION("""COMPUTED_VALUE"""),1575.55)</f>
        <v>1575.55</v>
      </c>
      <c r="C4655" s="1">
        <f>IFERROR(__xludf.DUMMYFUNCTION("""COMPUTED_VALUE"""),1582.0)</f>
        <v>1582</v>
      </c>
      <c r="D4655" s="1">
        <f>IFERROR(__xludf.DUMMYFUNCTION("""COMPUTED_VALUE"""),1547.5)</f>
        <v>1547.5</v>
      </c>
      <c r="E4655" s="1">
        <f>IFERROR(__xludf.DUMMYFUNCTION("""COMPUTED_VALUE"""),1552.05)</f>
        <v>1552.05</v>
      </c>
      <c r="F4655" s="1">
        <f>IFERROR(__xludf.DUMMYFUNCTION("""COMPUTED_VALUE"""),989355.0)</f>
        <v>989355</v>
      </c>
    </row>
    <row r="4656">
      <c r="A4656" s="2">
        <f>IFERROR(__xludf.DUMMYFUNCTION("""COMPUTED_VALUE"""),43397.64583333333)</f>
        <v>43397.64583</v>
      </c>
      <c r="B4656" s="1">
        <f>IFERROR(__xludf.DUMMYFUNCTION("""COMPUTED_VALUE"""),1562.0)</f>
        <v>1562</v>
      </c>
      <c r="C4656" s="1">
        <f>IFERROR(__xludf.DUMMYFUNCTION("""COMPUTED_VALUE"""),1591.0)</f>
        <v>1591</v>
      </c>
      <c r="D4656" s="1">
        <f>IFERROR(__xludf.DUMMYFUNCTION("""COMPUTED_VALUE"""),1552.4)</f>
        <v>1552.4</v>
      </c>
      <c r="E4656" s="1">
        <f>IFERROR(__xludf.DUMMYFUNCTION("""COMPUTED_VALUE"""),1585.95)</f>
        <v>1585.95</v>
      </c>
      <c r="F4656" s="1">
        <f>IFERROR(__xludf.DUMMYFUNCTION("""COMPUTED_VALUE"""),690618.0)</f>
        <v>690618</v>
      </c>
    </row>
    <row r="4657">
      <c r="A4657" s="2">
        <f>IFERROR(__xludf.DUMMYFUNCTION("""COMPUTED_VALUE"""),43398.64583333333)</f>
        <v>43398.64583</v>
      </c>
      <c r="B4657" s="1">
        <f>IFERROR(__xludf.DUMMYFUNCTION("""COMPUTED_VALUE"""),1574.0)</f>
        <v>1574</v>
      </c>
      <c r="C4657" s="1">
        <f>IFERROR(__xludf.DUMMYFUNCTION("""COMPUTED_VALUE"""),1591.75)</f>
        <v>1591.75</v>
      </c>
      <c r="D4657" s="1">
        <f>IFERROR(__xludf.DUMMYFUNCTION("""COMPUTED_VALUE"""),1552.65)</f>
        <v>1552.65</v>
      </c>
      <c r="E4657" s="1">
        <f>IFERROR(__xludf.DUMMYFUNCTION("""COMPUTED_VALUE"""),1571.55)</f>
        <v>1571.55</v>
      </c>
      <c r="F4657" s="1">
        <f>IFERROR(__xludf.DUMMYFUNCTION("""COMPUTED_VALUE"""),2397242.0)</f>
        <v>2397242</v>
      </c>
    </row>
    <row r="4658">
      <c r="A4658" s="2">
        <f>IFERROR(__xludf.DUMMYFUNCTION("""COMPUTED_VALUE"""),43399.64583333333)</f>
        <v>43399.64583</v>
      </c>
      <c r="B4658" s="1">
        <f>IFERROR(__xludf.DUMMYFUNCTION("""COMPUTED_VALUE"""),1567.1)</f>
        <v>1567.1</v>
      </c>
      <c r="C4658" s="1">
        <f>IFERROR(__xludf.DUMMYFUNCTION("""COMPUTED_VALUE"""),1579.5)</f>
        <v>1579.5</v>
      </c>
      <c r="D4658" s="1">
        <f>IFERROR(__xludf.DUMMYFUNCTION("""COMPUTED_VALUE"""),1549.95)</f>
        <v>1549.95</v>
      </c>
      <c r="E4658" s="1">
        <f>IFERROR(__xludf.DUMMYFUNCTION("""COMPUTED_VALUE"""),1558.25)</f>
        <v>1558.25</v>
      </c>
      <c r="F4658" s="1">
        <f>IFERROR(__xludf.DUMMYFUNCTION("""COMPUTED_VALUE"""),1049382.0)</f>
        <v>1049382</v>
      </c>
    </row>
    <row r="4659">
      <c r="A4659" s="2">
        <f>IFERROR(__xludf.DUMMYFUNCTION("""COMPUTED_VALUE"""),43402.64583333333)</f>
        <v>43402.64583</v>
      </c>
      <c r="B4659" s="1">
        <f>IFERROR(__xludf.DUMMYFUNCTION("""COMPUTED_VALUE"""),1559.45)</f>
        <v>1559.45</v>
      </c>
      <c r="C4659" s="1">
        <f>IFERROR(__xludf.DUMMYFUNCTION("""COMPUTED_VALUE"""),1559.45)</f>
        <v>1559.45</v>
      </c>
      <c r="D4659" s="1">
        <f>IFERROR(__xludf.DUMMYFUNCTION("""COMPUTED_VALUE"""),1522.0)</f>
        <v>1522</v>
      </c>
      <c r="E4659" s="1">
        <f>IFERROR(__xludf.DUMMYFUNCTION("""COMPUTED_VALUE"""),1552.9)</f>
        <v>1552.9</v>
      </c>
      <c r="F4659" s="1">
        <f>IFERROR(__xludf.DUMMYFUNCTION("""COMPUTED_VALUE"""),1478828.0)</f>
        <v>1478828</v>
      </c>
    </row>
    <row r="4660">
      <c r="A4660" s="2">
        <f>IFERROR(__xludf.DUMMYFUNCTION("""COMPUTED_VALUE"""),43403.64583333333)</f>
        <v>43403.64583</v>
      </c>
      <c r="B4660" s="1">
        <f>IFERROR(__xludf.DUMMYFUNCTION("""COMPUTED_VALUE"""),1553.9)</f>
        <v>1553.9</v>
      </c>
      <c r="C4660" s="1">
        <f>IFERROR(__xludf.DUMMYFUNCTION("""COMPUTED_VALUE"""),1603.6)</f>
        <v>1603.6</v>
      </c>
      <c r="D4660" s="1">
        <f>IFERROR(__xludf.DUMMYFUNCTION("""COMPUTED_VALUE"""),1542.45)</f>
        <v>1542.45</v>
      </c>
      <c r="E4660" s="1">
        <f>IFERROR(__xludf.DUMMYFUNCTION("""COMPUTED_VALUE"""),1593.05)</f>
        <v>1593.05</v>
      </c>
      <c r="F4660" s="1">
        <f>IFERROR(__xludf.DUMMYFUNCTION("""COMPUTED_VALUE"""),1366068.0)</f>
        <v>1366068</v>
      </c>
    </row>
    <row r="4661">
      <c r="A4661" s="2">
        <f>IFERROR(__xludf.DUMMYFUNCTION("""COMPUTED_VALUE"""),43404.64583333333)</f>
        <v>43404.64583</v>
      </c>
      <c r="B4661" s="1">
        <f>IFERROR(__xludf.DUMMYFUNCTION("""COMPUTED_VALUE"""),1593.0)</f>
        <v>1593</v>
      </c>
      <c r="C4661" s="1">
        <f>IFERROR(__xludf.DUMMYFUNCTION("""COMPUTED_VALUE"""),1624.0)</f>
        <v>1624</v>
      </c>
      <c r="D4661" s="1">
        <f>IFERROR(__xludf.DUMMYFUNCTION("""COMPUTED_VALUE"""),1561.95)</f>
        <v>1561.95</v>
      </c>
      <c r="E4661" s="1">
        <f>IFERROR(__xludf.DUMMYFUNCTION("""COMPUTED_VALUE"""),1621.7)</f>
        <v>1621.7</v>
      </c>
      <c r="F4661" s="1">
        <f>IFERROR(__xludf.DUMMYFUNCTION("""COMPUTED_VALUE"""),1478902.0)</f>
        <v>1478902</v>
      </c>
    </row>
    <row r="4662">
      <c r="A4662" s="2">
        <f>IFERROR(__xludf.DUMMYFUNCTION("""COMPUTED_VALUE"""),43405.64583333333)</f>
        <v>43405.64583</v>
      </c>
      <c r="B4662" s="1">
        <f>IFERROR(__xludf.DUMMYFUNCTION("""COMPUTED_VALUE"""),1624.5)</f>
        <v>1624.5</v>
      </c>
      <c r="C4662" s="1">
        <f>IFERROR(__xludf.DUMMYFUNCTION("""COMPUTED_VALUE"""),1624.5)</f>
        <v>1624.5</v>
      </c>
      <c r="D4662" s="1">
        <f>IFERROR(__xludf.DUMMYFUNCTION("""COMPUTED_VALUE"""),1583.55)</f>
        <v>1583.55</v>
      </c>
      <c r="E4662" s="1">
        <f>IFERROR(__xludf.DUMMYFUNCTION("""COMPUTED_VALUE"""),1607.65)</f>
        <v>1607.65</v>
      </c>
      <c r="F4662" s="1">
        <f>IFERROR(__xludf.DUMMYFUNCTION("""COMPUTED_VALUE"""),1037308.0)</f>
        <v>1037308</v>
      </c>
    </row>
    <row r="4663">
      <c r="A4663" s="2">
        <f>IFERROR(__xludf.DUMMYFUNCTION("""COMPUTED_VALUE"""),43406.64583333333)</f>
        <v>43406.64583</v>
      </c>
      <c r="B4663" s="1">
        <f>IFERROR(__xludf.DUMMYFUNCTION("""COMPUTED_VALUE"""),1610.7)</f>
        <v>1610.7</v>
      </c>
      <c r="C4663" s="1">
        <f>IFERROR(__xludf.DUMMYFUNCTION("""COMPUTED_VALUE"""),1648.2)</f>
        <v>1648.2</v>
      </c>
      <c r="D4663" s="1">
        <f>IFERROR(__xludf.DUMMYFUNCTION("""COMPUTED_VALUE"""),1608.25)</f>
        <v>1608.25</v>
      </c>
      <c r="E4663" s="1">
        <f>IFERROR(__xludf.DUMMYFUNCTION("""COMPUTED_VALUE"""),1638.45)</f>
        <v>1638.45</v>
      </c>
      <c r="F4663" s="1">
        <f>IFERROR(__xludf.DUMMYFUNCTION("""COMPUTED_VALUE"""),1332970.0)</f>
        <v>1332970</v>
      </c>
    </row>
    <row r="4664">
      <c r="A4664" s="2">
        <f>IFERROR(__xludf.DUMMYFUNCTION("""COMPUTED_VALUE"""),43409.79166666667)</f>
        <v>43409.79167</v>
      </c>
      <c r="B4664" s="1">
        <f>IFERROR(__xludf.DUMMYFUNCTION("""COMPUTED_VALUE"""),1635.0)</f>
        <v>1635</v>
      </c>
      <c r="C4664" s="1">
        <f>IFERROR(__xludf.DUMMYFUNCTION("""COMPUTED_VALUE"""),1647.0)</f>
        <v>1647</v>
      </c>
      <c r="D4664" s="1">
        <f>IFERROR(__xludf.DUMMYFUNCTION("""COMPUTED_VALUE"""),1610.0)</f>
        <v>1610</v>
      </c>
      <c r="E4664" s="1">
        <f>IFERROR(__xludf.DUMMYFUNCTION("""COMPUTED_VALUE"""),1643.75)</f>
        <v>1643.75</v>
      </c>
      <c r="F4664" s="1">
        <f>IFERROR(__xludf.DUMMYFUNCTION("""COMPUTED_VALUE"""),764645.0)</f>
        <v>764645</v>
      </c>
    </row>
    <row r="4665">
      <c r="A4665" s="2">
        <f>IFERROR(__xludf.DUMMYFUNCTION("""COMPUTED_VALUE"""),43410.64583333333)</f>
        <v>43410.64583</v>
      </c>
      <c r="B4665" s="1">
        <f>IFERROR(__xludf.DUMMYFUNCTION("""COMPUTED_VALUE"""),1650.0)</f>
        <v>1650</v>
      </c>
      <c r="C4665" s="1">
        <f>IFERROR(__xludf.DUMMYFUNCTION("""COMPUTED_VALUE"""),1654.0)</f>
        <v>1654</v>
      </c>
      <c r="D4665" s="1">
        <f>IFERROR(__xludf.DUMMYFUNCTION("""COMPUTED_VALUE"""),1620.1)</f>
        <v>1620.1</v>
      </c>
      <c r="E4665" s="1">
        <f>IFERROR(__xludf.DUMMYFUNCTION("""COMPUTED_VALUE"""),1631.95)</f>
        <v>1631.95</v>
      </c>
      <c r="F4665" s="1">
        <f>IFERROR(__xludf.DUMMYFUNCTION("""COMPUTED_VALUE"""),656676.0)</f>
        <v>656676</v>
      </c>
    </row>
    <row r="4666">
      <c r="A4666" s="2">
        <f>IFERROR(__xludf.DUMMYFUNCTION("""COMPUTED_VALUE"""),43413.64583333333)</f>
        <v>43413.64583</v>
      </c>
      <c r="B4666" s="1">
        <f>IFERROR(__xludf.DUMMYFUNCTION("""COMPUTED_VALUE"""),1650.0)</f>
        <v>1650</v>
      </c>
      <c r="C4666" s="1">
        <f>IFERROR(__xludf.DUMMYFUNCTION("""COMPUTED_VALUE"""),1680.0)</f>
        <v>1680</v>
      </c>
      <c r="D4666" s="1">
        <f>IFERROR(__xludf.DUMMYFUNCTION("""COMPUTED_VALUE"""),1638.3)</f>
        <v>1638.3</v>
      </c>
      <c r="E4666" s="1">
        <f>IFERROR(__xludf.DUMMYFUNCTION("""COMPUTED_VALUE"""),1672.6)</f>
        <v>1672.6</v>
      </c>
      <c r="F4666" s="1">
        <f>IFERROR(__xludf.DUMMYFUNCTION("""COMPUTED_VALUE"""),1125863.0)</f>
        <v>1125863</v>
      </c>
    </row>
    <row r="4667">
      <c r="A4667" s="2">
        <f>IFERROR(__xludf.DUMMYFUNCTION("""COMPUTED_VALUE"""),43416.64583333333)</f>
        <v>43416.64583</v>
      </c>
      <c r="B4667" s="1">
        <f>IFERROR(__xludf.DUMMYFUNCTION("""COMPUTED_VALUE"""),1672.0)</f>
        <v>1672</v>
      </c>
      <c r="C4667" s="1">
        <f>IFERROR(__xludf.DUMMYFUNCTION("""COMPUTED_VALUE"""),1681.95)</f>
        <v>1681.95</v>
      </c>
      <c r="D4667" s="1">
        <f>IFERROR(__xludf.DUMMYFUNCTION("""COMPUTED_VALUE"""),1649.2)</f>
        <v>1649.2</v>
      </c>
      <c r="E4667" s="1">
        <f>IFERROR(__xludf.DUMMYFUNCTION("""COMPUTED_VALUE"""),1654.3)</f>
        <v>1654.3</v>
      </c>
      <c r="F4667" s="1">
        <f>IFERROR(__xludf.DUMMYFUNCTION("""COMPUTED_VALUE"""),805817.0)</f>
        <v>805817</v>
      </c>
    </row>
    <row r="4668">
      <c r="A4668" s="2">
        <f>IFERROR(__xludf.DUMMYFUNCTION("""COMPUTED_VALUE"""),43417.64583333333)</f>
        <v>43417.64583</v>
      </c>
      <c r="B4668" s="1">
        <f>IFERROR(__xludf.DUMMYFUNCTION("""COMPUTED_VALUE"""),1644.1)</f>
        <v>1644.1</v>
      </c>
      <c r="C4668" s="1">
        <f>IFERROR(__xludf.DUMMYFUNCTION("""COMPUTED_VALUE"""),1678.6)</f>
        <v>1678.6</v>
      </c>
      <c r="D4668" s="1">
        <f>IFERROR(__xludf.DUMMYFUNCTION("""COMPUTED_VALUE"""),1636.55)</f>
        <v>1636.55</v>
      </c>
      <c r="E4668" s="1">
        <f>IFERROR(__xludf.DUMMYFUNCTION("""COMPUTED_VALUE"""),1671.1)</f>
        <v>1671.1</v>
      </c>
      <c r="F4668" s="1">
        <f>IFERROR(__xludf.DUMMYFUNCTION("""COMPUTED_VALUE"""),673435.0)</f>
        <v>673435</v>
      </c>
    </row>
    <row r="4669">
      <c r="A4669" s="2">
        <f>IFERROR(__xludf.DUMMYFUNCTION("""COMPUTED_VALUE"""),43418.64583333333)</f>
        <v>43418.64583</v>
      </c>
      <c r="B4669" s="1">
        <f>IFERROR(__xludf.DUMMYFUNCTION("""COMPUTED_VALUE"""),1672.0)</f>
        <v>1672</v>
      </c>
      <c r="C4669" s="1">
        <f>IFERROR(__xludf.DUMMYFUNCTION("""COMPUTED_VALUE"""),1739.5)</f>
        <v>1739.5</v>
      </c>
      <c r="D4669" s="1">
        <f>IFERROR(__xludf.DUMMYFUNCTION("""COMPUTED_VALUE"""),1668.05)</f>
        <v>1668.05</v>
      </c>
      <c r="E4669" s="1">
        <f>IFERROR(__xludf.DUMMYFUNCTION("""COMPUTED_VALUE"""),1715.5)</f>
        <v>1715.5</v>
      </c>
      <c r="F4669" s="1">
        <f>IFERROR(__xludf.DUMMYFUNCTION("""COMPUTED_VALUE"""),1780843.0)</f>
        <v>1780843</v>
      </c>
    </row>
    <row r="4670">
      <c r="A4670" s="2">
        <f>IFERROR(__xludf.DUMMYFUNCTION("""COMPUTED_VALUE"""),43419.64583333333)</f>
        <v>43419.64583</v>
      </c>
      <c r="B4670" s="1">
        <f>IFERROR(__xludf.DUMMYFUNCTION("""COMPUTED_VALUE"""),1717.75)</f>
        <v>1717.75</v>
      </c>
      <c r="C4670" s="1">
        <f>IFERROR(__xludf.DUMMYFUNCTION("""COMPUTED_VALUE"""),1728.4)</f>
        <v>1728.4</v>
      </c>
      <c r="D4670" s="1">
        <f>IFERROR(__xludf.DUMMYFUNCTION("""COMPUTED_VALUE"""),1696.65)</f>
        <v>1696.65</v>
      </c>
      <c r="E4670" s="1">
        <f>IFERROR(__xludf.DUMMYFUNCTION("""COMPUTED_VALUE"""),1706.05)</f>
        <v>1706.05</v>
      </c>
      <c r="F4670" s="1">
        <f>IFERROR(__xludf.DUMMYFUNCTION("""COMPUTED_VALUE"""),997169.0)</f>
        <v>997169</v>
      </c>
    </row>
    <row r="4671">
      <c r="A4671" s="2">
        <f>IFERROR(__xludf.DUMMYFUNCTION("""COMPUTED_VALUE"""),43420.64583333333)</f>
        <v>43420.64583</v>
      </c>
      <c r="B4671" s="1">
        <f>IFERROR(__xludf.DUMMYFUNCTION("""COMPUTED_VALUE"""),1704.9)</f>
        <v>1704.9</v>
      </c>
      <c r="C4671" s="1">
        <f>IFERROR(__xludf.DUMMYFUNCTION("""COMPUTED_VALUE"""),1718.0)</f>
        <v>1718</v>
      </c>
      <c r="D4671" s="1">
        <f>IFERROR(__xludf.DUMMYFUNCTION("""COMPUTED_VALUE"""),1683.3)</f>
        <v>1683.3</v>
      </c>
      <c r="E4671" s="1">
        <f>IFERROR(__xludf.DUMMYFUNCTION("""COMPUTED_VALUE"""),1689.1)</f>
        <v>1689.1</v>
      </c>
      <c r="F4671" s="1">
        <f>IFERROR(__xludf.DUMMYFUNCTION("""COMPUTED_VALUE"""),1071547.0)</f>
        <v>1071547</v>
      </c>
    </row>
    <row r="4672">
      <c r="A4672" s="2">
        <f>IFERROR(__xludf.DUMMYFUNCTION("""COMPUTED_VALUE"""),43423.64583333333)</f>
        <v>43423.64583</v>
      </c>
      <c r="B4672" s="1">
        <f>IFERROR(__xludf.DUMMYFUNCTION("""COMPUTED_VALUE"""),1693.3)</f>
        <v>1693.3</v>
      </c>
      <c r="C4672" s="1">
        <f>IFERROR(__xludf.DUMMYFUNCTION("""COMPUTED_VALUE"""),1707.0)</f>
        <v>1707</v>
      </c>
      <c r="D4672" s="1">
        <f>IFERROR(__xludf.DUMMYFUNCTION("""COMPUTED_VALUE"""),1677.0)</f>
        <v>1677</v>
      </c>
      <c r="E4672" s="1">
        <f>IFERROR(__xludf.DUMMYFUNCTION("""COMPUTED_VALUE"""),1701.4)</f>
        <v>1701.4</v>
      </c>
      <c r="F4672" s="1">
        <f>IFERROR(__xludf.DUMMYFUNCTION("""COMPUTED_VALUE"""),910054.0)</f>
        <v>910054</v>
      </c>
    </row>
    <row r="4673">
      <c r="A4673" s="2">
        <f>IFERROR(__xludf.DUMMYFUNCTION("""COMPUTED_VALUE"""),43424.64583333333)</f>
        <v>43424.64583</v>
      </c>
      <c r="B4673" s="1">
        <f>IFERROR(__xludf.DUMMYFUNCTION("""COMPUTED_VALUE"""),1701.0)</f>
        <v>1701</v>
      </c>
      <c r="C4673" s="1">
        <f>IFERROR(__xludf.DUMMYFUNCTION("""COMPUTED_VALUE"""),1709.9)</f>
        <v>1709.9</v>
      </c>
      <c r="D4673" s="1">
        <f>IFERROR(__xludf.DUMMYFUNCTION("""COMPUTED_VALUE"""),1685.05)</f>
        <v>1685.05</v>
      </c>
      <c r="E4673" s="1">
        <f>IFERROR(__xludf.DUMMYFUNCTION("""COMPUTED_VALUE"""),1694.0)</f>
        <v>1694</v>
      </c>
      <c r="F4673" s="1">
        <f>IFERROR(__xludf.DUMMYFUNCTION("""COMPUTED_VALUE"""),740827.0)</f>
        <v>740827</v>
      </c>
    </row>
    <row r="4674">
      <c r="A4674" s="2">
        <f>IFERROR(__xludf.DUMMYFUNCTION("""COMPUTED_VALUE"""),43425.64583333333)</f>
        <v>43425.64583</v>
      </c>
      <c r="B4674" s="1">
        <f>IFERROR(__xludf.DUMMYFUNCTION("""COMPUTED_VALUE"""),1690.05)</f>
        <v>1690.05</v>
      </c>
      <c r="C4674" s="1">
        <f>IFERROR(__xludf.DUMMYFUNCTION("""COMPUTED_VALUE"""),1706.0)</f>
        <v>1706</v>
      </c>
      <c r="D4674" s="1">
        <f>IFERROR(__xludf.DUMMYFUNCTION("""COMPUTED_VALUE"""),1678.7)</f>
        <v>1678.7</v>
      </c>
      <c r="E4674" s="1">
        <f>IFERROR(__xludf.DUMMYFUNCTION("""COMPUTED_VALUE"""),1689.95)</f>
        <v>1689.95</v>
      </c>
      <c r="F4674" s="1">
        <f>IFERROR(__xludf.DUMMYFUNCTION("""COMPUTED_VALUE"""),932133.0)</f>
        <v>932133</v>
      </c>
    </row>
    <row r="4675">
      <c r="A4675" s="2">
        <f>IFERROR(__xludf.DUMMYFUNCTION("""COMPUTED_VALUE"""),43426.64583333333)</f>
        <v>43426.64583</v>
      </c>
      <c r="B4675" s="1">
        <f>IFERROR(__xludf.DUMMYFUNCTION("""COMPUTED_VALUE"""),1692.9)</f>
        <v>1692.9</v>
      </c>
      <c r="C4675" s="1">
        <f>IFERROR(__xludf.DUMMYFUNCTION("""COMPUTED_VALUE"""),1703.7)</f>
        <v>1703.7</v>
      </c>
      <c r="D4675" s="1">
        <f>IFERROR(__xludf.DUMMYFUNCTION("""COMPUTED_VALUE"""),1663.0)</f>
        <v>1663</v>
      </c>
      <c r="E4675" s="1">
        <f>IFERROR(__xludf.DUMMYFUNCTION("""COMPUTED_VALUE"""),1675.1)</f>
        <v>1675.1</v>
      </c>
      <c r="F4675" s="1">
        <f>IFERROR(__xludf.DUMMYFUNCTION("""COMPUTED_VALUE"""),808599.0)</f>
        <v>808599</v>
      </c>
    </row>
    <row r="4676">
      <c r="A4676" s="2">
        <f>IFERROR(__xludf.DUMMYFUNCTION("""COMPUTED_VALUE"""),43430.64583333333)</f>
        <v>43430.64583</v>
      </c>
      <c r="B4676" s="1">
        <f>IFERROR(__xludf.DUMMYFUNCTION("""COMPUTED_VALUE"""),1678.1)</f>
        <v>1678.1</v>
      </c>
      <c r="C4676" s="1">
        <f>IFERROR(__xludf.DUMMYFUNCTION("""COMPUTED_VALUE"""),1750.0)</f>
        <v>1750</v>
      </c>
      <c r="D4676" s="1">
        <f>IFERROR(__xludf.DUMMYFUNCTION("""COMPUTED_VALUE"""),1678.1)</f>
        <v>1678.1</v>
      </c>
      <c r="E4676" s="1">
        <f>IFERROR(__xludf.DUMMYFUNCTION("""COMPUTED_VALUE"""),1744.0)</f>
        <v>1744</v>
      </c>
      <c r="F4676" s="1">
        <f>IFERROR(__xludf.DUMMYFUNCTION("""COMPUTED_VALUE"""),2314140.0)</f>
        <v>2314140</v>
      </c>
    </row>
    <row r="4677">
      <c r="A4677" s="2">
        <f>IFERROR(__xludf.DUMMYFUNCTION("""COMPUTED_VALUE"""),43431.64583333333)</f>
        <v>43431.64583</v>
      </c>
      <c r="B4677" s="1">
        <f>IFERROR(__xludf.DUMMYFUNCTION("""COMPUTED_VALUE"""),1738.9)</f>
        <v>1738.9</v>
      </c>
      <c r="C4677" s="1">
        <f>IFERROR(__xludf.DUMMYFUNCTION("""COMPUTED_VALUE"""),1741.5)</f>
        <v>1741.5</v>
      </c>
      <c r="D4677" s="1">
        <f>IFERROR(__xludf.DUMMYFUNCTION("""COMPUTED_VALUE"""),1709.25)</f>
        <v>1709.25</v>
      </c>
      <c r="E4677" s="1">
        <f>IFERROR(__xludf.DUMMYFUNCTION("""COMPUTED_VALUE"""),1733.3)</f>
        <v>1733.3</v>
      </c>
      <c r="F4677" s="1">
        <f>IFERROR(__xludf.DUMMYFUNCTION("""COMPUTED_VALUE"""),1592918.0)</f>
        <v>1592918</v>
      </c>
    </row>
    <row r="4678">
      <c r="A4678" s="2">
        <f>IFERROR(__xludf.DUMMYFUNCTION("""COMPUTED_VALUE"""),43432.64583333333)</f>
        <v>43432.64583</v>
      </c>
      <c r="B4678" s="1">
        <f>IFERROR(__xludf.DUMMYFUNCTION("""COMPUTED_VALUE"""),1731.0)</f>
        <v>1731</v>
      </c>
      <c r="C4678" s="1">
        <f>IFERROR(__xludf.DUMMYFUNCTION("""COMPUTED_VALUE"""),1748.0)</f>
        <v>1748</v>
      </c>
      <c r="D4678" s="1">
        <f>IFERROR(__xludf.DUMMYFUNCTION("""COMPUTED_VALUE"""),1716.75)</f>
        <v>1716.75</v>
      </c>
      <c r="E4678" s="1">
        <f>IFERROR(__xludf.DUMMYFUNCTION("""COMPUTED_VALUE"""),1732.2)</f>
        <v>1732.2</v>
      </c>
      <c r="F4678" s="1">
        <f>IFERROR(__xludf.DUMMYFUNCTION("""COMPUTED_VALUE"""),1205956.0)</f>
        <v>1205956</v>
      </c>
    </row>
    <row r="4679">
      <c r="A4679" s="2">
        <f>IFERROR(__xludf.DUMMYFUNCTION("""COMPUTED_VALUE"""),43433.64583333333)</f>
        <v>43433.64583</v>
      </c>
      <c r="B4679" s="1">
        <f>IFERROR(__xludf.DUMMYFUNCTION("""COMPUTED_VALUE"""),1745.9)</f>
        <v>1745.9</v>
      </c>
      <c r="C4679" s="1">
        <f>IFERROR(__xludf.DUMMYFUNCTION("""COMPUTED_VALUE"""),1780.0)</f>
        <v>1780</v>
      </c>
      <c r="D4679" s="1">
        <f>IFERROR(__xludf.DUMMYFUNCTION("""COMPUTED_VALUE"""),1737.5)</f>
        <v>1737.5</v>
      </c>
      <c r="E4679" s="1">
        <f>IFERROR(__xludf.DUMMYFUNCTION("""COMPUTED_VALUE"""),1768.5)</f>
        <v>1768.5</v>
      </c>
      <c r="F4679" s="1">
        <f>IFERROR(__xludf.DUMMYFUNCTION("""COMPUTED_VALUE"""),1936534.0)</f>
        <v>1936534</v>
      </c>
    </row>
    <row r="4680">
      <c r="A4680" s="2">
        <f>IFERROR(__xludf.DUMMYFUNCTION("""COMPUTED_VALUE"""),43434.64583333333)</f>
        <v>43434.64583</v>
      </c>
      <c r="B4680" s="1">
        <f>IFERROR(__xludf.DUMMYFUNCTION("""COMPUTED_VALUE"""),1770.95)</f>
        <v>1770.95</v>
      </c>
      <c r="C4680" s="1">
        <f>IFERROR(__xludf.DUMMYFUNCTION("""COMPUTED_VALUE"""),1798.3)</f>
        <v>1798.3</v>
      </c>
      <c r="D4680" s="1">
        <f>IFERROR(__xludf.DUMMYFUNCTION("""COMPUTED_VALUE"""),1742.25)</f>
        <v>1742.25</v>
      </c>
      <c r="E4680" s="1">
        <f>IFERROR(__xludf.DUMMYFUNCTION("""COMPUTED_VALUE"""),1754.0)</f>
        <v>1754</v>
      </c>
      <c r="F4680" s="1">
        <f>IFERROR(__xludf.DUMMYFUNCTION("""COMPUTED_VALUE"""),2373749.0)</f>
        <v>2373749</v>
      </c>
    </row>
    <row r="4681">
      <c r="A4681" s="2">
        <f>IFERROR(__xludf.DUMMYFUNCTION("""COMPUTED_VALUE"""),43437.64583333333)</f>
        <v>43437.64583</v>
      </c>
      <c r="B4681" s="1">
        <f>IFERROR(__xludf.DUMMYFUNCTION("""COMPUTED_VALUE"""),1769.5)</f>
        <v>1769.5</v>
      </c>
      <c r="C4681" s="1">
        <f>IFERROR(__xludf.DUMMYFUNCTION("""COMPUTED_VALUE"""),1838.3)</f>
        <v>1838.3</v>
      </c>
      <c r="D4681" s="1">
        <f>IFERROR(__xludf.DUMMYFUNCTION("""COMPUTED_VALUE"""),1748.05)</f>
        <v>1748.05</v>
      </c>
      <c r="E4681" s="1">
        <f>IFERROR(__xludf.DUMMYFUNCTION("""COMPUTED_VALUE"""),1825.6)</f>
        <v>1825.6</v>
      </c>
      <c r="F4681" s="1">
        <f>IFERROR(__xludf.DUMMYFUNCTION("""COMPUTED_VALUE"""),4310053.0)</f>
        <v>4310053</v>
      </c>
    </row>
    <row r="4682">
      <c r="A4682" s="2">
        <f>IFERROR(__xludf.DUMMYFUNCTION("""COMPUTED_VALUE"""),43438.64583333333)</f>
        <v>43438.64583</v>
      </c>
      <c r="B4682" s="1">
        <f>IFERROR(__xludf.DUMMYFUNCTION("""COMPUTED_VALUE"""),1835.0)</f>
        <v>1835</v>
      </c>
      <c r="C4682" s="1">
        <f>IFERROR(__xludf.DUMMYFUNCTION("""COMPUTED_VALUE"""),1848.95)</f>
        <v>1848.95</v>
      </c>
      <c r="D4682" s="1">
        <f>IFERROR(__xludf.DUMMYFUNCTION("""COMPUTED_VALUE"""),1801.0)</f>
        <v>1801</v>
      </c>
      <c r="E4682" s="1">
        <f>IFERROR(__xludf.DUMMYFUNCTION("""COMPUTED_VALUE"""),1807.65)</f>
        <v>1807.65</v>
      </c>
      <c r="F4682" s="1">
        <f>IFERROR(__xludf.DUMMYFUNCTION("""COMPUTED_VALUE"""),3155914.0)</f>
        <v>3155914</v>
      </c>
    </row>
    <row r="4683">
      <c r="A4683" s="2">
        <f>IFERROR(__xludf.DUMMYFUNCTION("""COMPUTED_VALUE"""),43439.64583333333)</f>
        <v>43439.64583</v>
      </c>
      <c r="B4683" s="1">
        <f>IFERROR(__xludf.DUMMYFUNCTION("""COMPUTED_VALUE"""),1803.0)</f>
        <v>1803</v>
      </c>
      <c r="C4683" s="1">
        <f>IFERROR(__xludf.DUMMYFUNCTION("""COMPUTED_VALUE"""),1854.8)</f>
        <v>1854.8</v>
      </c>
      <c r="D4683" s="1">
        <f>IFERROR(__xludf.DUMMYFUNCTION("""COMPUTED_VALUE"""),1788.0)</f>
        <v>1788</v>
      </c>
      <c r="E4683" s="1">
        <f>IFERROR(__xludf.DUMMYFUNCTION("""COMPUTED_VALUE"""),1848.1)</f>
        <v>1848.1</v>
      </c>
      <c r="F4683" s="1">
        <f>IFERROR(__xludf.DUMMYFUNCTION("""COMPUTED_VALUE"""),2847336.0)</f>
        <v>2847336</v>
      </c>
    </row>
    <row r="4684">
      <c r="A4684" s="2">
        <f>IFERROR(__xludf.DUMMYFUNCTION("""COMPUTED_VALUE"""),43440.64583333333)</f>
        <v>43440.64583</v>
      </c>
      <c r="B4684" s="1">
        <f>IFERROR(__xludf.DUMMYFUNCTION("""COMPUTED_VALUE"""),1840.0)</f>
        <v>1840</v>
      </c>
      <c r="C4684" s="1">
        <f>IFERROR(__xludf.DUMMYFUNCTION("""COMPUTED_VALUE"""),1847.0)</f>
        <v>1847</v>
      </c>
      <c r="D4684" s="1">
        <f>IFERROR(__xludf.DUMMYFUNCTION("""COMPUTED_VALUE"""),1797.65)</f>
        <v>1797.65</v>
      </c>
      <c r="E4684" s="1">
        <f>IFERROR(__xludf.DUMMYFUNCTION("""COMPUTED_VALUE"""),1801.5)</f>
        <v>1801.5</v>
      </c>
      <c r="F4684" s="1">
        <f>IFERROR(__xludf.DUMMYFUNCTION("""COMPUTED_VALUE"""),2399579.0)</f>
        <v>2399579</v>
      </c>
    </row>
    <row r="4685">
      <c r="A4685" s="2">
        <f>IFERROR(__xludf.DUMMYFUNCTION("""COMPUTED_VALUE"""),43441.64583333333)</f>
        <v>43441.64583</v>
      </c>
      <c r="B4685" s="1">
        <f>IFERROR(__xludf.DUMMYFUNCTION("""COMPUTED_VALUE"""),1801.3)</f>
        <v>1801.3</v>
      </c>
      <c r="C4685" s="1">
        <f>IFERROR(__xludf.DUMMYFUNCTION("""COMPUTED_VALUE"""),1832.75)</f>
        <v>1832.75</v>
      </c>
      <c r="D4685" s="1">
        <f>IFERROR(__xludf.DUMMYFUNCTION("""COMPUTED_VALUE"""),1792.1)</f>
        <v>1792.1</v>
      </c>
      <c r="E4685" s="1">
        <f>IFERROR(__xludf.DUMMYFUNCTION("""COMPUTED_VALUE"""),1824.3)</f>
        <v>1824.3</v>
      </c>
      <c r="F4685" s="1">
        <f>IFERROR(__xludf.DUMMYFUNCTION("""COMPUTED_VALUE"""),1774240.0)</f>
        <v>1774240</v>
      </c>
    </row>
    <row r="4686">
      <c r="A4686" s="2">
        <f>IFERROR(__xludf.DUMMYFUNCTION("""COMPUTED_VALUE"""),43444.64583333333)</f>
        <v>43444.64583</v>
      </c>
      <c r="B4686" s="1">
        <f>IFERROR(__xludf.DUMMYFUNCTION("""COMPUTED_VALUE"""),1796.8)</f>
        <v>1796.8</v>
      </c>
      <c r="C4686" s="1">
        <f>IFERROR(__xludf.DUMMYFUNCTION("""COMPUTED_VALUE"""),1815.0)</f>
        <v>1815</v>
      </c>
      <c r="D4686" s="1">
        <f>IFERROR(__xludf.DUMMYFUNCTION("""COMPUTED_VALUE"""),1790.0)</f>
        <v>1790</v>
      </c>
      <c r="E4686" s="1">
        <f>IFERROR(__xludf.DUMMYFUNCTION("""COMPUTED_VALUE"""),1795.8)</f>
        <v>1795.8</v>
      </c>
      <c r="F4686" s="1">
        <f>IFERROR(__xludf.DUMMYFUNCTION("""COMPUTED_VALUE"""),1216028.0)</f>
        <v>1216028</v>
      </c>
    </row>
    <row r="4687">
      <c r="A4687" s="2">
        <f>IFERROR(__xludf.DUMMYFUNCTION("""COMPUTED_VALUE"""),43445.64583333333)</f>
        <v>43445.64583</v>
      </c>
      <c r="B4687" s="1">
        <f>IFERROR(__xludf.DUMMYFUNCTION("""COMPUTED_VALUE"""),1781.0)</f>
        <v>1781</v>
      </c>
      <c r="C4687" s="1">
        <f>IFERROR(__xludf.DUMMYFUNCTION("""COMPUTED_VALUE"""),1819.9)</f>
        <v>1819.9</v>
      </c>
      <c r="D4687" s="1">
        <f>IFERROR(__xludf.DUMMYFUNCTION("""COMPUTED_VALUE"""),1770.1)</f>
        <v>1770.1</v>
      </c>
      <c r="E4687" s="1">
        <f>IFERROR(__xludf.DUMMYFUNCTION("""COMPUTED_VALUE"""),1794.9)</f>
        <v>1794.9</v>
      </c>
      <c r="F4687" s="1">
        <f>IFERROR(__xludf.DUMMYFUNCTION("""COMPUTED_VALUE"""),2237806.0)</f>
        <v>2237806</v>
      </c>
    </row>
    <row r="4688">
      <c r="A4688" s="2">
        <f>IFERROR(__xludf.DUMMYFUNCTION("""COMPUTED_VALUE"""),43446.64583333333)</f>
        <v>43446.64583</v>
      </c>
      <c r="B4688" s="1">
        <f>IFERROR(__xludf.DUMMYFUNCTION("""COMPUTED_VALUE"""),1796.0)</f>
        <v>1796</v>
      </c>
      <c r="C4688" s="1">
        <f>IFERROR(__xludf.DUMMYFUNCTION("""COMPUTED_VALUE"""),1845.05)</f>
        <v>1845.05</v>
      </c>
      <c r="D4688" s="1">
        <f>IFERROR(__xludf.DUMMYFUNCTION("""COMPUTED_VALUE"""),1795.95)</f>
        <v>1795.95</v>
      </c>
      <c r="E4688" s="1">
        <f>IFERROR(__xludf.DUMMYFUNCTION("""COMPUTED_VALUE"""),1839.1)</f>
        <v>1839.1</v>
      </c>
      <c r="F4688" s="1">
        <f>IFERROR(__xludf.DUMMYFUNCTION("""COMPUTED_VALUE"""),1449484.0)</f>
        <v>1449484</v>
      </c>
    </row>
    <row r="4689">
      <c r="A4689" s="2">
        <f>IFERROR(__xludf.DUMMYFUNCTION("""COMPUTED_VALUE"""),43447.64583333333)</f>
        <v>43447.64583</v>
      </c>
      <c r="B4689" s="1">
        <f>IFERROR(__xludf.DUMMYFUNCTION("""COMPUTED_VALUE"""),1848.0)</f>
        <v>1848</v>
      </c>
      <c r="C4689" s="1">
        <f>IFERROR(__xludf.DUMMYFUNCTION("""COMPUTED_VALUE"""),1867.45)</f>
        <v>1867.45</v>
      </c>
      <c r="D4689" s="1">
        <f>IFERROR(__xludf.DUMMYFUNCTION("""COMPUTED_VALUE"""),1837.05)</f>
        <v>1837.05</v>
      </c>
      <c r="E4689" s="1">
        <f>IFERROR(__xludf.DUMMYFUNCTION("""COMPUTED_VALUE"""),1855.55)</f>
        <v>1855.55</v>
      </c>
      <c r="F4689" s="1">
        <f>IFERROR(__xludf.DUMMYFUNCTION("""COMPUTED_VALUE"""),1586900.0)</f>
        <v>1586900</v>
      </c>
    </row>
    <row r="4690">
      <c r="A4690" s="2">
        <f>IFERROR(__xludf.DUMMYFUNCTION("""COMPUTED_VALUE"""),43448.64583333333)</f>
        <v>43448.64583</v>
      </c>
      <c r="B4690" s="1">
        <f>IFERROR(__xludf.DUMMYFUNCTION("""COMPUTED_VALUE"""),1837.0)</f>
        <v>1837</v>
      </c>
      <c r="C4690" s="1">
        <f>IFERROR(__xludf.DUMMYFUNCTION("""COMPUTED_VALUE"""),1865.85)</f>
        <v>1865.85</v>
      </c>
      <c r="D4690" s="1">
        <f>IFERROR(__xludf.DUMMYFUNCTION("""COMPUTED_VALUE"""),1832.75)</f>
        <v>1832.75</v>
      </c>
      <c r="E4690" s="1">
        <f>IFERROR(__xludf.DUMMYFUNCTION("""COMPUTED_VALUE"""),1860.55)</f>
        <v>1860.55</v>
      </c>
      <c r="F4690" s="1">
        <f>IFERROR(__xludf.DUMMYFUNCTION("""COMPUTED_VALUE"""),1573884.0)</f>
        <v>1573884</v>
      </c>
    </row>
    <row r="4691">
      <c r="A4691" s="2">
        <f>IFERROR(__xludf.DUMMYFUNCTION("""COMPUTED_VALUE"""),43451.64583333333)</f>
        <v>43451.64583</v>
      </c>
      <c r="B4691" s="1">
        <f>IFERROR(__xludf.DUMMYFUNCTION("""COMPUTED_VALUE"""),1865.0)</f>
        <v>1865</v>
      </c>
      <c r="C4691" s="1">
        <f>IFERROR(__xludf.DUMMYFUNCTION("""COMPUTED_VALUE"""),1869.5)</f>
        <v>1869.5</v>
      </c>
      <c r="D4691" s="1">
        <f>IFERROR(__xludf.DUMMYFUNCTION("""COMPUTED_VALUE"""),1845.05)</f>
        <v>1845.05</v>
      </c>
      <c r="E4691" s="1">
        <f>IFERROR(__xludf.DUMMYFUNCTION("""COMPUTED_VALUE"""),1850.7)</f>
        <v>1850.7</v>
      </c>
      <c r="F4691" s="1">
        <f>IFERROR(__xludf.DUMMYFUNCTION("""COMPUTED_VALUE"""),1179613.0)</f>
        <v>1179613</v>
      </c>
    </row>
    <row r="4692">
      <c r="A4692" s="2">
        <f>IFERROR(__xludf.DUMMYFUNCTION("""COMPUTED_VALUE"""),43452.64583333333)</f>
        <v>43452.64583</v>
      </c>
      <c r="B4692" s="1">
        <f>IFERROR(__xludf.DUMMYFUNCTION("""COMPUTED_VALUE"""),1848.9)</f>
        <v>1848.9</v>
      </c>
      <c r="C4692" s="1">
        <f>IFERROR(__xludf.DUMMYFUNCTION("""COMPUTED_VALUE"""),1848.9)</f>
        <v>1848.9</v>
      </c>
      <c r="D4692" s="1">
        <f>IFERROR(__xludf.DUMMYFUNCTION("""COMPUTED_VALUE"""),1833.0)</f>
        <v>1833</v>
      </c>
      <c r="E4692" s="1">
        <f>IFERROR(__xludf.DUMMYFUNCTION("""COMPUTED_VALUE"""),1840.75)</f>
        <v>1840.75</v>
      </c>
      <c r="F4692" s="1">
        <f>IFERROR(__xludf.DUMMYFUNCTION("""COMPUTED_VALUE"""),1521255.0)</f>
        <v>1521255</v>
      </c>
    </row>
    <row r="4693">
      <c r="A4693" s="2">
        <f>IFERROR(__xludf.DUMMYFUNCTION("""COMPUTED_VALUE"""),43453.64583333333)</f>
        <v>43453.64583</v>
      </c>
      <c r="B4693" s="1">
        <f>IFERROR(__xludf.DUMMYFUNCTION("""COMPUTED_VALUE"""),1849.95)</f>
        <v>1849.95</v>
      </c>
      <c r="C4693" s="1">
        <f>IFERROR(__xludf.DUMMYFUNCTION("""COMPUTED_VALUE"""),1858.0)</f>
        <v>1858</v>
      </c>
      <c r="D4693" s="1">
        <f>IFERROR(__xludf.DUMMYFUNCTION("""COMPUTED_VALUE"""),1842.0)</f>
        <v>1842</v>
      </c>
      <c r="E4693" s="1">
        <f>IFERROR(__xludf.DUMMYFUNCTION("""COMPUTED_VALUE"""),1844.8)</f>
        <v>1844.8</v>
      </c>
      <c r="F4693" s="1">
        <f>IFERROR(__xludf.DUMMYFUNCTION("""COMPUTED_VALUE"""),1687085.0)</f>
        <v>1687085</v>
      </c>
    </row>
    <row r="4694">
      <c r="A4694" s="2">
        <f>IFERROR(__xludf.DUMMYFUNCTION("""COMPUTED_VALUE"""),43454.64583333333)</f>
        <v>43454.64583</v>
      </c>
      <c r="B4694" s="1">
        <f>IFERROR(__xludf.DUMMYFUNCTION("""COMPUTED_VALUE"""),1839.0)</f>
        <v>1839</v>
      </c>
      <c r="C4694" s="1">
        <f>IFERROR(__xludf.DUMMYFUNCTION("""COMPUTED_VALUE"""),1854.9)</f>
        <v>1854.9</v>
      </c>
      <c r="D4694" s="1">
        <f>IFERROR(__xludf.DUMMYFUNCTION("""COMPUTED_VALUE"""),1821.0)</f>
        <v>1821</v>
      </c>
      <c r="E4694" s="1">
        <f>IFERROR(__xludf.DUMMYFUNCTION("""COMPUTED_VALUE"""),1834.25)</f>
        <v>1834.25</v>
      </c>
      <c r="F4694" s="1">
        <f>IFERROR(__xludf.DUMMYFUNCTION("""COMPUTED_VALUE"""),1500656.0)</f>
        <v>1500656</v>
      </c>
    </row>
    <row r="4695">
      <c r="A4695" s="2">
        <f>IFERROR(__xludf.DUMMYFUNCTION("""COMPUTED_VALUE"""),43455.64583333333)</f>
        <v>43455.64583</v>
      </c>
      <c r="B4695" s="1">
        <f>IFERROR(__xludf.DUMMYFUNCTION("""COMPUTED_VALUE"""),1833.0)</f>
        <v>1833</v>
      </c>
      <c r="C4695" s="1">
        <f>IFERROR(__xludf.DUMMYFUNCTION("""COMPUTED_VALUE"""),1842.6)</f>
        <v>1842.6</v>
      </c>
      <c r="D4695" s="1">
        <f>IFERROR(__xludf.DUMMYFUNCTION("""COMPUTED_VALUE"""),1800.0)</f>
        <v>1800</v>
      </c>
      <c r="E4695" s="1">
        <f>IFERROR(__xludf.DUMMYFUNCTION("""COMPUTED_VALUE"""),1803.5)</f>
        <v>1803.5</v>
      </c>
      <c r="F4695" s="1">
        <f>IFERROR(__xludf.DUMMYFUNCTION("""COMPUTED_VALUE"""),1439522.0)</f>
        <v>1439522</v>
      </c>
    </row>
    <row r="4696">
      <c r="A4696" s="2">
        <f>IFERROR(__xludf.DUMMYFUNCTION("""COMPUTED_VALUE"""),43458.64583333333)</f>
        <v>43458.64583</v>
      </c>
      <c r="B4696" s="1">
        <f>IFERROR(__xludf.DUMMYFUNCTION("""COMPUTED_VALUE"""),1814.0)</f>
        <v>1814</v>
      </c>
      <c r="C4696" s="1">
        <f>IFERROR(__xludf.DUMMYFUNCTION("""COMPUTED_VALUE"""),1814.0)</f>
        <v>1814</v>
      </c>
      <c r="D4696" s="1">
        <f>IFERROR(__xludf.DUMMYFUNCTION("""COMPUTED_VALUE"""),1777.55)</f>
        <v>1777.55</v>
      </c>
      <c r="E4696" s="1">
        <f>IFERROR(__xludf.DUMMYFUNCTION("""COMPUTED_VALUE"""),1784.65)</f>
        <v>1784.65</v>
      </c>
      <c r="F4696" s="1">
        <f>IFERROR(__xludf.DUMMYFUNCTION("""COMPUTED_VALUE"""),1023418.0)</f>
        <v>1023418</v>
      </c>
    </row>
    <row r="4697">
      <c r="A4697" s="2">
        <f>IFERROR(__xludf.DUMMYFUNCTION("""COMPUTED_VALUE"""),43460.64583333333)</f>
        <v>43460.64583</v>
      </c>
      <c r="B4697" s="1">
        <f>IFERROR(__xludf.DUMMYFUNCTION("""COMPUTED_VALUE"""),1760.0)</f>
        <v>1760</v>
      </c>
      <c r="C4697" s="1">
        <f>IFERROR(__xludf.DUMMYFUNCTION("""COMPUTED_VALUE"""),1798.65)</f>
        <v>1798.65</v>
      </c>
      <c r="D4697" s="1">
        <f>IFERROR(__xludf.DUMMYFUNCTION("""COMPUTED_VALUE"""),1741.25)</f>
        <v>1741.25</v>
      </c>
      <c r="E4697" s="1">
        <f>IFERROR(__xludf.DUMMYFUNCTION("""COMPUTED_VALUE"""),1791.6)</f>
        <v>1791.6</v>
      </c>
      <c r="F4697" s="1">
        <f>IFERROR(__xludf.DUMMYFUNCTION("""COMPUTED_VALUE"""),2212019.0)</f>
        <v>2212019</v>
      </c>
    </row>
    <row r="4698">
      <c r="A4698" s="2">
        <f>IFERROR(__xludf.DUMMYFUNCTION("""COMPUTED_VALUE"""),43461.64583333333)</f>
        <v>43461.64583</v>
      </c>
      <c r="B4698" s="1">
        <f>IFERROR(__xludf.DUMMYFUNCTION("""COMPUTED_VALUE"""),1802.7)</f>
        <v>1802.7</v>
      </c>
      <c r="C4698" s="1">
        <f>IFERROR(__xludf.DUMMYFUNCTION("""COMPUTED_VALUE"""),1823.0)</f>
        <v>1823</v>
      </c>
      <c r="D4698" s="1">
        <f>IFERROR(__xludf.DUMMYFUNCTION("""COMPUTED_VALUE"""),1793.15)</f>
        <v>1793.15</v>
      </c>
      <c r="E4698" s="1">
        <f>IFERROR(__xludf.DUMMYFUNCTION("""COMPUTED_VALUE"""),1814.9)</f>
        <v>1814.9</v>
      </c>
      <c r="F4698" s="1">
        <f>IFERROR(__xludf.DUMMYFUNCTION("""COMPUTED_VALUE"""),1516851.0)</f>
        <v>1516851</v>
      </c>
    </row>
    <row r="4699">
      <c r="A4699" s="2">
        <f>IFERROR(__xludf.DUMMYFUNCTION("""COMPUTED_VALUE"""),43462.64583333333)</f>
        <v>43462.64583</v>
      </c>
      <c r="B4699" s="1">
        <f>IFERROR(__xludf.DUMMYFUNCTION("""COMPUTED_VALUE"""),1817.9)</f>
        <v>1817.9</v>
      </c>
      <c r="C4699" s="1">
        <f>IFERROR(__xludf.DUMMYFUNCTION("""COMPUTED_VALUE"""),1834.9)</f>
        <v>1834.9</v>
      </c>
      <c r="D4699" s="1">
        <f>IFERROR(__xludf.DUMMYFUNCTION("""COMPUTED_VALUE"""),1815.7)</f>
        <v>1815.7</v>
      </c>
      <c r="E4699" s="1">
        <f>IFERROR(__xludf.DUMMYFUNCTION("""COMPUTED_VALUE"""),1822.05)</f>
        <v>1822.05</v>
      </c>
      <c r="F4699" s="1">
        <f>IFERROR(__xludf.DUMMYFUNCTION("""COMPUTED_VALUE"""),963189.0)</f>
        <v>963189</v>
      </c>
    </row>
    <row r="4700">
      <c r="A4700" s="2">
        <f>IFERROR(__xludf.DUMMYFUNCTION("""COMPUTED_VALUE"""),43465.64583333333)</f>
        <v>43465.64583</v>
      </c>
      <c r="B4700" s="1">
        <f>IFERROR(__xludf.DUMMYFUNCTION("""COMPUTED_VALUE"""),1830.0)</f>
        <v>1830</v>
      </c>
      <c r="C4700" s="1">
        <f>IFERROR(__xludf.DUMMYFUNCTION("""COMPUTED_VALUE"""),1836.9)</f>
        <v>1836.9</v>
      </c>
      <c r="D4700" s="1">
        <f>IFERROR(__xludf.DUMMYFUNCTION("""COMPUTED_VALUE"""),1811.25)</f>
        <v>1811.25</v>
      </c>
      <c r="E4700" s="1">
        <f>IFERROR(__xludf.DUMMYFUNCTION("""COMPUTED_VALUE"""),1819.65)</f>
        <v>1819.65</v>
      </c>
      <c r="F4700" s="1">
        <f>IFERROR(__xludf.DUMMYFUNCTION("""COMPUTED_VALUE"""),757071.0)</f>
        <v>757071</v>
      </c>
    </row>
    <row r="4701">
      <c r="A4701" s="2">
        <f>IFERROR(__xludf.DUMMYFUNCTION("""COMPUTED_VALUE"""),43466.64583333333)</f>
        <v>43466.64583</v>
      </c>
      <c r="B4701" s="1">
        <f>IFERROR(__xludf.DUMMYFUNCTION("""COMPUTED_VALUE"""),1824.8)</f>
        <v>1824.8</v>
      </c>
      <c r="C4701" s="1">
        <f>IFERROR(__xludf.DUMMYFUNCTION("""COMPUTED_VALUE"""),1824.8)</f>
        <v>1824.8</v>
      </c>
      <c r="D4701" s="1">
        <f>IFERROR(__xludf.DUMMYFUNCTION("""COMPUTED_VALUE"""),1798.35)</f>
        <v>1798.35</v>
      </c>
      <c r="E4701" s="1">
        <f>IFERROR(__xludf.DUMMYFUNCTION("""COMPUTED_VALUE"""),1801.1)</f>
        <v>1801.1</v>
      </c>
      <c r="F4701" s="1">
        <f>IFERROR(__xludf.DUMMYFUNCTION("""COMPUTED_VALUE"""),807345.0)</f>
        <v>807345</v>
      </c>
    </row>
    <row r="4702">
      <c r="A4702" s="2">
        <f>IFERROR(__xludf.DUMMYFUNCTION("""COMPUTED_VALUE"""),43467.64583333333)</f>
        <v>43467.64583</v>
      </c>
      <c r="B4702" s="1">
        <f>IFERROR(__xludf.DUMMYFUNCTION("""COMPUTED_VALUE"""),1792.4)</f>
        <v>1792.4</v>
      </c>
      <c r="C4702" s="1">
        <f>IFERROR(__xludf.DUMMYFUNCTION("""COMPUTED_VALUE"""),1808.85)</f>
        <v>1808.85</v>
      </c>
      <c r="D4702" s="1">
        <f>IFERROR(__xludf.DUMMYFUNCTION("""COMPUTED_VALUE"""),1771.3)</f>
        <v>1771.3</v>
      </c>
      <c r="E4702" s="1">
        <f>IFERROR(__xludf.DUMMYFUNCTION("""COMPUTED_VALUE"""),1784.6)</f>
        <v>1784.6</v>
      </c>
      <c r="F4702" s="1">
        <f>IFERROR(__xludf.DUMMYFUNCTION("""COMPUTED_VALUE"""),1598707.0)</f>
        <v>1598707</v>
      </c>
    </row>
    <row r="4703">
      <c r="A4703" s="2">
        <f>IFERROR(__xludf.DUMMYFUNCTION("""COMPUTED_VALUE"""),43468.64583333333)</f>
        <v>43468.64583</v>
      </c>
      <c r="B4703" s="1">
        <f>IFERROR(__xludf.DUMMYFUNCTION("""COMPUTED_VALUE"""),1782.6)</f>
        <v>1782.6</v>
      </c>
      <c r="C4703" s="1">
        <f>IFERROR(__xludf.DUMMYFUNCTION("""COMPUTED_VALUE"""),1803.45)</f>
        <v>1803.45</v>
      </c>
      <c r="D4703" s="1">
        <f>IFERROR(__xludf.DUMMYFUNCTION("""COMPUTED_VALUE"""),1782.6)</f>
        <v>1782.6</v>
      </c>
      <c r="E4703" s="1">
        <f>IFERROR(__xludf.DUMMYFUNCTION("""COMPUTED_VALUE"""),1788.4)</f>
        <v>1788.4</v>
      </c>
      <c r="F4703" s="1">
        <f>IFERROR(__xludf.DUMMYFUNCTION("""COMPUTED_VALUE"""),1182624.0)</f>
        <v>1182624</v>
      </c>
    </row>
    <row r="4704">
      <c r="A4704" s="2">
        <f>IFERROR(__xludf.DUMMYFUNCTION("""COMPUTED_VALUE"""),43469.64583333333)</f>
        <v>43469.64583</v>
      </c>
      <c r="B4704" s="1">
        <f>IFERROR(__xludf.DUMMYFUNCTION("""COMPUTED_VALUE"""),1798.9)</f>
        <v>1798.9</v>
      </c>
      <c r="C4704" s="1">
        <f>IFERROR(__xludf.DUMMYFUNCTION("""COMPUTED_VALUE"""),1802.0)</f>
        <v>1802</v>
      </c>
      <c r="D4704" s="1">
        <f>IFERROR(__xludf.DUMMYFUNCTION("""COMPUTED_VALUE"""),1772.15)</f>
        <v>1772.15</v>
      </c>
      <c r="E4704" s="1">
        <f>IFERROR(__xludf.DUMMYFUNCTION("""COMPUTED_VALUE"""),1781.7)</f>
        <v>1781.7</v>
      </c>
      <c r="F4704" s="1">
        <f>IFERROR(__xludf.DUMMYFUNCTION("""COMPUTED_VALUE"""),1454134.0)</f>
        <v>1454134</v>
      </c>
    </row>
    <row r="4705">
      <c r="A4705" s="2">
        <f>IFERROR(__xludf.DUMMYFUNCTION("""COMPUTED_VALUE"""),43472.64583333333)</f>
        <v>43472.64583</v>
      </c>
      <c r="B4705" s="1">
        <f>IFERROR(__xludf.DUMMYFUNCTION("""COMPUTED_VALUE"""),1791.5)</f>
        <v>1791.5</v>
      </c>
      <c r="C4705" s="1">
        <f>IFERROR(__xludf.DUMMYFUNCTION("""COMPUTED_VALUE"""),1804.0)</f>
        <v>1804</v>
      </c>
      <c r="D4705" s="1">
        <f>IFERROR(__xludf.DUMMYFUNCTION("""COMPUTED_VALUE"""),1782.45)</f>
        <v>1782.45</v>
      </c>
      <c r="E4705" s="1">
        <f>IFERROR(__xludf.DUMMYFUNCTION("""COMPUTED_VALUE"""),1784.95)</f>
        <v>1784.95</v>
      </c>
      <c r="F4705" s="1">
        <f>IFERROR(__xludf.DUMMYFUNCTION("""COMPUTED_VALUE"""),909032.0)</f>
        <v>909032</v>
      </c>
    </row>
    <row r="4706">
      <c r="A4706" s="2">
        <f>IFERROR(__xludf.DUMMYFUNCTION("""COMPUTED_VALUE"""),43473.64583333333)</f>
        <v>43473.64583</v>
      </c>
      <c r="B4706" s="1">
        <f>IFERROR(__xludf.DUMMYFUNCTION("""COMPUTED_VALUE"""),1792.0)</f>
        <v>1792</v>
      </c>
      <c r="C4706" s="1">
        <f>IFERROR(__xludf.DUMMYFUNCTION("""COMPUTED_VALUE"""),1793.5)</f>
        <v>1793.5</v>
      </c>
      <c r="D4706" s="1">
        <f>IFERROR(__xludf.DUMMYFUNCTION("""COMPUTED_VALUE"""),1761.1)</f>
        <v>1761.1</v>
      </c>
      <c r="E4706" s="1">
        <f>IFERROR(__xludf.DUMMYFUNCTION("""COMPUTED_VALUE"""),1770.85)</f>
        <v>1770.85</v>
      </c>
      <c r="F4706" s="1">
        <f>IFERROR(__xludf.DUMMYFUNCTION("""COMPUTED_VALUE"""),1262707.0)</f>
        <v>1262707</v>
      </c>
    </row>
    <row r="4707">
      <c r="A4707" s="2">
        <f>IFERROR(__xludf.DUMMYFUNCTION("""COMPUTED_VALUE"""),43474.64583333333)</f>
        <v>43474.64583</v>
      </c>
      <c r="B4707" s="1">
        <f>IFERROR(__xludf.DUMMYFUNCTION("""COMPUTED_VALUE"""),1777.5)</f>
        <v>1777.5</v>
      </c>
      <c r="C4707" s="1">
        <f>IFERROR(__xludf.DUMMYFUNCTION("""COMPUTED_VALUE"""),1797.0)</f>
        <v>1797</v>
      </c>
      <c r="D4707" s="1">
        <f>IFERROR(__xludf.DUMMYFUNCTION("""COMPUTED_VALUE"""),1773.4)</f>
        <v>1773.4</v>
      </c>
      <c r="E4707" s="1">
        <f>IFERROR(__xludf.DUMMYFUNCTION("""COMPUTED_VALUE"""),1785.0)</f>
        <v>1785</v>
      </c>
      <c r="F4707" s="1">
        <f>IFERROR(__xludf.DUMMYFUNCTION("""COMPUTED_VALUE"""),1324628.0)</f>
        <v>1324628</v>
      </c>
    </row>
    <row r="4708">
      <c r="A4708" s="2">
        <f>IFERROR(__xludf.DUMMYFUNCTION("""COMPUTED_VALUE"""),43475.64583333333)</f>
        <v>43475.64583</v>
      </c>
      <c r="B4708" s="1">
        <f>IFERROR(__xludf.DUMMYFUNCTION("""COMPUTED_VALUE"""),1785.0)</f>
        <v>1785</v>
      </c>
      <c r="C4708" s="1">
        <f>IFERROR(__xludf.DUMMYFUNCTION("""COMPUTED_VALUE"""),1799.1)</f>
        <v>1799.1</v>
      </c>
      <c r="D4708" s="1">
        <f>IFERROR(__xludf.DUMMYFUNCTION("""COMPUTED_VALUE"""),1779.0)</f>
        <v>1779</v>
      </c>
      <c r="E4708" s="1">
        <f>IFERROR(__xludf.DUMMYFUNCTION("""COMPUTED_VALUE"""),1786.2)</f>
        <v>1786.2</v>
      </c>
      <c r="F4708" s="1">
        <f>IFERROR(__xludf.DUMMYFUNCTION("""COMPUTED_VALUE"""),1313981.0)</f>
        <v>1313981</v>
      </c>
    </row>
    <row r="4709">
      <c r="A4709" s="2">
        <f>IFERROR(__xludf.DUMMYFUNCTION("""COMPUTED_VALUE"""),43476.64583333333)</f>
        <v>43476.64583</v>
      </c>
      <c r="B4709" s="1">
        <f>IFERROR(__xludf.DUMMYFUNCTION("""COMPUTED_VALUE"""),1795.0)</f>
        <v>1795</v>
      </c>
      <c r="C4709" s="1">
        <f>IFERROR(__xludf.DUMMYFUNCTION("""COMPUTED_VALUE"""),1795.4)</f>
        <v>1795.4</v>
      </c>
      <c r="D4709" s="1">
        <f>IFERROR(__xludf.DUMMYFUNCTION("""COMPUTED_VALUE"""),1758.55)</f>
        <v>1758.55</v>
      </c>
      <c r="E4709" s="1">
        <f>IFERROR(__xludf.DUMMYFUNCTION("""COMPUTED_VALUE"""),1769.4)</f>
        <v>1769.4</v>
      </c>
      <c r="F4709" s="1">
        <f>IFERROR(__xludf.DUMMYFUNCTION("""COMPUTED_VALUE"""),1113837.0)</f>
        <v>1113837</v>
      </c>
    </row>
    <row r="4710">
      <c r="A4710" s="2">
        <f>IFERROR(__xludf.DUMMYFUNCTION("""COMPUTED_VALUE"""),43479.64583333333)</f>
        <v>43479.64583</v>
      </c>
      <c r="B4710" s="1">
        <f>IFERROR(__xludf.DUMMYFUNCTION("""COMPUTED_VALUE"""),1771.0)</f>
        <v>1771</v>
      </c>
      <c r="C4710" s="1">
        <f>IFERROR(__xludf.DUMMYFUNCTION("""COMPUTED_VALUE"""),1780.75)</f>
        <v>1780.75</v>
      </c>
      <c r="D4710" s="1">
        <f>IFERROR(__xludf.DUMMYFUNCTION("""COMPUTED_VALUE"""),1760.1)</f>
        <v>1760.1</v>
      </c>
      <c r="E4710" s="1">
        <f>IFERROR(__xludf.DUMMYFUNCTION("""COMPUTED_VALUE"""),1763.9)</f>
        <v>1763.9</v>
      </c>
      <c r="F4710" s="1">
        <f>IFERROR(__xludf.DUMMYFUNCTION("""COMPUTED_VALUE"""),1018068.0)</f>
        <v>1018068</v>
      </c>
    </row>
    <row r="4711">
      <c r="A4711" s="2">
        <f>IFERROR(__xludf.DUMMYFUNCTION("""COMPUTED_VALUE"""),43480.64583333333)</f>
        <v>43480.64583</v>
      </c>
      <c r="B4711" s="1">
        <f>IFERROR(__xludf.DUMMYFUNCTION("""COMPUTED_VALUE"""),1767.4)</f>
        <v>1767.4</v>
      </c>
      <c r="C4711" s="1">
        <f>IFERROR(__xludf.DUMMYFUNCTION("""COMPUTED_VALUE"""),1793.4)</f>
        <v>1793.4</v>
      </c>
      <c r="D4711" s="1">
        <f>IFERROR(__xludf.DUMMYFUNCTION("""COMPUTED_VALUE"""),1767.4)</f>
        <v>1767.4</v>
      </c>
      <c r="E4711" s="1">
        <f>IFERROR(__xludf.DUMMYFUNCTION("""COMPUTED_VALUE"""),1789.85)</f>
        <v>1789.85</v>
      </c>
      <c r="F4711" s="1">
        <f>IFERROR(__xludf.DUMMYFUNCTION("""COMPUTED_VALUE"""),1614600.0)</f>
        <v>1614600</v>
      </c>
    </row>
    <row r="4712">
      <c r="A4712" s="2">
        <f>IFERROR(__xludf.DUMMYFUNCTION("""COMPUTED_VALUE"""),43481.64583333333)</f>
        <v>43481.64583</v>
      </c>
      <c r="B4712" s="1">
        <f>IFERROR(__xludf.DUMMYFUNCTION("""COMPUTED_VALUE"""),1790.0)</f>
        <v>1790</v>
      </c>
      <c r="C4712" s="1">
        <f>IFERROR(__xludf.DUMMYFUNCTION("""COMPUTED_VALUE"""),1794.8)</f>
        <v>1794.8</v>
      </c>
      <c r="D4712" s="1">
        <f>IFERROR(__xludf.DUMMYFUNCTION("""COMPUTED_VALUE"""),1766.8)</f>
        <v>1766.8</v>
      </c>
      <c r="E4712" s="1">
        <f>IFERROR(__xludf.DUMMYFUNCTION("""COMPUTED_VALUE"""),1772.55)</f>
        <v>1772.55</v>
      </c>
      <c r="F4712" s="1">
        <f>IFERROR(__xludf.DUMMYFUNCTION("""COMPUTED_VALUE"""),2054033.0)</f>
        <v>2054033</v>
      </c>
    </row>
    <row r="4713">
      <c r="A4713" s="2">
        <f>IFERROR(__xludf.DUMMYFUNCTION("""COMPUTED_VALUE"""),43482.64583333333)</f>
        <v>43482.64583</v>
      </c>
      <c r="B4713" s="1">
        <f>IFERROR(__xludf.DUMMYFUNCTION("""COMPUTED_VALUE"""),1776.9)</f>
        <v>1776.9</v>
      </c>
      <c r="C4713" s="1">
        <f>IFERROR(__xludf.DUMMYFUNCTION("""COMPUTED_VALUE"""),1779.25)</f>
        <v>1779.25</v>
      </c>
      <c r="D4713" s="1">
        <f>IFERROR(__xludf.DUMMYFUNCTION("""COMPUTED_VALUE"""),1742.5)</f>
        <v>1742.5</v>
      </c>
      <c r="E4713" s="1">
        <f>IFERROR(__xludf.DUMMYFUNCTION("""COMPUTED_VALUE"""),1751.5)</f>
        <v>1751.5</v>
      </c>
      <c r="F4713" s="1">
        <f>IFERROR(__xludf.DUMMYFUNCTION("""COMPUTED_VALUE"""),1941204.0)</f>
        <v>1941204</v>
      </c>
    </row>
    <row r="4714">
      <c r="A4714" s="2">
        <f>IFERROR(__xludf.DUMMYFUNCTION("""COMPUTED_VALUE"""),43483.64583333333)</f>
        <v>43483.64583</v>
      </c>
      <c r="B4714" s="1">
        <f>IFERROR(__xludf.DUMMYFUNCTION("""COMPUTED_VALUE"""),1750.0)</f>
        <v>1750</v>
      </c>
      <c r="C4714" s="1">
        <f>IFERROR(__xludf.DUMMYFUNCTION("""COMPUTED_VALUE"""),1768.85)</f>
        <v>1768.85</v>
      </c>
      <c r="D4714" s="1">
        <f>IFERROR(__xludf.DUMMYFUNCTION("""COMPUTED_VALUE"""),1727.3)</f>
        <v>1727.3</v>
      </c>
      <c r="E4714" s="1">
        <f>IFERROR(__xludf.DUMMYFUNCTION("""COMPUTED_VALUE"""),1744.1)</f>
        <v>1744.1</v>
      </c>
      <c r="F4714" s="1">
        <f>IFERROR(__xludf.DUMMYFUNCTION("""COMPUTED_VALUE"""),3234056.0)</f>
        <v>3234056</v>
      </c>
    </row>
    <row r="4715">
      <c r="A4715" s="2">
        <f>IFERROR(__xludf.DUMMYFUNCTION("""COMPUTED_VALUE"""),43486.64583333333)</f>
        <v>43486.64583</v>
      </c>
      <c r="B4715" s="1">
        <f>IFERROR(__xludf.DUMMYFUNCTION("""COMPUTED_VALUE"""),1749.0)</f>
        <v>1749</v>
      </c>
      <c r="C4715" s="1">
        <f>IFERROR(__xludf.DUMMYFUNCTION("""COMPUTED_VALUE"""),1758.0)</f>
        <v>1758</v>
      </c>
      <c r="D4715" s="1">
        <f>IFERROR(__xludf.DUMMYFUNCTION("""COMPUTED_VALUE"""),1736.05)</f>
        <v>1736.05</v>
      </c>
      <c r="E4715" s="1">
        <f>IFERROR(__xludf.DUMMYFUNCTION("""COMPUTED_VALUE"""),1746.9)</f>
        <v>1746.9</v>
      </c>
      <c r="F4715" s="1">
        <f>IFERROR(__xludf.DUMMYFUNCTION("""COMPUTED_VALUE"""),1628067.0)</f>
        <v>1628067</v>
      </c>
    </row>
    <row r="4716">
      <c r="A4716" s="2">
        <f>IFERROR(__xludf.DUMMYFUNCTION("""COMPUTED_VALUE"""),43487.64583333333)</f>
        <v>43487.64583</v>
      </c>
      <c r="B4716" s="1">
        <f>IFERROR(__xludf.DUMMYFUNCTION("""COMPUTED_VALUE"""),1746.0)</f>
        <v>1746</v>
      </c>
      <c r="C4716" s="1">
        <f>IFERROR(__xludf.DUMMYFUNCTION("""COMPUTED_VALUE"""),1755.0)</f>
        <v>1755</v>
      </c>
      <c r="D4716" s="1">
        <f>IFERROR(__xludf.DUMMYFUNCTION("""COMPUTED_VALUE"""),1741.25)</f>
        <v>1741.25</v>
      </c>
      <c r="E4716" s="1">
        <f>IFERROR(__xludf.DUMMYFUNCTION("""COMPUTED_VALUE"""),1750.2)</f>
        <v>1750.2</v>
      </c>
      <c r="F4716" s="1">
        <f>IFERROR(__xludf.DUMMYFUNCTION("""COMPUTED_VALUE"""),1776472.0)</f>
        <v>1776472</v>
      </c>
    </row>
    <row r="4717">
      <c r="A4717" s="2">
        <f>IFERROR(__xludf.DUMMYFUNCTION("""COMPUTED_VALUE"""),43488.64583333333)</f>
        <v>43488.64583</v>
      </c>
      <c r="B4717" s="1">
        <f>IFERROR(__xludf.DUMMYFUNCTION("""COMPUTED_VALUE"""),1752.0)</f>
        <v>1752</v>
      </c>
      <c r="C4717" s="1">
        <f>IFERROR(__xludf.DUMMYFUNCTION("""COMPUTED_VALUE"""),1784.05)</f>
        <v>1784.05</v>
      </c>
      <c r="D4717" s="1">
        <f>IFERROR(__xludf.DUMMYFUNCTION("""COMPUTED_VALUE"""),1749.4)</f>
        <v>1749.4</v>
      </c>
      <c r="E4717" s="1">
        <f>IFERROR(__xludf.DUMMYFUNCTION("""COMPUTED_VALUE"""),1767.2)</f>
        <v>1767.2</v>
      </c>
      <c r="F4717" s="1">
        <f>IFERROR(__xludf.DUMMYFUNCTION("""COMPUTED_VALUE"""),2321782.0)</f>
        <v>2321782</v>
      </c>
    </row>
    <row r="4718">
      <c r="A4718" s="2">
        <f>IFERROR(__xludf.DUMMYFUNCTION("""COMPUTED_VALUE"""),43489.64583333333)</f>
        <v>43489.64583</v>
      </c>
      <c r="B4718" s="1">
        <f>IFERROR(__xludf.DUMMYFUNCTION("""COMPUTED_VALUE"""),1766.8)</f>
        <v>1766.8</v>
      </c>
      <c r="C4718" s="1">
        <f>IFERROR(__xludf.DUMMYFUNCTION("""COMPUTED_VALUE"""),1784.05)</f>
        <v>1784.05</v>
      </c>
      <c r="D4718" s="1">
        <f>IFERROR(__xludf.DUMMYFUNCTION("""COMPUTED_VALUE"""),1756.7)</f>
        <v>1756.7</v>
      </c>
      <c r="E4718" s="1">
        <f>IFERROR(__xludf.DUMMYFUNCTION("""COMPUTED_VALUE"""),1759.5)</f>
        <v>1759.5</v>
      </c>
      <c r="F4718" s="1">
        <f>IFERROR(__xludf.DUMMYFUNCTION("""COMPUTED_VALUE"""),1350870.0)</f>
        <v>1350870</v>
      </c>
    </row>
    <row r="4719">
      <c r="A4719" s="2">
        <f>IFERROR(__xludf.DUMMYFUNCTION("""COMPUTED_VALUE"""),43490.64583333333)</f>
        <v>43490.64583</v>
      </c>
      <c r="B4719" s="1">
        <f>IFERROR(__xludf.DUMMYFUNCTION("""COMPUTED_VALUE"""),1762.0)</f>
        <v>1762</v>
      </c>
      <c r="C4719" s="1">
        <f>IFERROR(__xludf.DUMMYFUNCTION("""COMPUTED_VALUE"""),1778.75)</f>
        <v>1778.75</v>
      </c>
      <c r="D4719" s="1">
        <f>IFERROR(__xludf.DUMMYFUNCTION("""COMPUTED_VALUE"""),1750.0)</f>
        <v>1750</v>
      </c>
      <c r="E4719" s="1">
        <f>IFERROR(__xludf.DUMMYFUNCTION("""COMPUTED_VALUE"""),1756.8)</f>
        <v>1756.8</v>
      </c>
      <c r="F4719" s="1">
        <f>IFERROR(__xludf.DUMMYFUNCTION("""COMPUTED_VALUE"""),1131790.0)</f>
        <v>1131790</v>
      </c>
    </row>
    <row r="4720">
      <c r="A4720" s="2">
        <f>IFERROR(__xludf.DUMMYFUNCTION("""COMPUTED_VALUE"""),43493.64583333333)</f>
        <v>43493.64583</v>
      </c>
      <c r="B4720" s="1">
        <f>IFERROR(__xludf.DUMMYFUNCTION("""COMPUTED_VALUE"""),1758.9)</f>
        <v>1758.9</v>
      </c>
      <c r="C4720" s="1">
        <f>IFERROR(__xludf.DUMMYFUNCTION("""COMPUTED_VALUE"""),1771.55)</f>
        <v>1771.55</v>
      </c>
      <c r="D4720" s="1">
        <f>IFERROR(__xludf.DUMMYFUNCTION("""COMPUTED_VALUE"""),1740.15)</f>
        <v>1740.15</v>
      </c>
      <c r="E4720" s="1">
        <f>IFERROR(__xludf.DUMMYFUNCTION("""COMPUTED_VALUE"""),1743.0)</f>
        <v>1743</v>
      </c>
      <c r="F4720" s="1">
        <f>IFERROR(__xludf.DUMMYFUNCTION("""COMPUTED_VALUE"""),1289774.0)</f>
        <v>1289774</v>
      </c>
    </row>
    <row r="4721">
      <c r="A4721" s="2">
        <f>IFERROR(__xludf.DUMMYFUNCTION("""COMPUTED_VALUE"""),43494.64583333333)</f>
        <v>43494.64583</v>
      </c>
      <c r="B4721" s="1">
        <f>IFERROR(__xludf.DUMMYFUNCTION("""COMPUTED_VALUE"""),1745.0)</f>
        <v>1745</v>
      </c>
      <c r="C4721" s="1">
        <f>IFERROR(__xludf.DUMMYFUNCTION("""COMPUTED_VALUE"""),1763.85)</f>
        <v>1763.85</v>
      </c>
      <c r="D4721" s="1">
        <f>IFERROR(__xludf.DUMMYFUNCTION("""COMPUTED_VALUE"""),1726.1)</f>
        <v>1726.1</v>
      </c>
      <c r="E4721" s="1">
        <f>IFERROR(__xludf.DUMMYFUNCTION("""COMPUTED_VALUE"""),1756.7)</f>
        <v>1756.7</v>
      </c>
      <c r="F4721" s="1">
        <f>IFERROR(__xludf.DUMMYFUNCTION("""COMPUTED_VALUE"""),1319822.0)</f>
        <v>1319822</v>
      </c>
    </row>
    <row r="4722">
      <c r="A4722" s="2">
        <f>IFERROR(__xludf.DUMMYFUNCTION("""COMPUTED_VALUE"""),43495.64583333333)</f>
        <v>43495.64583</v>
      </c>
      <c r="B4722" s="1">
        <f>IFERROR(__xludf.DUMMYFUNCTION("""COMPUTED_VALUE"""),1760.0)</f>
        <v>1760</v>
      </c>
      <c r="C4722" s="1">
        <f>IFERROR(__xludf.DUMMYFUNCTION("""COMPUTED_VALUE"""),1760.75)</f>
        <v>1760.75</v>
      </c>
      <c r="D4722" s="1">
        <f>IFERROR(__xludf.DUMMYFUNCTION("""COMPUTED_VALUE"""),1728.1)</f>
        <v>1728.1</v>
      </c>
      <c r="E4722" s="1">
        <f>IFERROR(__xludf.DUMMYFUNCTION("""COMPUTED_VALUE"""),1733.35)</f>
        <v>1733.35</v>
      </c>
      <c r="F4722" s="1">
        <f>IFERROR(__xludf.DUMMYFUNCTION("""COMPUTED_VALUE"""),1259978.0)</f>
        <v>1259978</v>
      </c>
    </row>
    <row r="4723">
      <c r="A4723" s="2">
        <f>IFERROR(__xludf.DUMMYFUNCTION("""COMPUTED_VALUE"""),43496.64583333333)</f>
        <v>43496.64583</v>
      </c>
      <c r="B4723" s="1">
        <f>IFERROR(__xludf.DUMMYFUNCTION("""COMPUTED_VALUE"""),1735.9)</f>
        <v>1735.9</v>
      </c>
      <c r="C4723" s="1">
        <f>IFERROR(__xludf.DUMMYFUNCTION("""COMPUTED_VALUE"""),1774.9)</f>
        <v>1774.9</v>
      </c>
      <c r="D4723" s="1">
        <f>IFERROR(__xludf.DUMMYFUNCTION("""COMPUTED_VALUE"""),1735.25)</f>
        <v>1735.25</v>
      </c>
      <c r="E4723" s="1">
        <f>IFERROR(__xludf.DUMMYFUNCTION("""COMPUTED_VALUE"""),1763.25)</f>
        <v>1763.25</v>
      </c>
      <c r="F4723" s="1">
        <f>IFERROR(__xludf.DUMMYFUNCTION("""COMPUTED_VALUE"""),1880257.0)</f>
        <v>1880257</v>
      </c>
    </row>
    <row r="4724">
      <c r="A4724" s="2">
        <f>IFERROR(__xludf.DUMMYFUNCTION("""COMPUTED_VALUE"""),43497.64583333333)</f>
        <v>43497.64583</v>
      </c>
      <c r="B4724" s="1">
        <f>IFERROR(__xludf.DUMMYFUNCTION("""COMPUTED_VALUE"""),1763.25)</f>
        <v>1763.25</v>
      </c>
      <c r="C4724" s="1">
        <f>IFERROR(__xludf.DUMMYFUNCTION("""COMPUTED_VALUE"""),1832.5)</f>
        <v>1832.5</v>
      </c>
      <c r="D4724" s="1">
        <f>IFERROR(__xludf.DUMMYFUNCTION("""COMPUTED_VALUE"""),1761.45)</f>
        <v>1761.45</v>
      </c>
      <c r="E4724" s="1">
        <f>IFERROR(__xludf.DUMMYFUNCTION("""COMPUTED_VALUE"""),1799.3)</f>
        <v>1799.3</v>
      </c>
      <c r="F4724" s="1">
        <f>IFERROR(__xludf.DUMMYFUNCTION("""COMPUTED_VALUE"""),2342251.0)</f>
        <v>2342251</v>
      </c>
    </row>
    <row r="4725">
      <c r="A4725" s="2">
        <f>IFERROR(__xludf.DUMMYFUNCTION("""COMPUTED_VALUE"""),43500.64583333333)</f>
        <v>43500.64583</v>
      </c>
      <c r="B4725" s="1">
        <f>IFERROR(__xludf.DUMMYFUNCTION("""COMPUTED_VALUE"""),1799.9)</f>
        <v>1799.9</v>
      </c>
      <c r="C4725" s="1">
        <f>IFERROR(__xludf.DUMMYFUNCTION("""COMPUTED_VALUE"""),1823.0)</f>
        <v>1823</v>
      </c>
      <c r="D4725" s="1">
        <f>IFERROR(__xludf.DUMMYFUNCTION("""COMPUTED_VALUE"""),1794.7)</f>
        <v>1794.7</v>
      </c>
      <c r="E4725" s="1">
        <f>IFERROR(__xludf.DUMMYFUNCTION("""COMPUTED_VALUE"""),1802.6)</f>
        <v>1802.6</v>
      </c>
      <c r="F4725" s="1">
        <f>IFERROR(__xludf.DUMMYFUNCTION("""COMPUTED_VALUE"""),1116390.0)</f>
        <v>1116390</v>
      </c>
    </row>
    <row r="4726">
      <c r="A4726" s="2">
        <f>IFERROR(__xludf.DUMMYFUNCTION("""COMPUTED_VALUE"""),43501.64583333333)</f>
        <v>43501.64583</v>
      </c>
      <c r="B4726" s="1">
        <f>IFERROR(__xludf.DUMMYFUNCTION("""COMPUTED_VALUE"""),1805.0)</f>
        <v>1805</v>
      </c>
      <c r="C4726" s="1">
        <f>IFERROR(__xludf.DUMMYFUNCTION("""COMPUTED_VALUE"""),1834.95)</f>
        <v>1834.95</v>
      </c>
      <c r="D4726" s="1">
        <f>IFERROR(__xludf.DUMMYFUNCTION("""COMPUTED_VALUE"""),1804.95)</f>
        <v>1804.95</v>
      </c>
      <c r="E4726" s="1">
        <f>IFERROR(__xludf.DUMMYFUNCTION("""COMPUTED_VALUE"""),1821.45)</f>
        <v>1821.45</v>
      </c>
      <c r="F4726" s="1">
        <f>IFERROR(__xludf.DUMMYFUNCTION("""COMPUTED_VALUE"""),1278708.0)</f>
        <v>1278708</v>
      </c>
    </row>
    <row r="4727">
      <c r="A4727" s="2">
        <f>IFERROR(__xludf.DUMMYFUNCTION("""COMPUTED_VALUE"""),43502.64583333333)</f>
        <v>43502.64583</v>
      </c>
      <c r="B4727" s="1">
        <f>IFERROR(__xludf.DUMMYFUNCTION("""COMPUTED_VALUE"""),1828.4)</f>
        <v>1828.4</v>
      </c>
      <c r="C4727" s="1">
        <f>IFERROR(__xludf.DUMMYFUNCTION("""COMPUTED_VALUE"""),1836.45)</f>
        <v>1836.45</v>
      </c>
      <c r="D4727" s="1">
        <f>IFERROR(__xludf.DUMMYFUNCTION("""COMPUTED_VALUE"""),1820.0)</f>
        <v>1820</v>
      </c>
      <c r="E4727" s="1">
        <f>IFERROR(__xludf.DUMMYFUNCTION("""COMPUTED_VALUE"""),1829.95)</f>
        <v>1829.95</v>
      </c>
      <c r="F4727" s="1">
        <f>IFERROR(__xludf.DUMMYFUNCTION("""COMPUTED_VALUE"""),859789.0)</f>
        <v>859789</v>
      </c>
    </row>
    <row r="4728">
      <c r="A4728" s="2">
        <f>IFERROR(__xludf.DUMMYFUNCTION("""COMPUTED_VALUE"""),43503.64583333333)</f>
        <v>43503.64583</v>
      </c>
      <c r="B4728" s="1">
        <f>IFERROR(__xludf.DUMMYFUNCTION("""COMPUTED_VALUE"""),1834.0)</f>
        <v>1834</v>
      </c>
      <c r="C4728" s="1">
        <f>IFERROR(__xludf.DUMMYFUNCTION("""COMPUTED_VALUE"""),1845.0)</f>
        <v>1845</v>
      </c>
      <c r="D4728" s="1">
        <f>IFERROR(__xludf.DUMMYFUNCTION("""COMPUTED_VALUE"""),1828.35)</f>
        <v>1828.35</v>
      </c>
      <c r="E4728" s="1">
        <f>IFERROR(__xludf.DUMMYFUNCTION("""COMPUTED_VALUE"""),1839.05)</f>
        <v>1839.05</v>
      </c>
      <c r="F4728" s="1">
        <f>IFERROR(__xludf.DUMMYFUNCTION("""COMPUTED_VALUE"""),927434.0)</f>
        <v>927434</v>
      </c>
    </row>
    <row r="4729">
      <c r="A4729" s="2">
        <f>IFERROR(__xludf.DUMMYFUNCTION("""COMPUTED_VALUE"""),43504.64583333333)</f>
        <v>43504.64583</v>
      </c>
      <c r="B4729" s="1">
        <f>IFERROR(__xludf.DUMMYFUNCTION("""COMPUTED_VALUE"""),1839.1)</f>
        <v>1839.1</v>
      </c>
      <c r="C4729" s="1">
        <f>IFERROR(__xludf.DUMMYFUNCTION("""COMPUTED_VALUE"""),1847.0)</f>
        <v>1847</v>
      </c>
      <c r="D4729" s="1">
        <f>IFERROR(__xludf.DUMMYFUNCTION("""COMPUTED_VALUE"""),1811.0)</f>
        <v>1811</v>
      </c>
      <c r="E4729" s="1">
        <f>IFERROR(__xludf.DUMMYFUNCTION("""COMPUTED_VALUE"""),1817.3)</f>
        <v>1817.3</v>
      </c>
      <c r="F4729" s="1">
        <f>IFERROR(__xludf.DUMMYFUNCTION("""COMPUTED_VALUE"""),1222765.0)</f>
        <v>1222765</v>
      </c>
    </row>
    <row r="4730">
      <c r="A4730" s="2">
        <f>IFERROR(__xludf.DUMMYFUNCTION("""COMPUTED_VALUE"""),43507.64583333333)</f>
        <v>43507.64583</v>
      </c>
      <c r="B4730" s="1">
        <f>IFERROR(__xludf.DUMMYFUNCTION("""COMPUTED_VALUE"""),1811.05)</f>
        <v>1811.05</v>
      </c>
      <c r="C4730" s="1">
        <f>IFERROR(__xludf.DUMMYFUNCTION("""COMPUTED_VALUE"""),1815.4)</f>
        <v>1815.4</v>
      </c>
      <c r="D4730" s="1">
        <f>IFERROR(__xludf.DUMMYFUNCTION("""COMPUTED_VALUE"""),1795.75)</f>
        <v>1795.75</v>
      </c>
      <c r="E4730" s="1">
        <f>IFERROR(__xludf.DUMMYFUNCTION("""COMPUTED_VALUE"""),1804.8)</f>
        <v>1804.8</v>
      </c>
      <c r="F4730" s="1">
        <f>IFERROR(__xludf.DUMMYFUNCTION("""COMPUTED_VALUE"""),797453.0)</f>
        <v>797453</v>
      </c>
    </row>
    <row r="4731">
      <c r="A4731" s="2">
        <f>IFERROR(__xludf.DUMMYFUNCTION("""COMPUTED_VALUE"""),43508.64583333333)</f>
        <v>43508.64583</v>
      </c>
      <c r="B4731" s="1">
        <f>IFERROR(__xludf.DUMMYFUNCTION("""COMPUTED_VALUE"""),1810.0)</f>
        <v>1810</v>
      </c>
      <c r="C4731" s="1">
        <f>IFERROR(__xludf.DUMMYFUNCTION("""COMPUTED_VALUE"""),1812.0)</f>
        <v>1812</v>
      </c>
      <c r="D4731" s="1">
        <f>IFERROR(__xludf.DUMMYFUNCTION("""COMPUTED_VALUE"""),1789.0)</f>
        <v>1789</v>
      </c>
      <c r="E4731" s="1">
        <f>IFERROR(__xludf.DUMMYFUNCTION("""COMPUTED_VALUE"""),1794.5)</f>
        <v>1794.5</v>
      </c>
      <c r="F4731" s="1">
        <f>IFERROR(__xludf.DUMMYFUNCTION("""COMPUTED_VALUE"""),990035.0)</f>
        <v>990035</v>
      </c>
    </row>
    <row r="4732">
      <c r="A4732" s="2">
        <f>IFERROR(__xludf.DUMMYFUNCTION("""COMPUTED_VALUE"""),43509.64583333333)</f>
        <v>43509.64583</v>
      </c>
      <c r="B4732" s="1">
        <f>IFERROR(__xludf.DUMMYFUNCTION("""COMPUTED_VALUE"""),1800.0)</f>
        <v>1800</v>
      </c>
      <c r="C4732" s="1">
        <f>IFERROR(__xludf.DUMMYFUNCTION("""COMPUTED_VALUE"""),1814.9)</f>
        <v>1814.9</v>
      </c>
      <c r="D4732" s="1">
        <f>IFERROR(__xludf.DUMMYFUNCTION("""COMPUTED_VALUE"""),1791.6)</f>
        <v>1791.6</v>
      </c>
      <c r="E4732" s="1">
        <f>IFERROR(__xludf.DUMMYFUNCTION("""COMPUTED_VALUE"""),1798.95)</f>
        <v>1798.95</v>
      </c>
      <c r="F4732" s="1">
        <f>IFERROR(__xludf.DUMMYFUNCTION("""COMPUTED_VALUE"""),1227463.0)</f>
        <v>1227463</v>
      </c>
    </row>
    <row r="4733">
      <c r="A4733" s="2">
        <f>IFERROR(__xludf.DUMMYFUNCTION("""COMPUTED_VALUE"""),43510.64583333333)</f>
        <v>43510.64583</v>
      </c>
      <c r="B4733" s="1">
        <f>IFERROR(__xludf.DUMMYFUNCTION("""COMPUTED_VALUE"""),1796.0)</f>
        <v>1796</v>
      </c>
      <c r="C4733" s="1">
        <f>IFERROR(__xludf.DUMMYFUNCTION("""COMPUTED_VALUE"""),1798.5)</f>
        <v>1798.5</v>
      </c>
      <c r="D4733" s="1">
        <f>IFERROR(__xludf.DUMMYFUNCTION("""COMPUTED_VALUE"""),1777.0)</f>
        <v>1777</v>
      </c>
      <c r="E4733" s="1">
        <f>IFERROR(__xludf.DUMMYFUNCTION("""COMPUTED_VALUE"""),1785.05)</f>
        <v>1785.05</v>
      </c>
      <c r="F4733" s="1">
        <f>IFERROR(__xludf.DUMMYFUNCTION("""COMPUTED_VALUE"""),1341658.0)</f>
        <v>1341658</v>
      </c>
    </row>
    <row r="4734">
      <c r="A4734" s="2">
        <f>IFERROR(__xludf.DUMMYFUNCTION("""COMPUTED_VALUE"""),43511.64583333333)</f>
        <v>43511.64583</v>
      </c>
      <c r="B4734" s="1">
        <f>IFERROR(__xludf.DUMMYFUNCTION("""COMPUTED_VALUE"""),1790.0)</f>
        <v>1790</v>
      </c>
      <c r="C4734" s="1">
        <f>IFERROR(__xludf.DUMMYFUNCTION("""COMPUTED_VALUE"""),1790.0)</f>
        <v>1790</v>
      </c>
      <c r="D4734" s="1">
        <f>IFERROR(__xludf.DUMMYFUNCTION("""COMPUTED_VALUE"""),1747.5)</f>
        <v>1747.5</v>
      </c>
      <c r="E4734" s="1">
        <f>IFERROR(__xludf.DUMMYFUNCTION("""COMPUTED_VALUE"""),1772.8)</f>
        <v>1772.8</v>
      </c>
      <c r="F4734" s="1">
        <f>IFERROR(__xludf.DUMMYFUNCTION("""COMPUTED_VALUE"""),1177218.0)</f>
        <v>1177218</v>
      </c>
    </row>
    <row r="4735">
      <c r="A4735" s="2">
        <f>IFERROR(__xludf.DUMMYFUNCTION("""COMPUTED_VALUE"""),43514.64583333333)</f>
        <v>43514.64583</v>
      </c>
      <c r="B4735" s="1">
        <f>IFERROR(__xludf.DUMMYFUNCTION("""COMPUTED_VALUE"""),1775.1)</f>
        <v>1775.1</v>
      </c>
      <c r="C4735" s="1">
        <f>IFERROR(__xludf.DUMMYFUNCTION("""COMPUTED_VALUE"""),1775.1)</f>
        <v>1775.1</v>
      </c>
      <c r="D4735" s="1">
        <f>IFERROR(__xludf.DUMMYFUNCTION("""COMPUTED_VALUE"""),1735.0)</f>
        <v>1735</v>
      </c>
      <c r="E4735" s="1">
        <f>IFERROR(__xludf.DUMMYFUNCTION("""COMPUTED_VALUE"""),1751.9)</f>
        <v>1751.9</v>
      </c>
      <c r="F4735" s="1">
        <f>IFERROR(__xludf.DUMMYFUNCTION("""COMPUTED_VALUE"""),1513430.0)</f>
        <v>1513430</v>
      </c>
    </row>
    <row r="4736">
      <c r="A4736" s="2">
        <f>IFERROR(__xludf.DUMMYFUNCTION("""COMPUTED_VALUE"""),43515.64583333333)</f>
        <v>43515.64583</v>
      </c>
      <c r="B4736" s="1">
        <f>IFERROR(__xludf.DUMMYFUNCTION("""COMPUTED_VALUE"""),1750.0)</f>
        <v>1750</v>
      </c>
      <c r="C4736" s="1">
        <f>IFERROR(__xludf.DUMMYFUNCTION("""COMPUTED_VALUE"""),1759.6)</f>
        <v>1759.6</v>
      </c>
      <c r="D4736" s="1">
        <f>IFERROR(__xludf.DUMMYFUNCTION("""COMPUTED_VALUE"""),1730.45)</f>
        <v>1730.45</v>
      </c>
      <c r="E4736" s="1">
        <f>IFERROR(__xludf.DUMMYFUNCTION("""COMPUTED_VALUE"""),1737.95)</f>
        <v>1737.95</v>
      </c>
      <c r="F4736" s="1">
        <f>IFERROR(__xludf.DUMMYFUNCTION("""COMPUTED_VALUE"""),1598381.0)</f>
        <v>1598381</v>
      </c>
    </row>
    <row r="4737">
      <c r="A4737" s="2">
        <f>IFERROR(__xludf.DUMMYFUNCTION("""COMPUTED_VALUE"""),43516.64583333333)</f>
        <v>43516.64583</v>
      </c>
      <c r="B4737" s="1">
        <f>IFERROR(__xludf.DUMMYFUNCTION("""COMPUTED_VALUE"""),1742.7)</f>
        <v>1742.7</v>
      </c>
      <c r="C4737" s="1">
        <f>IFERROR(__xludf.DUMMYFUNCTION("""COMPUTED_VALUE"""),1745.95)</f>
        <v>1745.95</v>
      </c>
      <c r="D4737" s="1">
        <f>IFERROR(__xludf.DUMMYFUNCTION("""COMPUTED_VALUE"""),1722.0)</f>
        <v>1722</v>
      </c>
      <c r="E4737" s="1">
        <f>IFERROR(__xludf.DUMMYFUNCTION("""COMPUTED_VALUE"""),1733.5)</f>
        <v>1733.5</v>
      </c>
      <c r="F4737" s="1">
        <f>IFERROR(__xludf.DUMMYFUNCTION("""COMPUTED_VALUE"""),1430235.0)</f>
        <v>1430235</v>
      </c>
    </row>
    <row r="4738">
      <c r="A4738" s="2">
        <f>IFERROR(__xludf.DUMMYFUNCTION("""COMPUTED_VALUE"""),43517.64583333333)</f>
        <v>43517.64583</v>
      </c>
      <c r="B4738" s="1">
        <f>IFERROR(__xludf.DUMMYFUNCTION("""COMPUTED_VALUE"""),1737.0)</f>
        <v>1737</v>
      </c>
      <c r="C4738" s="1">
        <f>IFERROR(__xludf.DUMMYFUNCTION("""COMPUTED_VALUE"""),1758.0)</f>
        <v>1758</v>
      </c>
      <c r="D4738" s="1">
        <f>IFERROR(__xludf.DUMMYFUNCTION("""COMPUTED_VALUE"""),1736.35)</f>
        <v>1736.35</v>
      </c>
      <c r="E4738" s="1">
        <f>IFERROR(__xludf.DUMMYFUNCTION("""COMPUTED_VALUE"""),1754.7)</f>
        <v>1754.7</v>
      </c>
      <c r="F4738" s="1">
        <f>IFERROR(__xludf.DUMMYFUNCTION("""COMPUTED_VALUE"""),1225418.0)</f>
        <v>1225418</v>
      </c>
    </row>
    <row r="4739">
      <c r="A4739" s="2">
        <f>IFERROR(__xludf.DUMMYFUNCTION("""COMPUTED_VALUE"""),43518.64583333333)</f>
        <v>43518.64583</v>
      </c>
      <c r="B4739" s="1">
        <f>IFERROR(__xludf.DUMMYFUNCTION("""COMPUTED_VALUE"""),1760.0)</f>
        <v>1760</v>
      </c>
      <c r="C4739" s="1">
        <f>IFERROR(__xludf.DUMMYFUNCTION("""COMPUTED_VALUE"""),1773.0)</f>
        <v>1773</v>
      </c>
      <c r="D4739" s="1">
        <f>IFERROR(__xludf.DUMMYFUNCTION("""COMPUTED_VALUE"""),1751.95)</f>
        <v>1751.95</v>
      </c>
      <c r="E4739" s="1">
        <f>IFERROR(__xludf.DUMMYFUNCTION("""COMPUTED_VALUE"""),1768.55)</f>
        <v>1768.55</v>
      </c>
      <c r="F4739" s="1">
        <f>IFERROR(__xludf.DUMMYFUNCTION("""COMPUTED_VALUE"""),1360163.0)</f>
        <v>1360163</v>
      </c>
    </row>
    <row r="4740">
      <c r="A4740" s="2">
        <f>IFERROR(__xludf.DUMMYFUNCTION("""COMPUTED_VALUE"""),43521.64583333333)</f>
        <v>43521.64583</v>
      </c>
      <c r="B4740" s="1">
        <f>IFERROR(__xludf.DUMMYFUNCTION("""COMPUTED_VALUE"""),1772.0)</f>
        <v>1772</v>
      </c>
      <c r="C4740" s="1">
        <f>IFERROR(__xludf.DUMMYFUNCTION("""COMPUTED_VALUE"""),1775.8)</f>
        <v>1775.8</v>
      </c>
      <c r="D4740" s="1">
        <f>IFERROR(__xludf.DUMMYFUNCTION("""COMPUTED_VALUE"""),1759.0)</f>
        <v>1759</v>
      </c>
      <c r="E4740" s="1">
        <f>IFERROR(__xludf.DUMMYFUNCTION("""COMPUTED_VALUE"""),1770.15)</f>
        <v>1770.15</v>
      </c>
      <c r="F4740" s="1">
        <f>IFERROR(__xludf.DUMMYFUNCTION("""COMPUTED_VALUE"""),1490746.0)</f>
        <v>1490746</v>
      </c>
    </row>
    <row r="4741">
      <c r="A4741" s="2">
        <f>IFERROR(__xludf.DUMMYFUNCTION("""COMPUTED_VALUE"""),43522.64583333333)</f>
        <v>43522.64583</v>
      </c>
      <c r="B4741" s="1">
        <f>IFERROR(__xludf.DUMMYFUNCTION("""COMPUTED_VALUE"""),1763.4)</f>
        <v>1763.4</v>
      </c>
      <c r="C4741" s="1">
        <f>IFERROR(__xludf.DUMMYFUNCTION("""COMPUTED_VALUE"""),1785.9)</f>
        <v>1785.9</v>
      </c>
      <c r="D4741" s="1">
        <f>IFERROR(__xludf.DUMMYFUNCTION("""COMPUTED_VALUE"""),1762.0)</f>
        <v>1762</v>
      </c>
      <c r="E4741" s="1">
        <f>IFERROR(__xludf.DUMMYFUNCTION("""COMPUTED_VALUE"""),1772.25)</f>
        <v>1772.25</v>
      </c>
      <c r="F4741" s="1">
        <f>IFERROR(__xludf.DUMMYFUNCTION("""COMPUTED_VALUE"""),2190515.0)</f>
        <v>2190515</v>
      </c>
    </row>
    <row r="4742">
      <c r="A4742" s="2">
        <f>IFERROR(__xludf.DUMMYFUNCTION("""COMPUTED_VALUE"""),43523.64583333333)</f>
        <v>43523.64583</v>
      </c>
      <c r="B4742" s="1">
        <f>IFERROR(__xludf.DUMMYFUNCTION("""COMPUTED_VALUE"""),1779.0)</f>
        <v>1779</v>
      </c>
      <c r="C4742" s="1">
        <f>IFERROR(__xludf.DUMMYFUNCTION("""COMPUTED_VALUE"""),1779.0)</f>
        <v>1779</v>
      </c>
      <c r="D4742" s="1">
        <f>IFERROR(__xludf.DUMMYFUNCTION("""COMPUTED_VALUE"""),1728.55)</f>
        <v>1728.55</v>
      </c>
      <c r="E4742" s="1">
        <f>IFERROR(__xludf.DUMMYFUNCTION("""COMPUTED_VALUE"""),1736.5)</f>
        <v>1736.5</v>
      </c>
      <c r="F4742" s="1">
        <f>IFERROR(__xludf.DUMMYFUNCTION("""COMPUTED_VALUE"""),1491740.0)</f>
        <v>1491740</v>
      </c>
    </row>
    <row r="4743">
      <c r="A4743" s="2">
        <f>IFERROR(__xludf.DUMMYFUNCTION("""COMPUTED_VALUE"""),43524.64583333333)</f>
        <v>43524.64583</v>
      </c>
      <c r="B4743" s="1">
        <f>IFERROR(__xludf.DUMMYFUNCTION("""COMPUTED_VALUE"""),1749.0)</f>
        <v>1749</v>
      </c>
      <c r="C4743" s="1">
        <f>IFERROR(__xludf.DUMMYFUNCTION("""COMPUTED_VALUE"""),1756.65)</f>
        <v>1756.65</v>
      </c>
      <c r="D4743" s="1">
        <f>IFERROR(__xludf.DUMMYFUNCTION("""COMPUTED_VALUE"""),1727.6)</f>
        <v>1727.6</v>
      </c>
      <c r="E4743" s="1">
        <f>IFERROR(__xludf.DUMMYFUNCTION("""COMPUTED_VALUE"""),1732.65)</f>
        <v>1732.65</v>
      </c>
      <c r="F4743" s="1">
        <f>IFERROR(__xludf.DUMMYFUNCTION("""COMPUTED_VALUE"""),1895136.0)</f>
        <v>1895136</v>
      </c>
    </row>
    <row r="4744">
      <c r="A4744" s="2">
        <f>IFERROR(__xludf.DUMMYFUNCTION("""COMPUTED_VALUE"""),43525.64583333333)</f>
        <v>43525.64583</v>
      </c>
      <c r="B4744" s="1">
        <f>IFERROR(__xludf.DUMMYFUNCTION("""COMPUTED_VALUE"""),1735.0)</f>
        <v>1735</v>
      </c>
      <c r="C4744" s="1">
        <f>IFERROR(__xludf.DUMMYFUNCTION("""COMPUTED_VALUE"""),1749.0)</f>
        <v>1749</v>
      </c>
      <c r="D4744" s="1">
        <f>IFERROR(__xludf.DUMMYFUNCTION("""COMPUTED_VALUE"""),1731.05)</f>
        <v>1731.05</v>
      </c>
      <c r="E4744" s="1">
        <f>IFERROR(__xludf.DUMMYFUNCTION("""COMPUTED_VALUE"""),1734.65)</f>
        <v>1734.65</v>
      </c>
      <c r="F4744" s="1">
        <f>IFERROR(__xludf.DUMMYFUNCTION("""COMPUTED_VALUE"""),761115.0)</f>
        <v>761115</v>
      </c>
    </row>
    <row r="4745">
      <c r="A4745" s="2">
        <f>IFERROR(__xludf.DUMMYFUNCTION("""COMPUTED_VALUE"""),43529.64583333333)</f>
        <v>43529.64583</v>
      </c>
      <c r="B4745" s="1">
        <f>IFERROR(__xludf.DUMMYFUNCTION("""COMPUTED_VALUE"""),1739.8)</f>
        <v>1739.8</v>
      </c>
      <c r="C4745" s="1">
        <f>IFERROR(__xludf.DUMMYFUNCTION("""COMPUTED_VALUE"""),1739.8)</f>
        <v>1739.8</v>
      </c>
      <c r="D4745" s="1">
        <f>IFERROR(__xludf.DUMMYFUNCTION("""COMPUTED_VALUE"""),1717.5)</f>
        <v>1717.5</v>
      </c>
      <c r="E4745" s="1">
        <f>IFERROR(__xludf.DUMMYFUNCTION("""COMPUTED_VALUE"""),1724.6)</f>
        <v>1724.6</v>
      </c>
      <c r="F4745" s="1">
        <f>IFERROR(__xludf.DUMMYFUNCTION("""COMPUTED_VALUE"""),1406843.0)</f>
        <v>1406843</v>
      </c>
    </row>
    <row r="4746">
      <c r="A4746" s="2">
        <f>IFERROR(__xludf.DUMMYFUNCTION("""COMPUTED_VALUE"""),43530.64583333333)</f>
        <v>43530.64583</v>
      </c>
      <c r="B4746" s="1">
        <f>IFERROR(__xludf.DUMMYFUNCTION("""COMPUTED_VALUE"""),1726.1)</f>
        <v>1726.1</v>
      </c>
      <c r="C4746" s="1">
        <f>IFERROR(__xludf.DUMMYFUNCTION("""COMPUTED_VALUE"""),1730.0)</f>
        <v>1730</v>
      </c>
      <c r="D4746" s="1">
        <f>IFERROR(__xludf.DUMMYFUNCTION("""COMPUTED_VALUE"""),1697.95)</f>
        <v>1697.95</v>
      </c>
      <c r="E4746" s="1">
        <f>IFERROR(__xludf.DUMMYFUNCTION("""COMPUTED_VALUE"""),1699.8)</f>
        <v>1699.8</v>
      </c>
      <c r="F4746" s="1">
        <f>IFERROR(__xludf.DUMMYFUNCTION("""COMPUTED_VALUE"""),2193045.0)</f>
        <v>2193045</v>
      </c>
    </row>
    <row r="4747">
      <c r="A4747" s="2">
        <f>IFERROR(__xludf.DUMMYFUNCTION("""COMPUTED_VALUE"""),43531.64583333333)</f>
        <v>43531.64583</v>
      </c>
      <c r="B4747" s="1">
        <f>IFERROR(__xludf.DUMMYFUNCTION("""COMPUTED_VALUE"""),1706.35)</f>
        <v>1706.35</v>
      </c>
      <c r="C4747" s="1">
        <f>IFERROR(__xludf.DUMMYFUNCTION("""COMPUTED_VALUE"""),1720.0)</f>
        <v>1720</v>
      </c>
      <c r="D4747" s="1">
        <f>IFERROR(__xludf.DUMMYFUNCTION("""COMPUTED_VALUE"""),1699.8)</f>
        <v>1699.8</v>
      </c>
      <c r="E4747" s="1">
        <f>IFERROR(__xludf.DUMMYFUNCTION("""COMPUTED_VALUE"""),1705.4)</f>
        <v>1705.4</v>
      </c>
      <c r="F4747" s="1">
        <f>IFERROR(__xludf.DUMMYFUNCTION("""COMPUTED_VALUE"""),1566441.0)</f>
        <v>1566441</v>
      </c>
    </row>
    <row r="4748">
      <c r="A4748" s="2">
        <f>IFERROR(__xludf.DUMMYFUNCTION("""COMPUTED_VALUE"""),43532.64583333333)</f>
        <v>43532.64583</v>
      </c>
      <c r="B4748" s="1">
        <f>IFERROR(__xludf.DUMMYFUNCTION("""COMPUTED_VALUE"""),1706.0)</f>
        <v>1706</v>
      </c>
      <c r="C4748" s="1">
        <f>IFERROR(__xludf.DUMMYFUNCTION("""COMPUTED_VALUE"""),1718.0)</f>
        <v>1718</v>
      </c>
      <c r="D4748" s="1">
        <f>IFERROR(__xludf.DUMMYFUNCTION("""COMPUTED_VALUE"""),1695.1)</f>
        <v>1695.1</v>
      </c>
      <c r="E4748" s="1">
        <f>IFERROR(__xludf.DUMMYFUNCTION("""COMPUTED_VALUE"""),1701.6)</f>
        <v>1701.6</v>
      </c>
      <c r="F4748" s="1">
        <f>IFERROR(__xludf.DUMMYFUNCTION("""COMPUTED_VALUE"""),1419614.0)</f>
        <v>1419614</v>
      </c>
    </row>
    <row r="4749">
      <c r="A4749" s="2">
        <f>IFERROR(__xludf.DUMMYFUNCTION("""COMPUTED_VALUE"""),43535.64583333333)</f>
        <v>43535.64583</v>
      </c>
      <c r="B4749" s="1">
        <f>IFERROR(__xludf.DUMMYFUNCTION("""COMPUTED_VALUE"""),1708.75)</f>
        <v>1708.75</v>
      </c>
      <c r="C4749" s="1">
        <f>IFERROR(__xludf.DUMMYFUNCTION("""COMPUTED_VALUE"""),1726.0)</f>
        <v>1726</v>
      </c>
      <c r="D4749" s="1">
        <f>IFERROR(__xludf.DUMMYFUNCTION("""COMPUTED_VALUE"""),1703.0)</f>
        <v>1703</v>
      </c>
      <c r="E4749" s="1">
        <f>IFERROR(__xludf.DUMMYFUNCTION("""COMPUTED_VALUE"""),1714.95)</f>
        <v>1714.95</v>
      </c>
      <c r="F4749" s="1">
        <f>IFERROR(__xludf.DUMMYFUNCTION("""COMPUTED_VALUE"""),1427771.0)</f>
        <v>1427771</v>
      </c>
    </row>
    <row r="4750">
      <c r="A4750" s="2">
        <f>IFERROR(__xludf.DUMMYFUNCTION("""COMPUTED_VALUE"""),43536.64583333333)</f>
        <v>43536.64583</v>
      </c>
      <c r="B4750" s="1">
        <f>IFERROR(__xludf.DUMMYFUNCTION("""COMPUTED_VALUE"""),1718.9)</f>
        <v>1718.9</v>
      </c>
      <c r="C4750" s="1">
        <f>IFERROR(__xludf.DUMMYFUNCTION("""COMPUTED_VALUE"""),1739.0)</f>
        <v>1739</v>
      </c>
      <c r="D4750" s="1">
        <f>IFERROR(__xludf.DUMMYFUNCTION("""COMPUTED_VALUE"""),1718.8)</f>
        <v>1718.8</v>
      </c>
      <c r="E4750" s="1">
        <f>IFERROR(__xludf.DUMMYFUNCTION("""COMPUTED_VALUE"""),1734.8)</f>
        <v>1734.8</v>
      </c>
      <c r="F4750" s="1">
        <f>IFERROR(__xludf.DUMMYFUNCTION("""COMPUTED_VALUE"""),1861116.0)</f>
        <v>1861116</v>
      </c>
    </row>
    <row r="4751">
      <c r="A4751" s="2">
        <f>IFERROR(__xludf.DUMMYFUNCTION("""COMPUTED_VALUE"""),43537.64583333333)</f>
        <v>43537.64583</v>
      </c>
      <c r="B4751" s="1">
        <f>IFERROR(__xludf.DUMMYFUNCTION("""COMPUTED_VALUE"""),1749.0)</f>
        <v>1749</v>
      </c>
      <c r="C4751" s="1">
        <f>IFERROR(__xludf.DUMMYFUNCTION("""COMPUTED_VALUE"""),1755.5)</f>
        <v>1755.5</v>
      </c>
      <c r="D4751" s="1">
        <f>IFERROR(__xludf.DUMMYFUNCTION("""COMPUTED_VALUE"""),1741.1)</f>
        <v>1741.1</v>
      </c>
      <c r="E4751" s="1">
        <f>IFERROR(__xludf.DUMMYFUNCTION("""COMPUTED_VALUE"""),1747.6)</f>
        <v>1747.6</v>
      </c>
      <c r="F4751" s="1">
        <f>IFERROR(__xludf.DUMMYFUNCTION("""COMPUTED_VALUE"""),1744331.0)</f>
        <v>1744331</v>
      </c>
    </row>
    <row r="4752">
      <c r="A4752" s="2">
        <f>IFERROR(__xludf.DUMMYFUNCTION("""COMPUTED_VALUE"""),43538.64583333333)</f>
        <v>43538.64583</v>
      </c>
      <c r="B4752" s="1">
        <f>IFERROR(__xludf.DUMMYFUNCTION("""COMPUTED_VALUE"""),1750.75)</f>
        <v>1750.75</v>
      </c>
      <c r="C4752" s="1">
        <f>IFERROR(__xludf.DUMMYFUNCTION("""COMPUTED_VALUE"""),1751.7)</f>
        <v>1751.7</v>
      </c>
      <c r="D4752" s="1">
        <f>IFERROR(__xludf.DUMMYFUNCTION("""COMPUTED_VALUE"""),1730.2)</f>
        <v>1730.2</v>
      </c>
      <c r="E4752" s="1">
        <f>IFERROR(__xludf.DUMMYFUNCTION("""COMPUTED_VALUE"""),1737.3)</f>
        <v>1737.3</v>
      </c>
      <c r="F4752" s="1">
        <f>IFERROR(__xludf.DUMMYFUNCTION("""COMPUTED_VALUE"""),867427.0)</f>
        <v>867427</v>
      </c>
    </row>
    <row r="4753">
      <c r="A4753" s="2">
        <f>IFERROR(__xludf.DUMMYFUNCTION("""COMPUTED_VALUE"""),43539.64583333333)</f>
        <v>43539.64583</v>
      </c>
      <c r="B4753" s="1">
        <f>IFERROR(__xludf.DUMMYFUNCTION("""COMPUTED_VALUE"""),1745.0)</f>
        <v>1745</v>
      </c>
      <c r="C4753" s="1">
        <f>IFERROR(__xludf.DUMMYFUNCTION("""COMPUTED_VALUE"""),1746.5)</f>
        <v>1746.5</v>
      </c>
      <c r="D4753" s="1">
        <f>IFERROR(__xludf.DUMMYFUNCTION("""COMPUTED_VALUE"""),1694.45)</f>
        <v>1694.45</v>
      </c>
      <c r="E4753" s="1">
        <f>IFERROR(__xludf.DUMMYFUNCTION("""COMPUTED_VALUE"""),1698.4)</f>
        <v>1698.4</v>
      </c>
      <c r="F4753" s="1">
        <f>IFERROR(__xludf.DUMMYFUNCTION("""COMPUTED_VALUE"""),3571762.0)</f>
        <v>3571762</v>
      </c>
    </row>
    <row r="4754">
      <c r="A4754" s="2">
        <f>IFERROR(__xludf.DUMMYFUNCTION("""COMPUTED_VALUE"""),43542.64583333333)</f>
        <v>43542.64583</v>
      </c>
      <c r="B4754" s="1">
        <f>IFERROR(__xludf.DUMMYFUNCTION("""COMPUTED_VALUE"""),1710.0)</f>
        <v>1710</v>
      </c>
      <c r="C4754" s="1">
        <f>IFERROR(__xludf.DUMMYFUNCTION("""COMPUTED_VALUE"""),1710.95)</f>
        <v>1710.95</v>
      </c>
      <c r="D4754" s="1">
        <f>IFERROR(__xludf.DUMMYFUNCTION("""COMPUTED_VALUE"""),1686.9)</f>
        <v>1686.9</v>
      </c>
      <c r="E4754" s="1">
        <f>IFERROR(__xludf.DUMMYFUNCTION("""COMPUTED_VALUE"""),1697.55)</f>
        <v>1697.55</v>
      </c>
      <c r="F4754" s="1">
        <f>IFERROR(__xludf.DUMMYFUNCTION("""COMPUTED_VALUE"""),1621113.0)</f>
        <v>1621113</v>
      </c>
    </row>
    <row r="4755">
      <c r="A4755" s="2">
        <f>IFERROR(__xludf.DUMMYFUNCTION("""COMPUTED_VALUE"""),43543.64583333333)</f>
        <v>43543.64583</v>
      </c>
      <c r="B4755" s="1">
        <f>IFERROR(__xludf.DUMMYFUNCTION("""COMPUTED_VALUE"""),1697.6)</f>
        <v>1697.6</v>
      </c>
      <c r="C4755" s="1">
        <f>IFERROR(__xludf.DUMMYFUNCTION("""COMPUTED_VALUE"""),1709.4)</f>
        <v>1709.4</v>
      </c>
      <c r="D4755" s="1">
        <f>IFERROR(__xludf.DUMMYFUNCTION("""COMPUTED_VALUE"""),1688.2)</f>
        <v>1688.2</v>
      </c>
      <c r="E4755" s="1">
        <f>IFERROR(__xludf.DUMMYFUNCTION("""COMPUTED_VALUE"""),1699.65)</f>
        <v>1699.65</v>
      </c>
      <c r="F4755" s="1">
        <f>IFERROR(__xludf.DUMMYFUNCTION("""COMPUTED_VALUE"""),1456211.0)</f>
        <v>1456211</v>
      </c>
    </row>
    <row r="4756">
      <c r="A4756" s="2">
        <f>IFERROR(__xludf.DUMMYFUNCTION("""COMPUTED_VALUE"""),43544.64583333333)</f>
        <v>43544.64583</v>
      </c>
      <c r="B4756" s="1">
        <f>IFERROR(__xludf.DUMMYFUNCTION("""COMPUTED_VALUE"""),1705.0)</f>
        <v>1705</v>
      </c>
      <c r="C4756" s="1">
        <f>IFERROR(__xludf.DUMMYFUNCTION("""COMPUTED_VALUE"""),1716.5)</f>
        <v>1716.5</v>
      </c>
      <c r="D4756" s="1">
        <f>IFERROR(__xludf.DUMMYFUNCTION("""COMPUTED_VALUE"""),1683.45)</f>
        <v>1683.45</v>
      </c>
      <c r="E4756" s="1">
        <f>IFERROR(__xludf.DUMMYFUNCTION("""COMPUTED_VALUE"""),1687.55)</f>
        <v>1687.55</v>
      </c>
      <c r="F4756" s="1">
        <f>IFERROR(__xludf.DUMMYFUNCTION("""COMPUTED_VALUE"""),2312268.0)</f>
        <v>2312268</v>
      </c>
    </row>
    <row r="4757">
      <c r="A4757" s="2">
        <f>IFERROR(__xludf.DUMMYFUNCTION("""COMPUTED_VALUE"""),43546.64583333333)</f>
        <v>43546.64583</v>
      </c>
      <c r="B4757" s="1">
        <f>IFERROR(__xludf.DUMMYFUNCTION("""COMPUTED_VALUE"""),1687.55)</f>
        <v>1687.55</v>
      </c>
      <c r="C4757" s="1">
        <f>IFERROR(__xludf.DUMMYFUNCTION("""COMPUTED_VALUE"""),1703.85)</f>
        <v>1703.85</v>
      </c>
      <c r="D4757" s="1">
        <f>IFERROR(__xludf.DUMMYFUNCTION("""COMPUTED_VALUE"""),1673.7)</f>
        <v>1673.7</v>
      </c>
      <c r="E4757" s="1">
        <f>IFERROR(__xludf.DUMMYFUNCTION("""COMPUTED_VALUE"""),1678.05)</f>
        <v>1678.05</v>
      </c>
      <c r="F4757" s="1">
        <f>IFERROR(__xludf.DUMMYFUNCTION("""COMPUTED_VALUE"""),1636228.0)</f>
        <v>1636228</v>
      </c>
    </row>
    <row r="4758">
      <c r="A4758" s="2">
        <f>IFERROR(__xludf.DUMMYFUNCTION("""COMPUTED_VALUE"""),43549.64583333333)</f>
        <v>43549.64583</v>
      </c>
      <c r="B4758" s="1">
        <f>IFERROR(__xludf.DUMMYFUNCTION("""COMPUTED_VALUE"""),1674.0)</f>
        <v>1674</v>
      </c>
      <c r="C4758" s="1">
        <f>IFERROR(__xludf.DUMMYFUNCTION("""COMPUTED_VALUE"""),1687.5)</f>
        <v>1687.5</v>
      </c>
      <c r="D4758" s="1">
        <f>IFERROR(__xludf.DUMMYFUNCTION("""COMPUTED_VALUE"""),1660.0)</f>
        <v>1660</v>
      </c>
      <c r="E4758" s="1">
        <f>IFERROR(__xludf.DUMMYFUNCTION("""COMPUTED_VALUE"""),1673.85)</f>
        <v>1673.85</v>
      </c>
      <c r="F4758" s="1">
        <f>IFERROR(__xludf.DUMMYFUNCTION("""COMPUTED_VALUE"""),2039945.0)</f>
        <v>2039945</v>
      </c>
    </row>
    <row r="4759">
      <c r="A4759" s="2">
        <f>IFERROR(__xludf.DUMMYFUNCTION("""COMPUTED_VALUE"""),43550.64583333333)</f>
        <v>43550.64583</v>
      </c>
      <c r="B4759" s="1">
        <f>IFERROR(__xludf.DUMMYFUNCTION("""COMPUTED_VALUE"""),1679.9)</f>
        <v>1679.9</v>
      </c>
      <c r="C4759" s="1">
        <f>IFERROR(__xludf.DUMMYFUNCTION("""COMPUTED_VALUE"""),1691.55)</f>
        <v>1691.55</v>
      </c>
      <c r="D4759" s="1">
        <f>IFERROR(__xludf.DUMMYFUNCTION("""COMPUTED_VALUE"""),1674.0)</f>
        <v>1674</v>
      </c>
      <c r="E4759" s="1">
        <f>IFERROR(__xludf.DUMMYFUNCTION("""COMPUTED_VALUE"""),1683.8)</f>
        <v>1683.8</v>
      </c>
      <c r="F4759" s="1">
        <f>IFERROR(__xludf.DUMMYFUNCTION("""COMPUTED_VALUE"""),1452899.0)</f>
        <v>1452899</v>
      </c>
    </row>
    <row r="4760">
      <c r="A4760" s="2">
        <f>IFERROR(__xludf.DUMMYFUNCTION("""COMPUTED_VALUE"""),43551.64583333333)</f>
        <v>43551.64583</v>
      </c>
      <c r="B4760" s="1">
        <f>IFERROR(__xludf.DUMMYFUNCTION("""COMPUTED_VALUE"""),1684.0)</f>
        <v>1684</v>
      </c>
      <c r="C4760" s="1">
        <f>IFERROR(__xludf.DUMMYFUNCTION("""COMPUTED_VALUE"""),1707.8)</f>
        <v>1707.8</v>
      </c>
      <c r="D4760" s="1">
        <f>IFERROR(__xludf.DUMMYFUNCTION("""COMPUTED_VALUE"""),1675.0)</f>
        <v>1675</v>
      </c>
      <c r="E4760" s="1">
        <f>IFERROR(__xludf.DUMMYFUNCTION("""COMPUTED_VALUE"""),1680.8)</f>
        <v>1680.8</v>
      </c>
      <c r="F4760" s="1">
        <f>IFERROR(__xludf.DUMMYFUNCTION("""COMPUTED_VALUE"""),1520533.0)</f>
        <v>1520533</v>
      </c>
    </row>
    <row r="4761">
      <c r="A4761" s="2">
        <f>IFERROR(__xludf.DUMMYFUNCTION("""COMPUTED_VALUE"""),43552.64583333333)</f>
        <v>43552.64583</v>
      </c>
      <c r="B4761" s="1">
        <f>IFERROR(__xludf.DUMMYFUNCTION("""COMPUTED_VALUE"""),1685.0)</f>
        <v>1685</v>
      </c>
      <c r="C4761" s="1">
        <f>IFERROR(__xludf.DUMMYFUNCTION("""COMPUTED_VALUE"""),1692.0)</f>
        <v>1692</v>
      </c>
      <c r="D4761" s="1">
        <f>IFERROR(__xludf.DUMMYFUNCTION("""COMPUTED_VALUE"""),1673.4)</f>
        <v>1673.4</v>
      </c>
      <c r="E4761" s="1">
        <f>IFERROR(__xludf.DUMMYFUNCTION("""COMPUTED_VALUE"""),1683.9)</f>
        <v>1683.9</v>
      </c>
      <c r="F4761" s="1">
        <f>IFERROR(__xludf.DUMMYFUNCTION("""COMPUTED_VALUE"""),1852958.0)</f>
        <v>1852958</v>
      </c>
    </row>
    <row r="4762">
      <c r="A4762" s="2">
        <f>IFERROR(__xludf.DUMMYFUNCTION("""COMPUTED_VALUE"""),43553.64583333333)</f>
        <v>43553.64583</v>
      </c>
      <c r="B4762" s="1">
        <f>IFERROR(__xludf.DUMMYFUNCTION("""COMPUTED_VALUE"""),1695.3)</f>
        <v>1695.3</v>
      </c>
      <c r="C4762" s="1">
        <f>IFERROR(__xludf.DUMMYFUNCTION("""COMPUTED_VALUE"""),1712.85)</f>
        <v>1712.85</v>
      </c>
      <c r="D4762" s="1">
        <f>IFERROR(__xludf.DUMMYFUNCTION("""COMPUTED_VALUE"""),1691.9)</f>
        <v>1691.9</v>
      </c>
      <c r="E4762" s="1">
        <f>IFERROR(__xludf.DUMMYFUNCTION("""COMPUTED_VALUE"""),1706.8)</f>
        <v>1706.8</v>
      </c>
      <c r="F4762" s="1">
        <f>IFERROR(__xludf.DUMMYFUNCTION("""COMPUTED_VALUE"""),2348874.0)</f>
        <v>2348874</v>
      </c>
    </row>
    <row r="4763">
      <c r="A4763" s="2">
        <f>IFERROR(__xludf.DUMMYFUNCTION("""COMPUTED_VALUE"""),43556.64583333333)</f>
        <v>43556.64583</v>
      </c>
      <c r="B4763" s="1">
        <f>IFERROR(__xludf.DUMMYFUNCTION("""COMPUTED_VALUE"""),1710.0)</f>
        <v>1710</v>
      </c>
      <c r="C4763" s="1">
        <f>IFERROR(__xludf.DUMMYFUNCTION("""COMPUTED_VALUE"""),1721.35)</f>
        <v>1721.35</v>
      </c>
      <c r="D4763" s="1">
        <f>IFERROR(__xludf.DUMMYFUNCTION("""COMPUTED_VALUE"""),1686.0)</f>
        <v>1686</v>
      </c>
      <c r="E4763" s="1">
        <f>IFERROR(__xludf.DUMMYFUNCTION("""COMPUTED_VALUE"""),1690.0)</f>
        <v>1690</v>
      </c>
      <c r="F4763" s="1">
        <f>IFERROR(__xludf.DUMMYFUNCTION("""COMPUTED_VALUE"""),1283162.0)</f>
        <v>1283162</v>
      </c>
    </row>
    <row r="4764">
      <c r="A4764" s="2">
        <f>IFERROR(__xludf.DUMMYFUNCTION("""COMPUTED_VALUE"""),43557.64583333333)</f>
        <v>43557.64583</v>
      </c>
      <c r="B4764" s="1">
        <f>IFERROR(__xludf.DUMMYFUNCTION("""COMPUTED_VALUE"""),1693.15)</f>
        <v>1693.15</v>
      </c>
      <c r="C4764" s="1">
        <f>IFERROR(__xludf.DUMMYFUNCTION("""COMPUTED_VALUE"""),1697.0)</f>
        <v>1697</v>
      </c>
      <c r="D4764" s="1">
        <f>IFERROR(__xludf.DUMMYFUNCTION("""COMPUTED_VALUE"""),1680.1)</f>
        <v>1680.1</v>
      </c>
      <c r="E4764" s="1">
        <f>IFERROR(__xludf.DUMMYFUNCTION("""COMPUTED_VALUE"""),1687.15)</f>
        <v>1687.15</v>
      </c>
      <c r="F4764" s="1">
        <f>IFERROR(__xludf.DUMMYFUNCTION("""COMPUTED_VALUE"""),1227869.0)</f>
        <v>1227869</v>
      </c>
    </row>
    <row r="4765">
      <c r="A4765" s="2">
        <f>IFERROR(__xludf.DUMMYFUNCTION("""COMPUTED_VALUE"""),43558.64583333333)</f>
        <v>43558.64583</v>
      </c>
      <c r="B4765" s="1">
        <f>IFERROR(__xludf.DUMMYFUNCTION("""COMPUTED_VALUE"""),1682.0)</f>
        <v>1682</v>
      </c>
      <c r="C4765" s="1">
        <f>IFERROR(__xludf.DUMMYFUNCTION("""COMPUTED_VALUE"""),1686.6)</f>
        <v>1686.6</v>
      </c>
      <c r="D4765" s="1">
        <f>IFERROR(__xludf.DUMMYFUNCTION("""COMPUTED_VALUE"""),1668.65)</f>
        <v>1668.65</v>
      </c>
      <c r="E4765" s="1">
        <f>IFERROR(__xludf.DUMMYFUNCTION("""COMPUTED_VALUE"""),1670.8)</f>
        <v>1670.8</v>
      </c>
      <c r="F4765" s="1">
        <f>IFERROR(__xludf.DUMMYFUNCTION("""COMPUTED_VALUE"""),1233102.0)</f>
        <v>1233102</v>
      </c>
    </row>
    <row r="4766">
      <c r="A4766" s="2">
        <f>IFERROR(__xludf.DUMMYFUNCTION("""COMPUTED_VALUE"""),43559.64583333333)</f>
        <v>43559.64583</v>
      </c>
      <c r="B4766" s="1">
        <f>IFERROR(__xludf.DUMMYFUNCTION("""COMPUTED_VALUE"""),1668.0)</f>
        <v>1668</v>
      </c>
      <c r="C4766" s="1">
        <f>IFERROR(__xludf.DUMMYFUNCTION("""COMPUTED_VALUE"""),1686.6)</f>
        <v>1686.6</v>
      </c>
      <c r="D4766" s="1">
        <f>IFERROR(__xludf.DUMMYFUNCTION("""COMPUTED_VALUE"""),1658.0)</f>
        <v>1658</v>
      </c>
      <c r="E4766" s="1">
        <f>IFERROR(__xludf.DUMMYFUNCTION("""COMPUTED_VALUE"""),1666.55)</f>
        <v>1666.55</v>
      </c>
      <c r="F4766" s="1">
        <f>IFERROR(__xludf.DUMMYFUNCTION("""COMPUTED_VALUE"""),1212398.0)</f>
        <v>1212398</v>
      </c>
    </row>
    <row r="4767">
      <c r="A4767" s="2">
        <f>IFERROR(__xludf.DUMMYFUNCTION("""COMPUTED_VALUE"""),43560.64583333333)</f>
        <v>43560.64583</v>
      </c>
      <c r="B4767" s="1">
        <f>IFERROR(__xludf.DUMMYFUNCTION("""COMPUTED_VALUE"""),1670.0)</f>
        <v>1670</v>
      </c>
      <c r="C4767" s="1">
        <f>IFERROR(__xludf.DUMMYFUNCTION("""COMPUTED_VALUE"""),1671.5)</f>
        <v>1671.5</v>
      </c>
      <c r="D4767" s="1">
        <f>IFERROR(__xludf.DUMMYFUNCTION("""COMPUTED_VALUE"""),1650.0)</f>
        <v>1650</v>
      </c>
      <c r="E4767" s="1">
        <f>IFERROR(__xludf.DUMMYFUNCTION("""COMPUTED_VALUE"""),1659.1)</f>
        <v>1659.1</v>
      </c>
      <c r="F4767" s="1">
        <f>IFERROR(__xludf.DUMMYFUNCTION("""COMPUTED_VALUE"""),1468074.0)</f>
        <v>1468074</v>
      </c>
    </row>
    <row r="4768">
      <c r="A4768" s="2">
        <f>IFERROR(__xludf.DUMMYFUNCTION("""COMPUTED_VALUE"""),43563.64583333333)</f>
        <v>43563.64583</v>
      </c>
      <c r="B4768" s="1">
        <f>IFERROR(__xludf.DUMMYFUNCTION("""COMPUTED_VALUE"""),1664.9)</f>
        <v>1664.9</v>
      </c>
      <c r="C4768" s="1">
        <f>IFERROR(__xludf.DUMMYFUNCTION("""COMPUTED_VALUE"""),1679.75)</f>
        <v>1679.75</v>
      </c>
      <c r="D4768" s="1">
        <f>IFERROR(__xludf.DUMMYFUNCTION("""COMPUTED_VALUE"""),1656.9)</f>
        <v>1656.9</v>
      </c>
      <c r="E4768" s="1">
        <f>IFERROR(__xludf.DUMMYFUNCTION("""COMPUTED_VALUE"""),1664.9)</f>
        <v>1664.9</v>
      </c>
      <c r="F4768" s="1">
        <f>IFERROR(__xludf.DUMMYFUNCTION("""COMPUTED_VALUE"""),1647502.0)</f>
        <v>1647502</v>
      </c>
    </row>
    <row r="4769">
      <c r="A4769" s="2">
        <f>IFERROR(__xludf.DUMMYFUNCTION("""COMPUTED_VALUE"""),43564.64583333333)</f>
        <v>43564.64583</v>
      </c>
      <c r="B4769" s="1">
        <f>IFERROR(__xludf.DUMMYFUNCTION("""COMPUTED_VALUE"""),1668.8)</f>
        <v>1668.8</v>
      </c>
      <c r="C4769" s="1">
        <f>IFERROR(__xludf.DUMMYFUNCTION("""COMPUTED_VALUE"""),1683.9)</f>
        <v>1683.9</v>
      </c>
      <c r="D4769" s="1">
        <f>IFERROR(__xludf.DUMMYFUNCTION("""COMPUTED_VALUE"""),1662.25)</f>
        <v>1662.25</v>
      </c>
      <c r="E4769" s="1">
        <f>IFERROR(__xludf.DUMMYFUNCTION("""COMPUTED_VALUE"""),1680.5)</f>
        <v>1680.5</v>
      </c>
      <c r="F4769" s="1">
        <f>IFERROR(__xludf.DUMMYFUNCTION("""COMPUTED_VALUE"""),1232434.0)</f>
        <v>1232434</v>
      </c>
    </row>
    <row r="4770">
      <c r="A4770" s="2">
        <f>IFERROR(__xludf.DUMMYFUNCTION("""COMPUTED_VALUE"""),43565.64583333333)</f>
        <v>43565.64583</v>
      </c>
      <c r="B4770" s="1">
        <f>IFERROR(__xludf.DUMMYFUNCTION("""COMPUTED_VALUE"""),1684.7)</f>
        <v>1684.7</v>
      </c>
      <c r="C4770" s="1">
        <f>IFERROR(__xludf.DUMMYFUNCTION("""COMPUTED_VALUE"""),1704.65)</f>
        <v>1704.65</v>
      </c>
      <c r="D4770" s="1">
        <f>IFERROR(__xludf.DUMMYFUNCTION("""COMPUTED_VALUE"""),1675.0)</f>
        <v>1675</v>
      </c>
      <c r="E4770" s="1">
        <f>IFERROR(__xludf.DUMMYFUNCTION("""COMPUTED_VALUE"""),1694.15)</f>
        <v>1694.15</v>
      </c>
      <c r="F4770" s="1">
        <f>IFERROR(__xludf.DUMMYFUNCTION("""COMPUTED_VALUE"""),1720236.0)</f>
        <v>1720236</v>
      </c>
    </row>
    <row r="4771">
      <c r="A4771" s="2">
        <f>IFERROR(__xludf.DUMMYFUNCTION("""COMPUTED_VALUE"""),43566.64583333333)</f>
        <v>43566.64583</v>
      </c>
      <c r="B4771" s="1">
        <f>IFERROR(__xludf.DUMMYFUNCTION("""COMPUTED_VALUE"""),1703.0)</f>
        <v>1703</v>
      </c>
      <c r="C4771" s="1">
        <f>IFERROR(__xludf.DUMMYFUNCTION("""COMPUTED_VALUE"""),1716.5)</f>
        <v>1716.5</v>
      </c>
      <c r="D4771" s="1">
        <f>IFERROR(__xludf.DUMMYFUNCTION("""COMPUTED_VALUE"""),1698.05)</f>
        <v>1698.05</v>
      </c>
      <c r="E4771" s="1">
        <f>IFERROR(__xludf.DUMMYFUNCTION("""COMPUTED_VALUE"""),1710.4)</f>
        <v>1710.4</v>
      </c>
      <c r="F4771" s="1">
        <f>IFERROR(__xludf.DUMMYFUNCTION("""COMPUTED_VALUE"""),2026954.0)</f>
        <v>2026954</v>
      </c>
    </row>
    <row r="4772">
      <c r="A4772" s="2">
        <f>IFERROR(__xludf.DUMMYFUNCTION("""COMPUTED_VALUE"""),43567.64583333333)</f>
        <v>43567.64583</v>
      </c>
      <c r="B4772" s="1">
        <f>IFERROR(__xludf.DUMMYFUNCTION("""COMPUTED_VALUE"""),1716.4)</f>
        <v>1716.4</v>
      </c>
      <c r="C4772" s="1">
        <f>IFERROR(__xludf.DUMMYFUNCTION("""COMPUTED_VALUE"""),1724.7)</f>
        <v>1724.7</v>
      </c>
      <c r="D4772" s="1">
        <f>IFERROR(__xludf.DUMMYFUNCTION("""COMPUTED_VALUE"""),1710.2)</f>
        <v>1710.2</v>
      </c>
      <c r="E4772" s="1">
        <f>IFERROR(__xludf.DUMMYFUNCTION("""COMPUTED_VALUE"""),1721.65)</f>
        <v>1721.65</v>
      </c>
      <c r="F4772" s="1">
        <f>IFERROR(__xludf.DUMMYFUNCTION("""COMPUTED_VALUE"""),1437818.0)</f>
        <v>1437818</v>
      </c>
    </row>
    <row r="4773">
      <c r="A4773" s="2">
        <f>IFERROR(__xludf.DUMMYFUNCTION("""COMPUTED_VALUE"""),43570.64583333333)</f>
        <v>43570.64583</v>
      </c>
      <c r="B4773" s="1">
        <f>IFERROR(__xludf.DUMMYFUNCTION("""COMPUTED_VALUE"""),1725.0)</f>
        <v>1725</v>
      </c>
      <c r="C4773" s="1">
        <f>IFERROR(__xludf.DUMMYFUNCTION("""COMPUTED_VALUE"""),1731.2)</f>
        <v>1731.2</v>
      </c>
      <c r="D4773" s="1">
        <f>IFERROR(__xludf.DUMMYFUNCTION("""COMPUTED_VALUE"""),1713.1)</f>
        <v>1713.1</v>
      </c>
      <c r="E4773" s="1">
        <f>IFERROR(__xludf.DUMMYFUNCTION("""COMPUTED_VALUE"""),1722.05)</f>
        <v>1722.05</v>
      </c>
      <c r="F4773" s="1">
        <f>IFERROR(__xludf.DUMMYFUNCTION("""COMPUTED_VALUE"""),1035378.0)</f>
        <v>1035378</v>
      </c>
    </row>
    <row r="4774">
      <c r="A4774" s="2">
        <f>IFERROR(__xludf.DUMMYFUNCTION("""COMPUTED_VALUE"""),43571.64583333333)</f>
        <v>43571.64583</v>
      </c>
      <c r="B4774" s="1">
        <f>IFERROR(__xludf.DUMMYFUNCTION("""COMPUTED_VALUE"""),1726.0)</f>
        <v>1726</v>
      </c>
      <c r="C4774" s="1">
        <f>IFERROR(__xludf.DUMMYFUNCTION("""COMPUTED_VALUE"""),1742.0)</f>
        <v>1742</v>
      </c>
      <c r="D4774" s="1">
        <f>IFERROR(__xludf.DUMMYFUNCTION("""COMPUTED_VALUE"""),1716.15)</f>
        <v>1716.15</v>
      </c>
      <c r="E4774" s="1">
        <f>IFERROR(__xludf.DUMMYFUNCTION("""COMPUTED_VALUE"""),1738.55)</f>
        <v>1738.55</v>
      </c>
      <c r="F4774" s="1">
        <f>IFERROR(__xludf.DUMMYFUNCTION("""COMPUTED_VALUE"""),1625738.0)</f>
        <v>1625738</v>
      </c>
    </row>
    <row r="4775">
      <c r="A4775" s="2">
        <f>IFERROR(__xludf.DUMMYFUNCTION("""COMPUTED_VALUE"""),43573.64583333333)</f>
        <v>43573.64583</v>
      </c>
      <c r="B4775" s="1">
        <f>IFERROR(__xludf.DUMMYFUNCTION("""COMPUTED_VALUE"""),1738.55)</f>
        <v>1738.55</v>
      </c>
      <c r="C4775" s="1">
        <f>IFERROR(__xludf.DUMMYFUNCTION("""COMPUTED_VALUE"""),1744.1)</f>
        <v>1744.1</v>
      </c>
      <c r="D4775" s="1">
        <f>IFERROR(__xludf.DUMMYFUNCTION("""COMPUTED_VALUE"""),1729.25)</f>
        <v>1729.25</v>
      </c>
      <c r="E4775" s="1">
        <f>IFERROR(__xludf.DUMMYFUNCTION("""COMPUTED_VALUE"""),1739.9)</f>
        <v>1739.9</v>
      </c>
      <c r="F4775" s="1">
        <f>IFERROR(__xludf.DUMMYFUNCTION("""COMPUTED_VALUE"""),1475552.0)</f>
        <v>1475552</v>
      </c>
    </row>
    <row r="4776">
      <c r="A4776" s="2">
        <f>IFERROR(__xludf.DUMMYFUNCTION("""COMPUTED_VALUE"""),43577.64583333333)</f>
        <v>43577.64583</v>
      </c>
      <c r="B4776" s="1">
        <f>IFERROR(__xludf.DUMMYFUNCTION("""COMPUTED_VALUE"""),1740.0)</f>
        <v>1740</v>
      </c>
      <c r="C4776" s="1">
        <f>IFERROR(__xludf.DUMMYFUNCTION("""COMPUTED_VALUE"""),1745.0)</f>
        <v>1745</v>
      </c>
      <c r="D4776" s="1">
        <f>IFERROR(__xludf.DUMMYFUNCTION("""COMPUTED_VALUE"""),1730.1)</f>
        <v>1730.1</v>
      </c>
      <c r="E4776" s="1">
        <f>IFERROR(__xludf.DUMMYFUNCTION("""COMPUTED_VALUE"""),1739.85)</f>
        <v>1739.85</v>
      </c>
      <c r="F4776" s="1">
        <f>IFERROR(__xludf.DUMMYFUNCTION("""COMPUTED_VALUE"""),717781.0)</f>
        <v>717781</v>
      </c>
    </row>
    <row r="4777">
      <c r="A4777" s="2">
        <f>IFERROR(__xludf.DUMMYFUNCTION("""COMPUTED_VALUE"""),43578.64583333333)</f>
        <v>43578.64583</v>
      </c>
      <c r="B4777" s="1">
        <f>IFERROR(__xludf.DUMMYFUNCTION("""COMPUTED_VALUE"""),1742.0)</f>
        <v>1742</v>
      </c>
      <c r="C4777" s="1">
        <f>IFERROR(__xludf.DUMMYFUNCTION("""COMPUTED_VALUE"""),1748.0)</f>
        <v>1748</v>
      </c>
      <c r="D4777" s="1">
        <f>IFERROR(__xludf.DUMMYFUNCTION("""COMPUTED_VALUE"""),1733.1)</f>
        <v>1733.1</v>
      </c>
      <c r="E4777" s="1">
        <f>IFERROR(__xludf.DUMMYFUNCTION("""COMPUTED_VALUE"""),1744.2)</f>
        <v>1744.2</v>
      </c>
      <c r="F4777" s="1">
        <f>IFERROR(__xludf.DUMMYFUNCTION("""COMPUTED_VALUE"""),802947.0)</f>
        <v>802947</v>
      </c>
    </row>
    <row r="4778">
      <c r="A4778" s="2">
        <f>IFERROR(__xludf.DUMMYFUNCTION("""COMPUTED_VALUE"""),43579.64583333333)</f>
        <v>43579.64583</v>
      </c>
      <c r="B4778" s="1">
        <f>IFERROR(__xludf.DUMMYFUNCTION("""COMPUTED_VALUE"""),1744.6)</f>
        <v>1744.6</v>
      </c>
      <c r="C4778" s="1">
        <f>IFERROR(__xludf.DUMMYFUNCTION("""COMPUTED_VALUE"""),1755.0)</f>
        <v>1755</v>
      </c>
      <c r="D4778" s="1">
        <f>IFERROR(__xludf.DUMMYFUNCTION("""COMPUTED_VALUE"""),1735.0)</f>
        <v>1735</v>
      </c>
      <c r="E4778" s="1">
        <f>IFERROR(__xludf.DUMMYFUNCTION("""COMPUTED_VALUE"""),1752.6)</f>
        <v>1752.6</v>
      </c>
      <c r="F4778" s="1">
        <f>IFERROR(__xludf.DUMMYFUNCTION("""COMPUTED_VALUE"""),1169461.0)</f>
        <v>1169461</v>
      </c>
    </row>
    <row r="4779">
      <c r="A4779" s="2">
        <f>IFERROR(__xludf.DUMMYFUNCTION("""COMPUTED_VALUE"""),43580.64583333333)</f>
        <v>43580.64583</v>
      </c>
      <c r="B4779" s="1">
        <f>IFERROR(__xludf.DUMMYFUNCTION("""COMPUTED_VALUE"""),1756.0)</f>
        <v>1756</v>
      </c>
      <c r="C4779" s="1">
        <f>IFERROR(__xludf.DUMMYFUNCTION("""COMPUTED_VALUE"""),1762.6)</f>
        <v>1762.6</v>
      </c>
      <c r="D4779" s="1">
        <f>IFERROR(__xludf.DUMMYFUNCTION("""COMPUTED_VALUE"""),1727.2)</f>
        <v>1727.2</v>
      </c>
      <c r="E4779" s="1">
        <f>IFERROR(__xludf.DUMMYFUNCTION("""COMPUTED_VALUE"""),1734.2)</f>
        <v>1734.2</v>
      </c>
      <c r="F4779" s="1">
        <f>IFERROR(__xludf.DUMMYFUNCTION("""COMPUTED_VALUE"""),1704890.0)</f>
        <v>1704890</v>
      </c>
    </row>
    <row r="4780">
      <c r="A4780" s="2">
        <f>IFERROR(__xludf.DUMMYFUNCTION("""COMPUTED_VALUE"""),43581.64583333333)</f>
        <v>43581.64583</v>
      </c>
      <c r="B4780" s="1">
        <f>IFERROR(__xludf.DUMMYFUNCTION("""COMPUTED_VALUE"""),1738.0)</f>
        <v>1738</v>
      </c>
      <c r="C4780" s="1">
        <f>IFERROR(__xludf.DUMMYFUNCTION("""COMPUTED_VALUE"""),1750.8)</f>
        <v>1750.8</v>
      </c>
      <c r="D4780" s="1">
        <f>IFERROR(__xludf.DUMMYFUNCTION("""COMPUTED_VALUE"""),1726.15)</f>
        <v>1726.15</v>
      </c>
      <c r="E4780" s="1">
        <f>IFERROR(__xludf.DUMMYFUNCTION("""COMPUTED_VALUE"""),1747.35)</f>
        <v>1747.35</v>
      </c>
      <c r="F4780" s="1">
        <f>IFERROR(__xludf.DUMMYFUNCTION("""COMPUTED_VALUE"""),772993.0)</f>
        <v>772993</v>
      </c>
    </row>
    <row r="4781">
      <c r="A4781" s="2">
        <f>IFERROR(__xludf.DUMMYFUNCTION("""COMPUTED_VALUE"""),43585.64583333333)</f>
        <v>43585.64583</v>
      </c>
      <c r="B4781" s="1">
        <f>IFERROR(__xludf.DUMMYFUNCTION("""COMPUTED_VALUE"""),1750.0)</f>
        <v>1750</v>
      </c>
      <c r="C4781" s="1">
        <f>IFERROR(__xludf.DUMMYFUNCTION("""COMPUTED_VALUE"""),1762.0)</f>
        <v>1762</v>
      </c>
      <c r="D4781" s="1">
        <f>IFERROR(__xludf.DUMMYFUNCTION("""COMPUTED_VALUE"""),1744.95)</f>
        <v>1744.95</v>
      </c>
      <c r="E4781" s="1">
        <f>IFERROR(__xludf.DUMMYFUNCTION("""COMPUTED_VALUE"""),1757.7)</f>
        <v>1757.7</v>
      </c>
      <c r="F4781" s="1">
        <f>IFERROR(__xludf.DUMMYFUNCTION("""COMPUTED_VALUE"""),1171594.0)</f>
        <v>1171594</v>
      </c>
    </row>
    <row r="4782">
      <c r="A4782" s="2">
        <f>IFERROR(__xludf.DUMMYFUNCTION("""COMPUTED_VALUE"""),43587.64583333333)</f>
        <v>43587.64583</v>
      </c>
      <c r="B4782" s="1">
        <f>IFERROR(__xludf.DUMMYFUNCTION("""COMPUTED_VALUE"""),1756.5)</f>
        <v>1756.5</v>
      </c>
      <c r="C4782" s="1">
        <f>IFERROR(__xludf.DUMMYFUNCTION("""COMPUTED_VALUE"""),1762.5)</f>
        <v>1762.5</v>
      </c>
      <c r="D4782" s="1">
        <f>IFERROR(__xludf.DUMMYFUNCTION("""COMPUTED_VALUE"""),1720.25)</f>
        <v>1720.25</v>
      </c>
      <c r="E4782" s="1">
        <f>IFERROR(__xludf.DUMMYFUNCTION("""COMPUTED_VALUE"""),1723.55)</f>
        <v>1723.55</v>
      </c>
      <c r="F4782" s="1">
        <f>IFERROR(__xludf.DUMMYFUNCTION("""COMPUTED_VALUE"""),793819.0)</f>
        <v>793819</v>
      </c>
    </row>
    <row r="4783">
      <c r="A4783" s="2">
        <f>IFERROR(__xludf.DUMMYFUNCTION("""COMPUTED_VALUE"""),43588.64583333333)</f>
        <v>43588.64583</v>
      </c>
      <c r="B4783" s="1">
        <f>IFERROR(__xludf.DUMMYFUNCTION("""COMPUTED_VALUE"""),1720.0)</f>
        <v>1720</v>
      </c>
      <c r="C4783" s="1">
        <f>IFERROR(__xludf.DUMMYFUNCTION("""COMPUTED_VALUE"""),1727.0)</f>
        <v>1727</v>
      </c>
      <c r="D4783" s="1">
        <f>IFERROR(__xludf.DUMMYFUNCTION("""COMPUTED_VALUE"""),1682.0)</f>
        <v>1682</v>
      </c>
      <c r="E4783" s="1">
        <f>IFERROR(__xludf.DUMMYFUNCTION("""COMPUTED_VALUE"""),1693.55)</f>
        <v>1693.55</v>
      </c>
      <c r="F4783" s="1">
        <f>IFERROR(__xludf.DUMMYFUNCTION("""COMPUTED_VALUE"""),1442888.0)</f>
        <v>1442888</v>
      </c>
    </row>
    <row r="4784">
      <c r="A4784" s="2">
        <f>IFERROR(__xludf.DUMMYFUNCTION("""COMPUTED_VALUE"""),43591.64583333333)</f>
        <v>43591.64583</v>
      </c>
      <c r="B4784" s="1">
        <f>IFERROR(__xludf.DUMMYFUNCTION("""COMPUTED_VALUE"""),1687.0)</f>
        <v>1687</v>
      </c>
      <c r="C4784" s="1">
        <f>IFERROR(__xludf.DUMMYFUNCTION("""COMPUTED_VALUE"""),1687.0)</f>
        <v>1687</v>
      </c>
      <c r="D4784" s="1">
        <f>IFERROR(__xludf.DUMMYFUNCTION("""COMPUTED_VALUE"""),1656.0)</f>
        <v>1656</v>
      </c>
      <c r="E4784" s="1">
        <f>IFERROR(__xludf.DUMMYFUNCTION("""COMPUTED_VALUE"""),1668.9)</f>
        <v>1668.9</v>
      </c>
      <c r="F4784" s="1">
        <f>IFERROR(__xludf.DUMMYFUNCTION("""COMPUTED_VALUE"""),2373878.0)</f>
        <v>2373878</v>
      </c>
    </row>
    <row r="4785">
      <c r="A4785" s="2">
        <f>IFERROR(__xludf.DUMMYFUNCTION("""COMPUTED_VALUE"""),43592.79166666667)</f>
        <v>43592.79167</v>
      </c>
      <c r="B4785" s="1">
        <f>IFERROR(__xludf.DUMMYFUNCTION("""COMPUTED_VALUE"""),1678.8)</f>
        <v>1678.8</v>
      </c>
      <c r="C4785" s="1">
        <f>IFERROR(__xludf.DUMMYFUNCTION("""COMPUTED_VALUE"""),1710.9)</f>
        <v>1710.9</v>
      </c>
      <c r="D4785" s="1">
        <f>IFERROR(__xludf.DUMMYFUNCTION("""COMPUTED_VALUE"""),1672.5)</f>
        <v>1672.5</v>
      </c>
      <c r="E4785" s="1">
        <f>IFERROR(__xludf.DUMMYFUNCTION("""COMPUTED_VALUE"""),1697.5)</f>
        <v>1697.5</v>
      </c>
      <c r="F4785" s="1">
        <f>IFERROR(__xludf.DUMMYFUNCTION("""COMPUTED_VALUE"""),2212617.0)</f>
        <v>2212617</v>
      </c>
    </row>
    <row r="4786">
      <c r="A4786" s="2">
        <f>IFERROR(__xludf.DUMMYFUNCTION("""COMPUTED_VALUE"""),43593.64583333333)</f>
        <v>43593.64583</v>
      </c>
      <c r="B4786" s="1">
        <f>IFERROR(__xludf.DUMMYFUNCTION("""COMPUTED_VALUE"""),1697.5)</f>
        <v>1697.5</v>
      </c>
      <c r="C4786" s="1">
        <f>IFERROR(__xludf.DUMMYFUNCTION("""COMPUTED_VALUE"""),1697.5)</f>
        <v>1697.5</v>
      </c>
      <c r="D4786" s="1">
        <f>IFERROR(__xludf.DUMMYFUNCTION("""COMPUTED_VALUE"""),1675.0)</f>
        <v>1675</v>
      </c>
      <c r="E4786" s="1">
        <f>IFERROR(__xludf.DUMMYFUNCTION("""COMPUTED_VALUE"""),1688.7)</f>
        <v>1688.7</v>
      </c>
      <c r="F4786" s="1">
        <f>IFERROR(__xludf.DUMMYFUNCTION("""COMPUTED_VALUE"""),1243338.0)</f>
        <v>1243338</v>
      </c>
    </row>
    <row r="4787">
      <c r="A4787" s="2">
        <f>IFERROR(__xludf.DUMMYFUNCTION("""COMPUTED_VALUE"""),43594.64583333333)</f>
        <v>43594.64583</v>
      </c>
      <c r="B4787" s="1">
        <f>IFERROR(__xludf.DUMMYFUNCTION("""COMPUTED_VALUE"""),1680.1)</f>
        <v>1680.1</v>
      </c>
      <c r="C4787" s="1">
        <f>IFERROR(__xludf.DUMMYFUNCTION("""COMPUTED_VALUE"""),1713.0)</f>
        <v>1713</v>
      </c>
      <c r="D4787" s="1">
        <f>IFERROR(__xludf.DUMMYFUNCTION("""COMPUTED_VALUE"""),1677.0)</f>
        <v>1677</v>
      </c>
      <c r="E4787" s="1">
        <f>IFERROR(__xludf.DUMMYFUNCTION("""COMPUTED_VALUE"""),1703.75)</f>
        <v>1703.75</v>
      </c>
      <c r="F4787" s="1">
        <f>IFERROR(__xludf.DUMMYFUNCTION("""COMPUTED_VALUE"""),1204995.0)</f>
        <v>1204995</v>
      </c>
    </row>
    <row r="4788">
      <c r="A4788" s="2">
        <f>IFERROR(__xludf.DUMMYFUNCTION("""COMPUTED_VALUE"""),43595.64583333333)</f>
        <v>43595.64583</v>
      </c>
      <c r="B4788" s="1">
        <f>IFERROR(__xludf.DUMMYFUNCTION("""COMPUTED_VALUE"""),1708.95)</f>
        <v>1708.95</v>
      </c>
      <c r="C4788" s="1">
        <f>IFERROR(__xludf.DUMMYFUNCTION("""COMPUTED_VALUE"""),1709.0)</f>
        <v>1709</v>
      </c>
      <c r="D4788" s="1">
        <f>IFERROR(__xludf.DUMMYFUNCTION("""COMPUTED_VALUE"""),1678.5)</f>
        <v>1678.5</v>
      </c>
      <c r="E4788" s="1">
        <f>IFERROR(__xludf.DUMMYFUNCTION("""COMPUTED_VALUE"""),1687.45)</f>
        <v>1687.45</v>
      </c>
      <c r="F4788" s="1">
        <f>IFERROR(__xludf.DUMMYFUNCTION("""COMPUTED_VALUE"""),1000696.0)</f>
        <v>1000696</v>
      </c>
    </row>
    <row r="4789">
      <c r="A4789" s="2">
        <f>IFERROR(__xludf.DUMMYFUNCTION("""COMPUTED_VALUE"""),43598.64583333333)</f>
        <v>43598.64583</v>
      </c>
      <c r="B4789" s="1">
        <f>IFERROR(__xludf.DUMMYFUNCTION("""COMPUTED_VALUE"""),1692.0)</f>
        <v>1692</v>
      </c>
      <c r="C4789" s="1">
        <f>IFERROR(__xludf.DUMMYFUNCTION("""COMPUTED_VALUE"""),1717.0)</f>
        <v>1717</v>
      </c>
      <c r="D4789" s="1">
        <f>IFERROR(__xludf.DUMMYFUNCTION("""COMPUTED_VALUE"""),1688.7)</f>
        <v>1688.7</v>
      </c>
      <c r="E4789" s="1">
        <f>IFERROR(__xludf.DUMMYFUNCTION("""COMPUTED_VALUE"""),1702.0)</f>
        <v>1702</v>
      </c>
      <c r="F4789" s="1">
        <f>IFERROR(__xludf.DUMMYFUNCTION("""COMPUTED_VALUE"""),1160287.0)</f>
        <v>1160287</v>
      </c>
    </row>
    <row r="4790">
      <c r="A4790" s="2">
        <f>IFERROR(__xludf.DUMMYFUNCTION("""COMPUTED_VALUE"""),43599.64583333333)</f>
        <v>43599.64583</v>
      </c>
      <c r="B4790" s="1">
        <f>IFERROR(__xludf.DUMMYFUNCTION("""COMPUTED_VALUE"""),1700.0)</f>
        <v>1700</v>
      </c>
      <c r="C4790" s="1">
        <f>IFERROR(__xludf.DUMMYFUNCTION("""COMPUTED_VALUE"""),1710.0)</f>
        <v>1710</v>
      </c>
      <c r="D4790" s="1">
        <f>IFERROR(__xludf.DUMMYFUNCTION("""COMPUTED_VALUE"""),1680.2)</f>
        <v>1680.2</v>
      </c>
      <c r="E4790" s="1">
        <f>IFERROR(__xludf.DUMMYFUNCTION("""COMPUTED_VALUE"""),1698.5)</f>
        <v>1698.5</v>
      </c>
      <c r="F4790" s="1">
        <f>IFERROR(__xludf.DUMMYFUNCTION("""COMPUTED_VALUE"""),1442817.0)</f>
        <v>1442817</v>
      </c>
    </row>
    <row r="4791">
      <c r="A4791" s="2">
        <f>IFERROR(__xludf.DUMMYFUNCTION("""COMPUTED_VALUE"""),43600.64583333333)</f>
        <v>43600.64583</v>
      </c>
      <c r="B4791" s="1">
        <f>IFERROR(__xludf.DUMMYFUNCTION("""COMPUTED_VALUE"""),1700.0)</f>
        <v>1700</v>
      </c>
      <c r="C4791" s="1">
        <f>IFERROR(__xludf.DUMMYFUNCTION("""COMPUTED_VALUE"""),1703.0)</f>
        <v>1703</v>
      </c>
      <c r="D4791" s="1">
        <f>IFERROR(__xludf.DUMMYFUNCTION("""COMPUTED_VALUE"""),1666.95)</f>
        <v>1666.95</v>
      </c>
      <c r="E4791" s="1">
        <f>IFERROR(__xludf.DUMMYFUNCTION("""COMPUTED_VALUE"""),1671.05)</f>
        <v>1671.05</v>
      </c>
      <c r="F4791" s="1">
        <f>IFERROR(__xludf.DUMMYFUNCTION("""COMPUTED_VALUE"""),1235429.0)</f>
        <v>1235429</v>
      </c>
    </row>
    <row r="4792">
      <c r="A4792" s="2">
        <f>IFERROR(__xludf.DUMMYFUNCTION("""COMPUTED_VALUE"""),43601.64583333333)</f>
        <v>43601.64583</v>
      </c>
      <c r="B4792" s="1">
        <f>IFERROR(__xludf.DUMMYFUNCTION("""COMPUTED_VALUE"""),1674.7)</f>
        <v>1674.7</v>
      </c>
      <c r="C4792" s="1">
        <f>IFERROR(__xludf.DUMMYFUNCTION("""COMPUTED_VALUE"""),1700.0)</f>
        <v>1700</v>
      </c>
      <c r="D4792" s="1">
        <f>IFERROR(__xludf.DUMMYFUNCTION("""COMPUTED_VALUE"""),1672.2)</f>
        <v>1672.2</v>
      </c>
      <c r="E4792" s="1">
        <f>IFERROR(__xludf.DUMMYFUNCTION("""COMPUTED_VALUE"""),1688.2)</f>
        <v>1688.2</v>
      </c>
      <c r="F4792" s="1">
        <f>IFERROR(__xludf.DUMMYFUNCTION("""COMPUTED_VALUE"""),714690.0)</f>
        <v>714690</v>
      </c>
    </row>
    <row r="4793">
      <c r="A4793" s="2">
        <f>IFERROR(__xludf.DUMMYFUNCTION("""COMPUTED_VALUE"""),43602.64583333333)</f>
        <v>43602.64583</v>
      </c>
      <c r="B4793" s="1">
        <f>IFERROR(__xludf.DUMMYFUNCTION("""COMPUTED_VALUE"""),1690.1)</f>
        <v>1690.1</v>
      </c>
      <c r="C4793" s="1">
        <f>IFERROR(__xludf.DUMMYFUNCTION("""COMPUTED_VALUE"""),1742.2)</f>
        <v>1742.2</v>
      </c>
      <c r="D4793" s="1">
        <f>IFERROR(__xludf.DUMMYFUNCTION("""COMPUTED_VALUE"""),1685.2)</f>
        <v>1685.2</v>
      </c>
      <c r="E4793" s="1">
        <f>IFERROR(__xludf.DUMMYFUNCTION("""COMPUTED_VALUE"""),1736.8)</f>
        <v>1736.8</v>
      </c>
      <c r="F4793" s="1">
        <f>IFERROR(__xludf.DUMMYFUNCTION("""COMPUTED_VALUE"""),1502484.0)</f>
        <v>1502484</v>
      </c>
    </row>
    <row r="4794">
      <c r="A4794" s="2">
        <f>IFERROR(__xludf.DUMMYFUNCTION("""COMPUTED_VALUE"""),43605.64583333333)</f>
        <v>43605.64583</v>
      </c>
      <c r="B4794" s="1">
        <f>IFERROR(__xludf.DUMMYFUNCTION("""COMPUTED_VALUE"""),1760.0)</f>
        <v>1760</v>
      </c>
      <c r="C4794" s="1">
        <f>IFERROR(__xludf.DUMMYFUNCTION("""COMPUTED_VALUE"""),1776.65)</f>
        <v>1776.65</v>
      </c>
      <c r="D4794" s="1">
        <f>IFERROR(__xludf.DUMMYFUNCTION("""COMPUTED_VALUE"""),1734.85)</f>
        <v>1734.85</v>
      </c>
      <c r="E4794" s="1">
        <f>IFERROR(__xludf.DUMMYFUNCTION("""COMPUTED_VALUE"""),1772.5)</f>
        <v>1772.5</v>
      </c>
      <c r="F4794" s="1">
        <f>IFERROR(__xludf.DUMMYFUNCTION("""COMPUTED_VALUE"""),1279236.0)</f>
        <v>1279236</v>
      </c>
    </row>
    <row r="4795">
      <c r="A4795" s="2">
        <f>IFERROR(__xludf.DUMMYFUNCTION("""COMPUTED_VALUE"""),43606.64583333333)</f>
        <v>43606.64583</v>
      </c>
      <c r="B4795" s="1">
        <f>IFERROR(__xludf.DUMMYFUNCTION("""COMPUTED_VALUE"""),1772.9)</f>
        <v>1772.9</v>
      </c>
      <c r="C4795" s="1">
        <f>IFERROR(__xludf.DUMMYFUNCTION("""COMPUTED_VALUE"""),1797.45)</f>
        <v>1797.45</v>
      </c>
      <c r="D4795" s="1">
        <f>IFERROR(__xludf.DUMMYFUNCTION("""COMPUTED_VALUE"""),1772.9)</f>
        <v>1772.9</v>
      </c>
      <c r="E4795" s="1">
        <f>IFERROR(__xludf.DUMMYFUNCTION("""COMPUTED_VALUE"""),1785.25)</f>
        <v>1785.25</v>
      </c>
      <c r="F4795" s="1">
        <f>IFERROR(__xludf.DUMMYFUNCTION("""COMPUTED_VALUE"""),1337466.0)</f>
        <v>1337466</v>
      </c>
    </row>
    <row r="4796">
      <c r="A4796" s="2">
        <f>IFERROR(__xludf.DUMMYFUNCTION("""COMPUTED_VALUE"""),43607.64583333333)</f>
        <v>43607.64583</v>
      </c>
      <c r="B4796" s="1">
        <f>IFERROR(__xludf.DUMMYFUNCTION("""COMPUTED_VALUE"""),1785.0)</f>
        <v>1785</v>
      </c>
      <c r="C4796" s="1">
        <f>IFERROR(__xludf.DUMMYFUNCTION("""COMPUTED_VALUE"""),1785.0)</f>
        <v>1785</v>
      </c>
      <c r="D4796" s="1">
        <f>IFERROR(__xludf.DUMMYFUNCTION("""COMPUTED_VALUE"""),1747.35)</f>
        <v>1747.35</v>
      </c>
      <c r="E4796" s="1">
        <f>IFERROR(__xludf.DUMMYFUNCTION("""COMPUTED_VALUE"""),1768.3)</f>
        <v>1768.3</v>
      </c>
      <c r="F4796" s="1">
        <f>IFERROR(__xludf.DUMMYFUNCTION("""COMPUTED_VALUE"""),1162653.0)</f>
        <v>1162653</v>
      </c>
    </row>
    <row r="4797">
      <c r="A4797" s="2">
        <f>IFERROR(__xludf.DUMMYFUNCTION("""COMPUTED_VALUE"""),43608.64583333333)</f>
        <v>43608.64583</v>
      </c>
      <c r="B4797" s="1">
        <f>IFERROR(__xludf.DUMMYFUNCTION("""COMPUTED_VALUE"""),1785.95)</f>
        <v>1785.95</v>
      </c>
      <c r="C4797" s="1">
        <f>IFERROR(__xludf.DUMMYFUNCTION("""COMPUTED_VALUE"""),1804.9)</f>
        <v>1804.9</v>
      </c>
      <c r="D4797" s="1">
        <f>IFERROR(__xludf.DUMMYFUNCTION("""COMPUTED_VALUE"""),1745.0)</f>
        <v>1745</v>
      </c>
      <c r="E4797" s="1">
        <f>IFERROR(__xludf.DUMMYFUNCTION("""COMPUTED_VALUE"""),1753.85)</f>
        <v>1753.85</v>
      </c>
      <c r="F4797" s="1">
        <f>IFERROR(__xludf.DUMMYFUNCTION("""COMPUTED_VALUE"""),1551172.0)</f>
        <v>1551172</v>
      </c>
    </row>
    <row r="4798">
      <c r="A4798" s="2">
        <f>IFERROR(__xludf.DUMMYFUNCTION("""COMPUTED_VALUE"""),43609.64583333333)</f>
        <v>43609.64583</v>
      </c>
      <c r="B4798" s="1">
        <f>IFERROR(__xludf.DUMMYFUNCTION("""COMPUTED_VALUE"""),1754.0)</f>
        <v>1754</v>
      </c>
      <c r="C4798" s="1">
        <f>IFERROR(__xludf.DUMMYFUNCTION("""COMPUTED_VALUE"""),1759.8)</f>
        <v>1759.8</v>
      </c>
      <c r="D4798" s="1">
        <f>IFERROR(__xludf.DUMMYFUNCTION("""COMPUTED_VALUE"""),1727.1)</f>
        <v>1727.1</v>
      </c>
      <c r="E4798" s="1">
        <f>IFERROR(__xludf.DUMMYFUNCTION("""COMPUTED_VALUE"""),1749.6)</f>
        <v>1749.6</v>
      </c>
      <c r="F4798" s="1">
        <f>IFERROR(__xludf.DUMMYFUNCTION("""COMPUTED_VALUE"""),1603085.0)</f>
        <v>1603085</v>
      </c>
    </row>
    <row r="4799">
      <c r="A4799" s="2">
        <f>IFERROR(__xludf.DUMMYFUNCTION("""COMPUTED_VALUE"""),43612.64583333333)</f>
        <v>43612.64583</v>
      </c>
      <c r="B4799" s="1">
        <f>IFERROR(__xludf.DUMMYFUNCTION("""COMPUTED_VALUE"""),1749.0)</f>
        <v>1749</v>
      </c>
      <c r="C4799" s="1">
        <f>IFERROR(__xludf.DUMMYFUNCTION("""COMPUTED_VALUE"""),1775.95)</f>
        <v>1775.95</v>
      </c>
      <c r="D4799" s="1">
        <f>IFERROR(__xludf.DUMMYFUNCTION("""COMPUTED_VALUE"""),1736.0)</f>
        <v>1736</v>
      </c>
      <c r="E4799" s="1">
        <f>IFERROR(__xludf.DUMMYFUNCTION("""COMPUTED_VALUE"""),1771.95)</f>
        <v>1771.95</v>
      </c>
      <c r="F4799" s="1">
        <f>IFERROR(__xludf.DUMMYFUNCTION("""COMPUTED_VALUE"""),1373845.0)</f>
        <v>1373845</v>
      </c>
    </row>
    <row r="4800">
      <c r="A4800" s="2">
        <f>IFERROR(__xludf.DUMMYFUNCTION("""COMPUTED_VALUE"""),43613.64583333333)</f>
        <v>43613.64583</v>
      </c>
      <c r="B4800" s="1">
        <f>IFERROR(__xludf.DUMMYFUNCTION("""COMPUTED_VALUE"""),1775.0)</f>
        <v>1775</v>
      </c>
      <c r="C4800" s="1">
        <f>IFERROR(__xludf.DUMMYFUNCTION("""COMPUTED_VALUE"""),1786.0)</f>
        <v>1786</v>
      </c>
      <c r="D4800" s="1">
        <f>IFERROR(__xludf.DUMMYFUNCTION("""COMPUTED_VALUE"""),1754.5)</f>
        <v>1754.5</v>
      </c>
      <c r="E4800" s="1">
        <f>IFERROR(__xludf.DUMMYFUNCTION("""COMPUTED_VALUE"""),1776.9)</f>
        <v>1776.9</v>
      </c>
      <c r="F4800" s="1">
        <f>IFERROR(__xludf.DUMMYFUNCTION("""COMPUTED_VALUE"""),2863139.0)</f>
        <v>2863139</v>
      </c>
    </row>
    <row r="4801">
      <c r="A4801" s="2">
        <f>IFERROR(__xludf.DUMMYFUNCTION("""COMPUTED_VALUE"""),43614.64583333333)</f>
        <v>43614.64583</v>
      </c>
      <c r="B4801" s="1">
        <f>IFERROR(__xludf.DUMMYFUNCTION("""COMPUTED_VALUE"""),1775.0)</f>
        <v>1775</v>
      </c>
      <c r="C4801" s="1">
        <f>IFERROR(__xludf.DUMMYFUNCTION("""COMPUTED_VALUE"""),1789.35)</f>
        <v>1789.35</v>
      </c>
      <c r="D4801" s="1">
        <f>IFERROR(__xludf.DUMMYFUNCTION("""COMPUTED_VALUE"""),1770.4)</f>
        <v>1770.4</v>
      </c>
      <c r="E4801" s="1">
        <f>IFERROR(__xludf.DUMMYFUNCTION("""COMPUTED_VALUE"""),1780.85)</f>
        <v>1780.85</v>
      </c>
      <c r="F4801" s="1">
        <f>IFERROR(__xludf.DUMMYFUNCTION("""COMPUTED_VALUE"""),899619.0)</f>
        <v>899619</v>
      </c>
    </row>
    <row r="4802">
      <c r="A4802" s="2">
        <f>IFERROR(__xludf.DUMMYFUNCTION("""COMPUTED_VALUE"""),43615.64583333333)</f>
        <v>43615.64583</v>
      </c>
      <c r="B4802" s="1">
        <f>IFERROR(__xludf.DUMMYFUNCTION("""COMPUTED_VALUE"""),1788.0)</f>
        <v>1788</v>
      </c>
      <c r="C4802" s="1">
        <f>IFERROR(__xludf.DUMMYFUNCTION("""COMPUTED_VALUE"""),1792.0)</f>
        <v>1792</v>
      </c>
      <c r="D4802" s="1">
        <f>IFERROR(__xludf.DUMMYFUNCTION("""COMPUTED_VALUE"""),1781.0)</f>
        <v>1781</v>
      </c>
      <c r="E4802" s="1">
        <f>IFERROR(__xludf.DUMMYFUNCTION("""COMPUTED_VALUE"""),1784.25)</f>
        <v>1784.25</v>
      </c>
      <c r="F4802" s="1">
        <f>IFERROR(__xludf.DUMMYFUNCTION("""COMPUTED_VALUE"""),1038433.0)</f>
        <v>1038433</v>
      </c>
    </row>
    <row r="4803">
      <c r="A4803" s="2">
        <f>IFERROR(__xludf.DUMMYFUNCTION("""COMPUTED_VALUE"""),43616.64583333333)</f>
        <v>43616.64583</v>
      </c>
      <c r="B4803" s="1">
        <f>IFERROR(__xludf.DUMMYFUNCTION("""COMPUTED_VALUE"""),1786.7)</f>
        <v>1786.7</v>
      </c>
      <c r="C4803" s="1">
        <f>IFERROR(__xludf.DUMMYFUNCTION("""COMPUTED_VALUE"""),1802.65)</f>
        <v>1802.65</v>
      </c>
      <c r="D4803" s="1">
        <f>IFERROR(__xludf.DUMMYFUNCTION("""COMPUTED_VALUE"""),1764.0)</f>
        <v>1764</v>
      </c>
      <c r="E4803" s="1">
        <f>IFERROR(__xludf.DUMMYFUNCTION("""COMPUTED_VALUE"""),1788.5)</f>
        <v>1788.5</v>
      </c>
      <c r="F4803" s="1">
        <f>IFERROR(__xludf.DUMMYFUNCTION("""COMPUTED_VALUE"""),1329926.0)</f>
        <v>1329926</v>
      </c>
    </row>
    <row r="4804">
      <c r="A4804" s="2">
        <f>IFERROR(__xludf.DUMMYFUNCTION("""COMPUTED_VALUE"""),43619.64583333333)</f>
        <v>43619.64583</v>
      </c>
      <c r="B4804" s="1">
        <f>IFERROR(__xludf.DUMMYFUNCTION("""COMPUTED_VALUE"""),1794.0)</f>
        <v>1794</v>
      </c>
      <c r="C4804" s="1">
        <f>IFERROR(__xludf.DUMMYFUNCTION("""COMPUTED_VALUE"""),1845.0)</f>
        <v>1845</v>
      </c>
      <c r="D4804" s="1">
        <f>IFERROR(__xludf.DUMMYFUNCTION("""COMPUTED_VALUE"""),1792.0)</f>
        <v>1792</v>
      </c>
      <c r="E4804" s="1">
        <f>IFERROR(__xludf.DUMMYFUNCTION("""COMPUTED_VALUE"""),1839.7)</f>
        <v>1839.7</v>
      </c>
      <c r="F4804" s="1">
        <f>IFERROR(__xludf.DUMMYFUNCTION("""COMPUTED_VALUE"""),1415582.0)</f>
        <v>1415582</v>
      </c>
    </row>
    <row r="4805">
      <c r="A4805" s="2">
        <f>IFERROR(__xludf.DUMMYFUNCTION("""COMPUTED_VALUE"""),43620.64583333333)</f>
        <v>43620.64583</v>
      </c>
      <c r="B4805" s="1">
        <f>IFERROR(__xludf.DUMMYFUNCTION("""COMPUTED_VALUE"""),1831.0)</f>
        <v>1831</v>
      </c>
      <c r="C4805" s="1">
        <f>IFERROR(__xludf.DUMMYFUNCTION("""COMPUTED_VALUE"""),1845.5)</f>
        <v>1845.5</v>
      </c>
      <c r="D4805" s="1">
        <f>IFERROR(__xludf.DUMMYFUNCTION("""COMPUTED_VALUE"""),1807.1)</f>
        <v>1807.1</v>
      </c>
      <c r="E4805" s="1">
        <f>IFERROR(__xludf.DUMMYFUNCTION("""COMPUTED_VALUE"""),1815.6)</f>
        <v>1815.6</v>
      </c>
      <c r="F4805" s="1">
        <f>IFERROR(__xludf.DUMMYFUNCTION("""COMPUTED_VALUE"""),842283.0)</f>
        <v>842283</v>
      </c>
    </row>
    <row r="4806">
      <c r="A4806" s="2">
        <f>IFERROR(__xludf.DUMMYFUNCTION("""COMPUTED_VALUE"""),43622.64583333333)</f>
        <v>43622.64583</v>
      </c>
      <c r="B4806" s="1">
        <f>IFERROR(__xludf.DUMMYFUNCTION("""COMPUTED_VALUE"""),1822.15)</f>
        <v>1822.15</v>
      </c>
      <c r="C4806" s="1">
        <f>IFERROR(__xludf.DUMMYFUNCTION("""COMPUTED_VALUE"""),1849.9)</f>
        <v>1849.9</v>
      </c>
      <c r="D4806" s="1">
        <f>IFERROR(__xludf.DUMMYFUNCTION("""COMPUTED_VALUE"""),1812.1)</f>
        <v>1812.1</v>
      </c>
      <c r="E4806" s="1">
        <f>IFERROR(__xludf.DUMMYFUNCTION("""COMPUTED_VALUE"""),1837.75)</f>
        <v>1837.75</v>
      </c>
      <c r="F4806" s="1">
        <f>IFERROR(__xludf.DUMMYFUNCTION("""COMPUTED_VALUE"""),1626007.0)</f>
        <v>1626007</v>
      </c>
    </row>
    <row r="4807">
      <c r="A4807" s="2">
        <f>IFERROR(__xludf.DUMMYFUNCTION("""COMPUTED_VALUE"""),43623.64583333333)</f>
        <v>43623.64583</v>
      </c>
      <c r="B4807" s="1">
        <f>IFERROR(__xludf.DUMMYFUNCTION("""COMPUTED_VALUE"""),1833.0)</f>
        <v>1833</v>
      </c>
      <c r="C4807" s="1">
        <f>IFERROR(__xludf.DUMMYFUNCTION("""COMPUTED_VALUE"""),1844.75)</f>
        <v>1844.75</v>
      </c>
      <c r="D4807" s="1">
        <f>IFERROR(__xludf.DUMMYFUNCTION("""COMPUTED_VALUE"""),1815.0)</f>
        <v>1815</v>
      </c>
      <c r="E4807" s="1">
        <f>IFERROR(__xludf.DUMMYFUNCTION("""COMPUTED_VALUE"""),1830.75)</f>
        <v>1830.75</v>
      </c>
      <c r="F4807" s="1">
        <f>IFERROR(__xludf.DUMMYFUNCTION("""COMPUTED_VALUE"""),698970.0)</f>
        <v>698970</v>
      </c>
    </row>
    <row r="4808">
      <c r="A4808" s="2">
        <f>IFERROR(__xludf.DUMMYFUNCTION("""COMPUTED_VALUE"""),43626.64583333333)</f>
        <v>43626.64583</v>
      </c>
      <c r="B4808" s="1">
        <f>IFERROR(__xludf.DUMMYFUNCTION("""COMPUTED_VALUE"""),1839.8)</f>
        <v>1839.8</v>
      </c>
      <c r="C4808" s="1">
        <f>IFERROR(__xludf.DUMMYFUNCTION("""COMPUTED_VALUE"""),1864.95)</f>
        <v>1864.95</v>
      </c>
      <c r="D4808" s="1">
        <f>IFERROR(__xludf.DUMMYFUNCTION("""COMPUTED_VALUE"""),1835.0)</f>
        <v>1835</v>
      </c>
      <c r="E4808" s="1">
        <f>IFERROR(__xludf.DUMMYFUNCTION("""COMPUTED_VALUE"""),1852.5)</f>
        <v>1852.5</v>
      </c>
      <c r="F4808" s="1">
        <f>IFERROR(__xludf.DUMMYFUNCTION("""COMPUTED_VALUE"""),814577.0)</f>
        <v>814577</v>
      </c>
    </row>
    <row r="4809">
      <c r="A4809" s="2">
        <f>IFERROR(__xludf.DUMMYFUNCTION("""COMPUTED_VALUE"""),43627.64583333333)</f>
        <v>43627.64583</v>
      </c>
      <c r="B4809" s="1">
        <f>IFERROR(__xludf.DUMMYFUNCTION("""COMPUTED_VALUE"""),1855.1)</f>
        <v>1855.1</v>
      </c>
      <c r="C4809" s="1">
        <f>IFERROR(__xludf.DUMMYFUNCTION("""COMPUTED_VALUE"""),1856.8)</f>
        <v>1856.8</v>
      </c>
      <c r="D4809" s="1">
        <f>IFERROR(__xludf.DUMMYFUNCTION("""COMPUTED_VALUE"""),1832.1)</f>
        <v>1832.1</v>
      </c>
      <c r="E4809" s="1">
        <f>IFERROR(__xludf.DUMMYFUNCTION("""COMPUTED_VALUE"""),1839.8)</f>
        <v>1839.8</v>
      </c>
      <c r="F4809" s="1">
        <f>IFERROR(__xludf.DUMMYFUNCTION("""COMPUTED_VALUE"""),591026.0)</f>
        <v>591026</v>
      </c>
    </row>
    <row r="4810">
      <c r="A4810" s="2">
        <f>IFERROR(__xludf.DUMMYFUNCTION("""COMPUTED_VALUE"""),43628.64583333333)</f>
        <v>43628.64583</v>
      </c>
      <c r="B4810" s="1">
        <f>IFERROR(__xludf.DUMMYFUNCTION("""COMPUTED_VALUE"""),1838.0)</f>
        <v>1838</v>
      </c>
      <c r="C4810" s="1">
        <f>IFERROR(__xludf.DUMMYFUNCTION("""COMPUTED_VALUE"""),1853.25)</f>
        <v>1853.25</v>
      </c>
      <c r="D4810" s="1">
        <f>IFERROR(__xludf.DUMMYFUNCTION("""COMPUTED_VALUE"""),1822.05)</f>
        <v>1822.05</v>
      </c>
      <c r="E4810" s="1">
        <f>IFERROR(__xludf.DUMMYFUNCTION("""COMPUTED_VALUE"""),1847.1)</f>
        <v>1847.1</v>
      </c>
      <c r="F4810" s="1">
        <f>IFERROR(__xludf.DUMMYFUNCTION("""COMPUTED_VALUE"""),709916.0)</f>
        <v>709916</v>
      </c>
    </row>
    <row r="4811">
      <c r="A4811" s="2">
        <f>IFERROR(__xludf.DUMMYFUNCTION("""COMPUTED_VALUE"""),43629.64583333333)</f>
        <v>43629.64583</v>
      </c>
      <c r="B4811" s="1">
        <f>IFERROR(__xludf.DUMMYFUNCTION("""COMPUTED_VALUE"""),1847.05)</f>
        <v>1847.05</v>
      </c>
      <c r="C4811" s="1">
        <f>IFERROR(__xludf.DUMMYFUNCTION("""COMPUTED_VALUE"""),1848.7)</f>
        <v>1848.7</v>
      </c>
      <c r="D4811" s="1">
        <f>IFERROR(__xludf.DUMMYFUNCTION("""COMPUTED_VALUE"""),1823.05)</f>
        <v>1823.05</v>
      </c>
      <c r="E4811" s="1">
        <f>IFERROR(__xludf.DUMMYFUNCTION("""COMPUTED_VALUE"""),1845.5)</f>
        <v>1845.5</v>
      </c>
      <c r="F4811" s="1">
        <f>IFERROR(__xludf.DUMMYFUNCTION("""COMPUTED_VALUE"""),697830.0)</f>
        <v>697830</v>
      </c>
    </row>
    <row r="4812">
      <c r="A4812" s="2">
        <f>IFERROR(__xludf.DUMMYFUNCTION("""COMPUTED_VALUE"""),43630.64583333333)</f>
        <v>43630.64583</v>
      </c>
      <c r="B4812" s="1">
        <f>IFERROR(__xludf.DUMMYFUNCTION("""COMPUTED_VALUE"""),1843.0)</f>
        <v>1843</v>
      </c>
      <c r="C4812" s="1">
        <f>IFERROR(__xludf.DUMMYFUNCTION("""COMPUTED_VALUE"""),1853.25)</f>
        <v>1853.25</v>
      </c>
      <c r="D4812" s="1">
        <f>IFERROR(__xludf.DUMMYFUNCTION("""COMPUTED_VALUE"""),1816.35)</f>
        <v>1816.35</v>
      </c>
      <c r="E4812" s="1">
        <f>IFERROR(__xludf.DUMMYFUNCTION("""COMPUTED_VALUE"""),1822.95)</f>
        <v>1822.95</v>
      </c>
      <c r="F4812" s="1">
        <f>IFERROR(__xludf.DUMMYFUNCTION("""COMPUTED_VALUE"""),632971.0)</f>
        <v>632971</v>
      </c>
    </row>
    <row r="4813">
      <c r="A4813" s="2">
        <f>IFERROR(__xludf.DUMMYFUNCTION("""COMPUTED_VALUE"""),43633.64583333333)</f>
        <v>43633.64583</v>
      </c>
      <c r="B4813" s="1">
        <f>IFERROR(__xludf.DUMMYFUNCTION("""COMPUTED_VALUE"""),1831.9)</f>
        <v>1831.9</v>
      </c>
      <c r="C4813" s="1">
        <f>IFERROR(__xludf.DUMMYFUNCTION("""COMPUTED_VALUE"""),1831.9)</f>
        <v>1831.9</v>
      </c>
      <c r="D4813" s="1">
        <f>IFERROR(__xludf.DUMMYFUNCTION("""COMPUTED_VALUE"""),1804.6)</f>
        <v>1804.6</v>
      </c>
      <c r="E4813" s="1">
        <f>IFERROR(__xludf.DUMMYFUNCTION("""COMPUTED_VALUE"""),1818.05)</f>
        <v>1818.05</v>
      </c>
      <c r="F4813" s="1">
        <f>IFERROR(__xludf.DUMMYFUNCTION("""COMPUTED_VALUE"""),669276.0)</f>
        <v>669276</v>
      </c>
    </row>
    <row r="4814">
      <c r="A4814" s="2">
        <f>IFERROR(__xludf.DUMMYFUNCTION("""COMPUTED_VALUE"""),43634.64583333333)</f>
        <v>43634.64583</v>
      </c>
      <c r="B4814" s="1">
        <f>IFERROR(__xludf.DUMMYFUNCTION("""COMPUTED_VALUE"""),1810.5)</f>
        <v>1810.5</v>
      </c>
      <c r="C4814" s="1">
        <f>IFERROR(__xludf.DUMMYFUNCTION("""COMPUTED_VALUE"""),1818.15)</f>
        <v>1818.15</v>
      </c>
      <c r="D4814" s="1">
        <f>IFERROR(__xludf.DUMMYFUNCTION("""COMPUTED_VALUE"""),1793.0)</f>
        <v>1793</v>
      </c>
      <c r="E4814" s="1">
        <f>IFERROR(__xludf.DUMMYFUNCTION("""COMPUTED_VALUE"""),1809.6)</f>
        <v>1809.6</v>
      </c>
      <c r="F4814" s="1">
        <f>IFERROR(__xludf.DUMMYFUNCTION("""COMPUTED_VALUE"""),995083.0)</f>
        <v>995083</v>
      </c>
    </row>
    <row r="4815">
      <c r="A4815" s="2">
        <f>IFERROR(__xludf.DUMMYFUNCTION("""COMPUTED_VALUE"""),43635.64583333333)</f>
        <v>43635.64583</v>
      </c>
      <c r="B4815" s="1">
        <f>IFERROR(__xludf.DUMMYFUNCTION("""COMPUTED_VALUE"""),1816.8)</f>
        <v>1816.8</v>
      </c>
      <c r="C4815" s="1">
        <f>IFERROR(__xludf.DUMMYFUNCTION("""COMPUTED_VALUE"""),1824.95)</f>
        <v>1824.95</v>
      </c>
      <c r="D4815" s="1">
        <f>IFERROR(__xludf.DUMMYFUNCTION("""COMPUTED_VALUE"""),1802.0)</f>
        <v>1802</v>
      </c>
      <c r="E4815" s="1">
        <f>IFERROR(__xludf.DUMMYFUNCTION("""COMPUTED_VALUE"""),1811.7)</f>
        <v>1811.7</v>
      </c>
      <c r="F4815" s="1">
        <f>IFERROR(__xludf.DUMMYFUNCTION("""COMPUTED_VALUE"""),600455.0)</f>
        <v>600455</v>
      </c>
    </row>
    <row r="4816">
      <c r="A4816" s="2">
        <f>IFERROR(__xludf.DUMMYFUNCTION("""COMPUTED_VALUE"""),43636.64583333333)</f>
        <v>43636.64583</v>
      </c>
      <c r="B4816" s="1">
        <f>IFERROR(__xludf.DUMMYFUNCTION("""COMPUTED_VALUE"""),1799.0)</f>
        <v>1799</v>
      </c>
      <c r="C4816" s="1">
        <f>IFERROR(__xludf.DUMMYFUNCTION("""COMPUTED_VALUE"""),1809.45)</f>
        <v>1809.45</v>
      </c>
      <c r="D4816" s="1">
        <f>IFERROR(__xludf.DUMMYFUNCTION("""COMPUTED_VALUE"""),1791.5)</f>
        <v>1791.5</v>
      </c>
      <c r="E4816" s="1">
        <f>IFERROR(__xludf.DUMMYFUNCTION("""COMPUTED_VALUE"""),1805.05)</f>
        <v>1805.05</v>
      </c>
      <c r="F4816" s="1">
        <f>IFERROR(__xludf.DUMMYFUNCTION("""COMPUTED_VALUE"""),603514.0)</f>
        <v>603514</v>
      </c>
    </row>
    <row r="4817">
      <c r="A4817" s="2">
        <f>IFERROR(__xludf.DUMMYFUNCTION("""COMPUTED_VALUE"""),43637.64583333333)</f>
        <v>43637.64583</v>
      </c>
      <c r="B4817" s="1">
        <f>IFERROR(__xludf.DUMMYFUNCTION("""COMPUTED_VALUE"""),1810.0)</f>
        <v>1810</v>
      </c>
      <c r="C4817" s="1">
        <f>IFERROR(__xludf.DUMMYFUNCTION("""COMPUTED_VALUE"""),1812.0)</f>
        <v>1812</v>
      </c>
      <c r="D4817" s="1">
        <f>IFERROR(__xludf.DUMMYFUNCTION("""COMPUTED_VALUE"""),1760.3)</f>
        <v>1760.3</v>
      </c>
      <c r="E4817" s="1">
        <f>IFERROR(__xludf.DUMMYFUNCTION("""COMPUTED_VALUE"""),1766.65)</f>
        <v>1766.65</v>
      </c>
      <c r="F4817" s="1">
        <f>IFERROR(__xludf.DUMMYFUNCTION("""COMPUTED_VALUE"""),2512357.0)</f>
        <v>2512357</v>
      </c>
    </row>
    <row r="4818">
      <c r="A4818" s="2">
        <f>IFERROR(__xludf.DUMMYFUNCTION("""COMPUTED_VALUE"""),43640.64583333333)</f>
        <v>43640.64583</v>
      </c>
      <c r="B4818" s="1">
        <f>IFERROR(__xludf.DUMMYFUNCTION("""COMPUTED_VALUE"""),1769.0)</f>
        <v>1769</v>
      </c>
      <c r="C4818" s="1">
        <f>IFERROR(__xludf.DUMMYFUNCTION("""COMPUTED_VALUE"""),1777.6)</f>
        <v>1777.6</v>
      </c>
      <c r="D4818" s="1">
        <f>IFERROR(__xludf.DUMMYFUNCTION("""COMPUTED_VALUE"""),1756.7)</f>
        <v>1756.7</v>
      </c>
      <c r="E4818" s="1">
        <f>IFERROR(__xludf.DUMMYFUNCTION("""COMPUTED_VALUE"""),1764.45)</f>
        <v>1764.45</v>
      </c>
      <c r="F4818" s="1">
        <f>IFERROR(__xludf.DUMMYFUNCTION("""COMPUTED_VALUE"""),762144.0)</f>
        <v>762144</v>
      </c>
    </row>
    <row r="4819">
      <c r="A4819" s="2">
        <f>IFERROR(__xludf.DUMMYFUNCTION("""COMPUTED_VALUE"""),43641.64583333333)</f>
        <v>43641.64583</v>
      </c>
      <c r="B4819" s="1">
        <f>IFERROR(__xludf.DUMMYFUNCTION("""COMPUTED_VALUE"""),1769.7)</f>
        <v>1769.7</v>
      </c>
      <c r="C4819" s="1">
        <f>IFERROR(__xludf.DUMMYFUNCTION("""COMPUTED_VALUE"""),1769.7)</f>
        <v>1769.7</v>
      </c>
      <c r="D4819" s="1">
        <f>IFERROR(__xludf.DUMMYFUNCTION("""COMPUTED_VALUE"""),1745.0)</f>
        <v>1745</v>
      </c>
      <c r="E4819" s="1">
        <f>IFERROR(__xludf.DUMMYFUNCTION("""COMPUTED_VALUE"""),1756.45)</f>
        <v>1756.45</v>
      </c>
      <c r="F4819" s="1">
        <f>IFERROR(__xludf.DUMMYFUNCTION("""COMPUTED_VALUE"""),941132.0)</f>
        <v>941132</v>
      </c>
    </row>
    <row r="4820">
      <c r="A4820" s="2">
        <f>IFERROR(__xludf.DUMMYFUNCTION("""COMPUTED_VALUE"""),43642.64583333333)</f>
        <v>43642.64583</v>
      </c>
      <c r="B4820" s="1">
        <f>IFERROR(__xludf.DUMMYFUNCTION("""COMPUTED_VALUE"""),1753.0)</f>
        <v>1753</v>
      </c>
      <c r="C4820" s="1">
        <f>IFERROR(__xludf.DUMMYFUNCTION("""COMPUTED_VALUE"""),1765.0)</f>
        <v>1765</v>
      </c>
      <c r="D4820" s="1">
        <f>IFERROR(__xludf.DUMMYFUNCTION("""COMPUTED_VALUE"""),1746.4)</f>
        <v>1746.4</v>
      </c>
      <c r="E4820" s="1">
        <f>IFERROR(__xludf.DUMMYFUNCTION("""COMPUTED_VALUE"""),1761.0)</f>
        <v>1761</v>
      </c>
      <c r="F4820" s="1">
        <f>IFERROR(__xludf.DUMMYFUNCTION("""COMPUTED_VALUE"""),1075017.0)</f>
        <v>1075017</v>
      </c>
    </row>
    <row r="4821">
      <c r="A4821" s="2">
        <f>IFERROR(__xludf.DUMMYFUNCTION("""COMPUTED_VALUE"""),43643.64583333333)</f>
        <v>43643.64583</v>
      </c>
      <c r="B4821" s="1">
        <f>IFERROR(__xludf.DUMMYFUNCTION("""COMPUTED_VALUE"""),1768.0)</f>
        <v>1768</v>
      </c>
      <c r="C4821" s="1">
        <f>IFERROR(__xludf.DUMMYFUNCTION("""COMPUTED_VALUE"""),1787.55)</f>
        <v>1787.55</v>
      </c>
      <c r="D4821" s="1">
        <f>IFERROR(__xludf.DUMMYFUNCTION("""COMPUTED_VALUE"""),1760.25)</f>
        <v>1760.25</v>
      </c>
      <c r="E4821" s="1">
        <f>IFERROR(__xludf.DUMMYFUNCTION("""COMPUTED_VALUE"""),1774.4)</f>
        <v>1774.4</v>
      </c>
      <c r="F4821" s="1">
        <f>IFERROR(__xludf.DUMMYFUNCTION("""COMPUTED_VALUE"""),1235049.0)</f>
        <v>1235049</v>
      </c>
    </row>
    <row r="4822">
      <c r="A4822" s="2">
        <f>IFERROR(__xludf.DUMMYFUNCTION("""COMPUTED_VALUE"""),43644.64583333333)</f>
        <v>43644.64583</v>
      </c>
      <c r="B4822" s="1">
        <f>IFERROR(__xludf.DUMMYFUNCTION("""COMPUTED_VALUE"""),1777.25)</f>
        <v>1777.25</v>
      </c>
      <c r="C4822" s="1">
        <f>IFERROR(__xludf.DUMMYFUNCTION("""COMPUTED_VALUE"""),1790.65)</f>
        <v>1790.65</v>
      </c>
      <c r="D4822" s="1">
        <f>IFERROR(__xludf.DUMMYFUNCTION("""COMPUTED_VALUE"""),1762.75)</f>
        <v>1762.75</v>
      </c>
      <c r="E4822" s="1">
        <f>IFERROR(__xludf.DUMMYFUNCTION("""COMPUTED_VALUE"""),1787.6)</f>
        <v>1787.6</v>
      </c>
      <c r="F4822" s="1">
        <f>IFERROR(__xludf.DUMMYFUNCTION("""COMPUTED_VALUE"""),1008229.0)</f>
        <v>1008229</v>
      </c>
    </row>
    <row r="4823">
      <c r="A4823" s="2">
        <f>IFERROR(__xludf.DUMMYFUNCTION("""COMPUTED_VALUE"""),43647.64583333333)</f>
        <v>43647.64583</v>
      </c>
      <c r="B4823" s="1">
        <f>IFERROR(__xludf.DUMMYFUNCTION("""COMPUTED_VALUE"""),1798.9)</f>
        <v>1798.9</v>
      </c>
      <c r="C4823" s="1">
        <f>IFERROR(__xludf.DUMMYFUNCTION("""COMPUTED_VALUE"""),1798.9)</f>
        <v>1798.9</v>
      </c>
      <c r="D4823" s="1">
        <f>IFERROR(__xludf.DUMMYFUNCTION("""COMPUTED_VALUE"""),1772.65)</f>
        <v>1772.65</v>
      </c>
      <c r="E4823" s="1">
        <f>IFERROR(__xludf.DUMMYFUNCTION("""COMPUTED_VALUE"""),1780.2)</f>
        <v>1780.2</v>
      </c>
      <c r="F4823" s="1">
        <f>IFERROR(__xludf.DUMMYFUNCTION("""COMPUTED_VALUE"""),553283.0)</f>
        <v>553283</v>
      </c>
    </row>
    <row r="4824">
      <c r="A4824" s="2">
        <f>IFERROR(__xludf.DUMMYFUNCTION("""COMPUTED_VALUE"""),43648.64583333333)</f>
        <v>43648.64583</v>
      </c>
      <c r="B4824" s="1">
        <f>IFERROR(__xludf.DUMMYFUNCTION("""COMPUTED_VALUE"""),1784.0)</f>
        <v>1784</v>
      </c>
      <c r="C4824" s="1">
        <f>IFERROR(__xludf.DUMMYFUNCTION("""COMPUTED_VALUE"""),1798.0)</f>
        <v>1798</v>
      </c>
      <c r="D4824" s="1">
        <f>IFERROR(__xludf.DUMMYFUNCTION("""COMPUTED_VALUE"""),1770.0)</f>
        <v>1770</v>
      </c>
      <c r="E4824" s="1">
        <f>IFERROR(__xludf.DUMMYFUNCTION("""COMPUTED_VALUE"""),1789.2)</f>
        <v>1789.2</v>
      </c>
      <c r="F4824" s="1">
        <f>IFERROR(__xludf.DUMMYFUNCTION("""COMPUTED_VALUE"""),763979.0)</f>
        <v>763979</v>
      </c>
    </row>
    <row r="4825">
      <c r="A4825" s="2">
        <f>IFERROR(__xludf.DUMMYFUNCTION("""COMPUTED_VALUE"""),43649.64583333333)</f>
        <v>43649.64583</v>
      </c>
      <c r="B4825" s="1">
        <f>IFERROR(__xludf.DUMMYFUNCTION("""COMPUTED_VALUE"""),1793.0)</f>
        <v>1793</v>
      </c>
      <c r="C4825" s="1">
        <f>IFERROR(__xludf.DUMMYFUNCTION("""COMPUTED_VALUE"""),1796.85)</f>
        <v>1796.85</v>
      </c>
      <c r="D4825" s="1">
        <f>IFERROR(__xludf.DUMMYFUNCTION("""COMPUTED_VALUE"""),1776.9)</f>
        <v>1776.9</v>
      </c>
      <c r="E4825" s="1">
        <f>IFERROR(__xludf.DUMMYFUNCTION("""COMPUTED_VALUE"""),1784.7)</f>
        <v>1784.7</v>
      </c>
      <c r="F4825" s="1">
        <f>IFERROR(__xludf.DUMMYFUNCTION("""COMPUTED_VALUE"""),815571.0)</f>
        <v>815571</v>
      </c>
    </row>
    <row r="4826">
      <c r="A4826" s="2">
        <f>IFERROR(__xludf.DUMMYFUNCTION("""COMPUTED_VALUE"""),43650.64583333333)</f>
        <v>43650.64583</v>
      </c>
      <c r="B4826" s="1">
        <f>IFERROR(__xludf.DUMMYFUNCTION("""COMPUTED_VALUE"""),1780.55)</f>
        <v>1780.55</v>
      </c>
      <c r="C4826" s="1">
        <f>IFERROR(__xludf.DUMMYFUNCTION("""COMPUTED_VALUE"""),1798.7)</f>
        <v>1798.7</v>
      </c>
      <c r="D4826" s="1">
        <f>IFERROR(__xludf.DUMMYFUNCTION("""COMPUTED_VALUE"""),1780.55)</f>
        <v>1780.55</v>
      </c>
      <c r="E4826" s="1">
        <f>IFERROR(__xludf.DUMMYFUNCTION("""COMPUTED_VALUE"""),1793.6)</f>
        <v>1793.6</v>
      </c>
      <c r="F4826" s="1">
        <f>IFERROR(__xludf.DUMMYFUNCTION("""COMPUTED_VALUE"""),646633.0)</f>
        <v>646633</v>
      </c>
    </row>
    <row r="4827">
      <c r="A4827" s="2">
        <f>IFERROR(__xludf.DUMMYFUNCTION("""COMPUTED_VALUE"""),43651.64583333333)</f>
        <v>43651.64583</v>
      </c>
      <c r="B4827" s="1">
        <f>IFERROR(__xludf.DUMMYFUNCTION("""COMPUTED_VALUE"""),1800.0)</f>
        <v>1800</v>
      </c>
      <c r="C4827" s="1">
        <f>IFERROR(__xludf.DUMMYFUNCTION("""COMPUTED_VALUE"""),1816.0)</f>
        <v>1816</v>
      </c>
      <c r="D4827" s="1">
        <f>IFERROR(__xludf.DUMMYFUNCTION("""COMPUTED_VALUE"""),1786.0)</f>
        <v>1786</v>
      </c>
      <c r="E4827" s="1">
        <f>IFERROR(__xludf.DUMMYFUNCTION("""COMPUTED_VALUE"""),1791.4)</f>
        <v>1791.4</v>
      </c>
      <c r="F4827" s="1">
        <f>IFERROR(__xludf.DUMMYFUNCTION("""COMPUTED_VALUE"""),1098940.0)</f>
        <v>1098940</v>
      </c>
    </row>
    <row r="4828">
      <c r="A4828" s="2">
        <f>IFERROR(__xludf.DUMMYFUNCTION("""COMPUTED_VALUE"""),43654.64583333333)</f>
        <v>43654.64583</v>
      </c>
      <c r="B4828" s="1">
        <f>IFERROR(__xludf.DUMMYFUNCTION("""COMPUTED_VALUE"""),1784.75)</f>
        <v>1784.75</v>
      </c>
      <c r="C4828" s="1">
        <f>IFERROR(__xludf.DUMMYFUNCTION("""COMPUTED_VALUE"""),1784.75)</f>
        <v>1784.75</v>
      </c>
      <c r="D4828" s="1">
        <f>IFERROR(__xludf.DUMMYFUNCTION("""COMPUTED_VALUE"""),1748.7)</f>
        <v>1748.7</v>
      </c>
      <c r="E4828" s="1">
        <f>IFERROR(__xludf.DUMMYFUNCTION("""COMPUTED_VALUE"""),1753.55)</f>
        <v>1753.55</v>
      </c>
      <c r="F4828" s="1">
        <f>IFERROR(__xludf.DUMMYFUNCTION("""COMPUTED_VALUE"""),776755.0)</f>
        <v>776755</v>
      </c>
    </row>
    <row r="4829">
      <c r="A4829" s="2">
        <f>IFERROR(__xludf.DUMMYFUNCTION("""COMPUTED_VALUE"""),43655.64583333333)</f>
        <v>43655.64583</v>
      </c>
      <c r="B4829" s="1">
        <f>IFERROR(__xludf.DUMMYFUNCTION("""COMPUTED_VALUE"""),1752.0)</f>
        <v>1752</v>
      </c>
      <c r="C4829" s="1">
        <f>IFERROR(__xludf.DUMMYFUNCTION("""COMPUTED_VALUE"""),1756.0)</f>
        <v>1756</v>
      </c>
      <c r="D4829" s="1">
        <f>IFERROR(__xludf.DUMMYFUNCTION("""COMPUTED_VALUE"""),1724.1)</f>
        <v>1724.1</v>
      </c>
      <c r="E4829" s="1">
        <f>IFERROR(__xludf.DUMMYFUNCTION("""COMPUTED_VALUE"""),1740.25)</f>
        <v>1740.25</v>
      </c>
      <c r="F4829" s="1">
        <f>IFERROR(__xludf.DUMMYFUNCTION("""COMPUTED_VALUE"""),1462668.0)</f>
        <v>1462668</v>
      </c>
    </row>
    <row r="4830">
      <c r="A4830" s="2">
        <f>IFERROR(__xludf.DUMMYFUNCTION("""COMPUTED_VALUE"""),43656.64583333333)</f>
        <v>43656.64583</v>
      </c>
      <c r="B4830" s="1">
        <f>IFERROR(__xludf.DUMMYFUNCTION("""COMPUTED_VALUE"""),1739.0)</f>
        <v>1739</v>
      </c>
      <c r="C4830" s="1">
        <f>IFERROR(__xludf.DUMMYFUNCTION("""COMPUTED_VALUE"""),1754.9)</f>
        <v>1754.9</v>
      </c>
      <c r="D4830" s="1">
        <f>IFERROR(__xludf.DUMMYFUNCTION("""COMPUTED_VALUE"""),1703.1)</f>
        <v>1703.1</v>
      </c>
      <c r="E4830" s="1">
        <f>IFERROR(__xludf.DUMMYFUNCTION("""COMPUTED_VALUE"""),1718.6)</f>
        <v>1718.6</v>
      </c>
      <c r="F4830" s="1">
        <f>IFERROR(__xludf.DUMMYFUNCTION("""COMPUTED_VALUE"""),648476.0)</f>
        <v>648476</v>
      </c>
    </row>
    <row r="4831">
      <c r="A4831" s="2">
        <f>IFERROR(__xludf.DUMMYFUNCTION("""COMPUTED_VALUE"""),43657.64583333333)</f>
        <v>43657.64583</v>
      </c>
      <c r="B4831" s="1">
        <f>IFERROR(__xludf.DUMMYFUNCTION("""COMPUTED_VALUE"""),1708.0)</f>
        <v>1708</v>
      </c>
      <c r="C4831" s="1">
        <f>IFERROR(__xludf.DUMMYFUNCTION("""COMPUTED_VALUE"""),1742.65)</f>
        <v>1742.65</v>
      </c>
      <c r="D4831" s="1">
        <f>IFERROR(__xludf.DUMMYFUNCTION("""COMPUTED_VALUE"""),1708.0)</f>
        <v>1708</v>
      </c>
      <c r="E4831" s="1">
        <f>IFERROR(__xludf.DUMMYFUNCTION("""COMPUTED_VALUE"""),1730.9)</f>
        <v>1730.9</v>
      </c>
      <c r="F4831" s="1">
        <f>IFERROR(__xludf.DUMMYFUNCTION("""COMPUTED_VALUE"""),813618.0)</f>
        <v>813618</v>
      </c>
    </row>
    <row r="4832">
      <c r="A4832" s="2">
        <f>IFERROR(__xludf.DUMMYFUNCTION("""COMPUTED_VALUE"""),43658.64583333333)</f>
        <v>43658.64583</v>
      </c>
      <c r="B4832" s="1">
        <f>IFERROR(__xludf.DUMMYFUNCTION("""COMPUTED_VALUE"""),1726.8)</f>
        <v>1726.8</v>
      </c>
      <c r="C4832" s="1">
        <f>IFERROR(__xludf.DUMMYFUNCTION("""COMPUTED_VALUE"""),1738.25)</f>
        <v>1738.25</v>
      </c>
      <c r="D4832" s="1">
        <f>IFERROR(__xludf.DUMMYFUNCTION("""COMPUTED_VALUE"""),1708.25)</f>
        <v>1708.25</v>
      </c>
      <c r="E4832" s="1">
        <f>IFERROR(__xludf.DUMMYFUNCTION("""COMPUTED_VALUE"""),1713.2)</f>
        <v>1713.2</v>
      </c>
      <c r="F4832" s="1">
        <f>IFERROR(__xludf.DUMMYFUNCTION("""COMPUTED_VALUE"""),1107445.0)</f>
        <v>1107445</v>
      </c>
    </row>
    <row r="4833">
      <c r="A4833" s="2">
        <f>IFERROR(__xludf.DUMMYFUNCTION("""COMPUTED_VALUE"""),43661.64583333333)</f>
        <v>43661.64583</v>
      </c>
      <c r="B4833" s="1">
        <f>IFERROR(__xludf.DUMMYFUNCTION("""COMPUTED_VALUE"""),1715.0)</f>
        <v>1715</v>
      </c>
      <c r="C4833" s="1">
        <f>IFERROR(__xludf.DUMMYFUNCTION("""COMPUTED_VALUE"""),1724.7)</f>
        <v>1724.7</v>
      </c>
      <c r="D4833" s="1">
        <f>IFERROR(__xludf.DUMMYFUNCTION("""COMPUTED_VALUE"""),1702.0)</f>
        <v>1702</v>
      </c>
      <c r="E4833" s="1">
        <f>IFERROR(__xludf.DUMMYFUNCTION("""COMPUTED_VALUE"""),1716.95)</f>
        <v>1716.95</v>
      </c>
      <c r="F4833" s="1">
        <f>IFERROR(__xludf.DUMMYFUNCTION("""COMPUTED_VALUE"""),725180.0)</f>
        <v>725180</v>
      </c>
    </row>
    <row r="4834">
      <c r="A4834" s="2">
        <f>IFERROR(__xludf.DUMMYFUNCTION("""COMPUTED_VALUE"""),43662.64583333333)</f>
        <v>43662.64583</v>
      </c>
      <c r="B4834" s="1">
        <f>IFERROR(__xludf.DUMMYFUNCTION("""COMPUTED_VALUE"""),1723.5)</f>
        <v>1723.5</v>
      </c>
      <c r="C4834" s="1">
        <f>IFERROR(__xludf.DUMMYFUNCTION("""COMPUTED_VALUE"""),1750.6)</f>
        <v>1750.6</v>
      </c>
      <c r="D4834" s="1">
        <f>IFERROR(__xludf.DUMMYFUNCTION("""COMPUTED_VALUE"""),1712.75)</f>
        <v>1712.75</v>
      </c>
      <c r="E4834" s="1">
        <f>IFERROR(__xludf.DUMMYFUNCTION("""COMPUTED_VALUE"""),1741.3)</f>
        <v>1741.3</v>
      </c>
      <c r="F4834" s="1">
        <f>IFERROR(__xludf.DUMMYFUNCTION("""COMPUTED_VALUE"""),1259786.0)</f>
        <v>1259786</v>
      </c>
    </row>
    <row r="4835">
      <c r="A4835" s="2">
        <f>IFERROR(__xludf.DUMMYFUNCTION("""COMPUTED_VALUE"""),43663.64583333333)</f>
        <v>43663.64583</v>
      </c>
      <c r="B4835" s="1">
        <f>IFERROR(__xludf.DUMMYFUNCTION("""COMPUTED_VALUE"""),1740.0)</f>
        <v>1740</v>
      </c>
      <c r="C4835" s="1">
        <f>IFERROR(__xludf.DUMMYFUNCTION("""COMPUTED_VALUE"""),1765.55)</f>
        <v>1765.55</v>
      </c>
      <c r="D4835" s="1">
        <f>IFERROR(__xludf.DUMMYFUNCTION("""COMPUTED_VALUE"""),1725.85)</f>
        <v>1725.85</v>
      </c>
      <c r="E4835" s="1">
        <f>IFERROR(__xludf.DUMMYFUNCTION("""COMPUTED_VALUE"""),1760.7)</f>
        <v>1760.7</v>
      </c>
      <c r="F4835" s="1">
        <f>IFERROR(__xludf.DUMMYFUNCTION("""COMPUTED_VALUE"""),1278232.0)</f>
        <v>1278232</v>
      </c>
    </row>
    <row r="4836">
      <c r="A4836" s="2">
        <f>IFERROR(__xludf.DUMMYFUNCTION("""COMPUTED_VALUE"""),43664.64583333333)</f>
        <v>43664.64583</v>
      </c>
      <c r="B4836" s="1">
        <f>IFERROR(__xludf.DUMMYFUNCTION("""COMPUTED_VALUE"""),1766.0)</f>
        <v>1766</v>
      </c>
      <c r="C4836" s="1">
        <f>IFERROR(__xludf.DUMMYFUNCTION("""COMPUTED_VALUE"""),1766.0)</f>
        <v>1766</v>
      </c>
      <c r="D4836" s="1">
        <f>IFERROR(__xludf.DUMMYFUNCTION("""COMPUTED_VALUE"""),1709.0)</f>
        <v>1709</v>
      </c>
      <c r="E4836" s="1">
        <f>IFERROR(__xludf.DUMMYFUNCTION("""COMPUTED_VALUE"""),1739.15)</f>
        <v>1739.15</v>
      </c>
      <c r="F4836" s="1">
        <f>IFERROR(__xludf.DUMMYFUNCTION("""COMPUTED_VALUE"""),1006299.0)</f>
        <v>1006299</v>
      </c>
    </row>
    <row r="4837">
      <c r="A4837" s="2">
        <f>IFERROR(__xludf.DUMMYFUNCTION("""COMPUTED_VALUE"""),43665.64583333333)</f>
        <v>43665.64583</v>
      </c>
      <c r="B4837" s="1">
        <f>IFERROR(__xludf.DUMMYFUNCTION("""COMPUTED_VALUE"""),1748.0)</f>
        <v>1748</v>
      </c>
      <c r="C4837" s="1">
        <f>IFERROR(__xludf.DUMMYFUNCTION("""COMPUTED_VALUE"""),1761.95)</f>
        <v>1761.95</v>
      </c>
      <c r="D4837" s="1">
        <f>IFERROR(__xludf.DUMMYFUNCTION("""COMPUTED_VALUE"""),1709.15)</f>
        <v>1709.15</v>
      </c>
      <c r="E4837" s="1">
        <f>IFERROR(__xludf.DUMMYFUNCTION("""COMPUTED_VALUE"""),1720.4)</f>
        <v>1720.4</v>
      </c>
      <c r="F4837" s="1">
        <f>IFERROR(__xludf.DUMMYFUNCTION("""COMPUTED_VALUE"""),983217.0)</f>
        <v>983217</v>
      </c>
    </row>
    <row r="4838">
      <c r="A4838" s="2">
        <f>IFERROR(__xludf.DUMMYFUNCTION("""COMPUTED_VALUE"""),43668.64583333333)</f>
        <v>43668.64583</v>
      </c>
      <c r="B4838" s="1">
        <f>IFERROR(__xludf.DUMMYFUNCTION("""COMPUTED_VALUE"""),1722.3)</f>
        <v>1722.3</v>
      </c>
      <c r="C4838" s="1">
        <f>IFERROR(__xludf.DUMMYFUNCTION("""COMPUTED_VALUE"""),1724.7)</f>
        <v>1724.7</v>
      </c>
      <c r="D4838" s="1">
        <f>IFERROR(__xludf.DUMMYFUNCTION("""COMPUTED_VALUE"""),1659.05)</f>
        <v>1659.05</v>
      </c>
      <c r="E4838" s="1">
        <f>IFERROR(__xludf.DUMMYFUNCTION("""COMPUTED_VALUE"""),1680.7)</f>
        <v>1680.7</v>
      </c>
      <c r="F4838" s="1">
        <f>IFERROR(__xludf.DUMMYFUNCTION("""COMPUTED_VALUE"""),1729722.0)</f>
        <v>1729722</v>
      </c>
    </row>
    <row r="4839">
      <c r="A4839" s="2">
        <f>IFERROR(__xludf.DUMMYFUNCTION("""COMPUTED_VALUE"""),43669.64583333333)</f>
        <v>43669.64583</v>
      </c>
      <c r="B4839" s="1">
        <f>IFERROR(__xludf.DUMMYFUNCTION("""COMPUTED_VALUE"""),1683.0)</f>
        <v>1683</v>
      </c>
      <c r="C4839" s="1">
        <f>IFERROR(__xludf.DUMMYFUNCTION("""COMPUTED_VALUE"""),1701.55)</f>
        <v>1701.55</v>
      </c>
      <c r="D4839" s="1">
        <f>IFERROR(__xludf.DUMMYFUNCTION("""COMPUTED_VALUE"""),1667.3)</f>
        <v>1667.3</v>
      </c>
      <c r="E4839" s="1">
        <f>IFERROR(__xludf.DUMMYFUNCTION("""COMPUTED_VALUE"""),1693.35)</f>
        <v>1693.35</v>
      </c>
      <c r="F4839" s="1">
        <f>IFERROR(__xludf.DUMMYFUNCTION("""COMPUTED_VALUE"""),1556691.0)</f>
        <v>1556691</v>
      </c>
    </row>
    <row r="4840">
      <c r="A4840" s="2">
        <f>IFERROR(__xludf.DUMMYFUNCTION("""COMPUTED_VALUE"""),43670.64583333333)</f>
        <v>43670.64583</v>
      </c>
      <c r="B4840" s="1">
        <f>IFERROR(__xludf.DUMMYFUNCTION("""COMPUTED_VALUE"""),1685.0)</f>
        <v>1685</v>
      </c>
      <c r="C4840" s="1">
        <f>IFERROR(__xludf.DUMMYFUNCTION("""COMPUTED_VALUE"""),1732.0)</f>
        <v>1732</v>
      </c>
      <c r="D4840" s="1">
        <f>IFERROR(__xludf.DUMMYFUNCTION("""COMPUTED_VALUE"""),1678.6)</f>
        <v>1678.6</v>
      </c>
      <c r="E4840" s="1">
        <f>IFERROR(__xludf.DUMMYFUNCTION("""COMPUTED_VALUE"""),1728.65)</f>
        <v>1728.65</v>
      </c>
      <c r="F4840" s="1">
        <f>IFERROR(__xludf.DUMMYFUNCTION("""COMPUTED_VALUE"""),2621818.0)</f>
        <v>2621818</v>
      </c>
    </row>
    <row r="4841">
      <c r="A4841" s="2">
        <f>IFERROR(__xludf.DUMMYFUNCTION("""COMPUTED_VALUE"""),43671.64583333333)</f>
        <v>43671.64583</v>
      </c>
      <c r="B4841" s="1">
        <f>IFERROR(__xludf.DUMMYFUNCTION("""COMPUTED_VALUE"""),1730.0)</f>
        <v>1730</v>
      </c>
      <c r="C4841" s="1">
        <f>IFERROR(__xludf.DUMMYFUNCTION("""COMPUTED_VALUE"""),1749.9)</f>
        <v>1749.9</v>
      </c>
      <c r="D4841" s="1">
        <f>IFERROR(__xludf.DUMMYFUNCTION("""COMPUTED_VALUE"""),1728.0)</f>
        <v>1728</v>
      </c>
      <c r="E4841" s="1">
        <f>IFERROR(__xludf.DUMMYFUNCTION("""COMPUTED_VALUE"""),1736.65)</f>
        <v>1736.65</v>
      </c>
      <c r="F4841" s="1">
        <f>IFERROR(__xludf.DUMMYFUNCTION("""COMPUTED_VALUE"""),1297267.0)</f>
        <v>1297267</v>
      </c>
    </row>
    <row r="4842">
      <c r="A4842" s="2">
        <f>IFERROR(__xludf.DUMMYFUNCTION("""COMPUTED_VALUE"""),43672.64583333333)</f>
        <v>43672.64583</v>
      </c>
      <c r="B4842" s="1">
        <f>IFERROR(__xludf.DUMMYFUNCTION("""COMPUTED_VALUE"""),1731.1)</f>
        <v>1731.1</v>
      </c>
      <c r="C4842" s="1">
        <f>IFERROR(__xludf.DUMMYFUNCTION("""COMPUTED_VALUE"""),1742.0)</f>
        <v>1742</v>
      </c>
      <c r="D4842" s="1">
        <f>IFERROR(__xludf.DUMMYFUNCTION("""COMPUTED_VALUE"""),1719.3)</f>
        <v>1719.3</v>
      </c>
      <c r="E4842" s="1">
        <f>IFERROR(__xludf.DUMMYFUNCTION("""COMPUTED_VALUE"""),1730.65)</f>
        <v>1730.65</v>
      </c>
      <c r="F4842" s="1">
        <f>IFERROR(__xludf.DUMMYFUNCTION("""COMPUTED_VALUE"""),771408.0)</f>
        <v>771408</v>
      </c>
    </row>
    <row r="4843">
      <c r="A4843" s="2">
        <f>IFERROR(__xludf.DUMMYFUNCTION("""COMPUTED_VALUE"""),43675.64583333333)</f>
        <v>43675.64583</v>
      </c>
      <c r="B4843" s="1">
        <f>IFERROR(__xludf.DUMMYFUNCTION("""COMPUTED_VALUE"""),1729.0)</f>
        <v>1729</v>
      </c>
      <c r="C4843" s="1">
        <f>IFERROR(__xludf.DUMMYFUNCTION("""COMPUTED_VALUE"""),1739.8)</f>
        <v>1739.8</v>
      </c>
      <c r="D4843" s="1">
        <f>IFERROR(__xludf.DUMMYFUNCTION("""COMPUTED_VALUE"""),1700.0)</f>
        <v>1700</v>
      </c>
      <c r="E4843" s="1">
        <f>IFERROR(__xludf.DUMMYFUNCTION("""COMPUTED_VALUE"""),1713.3)</f>
        <v>1713.3</v>
      </c>
      <c r="F4843" s="1">
        <f>IFERROR(__xludf.DUMMYFUNCTION("""COMPUTED_VALUE"""),688427.0)</f>
        <v>688427</v>
      </c>
    </row>
    <row r="4844">
      <c r="A4844" s="2">
        <f>IFERROR(__xludf.DUMMYFUNCTION("""COMPUTED_VALUE"""),43676.64583333333)</f>
        <v>43676.64583</v>
      </c>
      <c r="B4844" s="1">
        <f>IFERROR(__xludf.DUMMYFUNCTION("""COMPUTED_VALUE"""),1715.0)</f>
        <v>1715</v>
      </c>
      <c r="C4844" s="1">
        <f>IFERROR(__xludf.DUMMYFUNCTION("""COMPUTED_VALUE"""),1734.35)</f>
        <v>1734.35</v>
      </c>
      <c r="D4844" s="1">
        <f>IFERROR(__xludf.DUMMYFUNCTION("""COMPUTED_VALUE"""),1705.0)</f>
        <v>1705</v>
      </c>
      <c r="E4844" s="1">
        <f>IFERROR(__xludf.DUMMYFUNCTION("""COMPUTED_VALUE"""),1719.9)</f>
        <v>1719.9</v>
      </c>
      <c r="F4844" s="1">
        <f>IFERROR(__xludf.DUMMYFUNCTION("""COMPUTED_VALUE"""),747251.0)</f>
        <v>747251</v>
      </c>
    </row>
    <row r="4845">
      <c r="A4845" s="2">
        <f>IFERROR(__xludf.DUMMYFUNCTION("""COMPUTED_VALUE"""),43677.64583333333)</f>
        <v>43677.64583</v>
      </c>
      <c r="B4845" s="1">
        <f>IFERROR(__xludf.DUMMYFUNCTION("""COMPUTED_VALUE"""),1719.0)</f>
        <v>1719</v>
      </c>
      <c r="C4845" s="1">
        <f>IFERROR(__xludf.DUMMYFUNCTION("""COMPUTED_VALUE"""),1753.05)</f>
        <v>1753.05</v>
      </c>
      <c r="D4845" s="1">
        <f>IFERROR(__xludf.DUMMYFUNCTION("""COMPUTED_VALUE"""),1701.05)</f>
        <v>1701.05</v>
      </c>
      <c r="E4845" s="1">
        <f>IFERROR(__xludf.DUMMYFUNCTION("""COMPUTED_VALUE"""),1726.65)</f>
        <v>1726.65</v>
      </c>
      <c r="F4845" s="1">
        <f>IFERROR(__xludf.DUMMYFUNCTION("""COMPUTED_VALUE"""),1371879.0)</f>
        <v>1371879</v>
      </c>
    </row>
    <row r="4846">
      <c r="A4846" s="2">
        <f>IFERROR(__xludf.DUMMYFUNCTION("""COMPUTED_VALUE"""),43678.64583333333)</f>
        <v>43678.64583</v>
      </c>
      <c r="B4846" s="1">
        <f>IFERROR(__xludf.DUMMYFUNCTION("""COMPUTED_VALUE"""),1721.0)</f>
        <v>1721</v>
      </c>
      <c r="C4846" s="1">
        <f>IFERROR(__xludf.DUMMYFUNCTION("""COMPUTED_VALUE"""),1744.7)</f>
        <v>1744.7</v>
      </c>
      <c r="D4846" s="1">
        <f>IFERROR(__xludf.DUMMYFUNCTION("""COMPUTED_VALUE"""),1710.0)</f>
        <v>1710</v>
      </c>
      <c r="E4846" s="1">
        <f>IFERROR(__xludf.DUMMYFUNCTION("""COMPUTED_VALUE"""),1731.3)</f>
        <v>1731.3</v>
      </c>
      <c r="F4846" s="1">
        <f>IFERROR(__xludf.DUMMYFUNCTION("""COMPUTED_VALUE"""),1072498.0)</f>
        <v>1072498</v>
      </c>
    </row>
    <row r="4847">
      <c r="A4847" s="2">
        <f>IFERROR(__xludf.DUMMYFUNCTION("""COMPUTED_VALUE"""),43679.64583333333)</f>
        <v>43679.64583</v>
      </c>
      <c r="B4847" s="1">
        <f>IFERROR(__xludf.DUMMYFUNCTION("""COMPUTED_VALUE"""),1722.2)</f>
        <v>1722.2</v>
      </c>
      <c r="C4847" s="1">
        <f>IFERROR(__xludf.DUMMYFUNCTION("""COMPUTED_VALUE"""),1742.0)</f>
        <v>1742</v>
      </c>
      <c r="D4847" s="1">
        <f>IFERROR(__xludf.DUMMYFUNCTION("""COMPUTED_VALUE"""),1706.0)</f>
        <v>1706</v>
      </c>
      <c r="E4847" s="1">
        <f>IFERROR(__xludf.DUMMYFUNCTION("""COMPUTED_VALUE"""),1737.45)</f>
        <v>1737.45</v>
      </c>
      <c r="F4847" s="1">
        <f>IFERROR(__xludf.DUMMYFUNCTION("""COMPUTED_VALUE"""),1051529.0)</f>
        <v>1051529</v>
      </c>
    </row>
    <row r="4848">
      <c r="A4848" s="2">
        <f>IFERROR(__xludf.DUMMYFUNCTION("""COMPUTED_VALUE"""),43682.64583333333)</f>
        <v>43682.64583</v>
      </c>
      <c r="B4848" s="1">
        <f>IFERROR(__xludf.DUMMYFUNCTION("""COMPUTED_VALUE"""),1727.9)</f>
        <v>1727.9</v>
      </c>
      <c r="C4848" s="1">
        <f>IFERROR(__xludf.DUMMYFUNCTION("""COMPUTED_VALUE"""),1753.45)</f>
        <v>1753.45</v>
      </c>
      <c r="D4848" s="1">
        <f>IFERROR(__xludf.DUMMYFUNCTION("""COMPUTED_VALUE"""),1707.7)</f>
        <v>1707.7</v>
      </c>
      <c r="E4848" s="1">
        <f>IFERROR(__xludf.DUMMYFUNCTION("""COMPUTED_VALUE"""),1741.2)</f>
        <v>1741.2</v>
      </c>
      <c r="F4848" s="1">
        <f>IFERROR(__xludf.DUMMYFUNCTION("""COMPUTED_VALUE"""),1539739.0)</f>
        <v>1539739</v>
      </c>
    </row>
    <row r="4849">
      <c r="A4849" s="2">
        <f>IFERROR(__xludf.DUMMYFUNCTION("""COMPUTED_VALUE"""),43683.64583333333)</f>
        <v>43683.64583</v>
      </c>
      <c r="B4849" s="1">
        <f>IFERROR(__xludf.DUMMYFUNCTION("""COMPUTED_VALUE"""),1731.5)</f>
        <v>1731.5</v>
      </c>
      <c r="C4849" s="1">
        <f>IFERROR(__xludf.DUMMYFUNCTION("""COMPUTED_VALUE"""),1760.0)</f>
        <v>1760</v>
      </c>
      <c r="D4849" s="1">
        <f>IFERROR(__xludf.DUMMYFUNCTION("""COMPUTED_VALUE"""),1727.55)</f>
        <v>1727.55</v>
      </c>
      <c r="E4849" s="1">
        <f>IFERROR(__xludf.DUMMYFUNCTION("""COMPUTED_VALUE"""),1744.1)</f>
        <v>1744.1</v>
      </c>
      <c r="F4849" s="1">
        <f>IFERROR(__xludf.DUMMYFUNCTION("""COMPUTED_VALUE"""),1409075.0)</f>
        <v>1409075</v>
      </c>
    </row>
    <row r="4850">
      <c r="A4850" s="2">
        <f>IFERROR(__xludf.DUMMYFUNCTION("""COMPUTED_VALUE"""),43684.64583333333)</f>
        <v>43684.64583</v>
      </c>
      <c r="B4850" s="1">
        <f>IFERROR(__xludf.DUMMYFUNCTION("""COMPUTED_VALUE"""),1744.1)</f>
        <v>1744.1</v>
      </c>
      <c r="C4850" s="1">
        <f>IFERROR(__xludf.DUMMYFUNCTION("""COMPUTED_VALUE"""),1786.9)</f>
        <v>1786.9</v>
      </c>
      <c r="D4850" s="1">
        <f>IFERROR(__xludf.DUMMYFUNCTION("""COMPUTED_VALUE"""),1740.0)</f>
        <v>1740</v>
      </c>
      <c r="E4850" s="1">
        <f>IFERROR(__xludf.DUMMYFUNCTION("""COMPUTED_VALUE"""),1777.25)</f>
        <v>1777.25</v>
      </c>
      <c r="F4850" s="1">
        <f>IFERROR(__xludf.DUMMYFUNCTION("""COMPUTED_VALUE"""),2507314.0)</f>
        <v>2507314</v>
      </c>
    </row>
    <row r="4851">
      <c r="A4851" s="2">
        <f>IFERROR(__xludf.DUMMYFUNCTION("""COMPUTED_VALUE"""),43685.64583333333)</f>
        <v>43685.64583</v>
      </c>
      <c r="B4851" s="1">
        <f>IFERROR(__xludf.DUMMYFUNCTION("""COMPUTED_VALUE"""),1780.5)</f>
        <v>1780.5</v>
      </c>
      <c r="C4851" s="1">
        <f>IFERROR(__xludf.DUMMYFUNCTION("""COMPUTED_VALUE"""),1807.0)</f>
        <v>1807</v>
      </c>
      <c r="D4851" s="1">
        <f>IFERROR(__xludf.DUMMYFUNCTION("""COMPUTED_VALUE"""),1780.5)</f>
        <v>1780.5</v>
      </c>
      <c r="E4851" s="1">
        <f>IFERROR(__xludf.DUMMYFUNCTION("""COMPUTED_VALUE"""),1803.1)</f>
        <v>1803.1</v>
      </c>
      <c r="F4851" s="1">
        <f>IFERROR(__xludf.DUMMYFUNCTION("""COMPUTED_VALUE"""),1761732.0)</f>
        <v>1761732</v>
      </c>
    </row>
    <row r="4852">
      <c r="A4852" s="2">
        <f>IFERROR(__xludf.DUMMYFUNCTION("""COMPUTED_VALUE"""),43686.64583333333)</f>
        <v>43686.64583</v>
      </c>
      <c r="B4852" s="1">
        <f>IFERROR(__xludf.DUMMYFUNCTION("""COMPUTED_VALUE"""),1805.0)</f>
        <v>1805</v>
      </c>
      <c r="C4852" s="1">
        <f>IFERROR(__xludf.DUMMYFUNCTION("""COMPUTED_VALUE"""),1846.65)</f>
        <v>1846.65</v>
      </c>
      <c r="D4852" s="1">
        <f>IFERROR(__xludf.DUMMYFUNCTION("""COMPUTED_VALUE"""),1800.9)</f>
        <v>1800.9</v>
      </c>
      <c r="E4852" s="1">
        <f>IFERROR(__xludf.DUMMYFUNCTION("""COMPUTED_VALUE"""),1841.35)</f>
        <v>1841.35</v>
      </c>
      <c r="F4852" s="1">
        <f>IFERROR(__xludf.DUMMYFUNCTION("""COMPUTED_VALUE"""),1730596.0)</f>
        <v>1730596</v>
      </c>
    </row>
    <row r="4853">
      <c r="A4853" s="2">
        <f>IFERROR(__xludf.DUMMYFUNCTION("""COMPUTED_VALUE"""),43690.64583333333)</f>
        <v>43690.64583</v>
      </c>
      <c r="B4853" s="1">
        <f>IFERROR(__xludf.DUMMYFUNCTION("""COMPUTED_VALUE"""),1838.0)</f>
        <v>1838</v>
      </c>
      <c r="C4853" s="1">
        <f>IFERROR(__xludf.DUMMYFUNCTION("""COMPUTED_VALUE"""),1838.0)</f>
        <v>1838</v>
      </c>
      <c r="D4853" s="1">
        <f>IFERROR(__xludf.DUMMYFUNCTION("""COMPUTED_VALUE"""),1802.15)</f>
        <v>1802.15</v>
      </c>
      <c r="E4853" s="1">
        <f>IFERROR(__xludf.DUMMYFUNCTION("""COMPUTED_VALUE"""),1824.75)</f>
        <v>1824.75</v>
      </c>
      <c r="F4853" s="1">
        <f>IFERROR(__xludf.DUMMYFUNCTION("""COMPUTED_VALUE"""),1907934.0)</f>
        <v>1907934</v>
      </c>
    </row>
    <row r="4854">
      <c r="A4854" s="2">
        <f>IFERROR(__xludf.DUMMYFUNCTION("""COMPUTED_VALUE"""),43691.64583333333)</f>
        <v>43691.64583</v>
      </c>
      <c r="B4854" s="1">
        <f>IFERROR(__xludf.DUMMYFUNCTION("""COMPUTED_VALUE"""),1826.0)</f>
        <v>1826</v>
      </c>
      <c r="C4854" s="1">
        <f>IFERROR(__xludf.DUMMYFUNCTION("""COMPUTED_VALUE"""),1854.15)</f>
        <v>1854.15</v>
      </c>
      <c r="D4854" s="1">
        <f>IFERROR(__xludf.DUMMYFUNCTION("""COMPUTED_VALUE"""),1808.7)</f>
        <v>1808.7</v>
      </c>
      <c r="E4854" s="1">
        <f>IFERROR(__xludf.DUMMYFUNCTION("""COMPUTED_VALUE"""),1839.05)</f>
        <v>1839.05</v>
      </c>
      <c r="F4854" s="1">
        <f>IFERROR(__xludf.DUMMYFUNCTION("""COMPUTED_VALUE"""),1910376.0)</f>
        <v>1910376</v>
      </c>
    </row>
    <row r="4855">
      <c r="A4855" s="2">
        <f>IFERROR(__xludf.DUMMYFUNCTION("""COMPUTED_VALUE"""),43693.64583333333)</f>
        <v>43693.64583</v>
      </c>
      <c r="B4855" s="1">
        <f>IFERROR(__xludf.DUMMYFUNCTION("""COMPUTED_VALUE"""),1838.0)</f>
        <v>1838</v>
      </c>
      <c r="C4855" s="1">
        <f>IFERROR(__xludf.DUMMYFUNCTION("""COMPUTED_VALUE"""),1847.55)</f>
        <v>1847.55</v>
      </c>
      <c r="D4855" s="1">
        <f>IFERROR(__xludf.DUMMYFUNCTION("""COMPUTED_VALUE"""),1816.05)</f>
        <v>1816.05</v>
      </c>
      <c r="E4855" s="1">
        <f>IFERROR(__xludf.DUMMYFUNCTION("""COMPUTED_VALUE"""),1828.65)</f>
        <v>1828.65</v>
      </c>
      <c r="F4855" s="1">
        <f>IFERROR(__xludf.DUMMYFUNCTION("""COMPUTED_VALUE"""),1468390.0)</f>
        <v>1468390</v>
      </c>
    </row>
    <row r="4856">
      <c r="A4856" s="2">
        <f>IFERROR(__xludf.DUMMYFUNCTION("""COMPUTED_VALUE"""),43696.64583333333)</f>
        <v>43696.64583</v>
      </c>
      <c r="B4856" s="1">
        <f>IFERROR(__xludf.DUMMYFUNCTION("""COMPUTED_VALUE"""),1830.15)</f>
        <v>1830.15</v>
      </c>
      <c r="C4856" s="1">
        <f>IFERROR(__xludf.DUMMYFUNCTION("""COMPUTED_VALUE"""),1845.0)</f>
        <v>1845</v>
      </c>
      <c r="D4856" s="1">
        <f>IFERROR(__xludf.DUMMYFUNCTION("""COMPUTED_VALUE"""),1811.0)</f>
        <v>1811</v>
      </c>
      <c r="E4856" s="1">
        <f>IFERROR(__xludf.DUMMYFUNCTION("""COMPUTED_VALUE"""),1820.9)</f>
        <v>1820.9</v>
      </c>
      <c r="F4856" s="1">
        <f>IFERROR(__xludf.DUMMYFUNCTION("""COMPUTED_VALUE"""),905742.0)</f>
        <v>905742</v>
      </c>
    </row>
    <row r="4857">
      <c r="A4857" s="2">
        <f>IFERROR(__xludf.DUMMYFUNCTION("""COMPUTED_VALUE"""),43697.64583333333)</f>
        <v>43697.64583</v>
      </c>
      <c r="B4857" s="1">
        <f>IFERROR(__xludf.DUMMYFUNCTION("""COMPUTED_VALUE"""),1822.0)</f>
        <v>1822</v>
      </c>
      <c r="C4857" s="1">
        <f>IFERROR(__xludf.DUMMYFUNCTION("""COMPUTED_VALUE"""),1849.7)</f>
        <v>1849.7</v>
      </c>
      <c r="D4857" s="1">
        <f>IFERROR(__xludf.DUMMYFUNCTION("""COMPUTED_VALUE"""),1813.0)</f>
        <v>1813</v>
      </c>
      <c r="E4857" s="1">
        <f>IFERROR(__xludf.DUMMYFUNCTION("""COMPUTED_VALUE"""),1843.4)</f>
        <v>1843.4</v>
      </c>
      <c r="F4857" s="1">
        <f>IFERROR(__xludf.DUMMYFUNCTION("""COMPUTED_VALUE"""),1231835.0)</f>
        <v>1231835</v>
      </c>
    </row>
    <row r="4858">
      <c r="A4858" s="2">
        <f>IFERROR(__xludf.DUMMYFUNCTION("""COMPUTED_VALUE"""),43698.64583333333)</f>
        <v>43698.64583</v>
      </c>
      <c r="B4858" s="1">
        <f>IFERROR(__xludf.DUMMYFUNCTION("""COMPUTED_VALUE"""),1842.9)</f>
        <v>1842.9</v>
      </c>
      <c r="C4858" s="1">
        <f>IFERROR(__xludf.DUMMYFUNCTION("""COMPUTED_VALUE"""),1855.75)</f>
        <v>1855.75</v>
      </c>
      <c r="D4858" s="1">
        <f>IFERROR(__xludf.DUMMYFUNCTION("""COMPUTED_VALUE"""),1836.0)</f>
        <v>1836</v>
      </c>
      <c r="E4858" s="1">
        <f>IFERROR(__xludf.DUMMYFUNCTION("""COMPUTED_VALUE"""),1850.0)</f>
        <v>1850</v>
      </c>
      <c r="F4858" s="1">
        <f>IFERROR(__xludf.DUMMYFUNCTION("""COMPUTED_VALUE"""),1933855.0)</f>
        <v>1933855</v>
      </c>
    </row>
    <row r="4859">
      <c r="A4859" s="2">
        <f>IFERROR(__xludf.DUMMYFUNCTION("""COMPUTED_VALUE"""),43699.64583333333)</f>
        <v>43699.64583</v>
      </c>
      <c r="B4859" s="1">
        <f>IFERROR(__xludf.DUMMYFUNCTION("""COMPUTED_VALUE"""),1850.45)</f>
        <v>1850.45</v>
      </c>
      <c r="C4859" s="1">
        <f>IFERROR(__xludf.DUMMYFUNCTION("""COMPUTED_VALUE"""),1880.0)</f>
        <v>1880</v>
      </c>
      <c r="D4859" s="1">
        <f>IFERROR(__xludf.DUMMYFUNCTION("""COMPUTED_VALUE"""),1841.9)</f>
        <v>1841.9</v>
      </c>
      <c r="E4859" s="1">
        <f>IFERROR(__xludf.DUMMYFUNCTION("""COMPUTED_VALUE"""),1872.1)</f>
        <v>1872.1</v>
      </c>
      <c r="F4859" s="1">
        <f>IFERROR(__xludf.DUMMYFUNCTION("""COMPUTED_VALUE"""),2543055.0)</f>
        <v>2543055</v>
      </c>
    </row>
    <row r="4860">
      <c r="A4860" s="2">
        <f>IFERROR(__xludf.DUMMYFUNCTION("""COMPUTED_VALUE"""),43700.64583333333)</f>
        <v>43700.64583</v>
      </c>
      <c r="B4860" s="1">
        <f>IFERROR(__xludf.DUMMYFUNCTION("""COMPUTED_VALUE"""),1874.75)</f>
        <v>1874.75</v>
      </c>
      <c r="C4860" s="1">
        <f>IFERROR(__xludf.DUMMYFUNCTION("""COMPUTED_VALUE"""),1877.35)</f>
        <v>1877.35</v>
      </c>
      <c r="D4860" s="1">
        <f>IFERROR(__xludf.DUMMYFUNCTION("""COMPUTED_VALUE"""),1850.65)</f>
        <v>1850.65</v>
      </c>
      <c r="E4860" s="1">
        <f>IFERROR(__xludf.DUMMYFUNCTION("""COMPUTED_VALUE"""),1860.0)</f>
        <v>1860</v>
      </c>
      <c r="F4860" s="1">
        <f>IFERROR(__xludf.DUMMYFUNCTION("""COMPUTED_VALUE"""),1278546.0)</f>
        <v>1278546</v>
      </c>
    </row>
    <row r="4861">
      <c r="A4861" s="2">
        <f>IFERROR(__xludf.DUMMYFUNCTION("""COMPUTED_VALUE"""),43703.64583333333)</f>
        <v>43703.64583</v>
      </c>
      <c r="B4861" s="1">
        <f>IFERROR(__xludf.DUMMYFUNCTION("""COMPUTED_VALUE"""),1867.5)</f>
        <v>1867.5</v>
      </c>
      <c r="C4861" s="1">
        <f>IFERROR(__xludf.DUMMYFUNCTION("""COMPUTED_VALUE"""),1883.7)</f>
        <v>1883.7</v>
      </c>
      <c r="D4861" s="1">
        <f>IFERROR(__xludf.DUMMYFUNCTION("""COMPUTED_VALUE"""),1850.0)</f>
        <v>1850</v>
      </c>
      <c r="E4861" s="1">
        <f>IFERROR(__xludf.DUMMYFUNCTION("""COMPUTED_VALUE"""),1876.55)</f>
        <v>1876.55</v>
      </c>
      <c r="F4861" s="1">
        <f>IFERROR(__xludf.DUMMYFUNCTION("""COMPUTED_VALUE"""),855849.0)</f>
        <v>855849</v>
      </c>
    </row>
    <row r="4862">
      <c r="A4862" s="2">
        <f>IFERROR(__xludf.DUMMYFUNCTION("""COMPUTED_VALUE"""),43704.64583333333)</f>
        <v>43704.64583</v>
      </c>
      <c r="B4862" s="1">
        <f>IFERROR(__xludf.DUMMYFUNCTION("""COMPUTED_VALUE"""),1884.0)</f>
        <v>1884</v>
      </c>
      <c r="C4862" s="1">
        <f>IFERROR(__xludf.DUMMYFUNCTION("""COMPUTED_VALUE"""),1889.0)</f>
        <v>1889</v>
      </c>
      <c r="D4862" s="1">
        <f>IFERROR(__xludf.DUMMYFUNCTION("""COMPUTED_VALUE"""),1841.95)</f>
        <v>1841.95</v>
      </c>
      <c r="E4862" s="1">
        <f>IFERROR(__xludf.DUMMYFUNCTION("""COMPUTED_VALUE"""),1861.4)</f>
        <v>1861.4</v>
      </c>
      <c r="F4862" s="1">
        <f>IFERROR(__xludf.DUMMYFUNCTION("""COMPUTED_VALUE"""),2510386.0)</f>
        <v>2510386</v>
      </c>
    </row>
    <row r="4863">
      <c r="A4863" s="2">
        <f>IFERROR(__xludf.DUMMYFUNCTION("""COMPUTED_VALUE"""),43705.64583333333)</f>
        <v>43705.64583</v>
      </c>
      <c r="B4863" s="1">
        <f>IFERROR(__xludf.DUMMYFUNCTION("""COMPUTED_VALUE"""),1835.0)</f>
        <v>1835</v>
      </c>
      <c r="C4863" s="1">
        <f>IFERROR(__xludf.DUMMYFUNCTION("""COMPUTED_VALUE"""),1848.4)</f>
        <v>1848.4</v>
      </c>
      <c r="D4863" s="1">
        <f>IFERROR(__xludf.DUMMYFUNCTION("""COMPUTED_VALUE"""),1812.5)</f>
        <v>1812.5</v>
      </c>
      <c r="E4863" s="1">
        <f>IFERROR(__xludf.DUMMYFUNCTION("""COMPUTED_VALUE"""),1828.1)</f>
        <v>1828.1</v>
      </c>
      <c r="F4863" s="1">
        <f>IFERROR(__xludf.DUMMYFUNCTION("""COMPUTED_VALUE"""),2519453.0)</f>
        <v>2519453</v>
      </c>
    </row>
    <row r="4864">
      <c r="A4864" s="2">
        <f>IFERROR(__xludf.DUMMYFUNCTION("""COMPUTED_VALUE"""),43706.64583333333)</f>
        <v>43706.64583</v>
      </c>
      <c r="B4864" s="1">
        <f>IFERROR(__xludf.DUMMYFUNCTION("""COMPUTED_VALUE"""),1817.0)</f>
        <v>1817</v>
      </c>
      <c r="C4864" s="1">
        <f>IFERROR(__xludf.DUMMYFUNCTION("""COMPUTED_VALUE"""),1843.65)</f>
        <v>1843.65</v>
      </c>
      <c r="D4864" s="1">
        <f>IFERROR(__xludf.DUMMYFUNCTION("""COMPUTED_VALUE"""),1814.1)</f>
        <v>1814.1</v>
      </c>
      <c r="E4864" s="1">
        <f>IFERROR(__xludf.DUMMYFUNCTION("""COMPUTED_VALUE"""),1832.95)</f>
        <v>1832.95</v>
      </c>
      <c r="F4864" s="1">
        <f>IFERROR(__xludf.DUMMYFUNCTION("""COMPUTED_VALUE"""),2837369.0)</f>
        <v>2837369</v>
      </c>
    </row>
    <row r="4865">
      <c r="A4865" s="2">
        <f>IFERROR(__xludf.DUMMYFUNCTION("""COMPUTED_VALUE"""),43707.64583333333)</f>
        <v>43707.64583</v>
      </c>
      <c r="B4865" s="1">
        <f>IFERROR(__xludf.DUMMYFUNCTION("""COMPUTED_VALUE"""),1834.2)</f>
        <v>1834.2</v>
      </c>
      <c r="C4865" s="1">
        <f>IFERROR(__xludf.DUMMYFUNCTION("""COMPUTED_VALUE"""),1886.4)</f>
        <v>1886.4</v>
      </c>
      <c r="D4865" s="1">
        <f>IFERROR(__xludf.DUMMYFUNCTION("""COMPUTED_VALUE"""),1827.15)</f>
        <v>1827.15</v>
      </c>
      <c r="E4865" s="1">
        <f>IFERROR(__xludf.DUMMYFUNCTION("""COMPUTED_VALUE"""),1881.9)</f>
        <v>1881.9</v>
      </c>
      <c r="F4865" s="1">
        <f>IFERROR(__xludf.DUMMYFUNCTION("""COMPUTED_VALUE"""),1766858.0)</f>
        <v>1766858</v>
      </c>
    </row>
    <row r="4866">
      <c r="A4866" s="2">
        <f>IFERROR(__xludf.DUMMYFUNCTION("""COMPUTED_VALUE"""),43711.64583333333)</f>
        <v>43711.64583</v>
      </c>
      <c r="B4866" s="1">
        <f>IFERROR(__xludf.DUMMYFUNCTION("""COMPUTED_VALUE"""),1863.0)</f>
        <v>1863</v>
      </c>
      <c r="C4866" s="1">
        <f>IFERROR(__xludf.DUMMYFUNCTION("""COMPUTED_VALUE"""),1875.8)</f>
        <v>1875.8</v>
      </c>
      <c r="D4866" s="1">
        <f>IFERROR(__xludf.DUMMYFUNCTION("""COMPUTED_VALUE"""),1835.0)</f>
        <v>1835</v>
      </c>
      <c r="E4866" s="1">
        <f>IFERROR(__xludf.DUMMYFUNCTION("""COMPUTED_VALUE"""),1841.85)</f>
        <v>1841.85</v>
      </c>
      <c r="F4866" s="1">
        <f>IFERROR(__xludf.DUMMYFUNCTION("""COMPUTED_VALUE"""),1195923.0)</f>
        <v>1195923</v>
      </c>
    </row>
    <row r="4867">
      <c r="A4867" s="2">
        <f>IFERROR(__xludf.DUMMYFUNCTION("""COMPUTED_VALUE"""),43712.64583333333)</f>
        <v>43712.64583</v>
      </c>
      <c r="B4867" s="1">
        <f>IFERROR(__xludf.DUMMYFUNCTION("""COMPUTED_VALUE"""),1847.0)</f>
        <v>1847</v>
      </c>
      <c r="C4867" s="1">
        <f>IFERROR(__xludf.DUMMYFUNCTION("""COMPUTED_VALUE"""),1859.05)</f>
        <v>1859.05</v>
      </c>
      <c r="D4867" s="1">
        <f>IFERROR(__xludf.DUMMYFUNCTION("""COMPUTED_VALUE"""),1817.3)</f>
        <v>1817.3</v>
      </c>
      <c r="E4867" s="1">
        <f>IFERROR(__xludf.DUMMYFUNCTION("""COMPUTED_VALUE"""),1846.6)</f>
        <v>1846.6</v>
      </c>
      <c r="F4867" s="1">
        <f>IFERROR(__xludf.DUMMYFUNCTION("""COMPUTED_VALUE"""),1147464.0)</f>
        <v>1147464</v>
      </c>
    </row>
    <row r="4868">
      <c r="A4868" s="2">
        <f>IFERROR(__xludf.DUMMYFUNCTION("""COMPUTED_VALUE"""),43713.64583333333)</f>
        <v>43713.64583</v>
      </c>
      <c r="B4868" s="1">
        <f>IFERROR(__xludf.DUMMYFUNCTION("""COMPUTED_VALUE"""),1842.0)</f>
        <v>1842</v>
      </c>
      <c r="C4868" s="1">
        <f>IFERROR(__xludf.DUMMYFUNCTION("""COMPUTED_VALUE"""),1843.95)</f>
        <v>1843.95</v>
      </c>
      <c r="D4868" s="1">
        <f>IFERROR(__xludf.DUMMYFUNCTION("""COMPUTED_VALUE"""),1818.15)</f>
        <v>1818.15</v>
      </c>
      <c r="E4868" s="1">
        <f>IFERROR(__xludf.DUMMYFUNCTION("""COMPUTED_VALUE"""),1829.75)</f>
        <v>1829.75</v>
      </c>
      <c r="F4868" s="1">
        <f>IFERROR(__xludf.DUMMYFUNCTION("""COMPUTED_VALUE"""),1059065.0)</f>
        <v>1059065</v>
      </c>
    </row>
    <row r="4869">
      <c r="A4869" s="2">
        <f>IFERROR(__xludf.DUMMYFUNCTION("""COMPUTED_VALUE"""),43714.64583333333)</f>
        <v>43714.64583</v>
      </c>
      <c r="B4869" s="1">
        <f>IFERROR(__xludf.DUMMYFUNCTION("""COMPUTED_VALUE"""),1831.0)</f>
        <v>1831</v>
      </c>
      <c r="C4869" s="1">
        <f>IFERROR(__xludf.DUMMYFUNCTION("""COMPUTED_VALUE"""),1843.35)</f>
        <v>1843.35</v>
      </c>
      <c r="D4869" s="1">
        <f>IFERROR(__xludf.DUMMYFUNCTION("""COMPUTED_VALUE"""),1814.2)</f>
        <v>1814.2</v>
      </c>
      <c r="E4869" s="1">
        <f>IFERROR(__xludf.DUMMYFUNCTION("""COMPUTED_VALUE"""),1819.15)</f>
        <v>1819.15</v>
      </c>
      <c r="F4869" s="1">
        <f>IFERROR(__xludf.DUMMYFUNCTION("""COMPUTED_VALUE"""),631575.0)</f>
        <v>631575</v>
      </c>
    </row>
    <row r="4870">
      <c r="A4870" s="2">
        <f>IFERROR(__xludf.DUMMYFUNCTION("""COMPUTED_VALUE"""),43717.64583333333)</f>
        <v>43717.64583</v>
      </c>
      <c r="B4870" s="1">
        <f>IFERROR(__xludf.DUMMYFUNCTION("""COMPUTED_VALUE"""),1819.0)</f>
        <v>1819</v>
      </c>
      <c r="C4870" s="1">
        <f>IFERROR(__xludf.DUMMYFUNCTION("""COMPUTED_VALUE"""),1858.0)</f>
        <v>1858</v>
      </c>
      <c r="D4870" s="1">
        <f>IFERROR(__xludf.DUMMYFUNCTION("""COMPUTED_VALUE"""),1815.4)</f>
        <v>1815.4</v>
      </c>
      <c r="E4870" s="1">
        <f>IFERROR(__xludf.DUMMYFUNCTION("""COMPUTED_VALUE"""),1834.05)</f>
        <v>1834.05</v>
      </c>
      <c r="F4870" s="1">
        <f>IFERROR(__xludf.DUMMYFUNCTION("""COMPUTED_VALUE"""),1175372.0)</f>
        <v>1175372</v>
      </c>
    </row>
    <row r="4871">
      <c r="A4871" s="2">
        <f>IFERROR(__xludf.DUMMYFUNCTION("""COMPUTED_VALUE"""),43719.64583333333)</f>
        <v>43719.64583</v>
      </c>
      <c r="B4871" s="1">
        <f>IFERROR(__xludf.DUMMYFUNCTION("""COMPUTED_VALUE"""),1831.0)</f>
        <v>1831</v>
      </c>
      <c r="C4871" s="1">
        <f>IFERROR(__xludf.DUMMYFUNCTION("""COMPUTED_VALUE"""),1847.55)</f>
        <v>1847.55</v>
      </c>
      <c r="D4871" s="1">
        <f>IFERROR(__xludf.DUMMYFUNCTION("""COMPUTED_VALUE"""),1817.3)</f>
        <v>1817.3</v>
      </c>
      <c r="E4871" s="1">
        <f>IFERROR(__xludf.DUMMYFUNCTION("""COMPUTED_VALUE"""),1824.3)</f>
        <v>1824.3</v>
      </c>
      <c r="F4871" s="1">
        <f>IFERROR(__xludf.DUMMYFUNCTION("""COMPUTED_VALUE"""),1055039.0)</f>
        <v>1055039</v>
      </c>
    </row>
    <row r="4872">
      <c r="A4872" s="2">
        <f>IFERROR(__xludf.DUMMYFUNCTION("""COMPUTED_VALUE"""),43720.64583333333)</f>
        <v>43720.64583</v>
      </c>
      <c r="B4872" s="1">
        <f>IFERROR(__xludf.DUMMYFUNCTION("""COMPUTED_VALUE"""),1826.0)</f>
        <v>1826</v>
      </c>
      <c r="C4872" s="1">
        <f>IFERROR(__xludf.DUMMYFUNCTION("""COMPUTED_VALUE"""),1833.6)</f>
        <v>1833.6</v>
      </c>
      <c r="D4872" s="1">
        <f>IFERROR(__xludf.DUMMYFUNCTION("""COMPUTED_VALUE"""),1798.5)</f>
        <v>1798.5</v>
      </c>
      <c r="E4872" s="1">
        <f>IFERROR(__xludf.DUMMYFUNCTION("""COMPUTED_VALUE"""),1805.4)</f>
        <v>1805.4</v>
      </c>
      <c r="F4872" s="1">
        <f>IFERROR(__xludf.DUMMYFUNCTION("""COMPUTED_VALUE"""),862635.0)</f>
        <v>862635</v>
      </c>
    </row>
    <row r="4873">
      <c r="A4873" s="2">
        <f>IFERROR(__xludf.DUMMYFUNCTION("""COMPUTED_VALUE"""),43721.64583333333)</f>
        <v>43721.64583</v>
      </c>
      <c r="B4873" s="1">
        <f>IFERROR(__xludf.DUMMYFUNCTION("""COMPUTED_VALUE"""),1806.0)</f>
        <v>1806</v>
      </c>
      <c r="C4873" s="1">
        <f>IFERROR(__xludf.DUMMYFUNCTION("""COMPUTED_VALUE"""),1825.0)</f>
        <v>1825</v>
      </c>
      <c r="D4873" s="1">
        <f>IFERROR(__xludf.DUMMYFUNCTION("""COMPUTED_VALUE"""),1793.6)</f>
        <v>1793.6</v>
      </c>
      <c r="E4873" s="1">
        <f>IFERROR(__xludf.DUMMYFUNCTION("""COMPUTED_VALUE"""),1805.55)</f>
        <v>1805.55</v>
      </c>
      <c r="F4873" s="1">
        <f>IFERROR(__xludf.DUMMYFUNCTION("""COMPUTED_VALUE"""),1299932.0)</f>
        <v>1299932</v>
      </c>
    </row>
    <row r="4874">
      <c r="A4874" s="2">
        <f>IFERROR(__xludf.DUMMYFUNCTION("""COMPUTED_VALUE"""),43724.64583333333)</f>
        <v>43724.64583</v>
      </c>
      <c r="B4874" s="1">
        <f>IFERROR(__xludf.DUMMYFUNCTION("""COMPUTED_VALUE"""),1801.0)</f>
        <v>1801</v>
      </c>
      <c r="C4874" s="1">
        <f>IFERROR(__xludf.DUMMYFUNCTION("""COMPUTED_VALUE"""),1824.75)</f>
        <v>1824.75</v>
      </c>
      <c r="D4874" s="1">
        <f>IFERROR(__xludf.DUMMYFUNCTION("""COMPUTED_VALUE"""),1800.0)</f>
        <v>1800</v>
      </c>
      <c r="E4874" s="1">
        <f>IFERROR(__xludf.DUMMYFUNCTION("""COMPUTED_VALUE"""),1816.3)</f>
        <v>1816.3</v>
      </c>
      <c r="F4874" s="1">
        <f>IFERROR(__xludf.DUMMYFUNCTION("""COMPUTED_VALUE"""),945889.0)</f>
        <v>945889</v>
      </c>
    </row>
    <row r="4875">
      <c r="A4875" s="2">
        <f>IFERROR(__xludf.DUMMYFUNCTION("""COMPUTED_VALUE"""),43725.64583333333)</f>
        <v>43725.64583</v>
      </c>
      <c r="B4875" s="1">
        <f>IFERROR(__xludf.DUMMYFUNCTION("""COMPUTED_VALUE"""),1814.75)</f>
        <v>1814.75</v>
      </c>
      <c r="C4875" s="1">
        <f>IFERROR(__xludf.DUMMYFUNCTION("""COMPUTED_VALUE"""),1842.0)</f>
        <v>1842</v>
      </c>
      <c r="D4875" s="1">
        <f>IFERROR(__xludf.DUMMYFUNCTION("""COMPUTED_VALUE"""),1812.0)</f>
        <v>1812</v>
      </c>
      <c r="E4875" s="1">
        <f>IFERROR(__xludf.DUMMYFUNCTION("""COMPUTED_VALUE"""),1831.2)</f>
        <v>1831.2</v>
      </c>
      <c r="F4875" s="1">
        <f>IFERROR(__xludf.DUMMYFUNCTION("""COMPUTED_VALUE"""),1424258.0)</f>
        <v>1424258</v>
      </c>
    </row>
    <row r="4876">
      <c r="A4876" s="2">
        <f>IFERROR(__xludf.DUMMYFUNCTION("""COMPUTED_VALUE"""),43726.64583333333)</f>
        <v>43726.64583</v>
      </c>
      <c r="B4876" s="1">
        <f>IFERROR(__xludf.DUMMYFUNCTION("""COMPUTED_VALUE"""),1839.5)</f>
        <v>1839.5</v>
      </c>
      <c r="C4876" s="1">
        <f>IFERROR(__xludf.DUMMYFUNCTION("""COMPUTED_VALUE"""),1843.95)</f>
        <v>1843.95</v>
      </c>
      <c r="D4876" s="1">
        <f>IFERROR(__xludf.DUMMYFUNCTION("""COMPUTED_VALUE"""),1818.65)</f>
        <v>1818.65</v>
      </c>
      <c r="E4876" s="1">
        <f>IFERROR(__xludf.DUMMYFUNCTION("""COMPUTED_VALUE"""),1829.2)</f>
        <v>1829.2</v>
      </c>
      <c r="F4876" s="1">
        <f>IFERROR(__xludf.DUMMYFUNCTION("""COMPUTED_VALUE"""),751391.0)</f>
        <v>751391</v>
      </c>
    </row>
    <row r="4877">
      <c r="A4877" s="2">
        <f>IFERROR(__xludf.DUMMYFUNCTION("""COMPUTED_VALUE"""),43727.64583333333)</f>
        <v>43727.64583</v>
      </c>
      <c r="B4877" s="1">
        <f>IFERROR(__xludf.DUMMYFUNCTION("""COMPUTED_VALUE"""),1830.0)</f>
        <v>1830</v>
      </c>
      <c r="C4877" s="1">
        <f>IFERROR(__xludf.DUMMYFUNCTION("""COMPUTED_VALUE"""),1843.6)</f>
        <v>1843.6</v>
      </c>
      <c r="D4877" s="1">
        <f>IFERROR(__xludf.DUMMYFUNCTION("""COMPUTED_VALUE"""),1808.25)</f>
        <v>1808.25</v>
      </c>
      <c r="E4877" s="1">
        <f>IFERROR(__xludf.DUMMYFUNCTION("""COMPUTED_VALUE"""),1812.75)</f>
        <v>1812.75</v>
      </c>
      <c r="F4877" s="1">
        <f>IFERROR(__xludf.DUMMYFUNCTION("""COMPUTED_VALUE"""),644684.0)</f>
        <v>644684</v>
      </c>
    </row>
    <row r="4878">
      <c r="A4878" s="2">
        <f>IFERROR(__xludf.DUMMYFUNCTION("""COMPUTED_VALUE"""),43728.64583333333)</f>
        <v>43728.64583</v>
      </c>
      <c r="B4878" s="1">
        <f>IFERROR(__xludf.DUMMYFUNCTION("""COMPUTED_VALUE"""),1823.0)</f>
        <v>1823</v>
      </c>
      <c r="C4878" s="1">
        <f>IFERROR(__xludf.DUMMYFUNCTION("""COMPUTED_VALUE"""),1992.0)</f>
        <v>1992</v>
      </c>
      <c r="D4878" s="1">
        <f>IFERROR(__xludf.DUMMYFUNCTION("""COMPUTED_VALUE"""),1810.25)</f>
        <v>1810.25</v>
      </c>
      <c r="E4878" s="1">
        <f>IFERROR(__xludf.DUMMYFUNCTION("""COMPUTED_VALUE"""),1969.75)</f>
        <v>1969.75</v>
      </c>
      <c r="F4878" s="1">
        <f>IFERROR(__xludf.DUMMYFUNCTION("""COMPUTED_VALUE"""),4539742.0)</f>
        <v>4539742</v>
      </c>
    </row>
    <row r="4879">
      <c r="A4879" s="2">
        <f>IFERROR(__xludf.DUMMYFUNCTION("""COMPUTED_VALUE"""),43731.64583333333)</f>
        <v>43731.64583</v>
      </c>
      <c r="B4879" s="1">
        <f>IFERROR(__xludf.DUMMYFUNCTION("""COMPUTED_VALUE"""),1984.0)</f>
        <v>1984</v>
      </c>
      <c r="C4879" s="1">
        <f>IFERROR(__xludf.DUMMYFUNCTION("""COMPUTED_VALUE"""),2100.65)</f>
        <v>2100.65</v>
      </c>
      <c r="D4879" s="1">
        <f>IFERROR(__xludf.DUMMYFUNCTION("""COMPUTED_VALUE"""),1984.0)</f>
        <v>1984</v>
      </c>
      <c r="E4879" s="1">
        <f>IFERROR(__xludf.DUMMYFUNCTION("""COMPUTED_VALUE"""),2039.75)</f>
        <v>2039.75</v>
      </c>
      <c r="F4879" s="1">
        <f>IFERROR(__xludf.DUMMYFUNCTION("""COMPUTED_VALUE"""),3783357.0)</f>
        <v>3783357</v>
      </c>
    </row>
    <row r="4880">
      <c r="A4880" s="2">
        <f>IFERROR(__xludf.DUMMYFUNCTION("""COMPUTED_VALUE"""),43732.64583333333)</f>
        <v>43732.64583</v>
      </c>
      <c r="B4880" s="1">
        <f>IFERROR(__xludf.DUMMYFUNCTION("""COMPUTED_VALUE"""),2045.0)</f>
        <v>2045</v>
      </c>
      <c r="C4880" s="1">
        <f>IFERROR(__xludf.DUMMYFUNCTION("""COMPUTED_VALUE"""),2067.9)</f>
        <v>2067.9</v>
      </c>
      <c r="D4880" s="1">
        <f>IFERROR(__xludf.DUMMYFUNCTION("""COMPUTED_VALUE"""),2009.1)</f>
        <v>2009.1</v>
      </c>
      <c r="E4880" s="1">
        <f>IFERROR(__xludf.DUMMYFUNCTION("""COMPUTED_VALUE"""),2050.45)</f>
        <v>2050.45</v>
      </c>
      <c r="F4880" s="1">
        <f>IFERROR(__xludf.DUMMYFUNCTION("""COMPUTED_VALUE"""),1784798.0)</f>
        <v>1784798</v>
      </c>
    </row>
    <row r="4881">
      <c r="A4881" s="2">
        <f>IFERROR(__xludf.DUMMYFUNCTION("""COMPUTED_VALUE"""),43733.64583333333)</f>
        <v>43733.64583</v>
      </c>
      <c r="B4881" s="1">
        <f>IFERROR(__xludf.DUMMYFUNCTION("""COMPUTED_VALUE"""),2041.0)</f>
        <v>2041</v>
      </c>
      <c r="C4881" s="1">
        <f>IFERROR(__xludf.DUMMYFUNCTION("""COMPUTED_VALUE"""),2062.45)</f>
        <v>2062.45</v>
      </c>
      <c r="D4881" s="1">
        <f>IFERROR(__xludf.DUMMYFUNCTION("""COMPUTED_VALUE"""),2011.85)</f>
        <v>2011.85</v>
      </c>
      <c r="E4881" s="1">
        <f>IFERROR(__xludf.DUMMYFUNCTION("""COMPUTED_VALUE"""),2051.5)</f>
        <v>2051.5</v>
      </c>
      <c r="F4881" s="1">
        <f>IFERROR(__xludf.DUMMYFUNCTION("""COMPUTED_VALUE"""),1874109.0)</f>
        <v>1874109</v>
      </c>
    </row>
    <row r="4882">
      <c r="A4882" s="2">
        <f>IFERROR(__xludf.DUMMYFUNCTION("""COMPUTED_VALUE"""),43734.64583333333)</f>
        <v>43734.64583</v>
      </c>
      <c r="B4882" s="1">
        <f>IFERROR(__xludf.DUMMYFUNCTION("""COMPUTED_VALUE"""),2055.0)</f>
        <v>2055</v>
      </c>
      <c r="C4882" s="1">
        <f>IFERROR(__xludf.DUMMYFUNCTION("""COMPUTED_VALUE"""),2075.0)</f>
        <v>2075</v>
      </c>
      <c r="D4882" s="1">
        <f>IFERROR(__xludf.DUMMYFUNCTION("""COMPUTED_VALUE"""),2016.95)</f>
        <v>2016.95</v>
      </c>
      <c r="E4882" s="1">
        <f>IFERROR(__xludf.DUMMYFUNCTION("""COMPUTED_VALUE"""),2034.4)</f>
        <v>2034.4</v>
      </c>
      <c r="F4882" s="1">
        <f>IFERROR(__xludf.DUMMYFUNCTION("""COMPUTED_VALUE"""),3907951.0)</f>
        <v>3907951</v>
      </c>
    </row>
    <row r="4883">
      <c r="A4883" s="2">
        <f>IFERROR(__xludf.DUMMYFUNCTION("""COMPUTED_VALUE"""),43735.64583333333)</f>
        <v>43735.64583</v>
      </c>
      <c r="B4883" s="1">
        <f>IFERROR(__xludf.DUMMYFUNCTION("""COMPUTED_VALUE"""),2026.0)</f>
        <v>2026</v>
      </c>
      <c r="C4883" s="1">
        <f>IFERROR(__xludf.DUMMYFUNCTION("""COMPUTED_VALUE"""),2044.65)</f>
        <v>2044.65</v>
      </c>
      <c r="D4883" s="1">
        <f>IFERROR(__xludf.DUMMYFUNCTION("""COMPUTED_VALUE"""),2005.5)</f>
        <v>2005.5</v>
      </c>
      <c r="E4883" s="1">
        <f>IFERROR(__xludf.DUMMYFUNCTION("""COMPUTED_VALUE"""),2010.9)</f>
        <v>2010.9</v>
      </c>
      <c r="F4883" s="1">
        <f>IFERROR(__xludf.DUMMYFUNCTION("""COMPUTED_VALUE"""),1458672.0)</f>
        <v>1458672</v>
      </c>
    </row>
    <row r="4884">
      <c r="A4884" s="2">
        <f>IFERROR(__xludf.DUMMYFUNCTION("""COMPUTED_VALUE"""),43738.64583333333)</f>
        <v>43738.64583</v>
      </c>
      <c r="B4884" s="1">
        <f>IFERROR(__xludf.DUMMYFUNCTION("""COMPUTED_VALUE"""),2007.9)</f>
        <v>2007.9</v>
      </c>
      <c r="C4884" s="1">
        <f>IFERROR(__xludf.DUMMYFUNCTION("""COMPUTED_VALUE"""),2017.9)</f>
        <v>2017.9</v>
      </c>
      <c r="D4884" s="1">
        <f>IFERROR(__xludf.DUMMYFUNCTION("""COMPUTED_VALUE"""),1971.4)</f>
        <v>1971.4</v>
      </c>
      <c r="E4884" s="1">
        <f>IFERROR(__xludf.DUMMYFUNCTION("""COMPUTED_VALUE"""),1981.95)</f>
        <v>1981.95</v>
      </c>
      <c r="F4884" s="1">
        <f>IFERROR(__xludf.DUMMYFUNCTION("""COMPUTED_VALUE"""),2169407.0)</f>
        <v>2169407</v>
      </c>
    </row>
    <row r="4885">
      <c r="A4885" s="2">
        <f>IFERROR(__xludf.DUMMYFUNCTION("""COMPUTED_VALUE"""),43739.64583333333)</f>
        <v>43739.64583</v>
      </c>
      <c r="B4885" s="1">
        <f>IFERROR(__xludf.DUMMYFUNCTION("""COMPUTED_VALUE"""),1989.0)</f>
        <v>1989</v>
      </c>
      <c r="C4885" s="1">
        <f>IFERROR(__xludf.DUMMYFUNCTION("""COMPUTED_VALUE"""),2019.9)</f>
        <v>2019.9</v>
      </c>
      <c r="D4885" s="1">
        <f>IFERROR(__xludf.DUMMYFUNCTION("""COMPUTED_VALUE"""),1983.0)</f>
        <v>1983</v>
      </c>
      <c r="E4885" s="1">
        <f>IFERROR(__xludf.DUMMYFUNCTION("""COMPUTED_VALUE"""),1990.3)</f>
        <v>1990.3</v>
      </c>
      <c r="F4885" s="1">
        <f>IFERROR(__xludf.DUMMYFUNCTION("""COMPUTED_VALUE"""),1080409.0)</f>
        <v>1080409</v>
      </c>
    </row>
    <row r="4886">
      <c r="A4886" s="2">
        <f>IFERROR(__xludf.DUMMYFUNCTION("""COMPUTED_VALUE"""),43741.64583333333)</f>
        <v>43741.64583</v>
      </c>
      <c r="B4886" s="1">
        <f>IFERROR(__xludf.DUMMYFUNCTION("""COMPUTED_VALUE"""),1984.75)</f>
        <v>1984.75</v>
      </c>
      <c r="C4886" s="1">
        <f>IFERROR(__xludf.DUMMYFUNCTION("""COMPUTED_VALUE"""),1985.3)</f>
        <v>1985.3</v>
      </c>
      <c r="D4886" s="1">
        <f>IFERROR(__xludf.DUMMYFUNCTION("""COMPUTED_VALUE"""),1958.35)</f>
        <v>1958.35</v>
      </c>
      <c r="E4886" s="1">
        <f>IFERROR(__xludf.DUMMYFUNCTION("""COMPUTED_VALUE"""),1962.05)</f>
        <v>1962.05</v>
      </c>
      <c r="F4886" s="1">
        <f>IFERROR(__xludf.DUMMYFUNCTION("""COMPUTED_VALUE"""),1423468.0)</f>
        <v>1423468</v>
      </c>
    </row>
    <row r="4887">
      <c r="A4887" s="2">
        <f>IFERROR(__xludf.DUMMYFUNCTION("""COMPUTED_VALUE"""),43742.64583333333)</f>
        <v>43742.64583</v>
      </c>
      <c r="B4887" s="1">
        <f>IFERROR(__xludf.DUMMYFUNCTION("""COMPUTED_VALUE"""),1966.0)</f>
        <v>1966</v>
      </c>
      <c r="C4887" s="1">
        <f>IFERROR(__xludf.DUMMYFUNCTION("""COMPUTED_VALUE"""),1977.3)</f>
        <v>1977.3</v>
      </c>
      <c r="D4887" s="1">
        <f>IFERROR(__xludf.DUMMYFUNCTION("""COMPUTED_VALUE"""),1939.1)</f>
        <v>1939.1</v>
      </c>
      <c r="E4887" s="1">
        <f>IFERROR(__xludf.DUMMYFUNCTION("""COMPUTED_VALUE"""),1944.2)</f>
        <v>1944.2</v>
      </c>
      <c r="F4887" s="1">
        <f>IFERROR(__xludf.DUMMYFUNCTION("""COMPUTED_VALUE"""),1723988.0)</f>
        <v>1723988</v>
      </c>
    </row>
    <row r="4888">
      <c r="A4888" s="2">
        <f>IFERROR(__xludf.DUMMYFUNCTION("""COMPUTED_VALUE"""),43745.64583333333)</f>
        <v>43745.64583</v>
      </c>
      <c r="B4888" s="1">
        <f>IFERROR(__xludf.DUMMYFUNCTION("""COMPUTED_VALUE"""),1943.95)</f>
        <v>1943.95</v>
      </c>
      <c r="C4888" s="1">
        <f>IFERROR(__xludf.DUMMYFUNCTION("""COMPUTED_VALUE"""),1962.95)</f>
        <v>1962.95</v>
      </c>
      <c r="D4888" s="1">
        <f>IFERROR(__xludf.DUMMYFUNCTION("""COMPUTED_VALUE"""),1927.65)</f>
        <v>1927.65</v>
      </c>
      <c r="E4888" s="1">
        <f>IFERROR(__xludf.DUMMYFUNCTION("""COMPUTED_VALUE"""),1940.05)</f>
        <v>1940.05</v>
      </c>
      <c r="F4888" s="1">
        <f>IFERROR(__xludf.DUMMYFUNCTION("""COMPUTED_VALUE"""),880275.0)</f>
        <v>880275</v>
      </c>
    </row>
    <row r="4889">
      <c r="A4889" s="2">
        <f>IFERROR(__xludf.DUMMYFUNCTION("""COMPUTED_VALUE"""),43747.64583333333)</f>
        <v>43747.64583</v>
      </c>
      <c r="B4889" s="1">
        <f>IFERROR(__xludf.DUMMYFUNCTION("""COMPUTED_VALUE"""),1950.0)</f>
        <v>1950</v>
      </c>
      <c r="C4889" s="1">
        <f>IFERROR(__xludf.DUMMYFUNCTION("""COMPUTED_VALUE"""),1962.7)</f>
        <v>1962.7</v>
      </c>
      <c r="D4889" s="1">
        <f>IFERROR(__xludf.DUMMYFUNCTION("""COMPUTED_VALUE"""),1941.25)</f>
        <v>1941.25</v>
      </c>
      <c r="E4889" s="1">
        <f>IFERROR(__xludf.DUMMYFUNCTION("""COMPUTED_VALUE"""),1948.0)</f>
        <v>1948</v>
      </c>
      <c r="F4889" s="1">
        <f>IFERROR(__xludf.DUMMYFUNCTION("""COMPUTED_VALUE"""),1066739.0)</f>
        <v>1066739</v>
      </c>
    </row>
    <row r="4890">
      <c r="A4890" s="2">
        <f>IFERROR(__xludf.DUMMYFUNCTION("""COMPUTED_VALUE"""),43748.64583333333)</f>
        <v>43748.64583</v>
      </c>
      <c r="B4890" s="1">
        <f>IFERROR(__xludf.DUMMYFUNCTION("""COMPUTED_VALUE"""),1948.0)</f>
        <v>1948</v>
      </c>
      <c r="C4890" s="1">
        <f>IFERROR(__xludf.DUMMYFUNCTION("""COMPUTED_VALUE"""),1982.5)</f>
        <v>1982.5</v>
      </c>
      <c r="D4890" s="1">
        <f>IFERROR(__xludf.DUMMYFUNCTION("""COMPUTED_VALUE"""),1935.6)</f>
        <v>1935.6</v>
      </c>
      <c r="E4890" s="1">
        <f>IFERROR(__xludf.DUMMYFUNCTION("""COMPUTED_VALUE"""),1968.75)</f>
        <v>1968.75</v>
      </c>
      <c r="F4890" s="1">
        <f>IFERROR(__xludf.DUMMYFUNCTION("""COMPUTED_VALUE"""),1492290.0)</f>
        <v>1492290</v>
      </c>
    </row>
    <row r="4891">
      <c r="A4891" s="2">
        <f>IFERROR(__xludf.DUMMYFUNCTION("""COMPUTED_VALUE"""),43749.64583333333)</f>
        <v>43749.64583</v>
      </c>
      <c r="B4891" s="1">
        <f>IFERROR(__xludf.DUMMYFUNCTION("""COMPUTED_VALUE"""),1985.85)</f>
        <v>1985.85</v>
      </c>
      <c r="C4891" s="1">
        <f>IFERROR(__xludf.DUMMYFUNCTION("""COMPUTED_VALUE"""),2016.9)</f>
        <v>2016.9</v>
      </c>
      <c r="D4891" s="1">
        <f>IFERROR(__xludf.DUMMYFUNCTION("""COMPUTED_VALUE"""),1975.5)</f>
        <v>1975.5</v>
      </c>
      <c r="E4891" s="1">
        <f>IFERROR(__xludf.DUMMYFUNCTION("""COMPUTED_VALUE"""),2004.65)</f>
        <v>2004.65</v>
      </c>
      <c r="F4891" s="1">
        <f>IFERROR(__xludf.DUMMYFUNCTION("""COMPUTED_VALUE"""),1934337.0)</f>
        <v>1934337</v>
      </c>
    </row>
    <row r="4892">
      <c r="A4892" s="2">
        <f>IFERROR(__xludf.DUMMYFUNCTION("""COMPUTED_VALUE"""),43752.64583333333)</f>
        <v>43752.64583</v>
      </c>
      <c r="B4892" s="1">
        <f>IFERROR(__xludf.DUMMYFUNCTION("""COMPUTED_VALUE"""),2022.4)</f>
        <v>2022.4</v>
      </c>
      <c r="C4892" s="1">
        <f>IFERROR(__xludf.DUMMYFUNCTION("""COMPUTED_VALUE"""),2031.45)</f>
        <v>2031.45</v>
      </c>
      <c r="D4892" s="1">
        <f>IFERROR(__xludf.DUMMYFUNCTION("""COMPUTED_VALUE"""),2006.25)</f>
        <v>2006.25</v>
      </c>
      <c r="E4892" s="1">
        <f>IFERROR(__xludf.DUMMYFUNCTION("""COMPUTED_VALUE"""),2014.25)</f>
        <v>2014.25</v>
      </c>
      <c r="F4892" s="1">
        <f>IFERROR(__xludf.DUMMYFUNCTION("""COMPUTED_VALUE"""),2135148.0)</f>
        <v>2135148</v>
      </c>
    </row>
    <row r="4893">
      <c r="A4893" s="2">
        <f>IFERROR(__xludf.DUMMYFUNCTION("""COMPUTED_VALUE"""),43753.64583333333)</f>
        <v>43753.64583</v>
      </c>
      <c r="B4893" s="1">
        <f>IFERROR(__xludf.DUMMYFUNCTION("""COMPUTED_VALUE"""),2050.0)</f>
        <v>2050</v>
      </c>
      <c r="C4893" s="1">
        <f>IFERROR(__xludf.DUMMYFUNCTION("""COMPUTED_VALUE"""),2077.3)</f>
        <v>2077.3</v>
      </c>
      <c r="D4893" s="1">
        <f>IFERROR(__xludf.DUMMYFUNCTION("""COMPUTED_VALUE"""),2025.8)</f>
        <v>2025.8</v>
      </c>
      <c r="E4893" s="1">
        <f>IFERROR(__xludf.DUMMYFUNCTION("""COMPUTED_VALUE"""),2064.4)</f>
        <v>2064.4</v>
      </c>
      <c r="F4893" s="1">
        <f>IFERROR(__xludf.DUMMYFUNCTION("""COMPUTED_VALUE"""),5761733.0)</f>
        <v>5761733</v>
      </c>
    </row>
    <row r="4894">
      <c r="A4894" s="2">
        <f>IFERROR(__xludf.DUMMYFUNCTION("""COMPUTED_VALUE"""),43754.64583333333)</f>
        <v>43754.64583</v>
      </c>
      <c r="B4894" s="1">
        <f>IFERROR(__xludf.DUMMYFUNCTION("""COMPUTED_VALUE"""),2065.3)</f>
        <v>2065.3</v>
      </c>
      <c r="C4894" s="1">
        <f>IFERROR(__xludf.DUMMYFUNCTION("""COMPUTED_VALUE"""),2080.0)</f>
        <v>2080</v>
      </c>
      <c r="D4894" s="1">
        <f>IFERROR(__xludf.DUMMYFUNCTION("""COMPUTED_VALUE"""),2052.6)</f>
        <v>2052.6</v>
      </c>
      <c r="E4894" s="1">
        <f>IFERROR(__xludf.DUMMYFUNCTION("""COMPUTED_VALUE"""),2071.0)</f>
        <v>2071</v>
      </c>
      <c r="F4894" s="1">
        <f>IFERROR(__xludf.DUMMYFUNCTION("""COMPUTED_VALUE"""),1661705.0)</f>
        <v>1661705</v>
      </c>
    </row>
    <row r="4895">
      <c r="A4895" s="2">
        <f>IFERROR(__xludf.DUMMYFUNCTION("""COMPUTED_VALUE"""),43755.64583333333)</f>
        <v>43755.64583</v>
      </c>
      <c r="B4895" s="1">
        <f>IFERROR(__xludf.DUMMYFUNCTION("""COMPUTED_VALUE"""),2067.5)</f>
        <v>2067.5</v>
      </c>
      <c r="C4895" s="1">
        <f>IFERROR(__xludf.DUMMYFUNCTION("""COMPUTED_VALUE"""),2108.0)</f>
        <v>2108</v>
      </c>
      <c r="D4895" s="1">
        <f>IFERROR(__xludf.DUMMYFUNCTION("""COMPUTED_VALUE"""),2061.95)</f>
        <v>2061.95</v>
      </c>
      <c r="E4895" s="1">
        <f>IFERROR(__xludf.DUMMYFUNCTION("""COMPUTED_VALUE"""),2103.85)</f>
        <v>2103.85</v>
      </c>
      <c r="F4895" s="1">
        <f>IFERROR(__xludf.DUMMYFUNCTION("""COMPUTED_VALUE"""),2001245.0)</f>
        <v>2001245</v>
      </c>
    </row>
    <row r="4896">
      <c r="A4896" s="2">
        <f>IFERROR(__xludf.DUMMYFUNCTION("""COMPUTED_VALUE"""),43756.64583333333)</f>
        <v>43756.64583</v>
      </c>
      <c r="B4896" s="1">
        <f>IFERROR(__xludf.DUMMYFUNCTION("""COMPUTED_VALUE"""),2100.0)</f>
        <v>2100</v>
      </c>
      <c r="C4896" s="1">
        <f>IFERROR(__xludf.DUMMYFUNCTION("""COMPUTED_VALUE"""),2116.0)</f>
        <v>2116</v>
      </c>
      <c r="D4896" s="1">
        <f>IFERROR(__xludf.DUMMYFUNCTION("""COMPUTED_VALUE"""),2090.7)</f>
        <v>2090.7</v>
      </c>
      <c r="E4896" s="1">
        <f>IFERROR(__xludf.DUMMYFUNCTION("""COMPUTED_VALUE"""),2106.85)</f>
        <v>2106.85</v>
      </c>
      <c r="F4896" s="1">
        <f>IFERROR(__xludf.DUMMYFUNCTION("""COMPUTED_VALUE"""),2202270.0)</f>
        <v>2202270</v>
      </c>
    </row>
    <row r="4897">
      <c r="A4897" s="2">
        <f>IFERROR(__xludf.DUMMYFUNCTION("""COMPUTED_VALUE"""),43760.64583333333)</f>
        <v>43760.64583</v>
      </c>
      <c r="B4897" s="1">
        <f>IFERROR(__xludf.DUMMYFUNCTION("""COMPUTED_VALUE"""),2120.0)</f>
        <v>2120</v>
      </c>
      <c r="C4897" s="1">
        <f>IFERROR(__xludf.DUMMYFUNCTION("""COMPUTED_VALUE"""),2149.0)</f>
        <v>2149</v>
      </c>
      <c r="D4897" s="1">
        <f>IFERROR(__xludf.DUMMYFUNCTION("""COMPUTED_VALUE"""),2112.0)</f>
        <v>2112</v>
      </c>
      <c r="E4897" s="1">
        <f>IFERROR(__xludf.DUMMYFUNCTION("""COMPUTED_VALUE"""),2127.35)</f>
        <v>2127.35</v>
      </c>
      <c r="F4897" s="1">
        <f>IFERROR(__xludf.DUMMYFUNCTION("""COMPUTED_VALUE"""),1737401.0)</f>
        <v>1737401</v>
      </c>
    </row>
    <row r="4898">
      <c r="A4898" s="2">
        <f>IFERROR(__xludf.DUMMYFUNCTION("""COMPUTED_VALUE"""),43761.64583333333)</f>
        <v>43761.64583</v>
      </c>
      <c r="B4898" s="1">
        <f>IFERROR(__xludf.DUMMYFUNCTION("""COMPUTED_VALUE"""),2119.45)</f>
        <v>2119.45</v>
      </c>
      <c r="C4898" s="1">
        <f>IFERROR(__xludf.DUMMYFUNCTION("""COMPUTED_VALUE"""),2137.45)</f>
        <v>2137.45</v>
      </c>
      <c r="D4898" s="1">
        <f>IFERROR(__xludf.DUMMYFUNCTION("""COMPUTED_VALUE"""),2098.0)</f>
        <v>2098</v>
      </c>
      <c r="E4898" s="1">
        <f>IFERROR(__xludf.DUMMYFUNCTION("""COMPUTED_VALUE"""),2133.25)</f>
        <v>2133.25</v>
      </c>
      <c r="F4898" s="1">
        <f>IFERROR(__xludf.DUMMYFUNCTION("""COMPUTED_VALUE"""),1535786.0)</f>
        <v>1535786</v>
      </c>
    </row>
    <row r="4899">
      <c r="A4899" s="2">
        <f>IFERROR(__xludf.DUMMYFUNCTION("""COMPUTED_VALUE"""),43762.64583333333)</f>
        <v>43762.64583</v>
      </c>
      <c r="B4899" s="1">
        <f>IFERROR(__xludf.DUMMYFUNCTION("""COMPUTED_VALUE"""),2141.0)</f>
        <v>2141</v>
      </c>
      <c r="C4899" s="1">
        <f>IFERROR(__xludf.DUMMYFUNCTION("""COMPUTED_VALUE"""),2150.0)</f>
        <v>2150</v>
      </c>
      <c r="D4899" s="1">
        <f>IFERROR(__xludf.DUMMYFUNCTION("""COMPUTED_VALUE"""),2118.05)</f>
        <v>2118.05</v>
      </c>
      <c r="E4899" s="1">
        <f>IFERROR(__xludf.DUMMYFUNCTION("""COMPUTED_VALUE"""),2133.35)</f>
        <v>2133.35</v>
      </c>
      <c r="F4899" s="1">
        <f>IFERROR(__xludf.DUMMYFUNCTION("""COMPUTED_VALUE"""),973453.0)</f>
        <v>973453</v>
      </c>
    </row>
    <row r="4900">
      <c r="A4900" s="2">
        <f>IFERROR(__xludf.DUMMYFUNCTION("""COMPUTED_VALUE"""),43763.79166666667)</f>
        <v>43763.79167</v>
      </c>
      <c r="B4900" s="1">
        <f>IFERROR(__xludf.DUMMYFUNCTION("""COMPUTED_VALUE"""),2147.55)</f>
        <v>2147.55</v>
      </c>
      <c r="C4900" s="1">
        <f>IFERROR(__xludf.DUMMYFUNCTION("""COMPUTED_VALUE"""),2156.5)</f>
        <v>2156.5</v>
      </c>
      <c r="D4900" s="1">
        <f>IFERROR(__xludf.DUMMYFUNCTION("""COMPUTED_VALUE"""),2129.3)</f>
        <v>2129.3</v>
      </c>
      <c r="E4900" s="1">
        <f>IFERROR(__xludf.DUMMYFUNCTION("""COMPUTED_VALUE"""),2145.1)</f>
        <v>2145.1</v>
      </c>
      <c r="F4900" s="1">
        <f>IFERROR(__xludf.DUMMYFUNCTION("""COMPUTED_VALUE"""),1612038.0)</f>
        <v>1612038</v>
      </c>
    </row>
    <row r="4901">
      <c r="A4901" s="2">
        <f>IFERROR(__xludf.DUMMYFUNCTION("""COMPUTED_VALUE"""),43765.80902777778)</f>
        <v>43765.80903</v>
      </c>
      <c r="B4901" s="1">
        <f>IFERROR(__xludf.DUMMYFUNCTION("""COMPUTED_VALUE"""),2148.0)</f>
        <v>2148</v>
      </c>
      <c r="C4901" s="1">
        <f>IFERROR(__xludf.DUMMYFUNCTION("""COMPUTED_VALUE"""),2148.0)</f>
        <v>2148</v>
      </c>
      <c r="D4901" s="1">
        <f>IFERROR(__xludf.DUMMYFUNCTION("""COMPUTED_VALUE"""),2134.5)</f>
        <v>2134.5</v>
      </c>
      <c r="E4901" s="1">
        <f>IFERROR(__xludf.DUMMYFUNCTION("""COMPUTED_VALUE"""),2141.5)</f>
        <v>2141.5</v>
      </c>
      <c r="F4901" s="1">
        <f>IFERROR(__xludf.DUMMYFUNCTION("""COMPUTED_VALUE"""),85187.0)</f>
        <v>85187</v>
      </c>
    </row>
    <row r="4902">
      <c r="A4902" s="2">
        <f>IFERROR(__xludf.DUMMYFUNCTION("""COMPUTED_VALUE"""),43767.64583333333)</f>
        <v>43767.64583</v>
      </c>
      <c r="B4902" s="1">
        <f>IFERROR(__xludf.DUMMYFUNCTION("""COMPUTED_VALUE"""),2135.0)</f>
        <v>2135</v>
      </c>
      <c r="C4902" s="1">
        <f>IFERROR(__xludf.DUMMYFUNCTION("""COMPUTED_VALUE"""),2163.95)</f>
        <v>2163.95</v>
      </c>
      <c r="D4902" s="1">
        <f>IFERROR(__xludf.DUMMYFUNCTION("""COMPUTED_VALUE"""),2111.4)</f>
        <v>2111.4</v>
      </c>
      <c r="E4902" s="1">
        <f>IFERROR(__xludf.DUMMYFUNCTION("""COMPUTED_VALUE"""),2160.2)</f>
        <v>2160.2</v>
      </c>
      <c r="F4902" s="1">
        <f>IFERROR(__xludf.DUMMYFUNCTION("""COMPUTED_VALUE"""),1229516.0)</f>
        <v>1229516</v>
      </c>
    </row>
    <row r="4903">
      <c r="A4903" s="2">
        <f>IFERROR(__xludf.DUMMYFUNCTION("""COMPUTED_VALUE"""),43768.64583333333)</f>
        <v>43768.64583</v>
      </c>
      <c r="B4903" s="1">
        <f>IFERROR(__xludf.DUMMYFUNCTION("""COMPUTED_VALUE"""),2180.0)</f>
        <v>2180</v>
      </c>
      <c r="C4903" s="1">
        <f>IFERROR(__xludf.DUMMYFUNCTION("""COMPUTED_VALUE"""),2180.0)</f>
        <v>2180</v>
      </c>
      <c r="D4903" s="1">
        <f>IFERROR(__xludf.DUMMYFUNCTION("""COMPUTED_VALUE"""),2142.0)</f>
        <v>2142</v>
      </c>
      <c r="E4903" s="1">
        <f>IFERROR(__xludf.DUMMYFUNCTION("""COMPUTED_VALUE"""),2169.4)</f>
        <v>2169.4</v>
      </c>
      <c r="F4903" s="1">
        <f>IFERROR(__xludf.DUMMYFUNCTION("""COMPUTED_VALUE"""),1195298.0)</f>
        <v>1195298</v>
      </c>
    </row>
    <row r="4904">
      <c r="A4904" s="2">
        <f>IFERROR(__xludf.DUMMYFUNCTION("""COMPUTED_VALUE"""),43769.64583333333)</f>
        <v>43769.64583</v>
      </c>
      <c r="B4904" s="1">
        <f>IFERROR(__xludf.DUMMYFUNCTION("""COMPUTED_VALUE"""),2165.0)</f>
        <v>2165</v>
      </c>
      <c r="C4904" s="1">
        <f>IFERROR(__xludf.DUMMYFUNCTION("""COMPUTED_VALUE"""),2187.25)</f>
        <v>2187.25</v>
      </c>
      <c r="D4904" s="1">
        <f>IFERROR(__xludf.DUMMYFUNCTION("""COMPUTED_VALUE"""),2159.3)</f>
        <v>2159.3</v>
      </c>
      <c r="E4904" s="1">
        <f>IFERROR(__xludf.DUMMYFUNCTION("""COMPUTED_VALUE"""),2175.35)</f>
        <v>2175.35</v>
      </c>
      <c r="F4904" s="1">
        <f>IFERROR(__xludf.DUMMYFUNCTION("""COMPUTED_VALUE"""),1752830.0)</f>
        <v>1752830</v>
      </c>
    </row>
    <row r="4905">
      <c r="A4905" s="2">
        <f>IFERROR(__xludf.DUMMYFUNCTION("""COMPUTED_VALUE"""),43770.64583333333)</f>
        <v>43770.64583</v>
      </c>
      <c r="B4905" s="1">
        <f>IFERROR(__xludf.DUMMYFUNCTION("""COMPUTED_VALUE"""),2165.1)</f>
        <v>2165.1</v>
      </c>
      <c r="C4905" s="1">
        <f>IFERROR(__xludf.DUMMYFUNCTION("""COMPUTED_VALUE"""),2184.3)</f>
        <v>2184.3</v>
      </c>
      <c r="D4905" s="1">
        <f>IFERROR(__xludf.DUMMYFUNCTION("""COMPUTED_VALUE"""),2146.4)</f>
        <v>2146.4</v>
      </c>
      <c r="E4905" s="1">
        <f>IFERROR(__xludf.DUMMYFUNCTION("""COMPUTED_VALUE"""),2179.35)</f>
        <v>2179.35</v>
      </c>
      <c r="F4905" s="1">
        <f>IFERROR(__xludf.DUMMYFUNCTION("""COMPUTED_VALUE"""),1609685.0)</f>
        <v>1609685</v>
      </c>
    </row>
    <row r="4906">
      <c r="A4906" s="2">
        <f>IFERROR(__xludf.DUMMYFUNCTION("""COMPUTED_VALUE"""),43773.64583333333)</f>
        <v>43773.64583</v>
      </c>
      <c r="B4906" s="1">
        <f>IFERROR(__xludf.DUMMYFUNCTION("""COMPUTED_VALUE"""),2179.35)</f>
        <v>2179.35</v>
      </c>
      <c r="C4906" s="1">
        <f>IFERROR(__xludf.DUMMYFUNCTION("""COMPUTED_VALUE"""),2186.85)</f>
        <v>2186.85</v>
      </c>
      <c r="D4906" s="1">
        <f>IFERROR(__xludf.DUMMYFUNCTION("""COMPUTED_VALUE"""),2149.8)</f>
        <v>2149.8</v>
      </c>
      <c r="E4906" s="1">
        <f>IFERROR(__xludf.DUMMYFUNCTION("""COMPUTED_VALUE"""),2158.15)</f>
        <v>2158.15</v>
      </c>
      <c r="F4906" s="1">
        <f>IFERROR(__xludf.DUMMYFUNCTION("""COMPUTED_VALUE"""),1523698.0)</f>
        <v>1523698</v>
      </c>
    </row>
    <row r="4907">
      <c r="A4907" s="2">
        <f>IFERROR(__xludf.DUMMYFUNCTION("""COMPUTED_VALUE"""),43774.64583333333)</f>
        <v>43774.64583</v>
      </c>
      <c r="B4907" s="1">
        <f>IFERROR(__xludf.DUMMYFUNCTION("""COMPUTED_VALUE"""),2153.5)</f>
        <v>2153.5</v>
      </c>
      <c r="C4907" s="1">
        <f>IFERROR(__xludf.DUMMYFUNCTION("""COMPUTED_VALUE"""),2175.75)</f>
        <v>2175.75</v>
      </c>
      <c r="D4907" s="1">
        <f>IFERROR(__xludf.DUMMYFUNCTION("""COMPUTED_VALUE"""),2143.15)</f>
        <v>2143.15</v>
      </c>
      <c r="E4907" s="1">
        <f>IFERROR(__xludf.DUMMYFUNCTION("""COMPUTED_VALUE"""),2172.15)</f>
        <v>2172.15</v>
      </c>
      <c r="F4907" s="1">
        <f>IFERROR(__xludf.DUMMYFUNCTION("""COMPUTED_VALUE"""),2167085.0)</f>
        <v>2167085</v>
      </c>
    </row>
    <row r="4908">
      <c r="A4908" s="2">
        <f>IFERROR(__xludf.DUMMYFUNCTION("""COMPUTED_VALUE"""),43775.64583333333)</f>
        <v>43775.64583</v>
      </c>
      <c r="B4908" s="1">
        <f>IFERROR(__xludf.DUMMYFUNCTION("""COMPUTED_VALUE"""),2166.0)</f>
        <v>2166</v>
      </c>
      <c r="C4908" s="1">
        <f>IFERROR(__xludf.DUMMYFUNCTION("""COMPUTED_VALUE"""),2184.0)</f>
        <v>2184</v>
      </c>
      <c r="D4908" s="1">
        <f>IFERROR(__xludf.DUMMYFUNCTION("""COMPUTED_VALUE"""),2155.0)</f>
        <v>2155</v>
      </c>
      <c r="E4908" s="1">
        <f>IFERROR(__xludf.DUMMYFUNCTION("""COMPUTED_VALUE"""),2179.45)</f>
        <v>2179.45</v>
      </c>
      <c r="F4908" s="1">
        <f>IFERROR(__xludf.DUMMYFUNCTION("""COMPUTED_VALUE"""),1093243.0)</f>
        <v>1093243</v>
      </c>
    </row>
    <row r="4909">
      <c r="A4909" s="2">
        <f>IFERROR(__xludf.DUMMYFUNCTION("""COMPUTED_VALUE"""),43776.64583333333)</f>
        <v>43776.64583</v>
      </c>
      <c r="B4909" s="1">
        <f>IFERROR(__xludf.DUMMYFUNCTION("""COMPUTED_VALUE"""),2190.0)</f>
        <v>2190</v>
      </c>
      <c r="C4909" s="1">
        <f>IFERROR(__xludf.DUMMYFUNCTION("""COMPUTED_VALUE"""),2190.0)</f>
        <v>2190</v>
      </c>
      <c r="D4909" s="1">
        <f>IFERROR(__xludf.DUMMYFUNCTION("""COMPUTED_VALUE"""),2128.0)</f>
        <v>2128</v>
      </c>
      <c r="E4909" s="1">
        <f>IFERROR(__xludf.DUMMYFUNCTION("""COMPUTED_VALUE"""),2138.25)</f>
        <v>2138.25</v>
      </c>
      <c r="F4909" s="1">
        <f>IFERROR(__xludf.DUMMYFUNCTION("""COMPUTED_VALUE"""),1970785.0)</f>
        <v>1970785</v>
      </c>
    </row>
    <row r="4910">
      <c r="A4910" s="2">
        <f>IFERROR(__xludf.DUMMYFUNCTION("""COMPUTED_VALUE"""),43777.64583333333)</f>
        <v>43777.64583</v>
      </c>
      <c r="B4910" s="1">
        <f>IFERROR(__xludf.DUMMYFUNCTION("""COMPUTED_VALUE"""),2135.0)</f>
        <v>2135</v>
      </c>
      <c r="C4910" s="1">
        <f>IFERROR(__xludf.DUMMYFUNCTION("""COMPUTED_VALUE"""),2145.15)</f>
        <v>2145.15</v>
      </c>
      <c r="D4910" s="1">
        <f>IFERROR(__xludf.DUMMYFUNCTION("""COMPUTED_VALUE"""),2083.0)</f>
        <v>2083</v>
      </c>
      <c r="E4910" s="1">
        <f>IFERROR(__xludf.DUMMYFUNCTION("""COMPUTED_VALUE"""),2086.4)</f>
        <v>2086.4</v>
      </c>
      <c r="F4910" s="1">
        <f>IFERROR(__xludf.DUMMYFUNCTION("""COMPUTED_VALUE"""),1537851.0)</f>
        <v>1537851</v>
      </c>
    </row>
    <row r="4911">
      <c r="A4911" s="2">
        <f>IFERROR(__xludf.DUMMYFUNCTION("""COMPUTED_VALUE"""),43780.64583333333)</f>
        <v>43780.64583</v>
      </c>
      <c r="B4911" s="1">
        <f>IFERROR(__xludf.DUMMYFUNCTION("""COMPUTED_VALUE"""),2081.3)</f>
        <v>2081.3</v>
      </c>
      <c r="C4911" s="1">
        <f>IFERROR(__xludf.DUMMYFUNCTION("""COMPUTED_VALUE"""),2100.05)</f>
        <v>2100.05</v>
      </c>
      <c r="D4911" s="1">
        <f>IFERROR(__xludf.DUMMYFUNCTION("""COMPUTED_VALUE"""),2068.05)</f>
        <v>2068.05</v>
      </c>
      <c r="E4911" s="1">
        <f>IFERROR(__xludf.DUMMYFUNCTION("""COMPUTED_VALUE"""),2081.35)</f>
        <v>2081.35</v>
      </c>
      <c r="F4911" s="1">
        <f>IFERROR(__xludf.DUMMYFUNCTION("""COMPUTED_VALUE"""),1050170.0)</f>
        <v>1050170</v>
      </c>
    </row>
    <row r="4912">
      <c r="A4912" s="2">
        <f>IFERROR(__xludf.DUMMYFUNCTION("""COMPUTED_VALUE"""),43782.64583333333)</f>
        <v>43782.64583</v>
      </c>
      <c r="B4912" s="1">
        <f>IFERROR(__xludf.DUMMYFUNCTION("""COMPUTED_VALUE"""),2084.0)</f>
        <v>2084</v>
      </c>
      <c r="C4912" s="1">
        <f>IFERROR(__xludf.DUMMYFUNCTION("""COMPUTED_VALUE"""),2094.9)</f>
        <v>2094.9</v>
      </c>
      <c r="D4912" s="1">
        <f>IFERROR(__xludf.DUMMYFUNCTION("""COMPUTED_VALUE"""),2072.45)</f>
        <v>2072.45</v>
      </c>
      <c r="E4912" s="1">
        <f>IFERROR(__xludf.DUMMYFUNCTION("""COMPUTED_VALUE"""),2091.0)</f>
        <v>2091</v>
      </c>
      <c r="F4912" s="1">
        <f>IFERROR(__xludf.DUMMYFUNCTION("""COMPUTED_VALUE"""),868433.0)</f>
        <v>868433</v>
      </c>
    </row>
    <row r="4913">
      <c r="A4913" s="2">
        <f>IFERROR(__xludf.DUMMYFUNCTION("""COMPUTED_VALUE"""),43783.64583333333)</f>
        <v>43783.64583</v>
      </c>
      <c r="B4913" s="1">
        <f>IFERROR(__xludf.DUMMYFUNCTION("""COMPUTED_VALUE"""),2090.6)</f>
        <v>2090.6</v>
      </c>
      <c r="C4913" s="1">
        <f>IFERROR(__xludf.DUMMYFUNCTION("""COMPUTED_VALUE"""),2090.6)</f>
        <v>2090.6</v>
      </c>
      <c r="D4913" s="1">
        <f>IFERROR(__xludf.DUMMYFUNCTION("""COMPUTED_VALUE"""),2061.45)</f>
        <v>2061.45</v>
      </c>
      <c r="E4913" s="1">
        <f>IFERROR(__xludf.DUMMYFUNCTION("""COMPUTED_VALUE"""),2069.05)</f>
        <v>2069.05</v>
      </c>
      <c r="F4913" s="1">
        <f>IFERROR(__xludf.DUMMYFUNCTION("""COMPUTED_VALUE"""),1291198.0)</f>
        <v>1291198</v>
      </c>
    </row>
    <row r="4914">
      <c r="A4914" s="2">
        <f>IFERROR(__xludf.DUMMYFUNCTION("""COMPUTED_VALUE"""),43784.64583333333)</f>
        <v>43784.64583</v>
      </c>
      <c r="B4914" s="1">
        <f>IFERROR(__xludf.DUMMYFUNCTION("""COMPUTED_VALUE"""),2062.25)</f>
        <v>2062.25</v>
      </c>
      <c r="C4914" s="1">
        <f>IFERROR(__xludf.DUMMYFUNCTION("""COMPUTED_VALUE"""),2099.0)</f>
        <v>2099</v>
      </c>
      <c r="D4914" s="1">
        <f>IFERROR(__xludf.DUMMYFUNCTION("""COMPUTED_VALUE"""),2050.55)</f>
        <v>2050.55</v>
      </c>
      <c r="E4914" s="1">
        <f>IFERROR(__xludf.DUMMYFUNCTION("""COMPUTED_VALUE"""),2057.7)</f>
        <v>2057.7</v>
      </c>
      <c r="F4914" s="1">
        <f>IFERROR(__xludf.DUMMYFUNCTION("""COMPUTED_VALUE"""),958290.0)</f>
        <v>958290</v>
      </c>
    </row>
    <row r="4915">
      <c r="A4915" s="2">
        <f>IFERROR(__xludf.DUMMYFUNCTION("""COMPUTED_VALUE"""),43787.64583333333)</f>
        <v>43787.64583</v>
      </c>
      <c r="B4915" s="1">
        <f>IFERROR(__xludf.DUMMYFUNCTION("""COMPUTED_VALUE"""),2059.8)</f>
        <v>2059.8</v>
      </c>
      <c r="C4915" s="1">
        <f>IFERROR(__xludf.DUMMYFUNCTION("""COMPUTED_VALUE"""),2075.35)</f>
        <v>2075.35</v>
      </c>
      <c r="D4915" s="1">
        <f>IFERROR(__xludf.DUMMYFUNCTION("""COMPUTED_VALUE"""),2038.0)</f>
        <v>2038</v>
      </c>
      <c r="E4915" s="1">
        <f>IFERROR(__xludf.DUMMYFUNCTION("""COMPUTED_VALUE"""),2056.2)</f>
        <v>2056.2</v>
      </c>
      <c r="F4915" s="1">
        <f>IFERROR(__xludf.DUMMYFUNCTION("""COMPUTED_VALUE"""),1200573.0)</f>
        <v>1200573</v>
      </c>
    </row>
    <row r="4916">
      <c r="A4916" s="2">
        <f>IFERROR(__xludf.DUMMYFUNCTION("""COMPUTED_VALUE"""),43788.64583333333)</f>
        <v>43788.64583</v>
      </c>
      <c r="B4916" s="1">
        <f>IFERROR(__xludf.DUMMYFUNCTION("""COMPUTED_VALUE"""),2060.05)</f>
        <v>2060.05</v>
      </c>
      <c r="C4916" s="1">
        <f>IFERROR(__xludf.DUMMYFUNCTION("""COMPUTED_VALUE"""),2060.05)</f>
        <v>2060.05</v>
      </c>
      <c r="D4916" s="1">
        <f>IFERROR(__xludf.DUMMYFUNCTION("""COMPUTED_VALUE"""),2030.0)</f>
        <v>2030</v>
      </c>
      <c r="E4916" s="1">
        <f>IFERROR(__xludf.DUMMYFUNCTION("""COMPUTED_VALUE"""),2037.75)</f>
        <v>2037.75</v>
      </c>
      <c r="F4916" s="1">
        <f>IFERROR(__xludf.DUMMYFUNCTION("""COMPUTED_VALUE"""),1413218.0)</f>
        <v>1413218</v>
      </c>
    </row>
    <row r="4917">
      <c r="A4917" s="2">
        <f>IFERROR(__xludf.DUMMYFUNCTION("""COMPUTED_VALUE"""),43789.64583333333)</f>
        <v>43789.64583</v>
      </c>
      <c r="B4917" s="1">
        <f>IFERROR(__xludf.DUMMYFUNCTION("""COMPUTED_VALUE"""),2044.0)</f>
        <v>2044</v>
      </c>
      <c r="C4917" s="1">
        <f>IFERROR(__xludf.DUMMYFUNCTION("""COMPUTED_VALUE"""),2052.85)</f>
        <v>2052.85</v>
      </c>
      <c r="D4917" s="1">
        <f>IFERROR(__xludf.DUMMYFUNCTION("""COMPUTED_VALUE"""),2017.05)</f>
        <v>2017.05</v>
      </c>
      <c r="E4917" s="1">
        <f>IFERROR(__xludf.DUMMYFUNCTION("""COMPUTED_VALUE"""),2026.5)</f>
        <v>2026.5</v>
      </c>
      <c r="F4917" s="1">
        <f>IFERROR(__xludf.DUMMYFUNCTION("""COMPUTED_VALUE"""),989673.0)</f>
        <v>989673</v>
      </c>
    </row>
    <row r="4918">
      <c r="A4918" s="2">
        <f>IFERROR(__xludf.DUMMYFUNCTION("""COMPUTED_VALUE"""),43790.64583333333)</f>
        <v>43790.64583</v>
      </c>
      <c r="B4918" s="1">
        <f>IFERROR(__xludf.DUMMYFUNCTION("""COMPUTED_VALUE"""),2027.0)</f>
        <v>2027</v>
      </c>
      <c r="C4918" s="1">
        <f>IFERROR(__xludf.DUMMYFUNCTION("""COMPUTED_VALUE"""),2059.95)</f>
        <v>2059.95</v>
      </c>
      <c r="D4918" s="1">
        <f>IFERROR(__xludf.DUMMYFUNCTION("""COMPUTED_VALUE"""),2017.0)</f>
        <v>2017</v>
      </c>
      <c r="E4918" s="1">
        <f>IFERROR(__xludf.DUMMYFUNCTION("""COMPUTED_VALUE"""),2048.65)</f>
        <v>2048.65</v>
      </c>
      <c r="F4918" s="1">
        <f>IFERROR(__xludf.DUMMYFUNCTION("""COMPUTED_VALUE"""),1397175.0)</f>
        <v>1397175</v>
      </c>
    </row>
    <row r="4919">
      <c r="A4919" s="2">
        <f>IFERROR(__xludf.DUMMYFUNCTION("""COMPUTED_VALUE"""),43791.64583333333)</f>
        <v>43791.64583</v>
      </c>
      <c r="B4919" s="1">
        <f>IFERROR(__xludf.DUMMYFUNCTION("""COMPUTED_VALUE"""),2050.0)</f>
        <v>2050</v>
      </c>
      <c r="C4919" s="1">
        <f>IFERROR(__xludf.DUMMYFUNCTION("""COMPUTED_VALUE"""),2053.2)</f>
        <v>2053.2</v>
      </c>
      <c r="D4919" s="1">
        <f>IFERROR(__xludf.DUMMYFUNCTION("""COMPUTED_VALUE"""),2008.0)</f>
        <v>2008</v>
      </c>
      <c r="E4919" s="1">
        <f>IFERROR(__xludf.DUMMYFUNCTION("""COMPUTED_VALUE"""),2028.35)</f>
        <v>2028.35</v>
      </c>
      <c r="F4919" s="1">
        <f>IFERROR(__xludf.DUMMYFUNCTION("""COMPUTED_VALUE"""),835864.0)</f>
        <v>835864</v>
      </c>
    </row>
    <row r="4920">
      <c r="A4920" s="2">
        <f>IFERROR(__xludf.DUMMYFUNCTION("""COMPUTED_VALUE"""),43794.64583333333)</f>
        <v>43794.64583</v>
      </c>
      <c r="B4920" s="1">
        <f>IFERROR(__xludf.DUMMYFUNCTION("""COMPUTED_VALUE"""),2022.1)</f>
        <v>2022.1</v>
      </c>
      <c r="C4920" s="1">
        <f>IFERROR(__xludf.DUMMYFUNCTION("""COMPUTED_VALUE"""),2066.95)</f>
        <v>2066.95</v>
      </c>
      <c r="D4920" s="1">
        <f>IFERROR(__xludf.DUMMYFUNCTION("""COMPUTED_VALUE"""),2022.1)</f>
        <v>2022.1</v>
      </c>
      <c r="E4920" s="1">
        <f>IFERROR(__xludf.DUMMYFUNCTION("""COMPUTED_VALUE"""),2062.4)</f>
        <v>2062.4</v>
      </c>
      <c r="F4920" s="1">
        <f>IFERROR(__xludf.DUMMYFUNCTION("""COMPUTED_VALUE"""),862520.0)</f>
        <v>862520</v>
      </c>
    </row>
    <row r="4921">
      <c r="A4921" s="2">
        <f>IFERROR(__xludf.DUMMYFUNCTION("""COMPUTED_VALUE"""),43795.64583333333)</f>
        <v>43795.64583</v>
      </c>
      <c r="B4921" s="1">
        <f>IFERROR(__xludf.DUMMYFUNCTION("""COMPUTED_VALUE"""),2059.0)</f>
        <v>2059</v>
      </c>
      <c r="C4921" s="1">
        <f>IFERROR(__xludf.DUMMYFUNCTION("""COMPUTED_VALUE"""),2080.75)</f>
        <v>2080.75</v>
      </c>
      <c r="D4921" s="1">
        <f>IFERROR(__xludf.DUMMYFUNCTION("""COMPUTED_VALUE"""),2032.3)</f>
        <v>2032.3</v>
      </c>
      <c r="E4921" s="1">
        <f>IFERROR(__xludf.DUMMYFUNCTION("""COMPUTED_VALUE"""),2058.35)</f>
        <v>2058.35</v>
      </c>
      <c r="F4921" s="1">
        <f>IFERROR(__xludf.DUMMYFUNCTION("""COMPUTED_VALUE"""),3188224.0)</f>
        <v>3188224</v>
      </c>
    </row>
    <row r="4922">
      <c r="A4922" s="2">
        <f>IFERROR(__xludf.DUMMYFUNCTION("""COMPUTED_VALUE"""),43796.64583333333)</f>
        <v>43796.64583</v>
      </c>
      <c r="B4922" s="1">
        <f>IFERROR(__xludf.DUMMYFUNCTION("""COMPUTED_VALUE"""),2062.55)</f>
        <v>2062.55</v>
      </c>
      <c r="C4922" s="1">
        <f>IFERROR(__xludf.DUMMYFUNCTION("""COMPUTED_VALUE"""),2099.9)</f>
        <v>2099.9</v>
      </c>
      <c r="D4922" s="1">
        <f>IFERROR(__xludf.DUMMYFUNCTION("""COMPUTED_VALUE"""),2055.85)</f>
        <v>2055.85</v>
      </c>
      <c r="E4922" s="1">
        <f>IFERROR(__xludf.DUMMYFUNCTION("""COMPUTED_VALUE"""),2093.25)</f>
        <v>2093.25</v>
      </c>
      <c r="F4922" s="1">
        <f>IFERROR(__xludf.DUMMYFUNCTION("""COMPUTED_VALUE"""),1259986.0)</f>
        <v>1259986</v>
      </c>
    </row>
    <row r="4923">
      <c r="A4923" s="2">
        <f>IFERROR(__xludf.DUMMYFUNCTION("""COMPUTED_VALUE"""),43797.64583333333)</f>
        <v>43797.64583</v>
      </c>
      <c r="B4923" s="1">
        <f>IFERROR(__xludf.DUMMYFUNCTION("""COMPUTED_VALUE"""),2097.95)</f>
        <v>2097.95</v>
      </c>
      <c r="C4923" s="1">
        <f>IFERROR(__xludf.DUMMYFUNCTION("""COMPUTED_VALUE"""),2098.35)</f>
        <v>2098.35</v>
      </c>
      <c r="D4923" s="1">
        <f>IFERROR(__xludf.DUMMYFUNCTION("""COMPUTED_VALUE"""),2067.0)</f>
        <v>2067</v>
      </c>
      <c r="E4923" s="1">
        <f>IFERROR(__xludf.DUMMYFUNCTION("""COMPUTED_VALUE"""),2087.15)</f>
        <v>2087.15</v>
      </c>
      <c r="F4923" s="1">
        <f>IFERROR(__xludf.DUMMYFUNCTION("""COMPUTED_VALUE"""),1026831.0)</f>
        <v>1026831</v>
      </c>
    </row>
    <row r="4924">
      <c r="A4924" s="2">
        <f>IFERROR(__xludf.DUMMYFUNCTION("""COMPUTED_VALUE"""),43798.64583333333)</f>
        <v>43798.64583</v>
      </c>
      <c r="B4924" s="1">
        <f>IFERROR(__xludf.DUMMYFUNCTION("""COMPUTED_VALUE"""),2084.0)</f>
        <v>2084</v>
      </c>
      <c r="C4924" s="1">
        <f>IFERROR(__xludf.DUMMYFUNCTION("""COMPUTED_VALUE"""),2084.5)</f>
        <v>2084.5</v>
      </c>
      <c r="D4924" s="1">
        <f>IFERROR(__xludf.DUMMYFUNCTION("""COMPUTED_VALUE"""),2031.0)</f>
        <v>2031</v>
      </c>
      <c r="E4924" s="1">
        <f>IFERROR(__xludf.DUMMYFUNCTION("""COMPUTED_VALUE"""),2035.3)</f>
        <v>2035.3</v>
      </c>
      <c r="F4924" s="1">
        <f>IFERROR(__xludf.DUMMYFUNCTION("""COMPUTED_VALUE"""),1298616.0)</f>
        <v>1298616</v>
      </c>
    </row>
    <row r="4925">
      <c r="A4925" s="2">
        <f>IFERROR(__xludf.DUMMYFUNCTION("""COMPUTED_VALUE"""),43801.64583333333)</f>
        <v>43801.64583</v>
      </c>
      <c r="B4925" s="1">
        <f>IFERROR(__xludf.DUMMYFUNCTION("""COMPUTED_VALUE"""),2038.0)</f>
        <v>2038</v>
      </c>
      <c r="C4925" s="1">
        <f>IFERROR(__xludf.DUMMYFUNCTION("""COMPUTED_VALUE"""),2062.0)</f>
        <v>2062</v>
      </c>
      <c r="D4925" s="1">
        <f>IFERROR(__xludf.DUMMYFUNCTION("""COMPUTED_VALUE"""),2029.25)</f>
        <v>2029.25</v>
      </c>
      <c r="E4925" s="1">
        <f>IFERROR(__xludf.DUMMYFUNCTION("""COMPUTED_VALUE"""),2046.9)</f>
        <v>2046.9</v>
      </c>
      <c r="F4925" s="1">
        <f>IFERROR(__xludf.DUMMYFUNCTION("""COMPUTED_VALUE"""),1600494.0)</f>
        <v>1600494</v>
      </c>
    </row>
    <row r="4926">
      <c r="A4926" s="2">
        <f>IFERROR(__xludf.DUMMYFUNCTION("""COMPUTED_VALUE"""),43802.64583333333)</f>
        <v>43802.64583</v>
      </c>
      <c r="B4926" s="1">
        <f>IFERROR(__xludf.DUMMYFUNCTION("""COMPUTED_VALUE"""),2041.0)</f>
        <v>2041</v>
      </c>
      <c r="C4926" s="1">
        <f>IFERROR(__xludf.DUMMYFUNCTION("""COMPUTED_VALUE"""),2053.1)</f>
        <v>2053.1</v>
      </c>
      <c r="D4926" s="1">
        <f>IFERROR(__xludf.DUMMYFUNCTION("""COMPUTED_VALUE"""),2020.15)</f>
        <v>2020.15</v>
      </c>
      <c r="E4926" s="1">
        <f>IFERROR(__xludf.DUMMYFUNCTION("""COMPUTED_VALUE"""),2028.45)</f>
        <v>2028.45</v>
      </c>
      <c r="F4926" s="1">
        <f>IFERROR(__xludf.DUMMYFUNCTION("""COMPUTED_VALUE"""),1199012.0)</f>
        <v>1199012</v>
      </c>
    </row>
    <row r="4927">
      <c r="A4927" s="2">
        <f>IFERROR(__xludf.DUMMYFUNCTION("""COMPUTED_VALUE"""),43803.64583333333)</f>
        <v>43803.64583</v>
      </c>
      <c r="B4927" s="1">
        <f>IFERROR(__xludf.DUMMYFUNCTION("""COMPUTED_VALUE"""),2027.0)</f>
        <v>2027</v>
      </c>
      <c r="C4927" s="1">
        <f>IFERROR(__xludf.DUMMYFUNCTION("""COMPUTED_VALUE"""),2052.0)</f>
        <v>2052</v>
      </c>
      <c r="D4927" s="1">
        <f>IFERROR(__xludf.DUMMYFUNCTION("""COMPUTED_VALUE"""),2022.0)</f>
        <v>2022</v>
      </c>
      <c r="E4927" s="1">
        <f>IFERROR(__xludf.DUMMYFUNCTION("""COMPUTED_VALUE"""),2048.0)</f>
        <v>2048</v>
      </c>
      <c r="F4927" s="1">
        <f>IFERROR(__xludf.DUMMYFUNCTION("""COMPUTED_VALUE"""),1046309.0)</f>
        <v>1046309</v>
      </c>
    </row>
    <row r="4928">
      <c r="A4928" s="2">
        <f>IFERROR(__xludf.DUMMYFUNCTION("""COMPUTED_VALUE"""),43804.64583333333)</f>
        <v>43804.64583</v>
      </c>
      <c r="B4928" s="1">
        <f>IFERROR(__xludf.DUMMYFUNCTION("""COMPUTED_VALUE"""),2047.8)</f>
        <v>2047.8</v>
      </c>
      <c r="C4928" s="1">
        <f>IFERROR(__xludf.DUMMYFUNCTION("""COMPUTED_VALUE"""),2047.8)</f>
        <v>2047.8</v>
      </c>
      <c r="D4928" s="1">
        <f>IFERROR(__xludf.DUMMYFUNCTION("""COMPUTED_VALUE"""),2027.3)</f>
        <v>2027.3</v>
      </c>
      <c r="E4928" s="1">
        <f>IFERROR(__xludf.DUMMYFUNCTION("""COMPUTED_VALUE"""),2037.45)</f>
        <v>2037.45</v>
      </c>
      <c r="F4928" s="1">
        <f>IFERROR(__xludf.DUMMYFUNCTION("""COMPUTED_VALUE"""),961085.0)</f>
        <v>961085</v>
      </c>
    </row>
    <row r="4929">
      <c r="A4929" s="2">
        <f>IFERROR(__xludf.DUMMYFUNCTION("""COMPUTED_VALUE"""),43805.64583333333)</f>
        <v>43805.64583</v>
      </c>
      <c r="B4929" s="1">
        <f>IFERROR(__xludf.DUMMYFUNCTION("""COMPUTED_VALUE"""),2044.0)</f>
        <v>2044</v>
      </c>
      <c r="C4929" s="1">
        <f>IFERROR(__xludf.DUMMYFUNCTION("""COMPUTED_VALUE"""),2049.0)</f>
        <v>2049</v>
      </c>
      <c r="D4929" s="1">
        <f>IFERROR(__xludf.DUMMYFUNCTION("""COMPUTED_VALUE"""),2022.0)</f>
        <v>2022</v>
      </c>
      <c r="E4929" s="1">
        <f>IFERROR(__xludf.DUMMYFUNCTION("""COMPUTED_VALUE"""),2026.05)</f>
        <v>2026.05</v>
      </c>
      <c r="F4929" s="1">
        <f>IFERROR(__xludf.DUMMYFUNCTION("""COMPUTED_VALUE"""),657658.0)</f>
        <v>657658</v>
      </c>
    </row>
    <row r="4930">
      <c r="A4930" s="2">
        <f>IFERROR(__xludf.DUMMYFUNCTION("""COMPUTED_VALUE"""),43808.64583333333)</f>
        <v>43808.64583</v>
      </c>
      <c r="B4930" s="1">
        <f>IFERROR(__xludf.DUMMYFUNCTION("""COMPUTED_VALUE"""),2030.0)</f>
        <v>2030</v>
      </c>
      <c r="C4930" s="1">
        <f>IFERROR(__xludf.DUMMYFUNCTION("""COMPUTED_VALUE"""),2032.05)</f>
        <v>2032.05</v>
      </c>
      <c r="D4930" s="1">
        <f>IFERROR(__xludf.DUMMYFUNCTION("""COMPUTED_VALUE"""),1991.2)</f>
        <v>1991.2</v>
      </c>
      <c r="E4930" s="1">
        <f>IFERROR(__xludf.DUMMYFUNCTION("""COMPUTED_VALUE"""),2008.15)</f>
        <v>2008.15</v>
      </c>
      <c r="F4930" s="1">
        <f>IFERROR(__xludf.DUMMYFUNCTION("""COMPUTED_VALUE"""),964222.0)</f>
        <v>964222</v>
      </c>
    </row>
    <row r="4931">
      <c r="A4931" s="2">
        <f>IFERROR(__xludf.DUMMYFUNCTION("""COMPUTED_VALUE"""),43809.64583333333)</f>
        <v>43809.64583</v>
      </c>
      <c r="B4931" s="1">
        <f>IFERROR(__xludf.DUMMYFUNCTION("""COMPUTED_VALUE"""),2014.9)</f>
        <v>2014.9</v>
      </c>
      <c r="C4931" s="1">
        <f>IFERROR(__xludf.DUMMYFUNCTION("""COMPUTED_VALUE"""),2041.6)</f>
        <v>2041.6</v>
      </c>
      <c r="D4931" s="1">
        <f>IFERROR(__xludf.DUMMYFUNCTION("""COMPUTED_VALUE"""),2011.0)</f>
        <v>2011</v>
      </c>
      <c r="E4931" s="1">
        <f>IFERROR(__xludf.DUMMYFUNCTION("""COMPUTED_VALUE"""),2025.35)</f>
        <v>2025.35</v>
      </c>
      <c r="F4931" s="1">
        <f>IFERROR(__xludf.DUMMYFUNCTION("""COMPUTED_VALUE"""),1610623.0)</f>
        <v>1610623</v>
      </c>
    </row>
    <row r="4932">
      <c r="A4932" s="2">
        <f>IFERROR(__xludf.DUMMYFUNCTION("""COMPUTED_VALUE"""),43810.64583333333)</f>
        <v>43810.64583</v>
      </c>
      <c r="B4932" s="1">
        <f>IFERROR(__xludf.DUMMYFUNCTION("""COMPUTED_VALUE"""),2027.9)</f>
        <v>2027.9</v>
      </c>
      <c r="C4932" s="1">
        <f>IFERROR(__xludf.DUMMYFUNCTION("""COMPUTED_VALUE"""),2030.0)</f>
        <v>2030</v>
      </c>
      <c r="D4932" s="1">
        <f>IFERROR(__xludf.DUMMYFUNCTION("""COMPUTED_VALUE"""),1998.0)</f>
        <v>1998</v>
      </c>
      <c r="E4932" s="1">
        <f>IFERROR(__xludf.DUMMYFUNCTION("""COMPUTED_VALUE"""),2010.45)</f>
        <v>2010.45</v>
      </c>
      <c r="F4932" s="1">
        <f>IFERROR(__xludf.DUMMYFUNCTION("""COMPUTED_VALUE"""),967708.0)</f>
        <v>967708</v>
      </c>
    </row>
    <row r="4933">
      <c r="A4933" s="2">
        <f>IFERROR(__xludf.DUMMYFUNCTION("""COMPUTED_VALUE"""),43811.64583333333)</f>
        <v>43811.64583</v>
      </c>
      <c r="B4933" s="1">
        <f>IFERROR(__xludf.DUMMYFUNCTION("""COMPUTED_VALUE"""),2010.0)</f>
        <v>2010</v>
      </c>
      <c r="C4933" s="1">
        <f>IFERROR(__xludf.DUMMYFUNCTION("""COMPUTED_VALUE"""),2034.5)</f>
        <v>2034.5</v>
      </c>
      <c r="D4933" s="1">
        <f>IFERROR(__xludf.DUMMYFUNCTION("""COMPUTED_VALUE"""),2002.0)</f>
        <v>2002</v>
      </c>
      <c r="E4933" s="1">
        <f>IFERROR(__xludf.DUMMYFUNCTION("""COMPUTED_VALUE"""),2007.35)</f>
        <v>2007.35</v>
      </c>
      <c r="F4933" s="1">
        <f>IFERROR(__xludf.DUMMYFUNCTION("""COMPUTED_VALUE"""),955318.0)</f>
        <v>955318</v>
      </c>
    </row>
    <row r="4934">
      <c r="A4934" s="2">
        <f>IFERROR(__xludf.DUMMYFUNCTION("""COMPUTED_VALUE"""),43812.64583333333)</f>
        <v>43812.64583</v>
      </c>
      <c r="B4934" s="1">
        <f>IFERROR(__xludf.DUMMYFUNCTION("""COMPUTED_VALUE"""),2018.45)</f>
        <v>2018.45</v>
      </c>
      <c r="C4934" s="1">
        <f>IFERROR(__xludf.DUMMYFUNCTION("""COMPUTED_VALUE"""),2024.0)</f>
        <v>2024</v>
      </c>
      <c r="D4934" s="1">
        <f>IFERROR(__xludf.DUMMYFUNCTION("""COMPUTED_VALUE"""),2000.0)</f>
        <v>2000</v>
      </c>
      <c r="E4934" s="1">
        <f>IFERROR(__xludf.DUMMYFUNCTION("""COMPUTED_VALUE"""),2006.2)</f>
        <v>2006.2</v>
      </c>
      <c r="F4934" s="1">
        <f>IFERROR(__xludf.DUMMYFUNCTION("""COMPUTED_VALUE"""),1212988.0)</f>
        <v>1212988</v>
      </c>
    </row>
    <row r="4935">
      <c r="A4935" s="2">
        <f>IFERROR(__xludf.DUMMYFUNCTION("""COMPUTED_VALUE"""),43815.64583333333)</f>
        <v>43815.64583</v>
      </c>
      <c r="B4935" s="1">
        <f>IFERROR(__xludf.DUMMYFUNCTION("""COMPUTED_VALUE"""),2000.0)</f>
        <v>2000</v>
      </c>
      <c r="C4935" s="1">
        <f>IFERROR(__xludf.DUMMYFUNCTION("""COMPUTED_VALUE"""),2011.0)</f>
        <v>2011</v>
      </c>
      <c r="D4935" s="1">
        <f>IFERROR(__xludf.DUMMYFUNCTION("""COMPUTED_VALUE"""),1968.15)</f>
        <v>1968.15</v>
      </c>
      <c r="E4935" s="1">
        <f>IFERROR(__xludf.DUMMYFUNCTION("""COMPUTED_VALUE"""),1974.75)</f>
        <v>1974.75</v>
      </c>
      <c r="F4935" s="1">
        <f>IFERROR(__xludf.DUMMYFUNCTION("""COMPUTED_VALUE"""),1683941.0)</f>
        <v>1683941</v>
      </c>
    </row>
    <row r="4936">
      <c r="A4936" s="2">
        <f>IFERROR(__xludf.DUMMYFUNCTION("""COMPUTED_VALUE"""),43816.64583333333)</f>
        <v>43816.64583</v>
      </c>
      <c r="B4936" s="1">
        <f>IFERROR(__xludf.DUMMYFUNCTION("""COMPUTED_VALUE"""),1979.0)</f>
        <v>1979</v>
      </c>
      <c r="C4936" s="1">
        <f>IFERROR(__xludf.DUMMYFUNCTION("""COMPUTED_VALUE"""),1994.95)</f>
        <v>1994.95</v>
      </c>
      <c r="D4936" s="1">
        <f>IFERROR(__xludf.DUMMYFUNCTION("""COMPUTED_VALUE"""),1950.0)</f>
        <v>1950</v>
      </c>
      <c r="E4936" s="1">
        <f>IFERROR(__xludf.DUMMYFUNCTION("""COMPUTED_VALUE"""),1961.35)</f>
        <v>1961.35</v>
      </c>
      <c r="F4936" s="1">
        <f>IFERROR(__xludf.DUMMYFUNCTION("""COMPUTED_VALUE"""),2189167.0)</f>
        <v>2189167</v>
      </c>
    </row>
    <row r="4937">
      <c r="A4937" s="2">
        <f>IFERROR(__xludf.DUMMYFUNCTION("""COMPUTED_VALUE"""),43817.64583333333)</f>
        <v>43817.64583</v>
      </c>
      <c r="B4937" s="1">
        <f>IFERROR(__xludf.DUMMYFUNCTION("""COMPUTED_VALUE"""),1960.0)</f>
        <v>1960</v>
      </c>
      <c r="C4937" s="1">
        <f>IFERROR(__xludf.DUMMYFUNCTION("""COMPUTED_VALUE"""),1966.6)</f>
        <v>1966.6</v>
      </c>
      <c r="D4937" s="1">
        <f>IFERROR(__xludf.DUMMYFUNCTION("""COMPUTED_VALUE"""),1907.35)</f>
        <v>1907.35</v>
      </c>
      <c r="E4937" s="1">
        <f>IFERROR(__xludf.DUMMYFUNCTION("""COMPUTED_VALUE"""),1928.55)</f>
        <v>1928.55</v>
      </c>
      <c r="F4937" s="1">
        <f>IFERROR(__xludf.DUMMYFUNCTION("""COMPUTED_VALUE"""),3986106.0)</f>
        <v>3986106</v>
      </c>
    </row>
    <row r="4938">
      <c r="A4938" s="2">
        <f>IFERROR(__xludf.DUMMYFUNCTION("""COMPUTED_VALUE"""),43818.64583333333)</f>
        <v>43818.64583</v>
      </c>
      <c r="B4938" s="1">
        <f>IFERROR(__xludf.DUMMYFUNCTION("""COMPUTED_VALUE"""),1931.9)</f>
        <v>1931.9</v>
      </c>
      <c r="C4938" s="1">
        <f>IFERROR(__xludf.DUMMYFUNCTION("""COMPUTED_VALUE"""),1966.4)</f>
        <v>1966.4</v>
      </c>
      <c r="D4938" s="1">
        <f>IFERROR(__xludf.DUMMYFUNCTION("""COMPUTED_VALUE"""),1930.05)</f>
        <v>1930.05</v>
      </c>
      <c r="E4938" s="1">
        <f>IFERROR(__xludf.DUMMYFUNCTION("""COMPUTED_VALUE"""),1951.1)</f>
        <v>1951.1</v>
      </c>
      <c r="F4938" s="1">
        <f>IFERROR(__xludf.DUMMYFUNCTION("""COMPUTED_VALUE"""),2035095.0)</f>
        <v>2035095</v>
      </c>
    </row>
    <row r="4939">
      <c r="A4939" s="2">
        <f>IFERROR(__xludf.DUMMYFUNCTION("""COMPUTED_VALUE"""),43819.64583333333)</f>
        <v>43819.64583</v>
      </c>
      <c r="B4939" s="1">
        <f>IFERROR(__xludf.DUMMYFUNCTION("""COMPUTED_VALUE"""),1950.0)</f>
        <v>1950</v>
      </c>
      <c r="C4939" s="1">
        <f>IFERROR(__xludf.DUMMYFUNCTION("""COMPUTED_VALUE"""),1959.9)</f>
        <v>1959.9</v>
      </c>
      <c r="D4939" s="1">
        <f>IFERROR(__xludf.DUMMYFUNCTION("""COMPUTED_VALUE"""),1931.45)</f>
        <v>1931.45</v>
      </c>
      <c r="E4939" s="1">
        <f>IFERROR(__xludf.DUMMYFUNCTION("""COMPUTED_VALUE"""),1943.1)</f>
        <v>1943.1</v>
      </c>
      <c r="F4939" s="1">
        <f>IFERROR(__xludf.DUMMYFUNCTION("""COMPUTED_VALUE"""),2169685.0)</f>
        <v>2169685</v>
      </c>
    </row>
    <row r="4940">
      <c r="A4940" s="2">
        <f>IFERROR(__xludf.DUMMYFUNCTION("""COMPUTED_VALUE"""),43822.64583333333)</f>
        <v>43822.64583</v>
      </c>
      <c r="B4940" s="1">
        <f>IFERROR(__xludf.DUMMYFUNCTION("""COMPUTED_VALUE"""),1949.25)</f>
        <v>1949.25</v>
      </c>
      <c r="C4940" s="1">
        <f>IFERROR(__xludf.DUMMYFUNCTION("""COMPUTED_VALUE"""),1962.0)</f>
        <v>1962</v>
      </c>
      <c r="D4940" s="1">
        <f>IFERROR(__xludf.DUMMYFUNCTION("""COMPUTED_VALUE"""),1944.4)</f>
        <v>1944.4</v>
      </c>
      <c r="E4940" s="1">
        <f>IFERROR(__xludf.DUMMYFUNCTION("""COMPUTED_VALUE"""),1950.4)</f>
        <v>1950.4</v>
      </c>
      <c r="F4940" s="1">
        <f>IFERROR(__xludf.DUMMYFUNCTION("""COMPUTED_VALUE"""),807062.0)</f>
        <v>807062</v>
      </c>
    </row>
    <row r="4941">
      <c r="A4941" s="2">
        <f>IFERROR(__xludf.DUMMYFUNCTION("""COMPUTED_VALUE"""),43823.64583333333)</f>
        <v>43823.64583</v>
      </c>
      <c r="B4941" s="1">
        <f>IFERROR(__xludf.DUMMYFUNCTION("""COMPUTED_VALUE"""),1952.0)</f>
        <v>1952</v>
      </c>
      <c r="C4941" s="1">
        <f>IFERROR(__xludf.DUMMYFUNCTION("""COMPUTED_VALUE"""),1964.8)</f>
        <v>1964.8</v>
      </c>
      <c r="D4941" s="1">
        <f>IFERROR(__xludf.DUMMYFUNCTION("""COMPUTED_VALUE"""),1940.4)</f>
        <v>1940.4</v>
      </c>
      <c r="E4941" s="1">
        <f>IFERROR(__xludf.DUMMYFUNCTION("""COMPUTED_VALUE"""),1946.4)</f>
        <v>1946.4</v>
      </c>
      <c r="F4941" s="1">
        <f>IFERROR(__xludf.DUMMYFUNCTION("""COMPUTED_VALUE"""),790621.0)</f>
        <v>790621</v>
      </c>
    </row>
    <row r="4942">
      <c r="A4942" s="2">
        <f>IFERROR(__xludf.DUMMYFUNCTION("""COMPUTED_VALUE"""),43825.64583333333)</f>
        <v>43825.64583</v>
      </c>
      <c r="B4942" s="1">
        <f>IFERROR(__xludf.DUMMYFUNCTION("""COMPUTED_VALUE"""),1950.8)</f>
        <v>1950.8</v>
      </c>
      <c r="C4942" s="1">
        <f>IFERROR(__xludf.DUMMYFUNCTION("""COMPUTED_VALUE"""),1954.25)</f>
        <v>1954.25</v>
      </c>
      <c r="D4942" s="1">
        <f>IFERROR(__xludf.DUMMYFUNCTION("""COMPUTED_VALUE"""),1938.5)</f>
        <v>1938.5</v>
      </c>
      <c r="E4942" s="1">
        <f>IFERROR(__xludf.DUMMYFUNCTION("""COMPUTED_VALUE"""),1944.95)</f>
        <v>1944.95</v>
      </c>
      <c r="F4942" s="1">
        <f>IFERROR(__xludf.DUMMYFUNCTION("""COMPUTED_VALUE"""),862164.0)</f>
        <v>862164</v>
      </c>
    </row>
    <row r="4943">
      <c r="A4943" s="2">
        <f>IFERROR(__xludf.DUMMYFUNCTION("""COMPUTED_VALUE"""),43826.64583333333)</f>
        <v>43826.64583</v>
      </c>
      <c r="B4943" s="1">
        <f>IFERROR(__xludf.DUMMYFUNCTION("""COMPUTED_VALUE"""),1946.9)</f>
        <v>1946.9</v>
      </c>
      <c r="C4943" s="1">
        <f>IFERROR(__xludf.DUMMYFUNCTION("""COMPUTED_VALUE"""),1954.45)</f>
        <v>1954.45</v>
      </c>
      <c r="D4943" s="1">
        <f>IFERROR(__xludf.DUMMYFUNCTION("""COMPUTED_VALUE"""),1934.0)</f>
        <v>1934</v>
      </c>
      <c r="E4943" s="1">
        <f>IFERROR(__xludf.DUMMYFUNCTION("""COMPUTED_VALUE"""),1949.9)</f>
        <v>1949.9</v>
      </c>
      <c r="F4943" s="1">
        <f>IFERROR(__xludf.DUMMYFUNCTION("""COMPUTED_VALUE"""),937907.0)</f>
        <v>937907</v>
      </c>
    </row>
    <row r="4944">
      <c r="A4944" s="2">
        <f>IFERROR(__xludf.DUMMYFUNCTION("""COMPUTED_VALUE"""),43829.64583333333)</f>
        <v>43829.64583</v>
      </c>
      <c r="B4944" s="1">
        <f>IFERROR(__xludf.DUMMYFUNCTION("""COMPUTED_VALUE"""),1949.9)</f>
        <v>1949.9</v>
      </c>
      <c r="C4944" s="1">
        <f>IFERROR(__xludf.DUMMYFUNCTION("""COMPUTED_VALUE"""),1954.25)</f>
        <v>1954.25</v>
      </c>
      <c r="D4944" s="1">
        <f>IFERROR(__xludf.DUMMYFUNCTION("""COMPUTED_VALUE"""),1927.5)</f>
        <v>1927.5</v>
      </c>
      <c r="E4944" s="1">
        <f>IFERROR(__xludf.DUMMYFUNCTION("""COMPUTED_VALUE"""),1937.25)</f>
        <v>1937.25</v>
      </c>
      <c r="F4944" s="1">
        <f>IFERROR(__xludf.DUMMYFUNCTION("""COMPUTED_VALUE"""),1117498.0)</f>
        <v>1117498</v>
      </c>
    </row>
    <row r="4945">
      <c r="A4945" s="2">
        <f>IFERROR(__xludf.DUMMYFUNCTION("""COMPUTED_VALUE"""),43830.64583333333)</f>
        <v>43830.64583</v>
      </c>
      <c r="B4945" s="1">
        <f>IFERROR(__xludf.DUMMYFUNCTION("""COMPUTED_VALUE"""),1940.0)</f>
        <v>1940</v>
      </c>
      <c r="C4945" s="1">
        <f>IFERROR(__xludf.DUMMYFUNCTION("""COMPUTED_VALUE"""),1946.6)</f>
        <v>1946.6</v>
      </c>
      <c r="D4945" s="1">
        <f>IFERROR(__xludf.DUMMYFUNCTION("""COMPUTED_VALUE"""),1920.1)</f>
        <v>1920.1</v>
      </c>
      <c r="E4945" s="1">
        <f>IFERROR(__xludf.DUMMYFUNCTION("""COMPUTED_VALUE"""),1923.0)</f>
        <v>1923</v>
      </c>
      <c r="F4945" s="1">
        <f>IFERROR(__xludf.DUMMYFUNCTION("""COMPUTED_VALUE"""),706593.0)</f>
        <v>706593</v>
      </c>
    </row>
    <row r="4946">
      <c r="A4946" s="2">
        <f>IFERROR(__xludf.DUMMYFUNCTION("""COMPUTED_VALUE"""),43831.64583333333)</f>
        <v>43831.64583</v>
      </c>
      <c r="B4946" s="1">
        <f>IFERROR(__xludf.DUMMYFUNCTION("""COMPUTED_VALUE"""),1930.0)</f>
        <v>1930</v>
      </c>
      <c r="C4946" s="1">
        <f>IFERROR(__xludf.DUMMYFUNCTION("""COMPUTED_VALUE"""),1939.9)</f>
        <v>1939.9</v>
      </c>
      <c r="D4946" s="1">
        <f>IFERROR(__xludf.DUMMYFUNCTION("""COMPUTED_VALUE"""),1918.0)</f>
        <v>1918</v>
      </c>
      <c r="E4946" s="1">
        <f>IFERROR(__xludf.DUMMYFUNCTION("""COMPUTED_VALUE"""),1936.55)</f>
        <v>1936.55</v>
      </c>
      <c r="F4946" s="1">
        <f>IFERROR(__xludf.DUMMYFUNCTION("""COMPUTED_VALUE"""),543035.0)</f>
        <v>543035</v>
      </c>
    </row>
    <row r="4947">
      <c r="A4947" s="2">
        <f>IFERROR(__xludf.DUMMYFUNCTION("""COMPUTED_VALUE"""),43832.64583333333)</f>
        <v>43832.64583</v>
      </c>
      <c r="B4947" s="1">
        <f>IFERROR(__xludf.DUMMYFUNCTION("""COMPUTED_VALUE"""),1940.0)</f>
        <v>1940</v>
      </c>
      <c r="C4947" s="1">
        <f>IFERROR(__xludf.DUMMYFUNCTION("""COMPUTED_VALUE"""),1952.6)</f>
        <v>1952.6</v>
      </c>
      <c r="D4947" s="1">
        <f>IFERROR(__xludf.DUMMYFUNCTION("""COMPUTED_VALUE"""),1930.0)</f>
        <v>1930</v>
      </c>
      <c r="E4947" s="1">
        <f>IFERROR(__xludf.DUMMYFUNCTION("""COMPUTED_VALUE"""),1938.05)</f>
        <v>1938.05</v>
      </c>
      <c r="F4947" s="1">
        <f>IFERROR(__xludf.DUMMYFUNCTION("""COMPUTED_VALUE"""),663275.0)</f>
        <v>663275</v>
      </c>
    </row>
    <row r="4948">
      <c r="A4948" s="2">
        <f>IFERROR(__xludf.DUMMYFUNCTION("""COMPUTED_VALUE"""),43833.64583333333)</f>
        <v>43833.64583</v>
      </c>
      <c r="B4948" s="1">
        <f>IFERROR(__xludf.DUMMYFUNCTION("""COMPUTED_VALUE"""),1937.9)</f>
        <v>1937.9</v>
      </c>
      <c r="C4948" s="1">
        <f>IFERROR(__xludf.DUMMYFUNCTION("""COMPUTED_VALUE"""),1940.0)</f>
        <v>1940</v>
      </c>
      <c r="D4948" s="1">
        <f>IFERROR(__xludf.DUMMYFUNCTION("""COMPUTED_VALUE"""),1918.75)</f>
        <v>1918.75</v>
      </c>
      <c r="E4948" s="1">
        <f>IFERROR(__xludf.DUMMYFUNCTION("""COMPUTED_VALUE"""),1927.45)</f>
        <v>1927.45</v>
      </c>
      <c r="F4948" s="1">
        <f>IFERROR(__xludf.DUMMYFUNCTION("""COMPUTED_VALUE"""),1598825.0)</f>
        <v>1598825</v>
      </c>
    </row>
    <row r="4949">
      <c r="A4949" s="2">
        <f>IFERROR(__xludf.DUMMYFUNCTION("""COMPUTED_VALUE"""),43836.64583333333)</f>
        <v>43836.64583</v>
      </c>
      <c r="B4949" s="1">
        <f>IFERROR(__xludf.DUMMYFUNCTION("""COMPUTED_VALUE"""),1927.35)</f>
        <v>1927.35</v>
      </c>
      <c r="C4949" s="1">
        <f>IFERROR(__xludf.DUMMYFUNCTION("""COMPUTED_VALUE"""),1929.4)</f>
        <v>1929.4</v>
      </c>
      <c r="D4949" s="1">
        <f>IFERROR(__xludf.DUMMYFUNCTION("""COMPUTED_VALUE"""),1911.25)</f>
        <v>1911.25</v>
      </c>
      <c r="E4949" s="1">
        <f>IFERROR(__xludf.DUMMYFUNCTION("""COMPUTED_VALUE"""),1915.45)</f>
        <v>1915.45</v>
      </c>
      <c r="F4949" s="1">
        <f>IFERROR(__xludf.DUMMYFUNCTION("""COMPUTED_VALUE"""),683129.0)</f>
        <v>683129</v>
      </c>
    </row>
    <row r="4950">
      <c r="A4950" s="2">
        <f>IFERROR(__xludf.DUMMYFUNCTION("""COMPUTED_VALUE"""),43837.64583333333)</f>
        <v>43837.64583</v>
      </c>
      <c r="B4950" s="1">
        <f>IFERROR(__xludf.DUMMYFUNCTION("""COMPUTED_VALUE"""),1919.25)</f>
        <v>1919.25</v>
      </c>
      <c r="C4950" s="1">
        <f>IFERROR(__xludf.DUMMYFUNCTION("""COMPUTED_VALUE"""),1931.0)</f>
        <v>1931</v>
      </c>
      <c r="D4950" s="1">
        <f>IFERROR(__xludf.DUMMYFUNCTION("""COMPUTED_VALUE"""),1918.0)</f>
        <v>1918</v>
      </c>
      <c r="E4950" s="1">
        <f>IFERROR(__xludf.DUMMYFUNCTION("""COMPUTED_VALUE"""),1920.7)</f>
        <v>1920.7</v>
      </c>
      <c r="F4950" s="1">
        <f>IFERROR(__xludf.DUMMYFUNCTION("""COMPUTED_VALUE"""),808935.0)</f>
        <v>808935</v>
      </c>
    </row>
    <row r="4951">
      <c r="A4951" s="2">
        <f>IFERROR(__xludf.DUMMYFUNCTION("""COMPUTED_VALUE"""),43838.64583333333)</f>
        <v>43838.64583</v>
      </c>
      <c r="B4951" s="1">
        <f>IFERROR(__xludf.DUMMYFUNCTION("""COMPUTED_VALUE"""),1910.0)</f>
        <v>1910</v>
      </c>
      <c r="C4951" s="1">
        <f>IFERROR(__xludf.DUMMYFUNCTION("""COMPUTED_VALUE"""),1936.05)</f>
        <v>1936.05</v>
      </c>
      <c r="D4951" s="1">
        <f>IFERROR(__xludf.DUMMYFUNCTION("""COMPUTED_VALUE"""),1906.45)</f>
        <v>1906.45</v>
      </c>
      <c r="E4951" s="1">
        <f>IFERROR(__xludf.DUMMYFUNCTION("""COMPUTED_VALUE"""),1929.35)</f>
        <v>1929.35</v>
      </c>
      <c r="F4951" s="1">
        <f>IFERROR(__xludf.DUMMYFUNCTION("""COMPUTED_VALUE"""),1889685.0)</f>
        <v>1889685</v>
      </c>
    </row>
    <row r="4952">
      <c r="A4952" s="2">
        <f>IFERROR(__xludf.DUMMYFUNCTION("""COMPUTED_VALUE"""),43839.64583333333)</f>
        <v>43839.64583</v>
      </c>
      <c r="B4952" s="1">
        <f>IFERROR(__xludf.DUMMYFUNCTION("""COMPUTED_VALUE"""),1941.55)</f>
        <v>1941.55</v>
      </c>
      <c r="C4952" s="1">
        <f>IFERROR(__xludf.DUMMYFUNCTION("""COMPUTED_VALUE"""),1947.3)</f>
        <v>1947.3</v>
      </c>
      <c r="D4952" s="1">
        <f>IFERROR(__xludf.DUMMYFUNCTION("""COMPUTED_VALUE"""),1931.0)</f>
        <v>1931</v>
      </c>
      <c r="E4952" s="1">
        <f>IFERROR(__xludf.DUMMYFUNCTION("""COMPUTED_VALUE"""),1935.05)</f>
        <v>1935.05</v>
      </c>
      <c r="F4952" s="1">
        <f>IFERROR(__xludf.DUMMYFUNCTION("""COMPUTED_VALUE"""),1544334.0)</f>
        <v>1544334</v>
      </c>
    </row>
    <row r="4953">
      <c r="A4953" s="2">
        <f>IFERROR(__xludf.DUMMYFUNCTION("""COMPUTED_VALUE"""),43840.64583333333)</f>
        <v>43840.64583</v>
      </c>
      <c r="B4953" s="1">
        <f>IFERROR(__xludf.DUMMYFUNCTION("""COMPUTED_VALUE"""),1940.9)</f>
        <v>1940.9</v>
      </c>
      <c r="C4953" s="1">
        <f>IFERROR(__xludf.DUMMYFUNCTION("""COMPUTED_VALUE"""),1957.5)</f>
        <v>1957.5</v>
      </c>
      <c r="D4953" s="1">
        <f>IFERROR(__xludf.DUMMYFUNCTION("""COMPUTED_VALUE"""),1931.65)</f>
        <v>1931.65</v>
      </c>
      <c r="E4953" s="1">
        <f>IFERROR(__xludf.DUMMYFUNCTION("""COMPUTED_VALUE"""),1954.0)</f>
        <v>1954</v>
      </c>
      <c r="F4953" s="1">
        <f>IFERROR(__xludf.DUMMYFUNCTION("""COMPUTED_VALUE"""),1003336.0)</f>
        <v>1003336</v>
      </c>
    </row>
    <row r="4954">
      <c r="A4954" s="2">
        <f>IFERROR(__xludf.DUMMYFUNCTION("""COMPUTED_VALUE"""),43843.64583333333)</f>
        <v>43843.64583</v>
      </c>
      <c r="B4954" s="1">
        <f>IFERROR(__xludf.DUMMYFUNCTION("""COMPUTED_VALUE"""),1961.0)</f>
        <v>1961</v>
      </c>
      <c r="C4954" s="1">
        <f>IFERROR(__xludf.DUMMYFUNCTION("""COMPUTED_VALUE"""),1997.85)</f>
        <v>1997.85</v>
      </c>
      <c r="D4954" s="1">
        <f>IFERROR(__xludf.DUMMYFUNCTION("""COMPUTED_VALUE"""),1957.0)</f>
        <v>1957</v>
      </c>
      <c r="E4954" s="1">
        <f>IFERROR(__xludf.DUMMYFUNCTION("""COMPUTED_VALUE"""),1994.85)</f>
        <v>1994.85</v>
      </c>
      <c r="F4954" s="1">
        <f>IFERROR(__xludf.DUMMYFUNCTION("""COMPUTED_VALUE"""),2040089.0)</f>
        <v>2040089</v>
      </c>
    </row>
    <row r="4955">
      <c r="A4955" s="2">
        <f>IFERROR(__xludf.DUMMYFUNCTION("""COMPUTED_VALUE"""),43844.64583333333)</f>
        <v>43844.64583</v>
      </c>
      <c r="B4955" s="1">
        <f>IFERROR(__xludf.DUMMYFUNCTION("""COMPUTED_VALUE"""),1995.5)</f>
        <v>1995.5</v>
      </c>
      <c r="C4955" s="1">
        <f>IFERROR(__xludf.DUMMYFUNCTION("""COMPUTED_VALUE"""),2014.95)</f>
        <v>2014.95</v>
      </c>
      <c r="D4955" s="1">
        <f>IFERROR(__xludf.DUMMYFUNCTION("""COMPUTED_VALUE"""),1982.4)</f>
        <v>1982.4</v>
      </c>
      <c r="E4955" s="1">
        <f>IFERROR(__xludf.DUMMYFUNCTION("""COMPUTED_VALUE"""),2008.8)</f>
        <v>2008.8</v>
      </c>
      <c r="F4955" s="1">
        <f>IFERROR(__xludf.DUMMYFUNCTION("""COMPUTED_VALUE"""),1610737.0)</f>
        <v>1610737</v>
      </c>
    </row>
    <row r="4956">
      <c r="A4956" s="2">
        <f>IFERROR(__xludf.DUMMYFUNCTION("""COMPUTED_VALUE"""),43845.64583333333)</f>
        <v>43845.64583</v>
      </c>
      <c r="B4956" s="1">
        <f>IFERROR(__xludf.DUMMYFUNCTION("""COMPUTED_VALUE"""),2011.15)</f>
        <v>2011.15</v>
      </c>
      <c r="C4956" s="1">
        <f>IFERROR(__xludf.DUMMYFUNCTION("""COMPUTED_VALUE"""),2027.0)</f>
        <v>2027</v>
      </c>
      <c r="D4956" s="1">
        <f>IFERROR(__xludf.DUMMYFUNCTION("""COMPUTED_VALUE"""),1997.35)</f>
        <v>1997.35</v>
      </c>
      <c r="E4956" s="1">
        <f>IFERROR(__xludf.DUMMYFUNCTION("""COMPUTED_VALUE"""),2021.65)</f>
        <v>2021.65</v>
      </c>
      <c r="F4956" s="1">
        <f>IFERROR(__xludf.DUMMYFUNCTION("""COMPUTED_VALUE"""),1559491.0)</f>
        <v>1559491</v>
      </c>
    </row>
    <row r="4957">
      <c r="A4957" s="2">
        <f>IFERROR(__xludf.DUMMYFUNCTION("""COMPUTED_VALUE"""),43846.64583333333)</f>
        <v>43846.64583</v>
      </c>
      <c r="B4957" s="1">
        <f>IFERROR(__xludf.DUMMYFUNCTION("""COMPUTED_VALUE"""),2022.0)</f>
        <v>2022</v>
      </c>
      <c r="C4957" s="1">
        <f>IFERROR(__xludf.DUMMYFUNCTION("""COMPUTED_VALUE"""),2054.7)</f>
        <v>2054.7</v>
      </c>
      <c r="D4957" s="1">
        <f>IFERROR(__xludf.DUMMYFUNCTION("""COMPUTED_VALUE"""),2016.1)</f>
        <v>2016.1</v>
      </c>
      <c r="E4957" s="1">
        <f>IFERROR(__xludf.DUMMYFUNCTION("""COMPUTED_VALUE"""),2049.25)</f>
        <v>2049.25</v>
      </c>
      <c r="F4957" s="1">
        <f>IFERROR(__xludf.DUMMYFUNCTION("""COMPUTED_VALUE"""),2468958.0)</f>
        <v>2468958</v>
      </c>
    </row>
    <row r="4958">
      <c r="A4958" s="2">
        <f>IFERROR(__xludf.DUMMYFUNCTION("""COMPUTED_VALUE"""),43847.64583333333)</f>
        <v>43847.64583</v>
      </c>
      <c r="B4958" s="1">
        <f>IFERROR(__xludf.DUMMYFUNCTION("""COMPUTED_VALUE"""),2055.0)</f>
        <v>2055</v>
      </c>
      <c r="C4958" s="1">
        <f>IFERROR(__xludf.DUMMYFUNCTION("""COMPUTED_VALUE"""),2063.9)</f>
        <v>2063.9</v>
      </c>
      <c r="D4958" s="1">
        <f>IFERROR(__xludf.DUMMYFUNCTION("""COMPUTED_VALUE"""),2040.05)</f>
        <v>2040.05</v>
      </c>
      <c r="E4958" s="1">
        <f>IFERROR(__xludf.DUMMYFUNCTION("""COMPUTED_VALUE"""),2060.3)</f>
        <v>2060.3</v>
      </c>
      <c r="F4958" s="1">
        <f>IFERROR(__xludf.DUMMYFUNCTION("""COMPUTED_VALUE"""),994719.0)</f>
        <v>994719</v>
      </c>
    </row>
    <row r="4959">
      <c r="A4959" s="2">
        <f>IFERROR(__xludf.DUMMYFUNCTION("""COMPUTED_VALUE"""),43850.64583333333)</f>
        <v>43850.64583</v>
      </c>
      <c r="B4959" s="1">
        <f>IFERROR(__xludf.DUMMYFUNCTION("""COMPUTED_VALUE"""),2060.5)</f>
        <v>2060.5</v>
      </c>
      <c r="C4959" s="1">
        <f>IFERROR(__xludf.DUMMYFUNCTION("""COMPUTED_VALUE"""),2075.9)</f>
        <v>2075.9</v>
      </c>
      <c r="D4959" s="1">
        <f>IFERROR(__xludf.DUMMYFUNCTION("""COMPUTED_VALUE"""),2050.0)</f>
        <v>2050</v>
      </c>
      <c r="E4959" s="1">
        <f>IFERROR(__xludf.DUMMYFUNCTION("""COMPUTED_VALUE"""),2062.85)</f>
        <v>2062.85</v>
      </c>
      <c r="F4959" s="1">
        <f>IFERROR(__xludf.DUMMYFUNCTION("""COMPUTED_VALUE"""),829399.0)</f>
        <v>829399</v>
      </c>
    </row>
    <row r="4960">
      <c r="A4960" s="2">
        <f>IFERROR(__xludf.DUMMYFUNCTION("""COMPUTED_VALUE"""),43851.64583333333)</f>
        <v>43851.64583</v>
      </c>
      <c r="B4960" s="1">
        <f>IFERROR(__xludf.DUMMYFUNCTION("""COMPUTED_VALUE"""),2059.75)</f>
        <v>2059.75</v>
      </c>
      <c r="C4960" s="1">
        <f>IFERROR(__xludf.DUMMYFUNCTION("""COMPUTED_VALUE"""),2075.0)</f>
        <v>2075</v>
      </c>
      <c r="D4960" s="1">
        <f>IFERROR(__xludf.DUMMYFUNCTION("""COMPUTED_VALUE"""),2052.15)</f>
        <v>2052.15</v>
      </c>
      <c r="E4960" s="1">
        <f>IFERROR(__xludf.DUMMYFUNCTION("""COMPUTED_VALUE"""),2055.4)</f>
        <v>2055.4</v>
      </c>
      <c r="F4960" s="1">
        <f>IFERROR(__xludf.DUMMYFUNCTION("""COMPUTED_VALUE"""),750000.0)</f>
        <v>750000</v>
      </c>
    </row>
    <row r="4961">
      <c r="A4961" s="2">
        <f>IFERROR(__xludf.DUMMYFUNCTION("""COMPUTED_VALUE"""),43852.64583333333)</f>
        <v>43852.64583</v>
      </c>
      <c r="B4961" s="1">
        <f>IFERROR(__xludf.DUMMYFUNCTION("""COMPUTED_VALUE"""),2063.0)</f>
        <v>2063</v>
      </c>
      <c r="C4961" s="1">
        <f>IFERROR(__xludf.DUMMYFUNCTION("""COMPUTED_VALUE"""),2063.5)</f>
        <v>2063.5</v>
      </c>
      <c r="D4961" s="1">
        <f>IFERROR(__xludf.DUMMYFUNCTION("""COMPUTED_VALUE"""),2027.2)</f>
        <v>2027.2</v>
      </c>
      <c r="E4961" s="1">
        <f>IFERROR(__xludf.DUMMYFUNCTION("""COMPUTED_VALUE"""),2051.7)</f>
        <v>2051.7</v>
      </c>
      <c r="F4961" s="1">
        <f>IFERROR(__xludf.DUMMYFUNCTION("""COMPUTED_VALUE"""),983169.0)</f>
        <v>983169</v>
      </c>
    </row>
    <row r="4962">
      <c r="A4962" s="2">
        <f>IFERROR(__xludf.DUMMYFUNCTION("""COMPUTED_VALUE"""),43853.64583333333)</f>
        <v>43853.64583</v>
      </c>
      <c r="B4962" s="1">
        <f>IFERROR(__xludf.DUMMYFUNCTION("""COMPUTED_VALUE"""),2051.75)</f>
        <v>2051.75</v>
      </c>
      <c r="C4962" s="1">
        <f>IFERROR(__xludf.DUMMYFUNCTION("""COMPUTED_VALUE"""),2060.85)</f>
        <v>2060.85</v>
      </c>
      <c r="D4962" s="1">
        <f>IFERROR(__xludf.DUMMYFUNCTION("""COMPUTED_VALUE"""),2035.0)</f>
        <v>2035</v>
      </c>
      <c r="E4962" s="1">
        <f>IFERROR(__xludf.DUMMYFUNCTION("""COMPUTED_VALUE"""),2056.9)</f>
        <v>2056.9</v>
      </c>
      <c r="F4962" s="1">
        <f>IFERROR(__xludf.DUMMYFUNCTION("""COMPUTED_VALUE"""),708017.0)</f>
        <v>708017</v>
      </c>
    </row>
    <row r="4963">
      <c r="A4963" s="2">
        <f>IFERROR(__xludf.DUMMYFUNCTION("""COMPUTED_VALUE"""),43854.64583333333)</f>
        <v>43854.64583</v>
      </c>
      <c r="B4963" s="1">
        <f>IFERROR(__xludf.DUMMYFUNCTION("""COMPUTED_VALUE"""),2057.0)</f>
        <v>2057</v>
      </c>
      <c r="C4963" s="1">
        <f>IFERROR(__xludf.DUMMYFUNCTION("""COMPUTED_VALUE"""),2079.0)</f>
        <v>2079</v>
      </c>
      <c r="D4963" s="1">
        <f>IFERROR(__xludf.DUMMYFUNCTION("""COMPUTED_VALUE"""),2050.05)</f>
        <v>2050.05</v>
      </c>
      <c r="E4963" s="1">
        <f>IFERROR(__xludf.DUMMYFUNCTION("""COMPUTED_VALUE"""),2073.7)</f>
        <v>2073.7</v>
      </c>
      <c r="F4963" s="1">
        <f>IFERROR(__xludf.DUMMYFUNCTION("""COMPUTED_VALUE"""),914993.0)</f>
        <v>914993</v>
      </c>
    </row>
    <row r="4964">
      <c r="A4964" s="2">
        <f>IFERROR(__xludf.DUMMYFUNCTION("""COMPUTED_VALUE"""),43857.64583333333)</f>
        <v>43857.64583</v>
      </c>
      <c r="B4964" s="1">
        <f>IFERROR(__xludf.DUMMYFUNCTION("""COMPUTED_VALUE"""),2066.0)</f>
        <v>2066</v>
      </c>
      <c r="C4964" s="1">
        <f>IFERROR(__xludf.DUMMYFUNCTION("""COMPUTED_VALUE"""),2068.75)</f>
        <v>2068.75</v>
      </c>
      <c r="D4964" s="1">
        <f>IFERROR(__xludf.DUMMYFUNCTION("""COMPUTED_VALUE"""),2056.75)</f>
        <v>2056.75</v>
      </c>
      <c r="E4964" s="1">
        <f>IFERROR(__xludf.DUMMYFUNCTION("""COMPUTED_VALUE"""),2061.35)</f>
        <v>2061.35</v>
      </c>
      <c r="F4964" s="1">
        <f>IFERROR(__xludf.DUMMYFUNCTION("""COMPUTED_VALUE"""),429312.0)</f>
        <v>429312</v>
      </c>
    </row>
    <row r="4965">
      <c r="A4965" s="2">
        <f>IFERROR(__xludf.DUMMYFUNCTION("""COMPUTED_VALUE"""),43858.64583333333)</f>
        <v>43858.64583</v>
      </c>
      <c r="B4965" s="1">
        <f>IFERROR(__xludf.DUMMYFUNCTION("""COMPUTED_VALUE"""),2062.0)</f>
        <v>2062</v>
      </c>
      <c r="C4965" s="1">
        <f>IFERROR(__xludf.DUMMYFUNCTION("""COMPUTED_VALUE"""),2065.0)</f>
        <v>2065</v>
      </c>
      <c r="D4965" s="1">
        <f>IFERROR(__xludf.DUMMYFUNCTION("""COMPUTED_VALUE"""),2042.7)</f>
        <v>2042.7</v>
      </c>
      <c r="E4965" s="1">
        <f>IFERROR(__xludf.DUMMYFUNCTION("""COMPUTED_VALUE"""),2060.6)</f>
        <v>2060.6</v>
      </c>
      <c r="F4965" s="1">
        <f>IFERROR(__xludf.DUMMYFUNCTION("""COMPUTED_VALUE"""),777052.0)</f>
        <v>777052</v>
      </c>
    </row>
    <row r="4966">
      <c r="A4966" s="2">
        <f>IFERROR(__xludf.DUMMYFUNCTION("""COMPUTED_VALUE"""),43859.64583333333)</f>
        <v>43859.64583</v>
      </c>
      <c r="B4966" s="1">
        <f>IFERROR(__xludf.DUMMYFUNCTION("""COMPUTED_VALUE"""),2062.05)</f>
        <v>2062.05</v>
      </c>
      <c r="C4966" s="1">
        <f>IFERROR(__xludf.DUMMYFUNCTION("""COMPUTED_VALUE"""),2085.8)</f>
        <v>2085.8</v>
      </c>
      <c r="D4966" s="1">
        <f>IFERROR(__xludf.DUMMYFUNCTION("""COMPUTED_VALUE"""),2062.05)</f>
        <v>2062.05</v>
      </c>
      <c r="E4966" s="1">
        <f>IFERROR(__xludf.DUMMYFUNCTION("""COMPUTED_VALUE"""),2074.2)</f>
        <v>2074.2</v>
      </c>
      <c r="F4966" s="1">
        <f>IFERROR(__xludf.DUMMYFUNCTION("""COMPUTED_VALUE"""),873433.0)</f>
        <v>873433</v>
      </c>
    </row>
    <row r="4967">
      <c r="A4967" s="2">
        <f>IFERROR(__xludf.DUMMYFUNCTION("""COMPUTED_VALUE"""),43860.64583333333)</f>
        <v>43860.64583</v>
      </c>
      <c r="B4967" s="1">
        <f>IFERROR(__xludf.DUMMYFUNCTION("""COMPUTED_VALUE"""),2074.9)</f>
        <v>2074.9</v>
      </c>
      <c r="C4967" s="1">
        <f>IFERROR(__xludf.DUMMYFUNCTION("""COMPUTED_VALUE"""),2078.0)</f>
        <v>2078</v>
      </c>
      <c r="D4967" s="1">
        <f>IFERROR(__xludf.DUMMYFUNCTION("""COMPUTED_VALUE"""),2049.45)</f>
        <v>2049.45</v>
      </c>
      <c r="E4967" s="1">
        <f>IFERROR(__xludf.DUMMYFUNCTION("""COMPUTED_VALUE"""),2058.1)</f>
        <v>2058.1</v>
      </c>
      <c r="F4967" s="1">
        <f>IFERROR(__xludf.DUMMYFUNCTION("""COMPUTED_VALUE"""),952768.0)</f>
        <v>952768</v>
      </c>
    </row>
    <row r="4968">
      <c r="A4968" s="2">
        <f>IFERROR(__xludf.DUMMYFUNCTION("""COMPUTED_VALUE"""),43861.64583333333)</f>
        <v>43861.64583</v>
      </c>
      <c r="B4968" s="1">
        <f>IFERROR(__xludf.DUMMYFUNCTION("""COMPUTED_VALUE"""),2064.0)</f>
        <v>2064</v>
      </c>
      <c r="C4968" s="1">
        <f>IFERROR(__xludf.DUMMYFUNCTION("""COMPUTED_VALUE"""),2068.25)</f>
        <v>2068.25</v>
      </c>
      <c r="D4968" s="1">
        <f>IFERROR(__xludf.DUMMYFUNCTION("""COMPUTED_VALUE"""),2020.05)</f>
        <v>2020.05</v>
      </c>
      <c r="E4968" s="1">
        <f>IFERROR(__xludf.DUMMYFUNCTION("""COMPUTED_VALUE"""),2034.25)</f>
        <v>2034.25</v>
      </c>
      <c r="F4968" s="1">
        <f>IFERROR(__xludf.DUMMYFUNCTION("""COMPUTED_VALUE"""),1930834.0)</f>
        <v>1930834</v>
      </c>
    </row>
    <row r="4969">
      <c r="A4969" s="2">
        <f>IFERROR(__xludf.DUMMYFUNCTION("""COMPUTED_VALUE"""),43862.70833333333)</f>
        <v>43862.70833</v>
      </c>
      <c r="B4969" s="1">
        <f>IFERROR(__xludf.DUMMYFUNCTION("""COMPUTED_VALUE"""),2049.35)</f>
        <v>2049.35</v>
      </c>
      <c r="C4969" s="1">
        <f>IFERROR(__xludf.DUMMYFUNCTION("""COMPUTED_VALUE"""),2096.0)</f>
        <v>2096</v>
      </c>
      <c r="D4969" s="1">
        <f>IFERROR(__xludf.DUMMYFUNCTION("""COMPUTED_VALUE"""),2030.05)</f>
        <v>2030.05</v>
      </c>
      <c r="E4969" s="1">
        <f>IFERROR(__xludf.DUMMYFUNCTION("""COMPUTED_VALUE"""),2072.9)</f>
        <v>2072.9</v>
      </c>
      <c r="F4969" s="1">
        <f>IFERROR(__xludf.DUMMYFUNCTION("""COMPUTED_VALUE"""),2632067.0)</f>
        <v>2632067</v>
      </c>
    </row>
    <row r="4970">
      <c r="A4970" s="2">
        <f>IFERROR(__xludf.DUMMYFUNCTION("""COMPUTED_VALUE"""),43864.64583333333)</f>
        <v>43864.64583</v>
      </c>
      <c r="B4970" s="1">
        <f>IFERROR(__xludf.DUMMYFUNCTION("""COMPUTED_VALUE"""),2074.9)</f>
        <v>2074.9</v>
      </c>
      <c r="C4970" s="1">
        <f>IFERROR(__xludf.DUMMYFUNCTION("""COMPUTED_VALUE"""),2195.55)</f>
        <v>2195.55</v>
      </c>
      <c r="D4970" s="1">
        <f>IFERROR(__xludf.DUMMYFUNCTION("""COMPUTED_VALUE"""),2074.9)</f>
        <v>2074.9</v>
      </c>
      <c r="E4970" s="1">
        <f>IFERROR(__xludf.DUMMYFUNCTION("""COMPUTED_VALUE"""),2178.95)</f>
        <v>2178.95</v>
      </c>
      <c r="F4970" s="1">
        <f>IFERROR(__xludf.DUMMYFUNCTION("""COMPUTED_VALUE"""),4012542.0)</f>
        <v>4012542</v>
      </c>
    </row>
    <row r="4971">
      <c r="A4971" s="2">
        <f>IFERROR(__xludf.DUMMYFUNCTION("""COMPUTED_VALUE"""),43865.64583333333)</f>
        <v>43865.64583</v>
      </c>
      <c r="B4971" s="1">
        <f>IFERROR(__xludf.DUMMYFUNCTION("""COMPUTED_VALUE"""),2177.0)</f>
        <v>2177</v>
      </c>
      <c r="C4971" s="1">
        <f>IFERROR(__xludf.DUMMYFUNCTION("""COMPUTED_VALUE"""),2204.2)</f>
        <v>2204.2</v>
      </c>
      <c r="D4971" s="1">
        <f>IFERROR(__xludf.DUMMYFUNCTION("""COMPUTED_VALUE"""),2140.0)</f>
        <v>2140</v>
      </c>
      <c r="E4971" s="1">
        <f>IFERROR(__xludf.DUMMYFUNCTION("""COMPUTED_VALUE"""),2155.6)</f>
        <v>2155.6</v>
      </c>
      <c r="F4971" s="1">
        <f>IFERROR(__xludf.DUMMYFUNCTION("""COMPUTED_VALUE"""),1932121.0)</f>
        <v>1932121</v>
      </c>
    </row>
    <row r="4972">
      <c r="A4972" s="2">
        <f>IFERROR(__xludf.DUMMYFUNCTION("""COMPUTED_VALUE"""),43866.64583333333)</f>
        <v>43866.64583</v>
      </c>
      <c r="B4972" s="1">
        <f>IFERROR(__xludf.DUMMYFUNCTION("""COMPUTED_VALUE"""),2167.4)</f>
        <v>2167.4</v>
      </c>
      <c r="C4972" s="1">
        <f>IFERROR(__xludf.DUMMYFUNCTION("""COMPUTED_VALUE"""),2184.0)</f>
        <v>2184</v>
      </c>
      <c r="D4972" s="1">
        <f>IFERROR(__xludf.DUMMYFUNCTION("""COMPUTED_VALUE"""),2153.9)</f>
        <v>2153.9</v>
      </c>
      <c r="E4972" s="1">
        <f>IFERROR(__xludf.DUMMYFUNCTION("""COMPUTED_VALUE"""),2160.3)</f>
        <v>2160.3</v>
      </c>
      <c r="F4972" s="1">
        <f>IFERROR(__xludf.DUMMYFUNCTION("""COMPUTED_VALUE"""),1514368.0)</f>
        <v>1514368</v>
      </c>
    </row>
    <row r="4973">
      <c r="A4973" s="2">
        <f>IFERROR(__xludf.DUMMYFUNCTION("""COMPUTED_VALUE"""),43867.64583333333)</f>
        <v>43867.64583</v>
      </c>
      <c r="B4973" s="1">
        <f>IFERROR(__xludf.DUMMYFUNCTION("""COMPUTED_VALUE"""),2166.0)</f>
        <v>2166</v>
      </c>
      <c r="C4973" s="1">
        <f>IFERROR(__xludf.DUMMYFUNCTION("""COMPUTED_VALUE"""),2196.25)</f>
        <v>2196.25</v>
      </c>
      <c r="D4973" s="1">
        <f>IFERROR(__xludf.DUMMYFUNCTION("""COMPUTED_VALUE"""),2134.05)</f>
        <v>2134.05</v>
      </c>
      <c r="E4973" s="1">
        <f>IFERROR(__xludf.DUMMYFUNCTION("""COMPUTED_VALUE"""),2156.4)</f>
        <v>2156.4</v>
      </c>
      <c r="F4973" s="1">
        <f>IFERROR(__xludf.DUMMYFUNCTION("""COMPUTED_VALUE"""),1302116.0)</f>
        <v>1302116</v>
      </c>
    </row>
    <row r="4974">
      <c r="A4974" s="2">
        <f>IFERROR(__xludf.DUMMYFUNCTION("""COMPUTED_VALUE"""),43868.64583333333)</f>
        <v>43868.64583</v>
      </c>
      <c r="B4974" s="1">
        <f>IFERROR(__xludf.DUMMYFUNCTION("""COMPUTED_VALUE"""),2165.0)</f>
        <v>2165</v>
      </c>
      <c r="C4974" s="1">
        <f>IFERROR(__xludf.DUMMYFUNCTION("""COMPUTED_VALUE"""),2172.0)</f>
        <v>2172</v>
      </c>
      <c r="D4974" s="1">
        <f>IFERROR(__xludf.DUMMYFUNCTION("""COMPUTED_VALUE"""),2141.6)</f>
        <v>2141.6</v>
      </c>
      <c r="E4974" s="1">
        <f>IFERROR(__xludf.DUMMYFUNCTION("""COMPUTED_VALUE"""),2159.95)</f>
        <v>2159.95</v>
      </c>
      <c r="F4974" s="1">
        <f>IFERROR(__xludf.DUMMYFUNCTION("""COMPUTED_VALUE"""),908152.0)</f>
        <v>908152</v>
      </c>
    </row>
    <row r="4975">
      <c r="A4975" s="2">
        <f>IFERROR(__xludf.DUMMYFUNCTION("""COMPUTED_VALUE"""),43871.64583333333)</f>
        <v>43871.64583</v>
      </c>
      <c r="B4975" s="1">
        <f>IFERROR(__xludf.DUMMYFUNCTION("""COMPUTED_VALUE"""),2160.1)</f>
        <v>2160.1</v>
      </c>
      <c r="C4975" s="1">
        <f>IFERROR(__xludf.DUMMYFUNCTION("""COMPUTED_VALUE"""),2189.55)</f>
        <v>2189.55</v>
      </c>
      <c r="D4975" s="1">
        <f>IFERROR(__xludf.DUMMYFUNCTION("""COMPUTED_VALUE"""),2151.7)</f>
        <v>2151.7</v>
      </c>
      <c r="E4975" s="1">
        <f>IFERROR(__xludf.DUMMYFUNCTION("""COMPUTED_VALUE"""),2159.3)</f>
        <v>2159.3</v>
      </c>
      <c r="F4975" s="1">
        <f>IFERROR(__xludf.DUMMYFUNCTION("""COMPUTED_VALUE"""),1389847.0)</f>
        <v>1389847</v>
      </c>
    </row>
    <row r="4976">
      <c r="A4976" s="2">
        <f>IFERROR(__xludf.DUMMYFUNCTION("""COMPUTED_VALUE"""),43872.64583333333)</f>
        <v>43872.64583</v>
      </c>
      <c r="B4976" s="1">
        <f>IFERROR(__xludf.DUMMYFUNCTION("""COMPUTED_VALUE"""),2169.0)</f>
        <v>2169</v>
      </c>
      <c r="C4976" s="1">
        <f>IFERROR(__xludf.DUMMYFUNCTION("""COMPUTED_VALUE"""),2179.65)</f>
        <v>2179.65</v>
      </c>
      <c r="D4976" s="1">
        <f>IFERROR(__xludf.DUMMYFUNCTION("""COMPUTED_VALUE"""),2147.7)</f>
        <v>2147.7</v>
      </c>
      <c r="E4976" s="1">
        <f>IFERROR(__xludf.DUMMYFUNCTION("""COMPUTED_VALUE"""),2152.65)</f>
        <v>2152.65</v>
      </c>
      <c r="F4976" s="1">
        <f>IFERROR(__xludf.DUMMYFUNCTION("""COMPUTED_VALUE"""),777506.0)</f>
        <v>777506</v>
      </c>
    </row>
    <row r="4977">
      <c r="A4977" s="2">
        <f>IFERROR(__xludf.DUMMYFUNCTION("""COMPUTED_VALUE"""),43873.64583333333)</f>
        <v>43873.64583</v>
      </c>
      <c r="B4977" s="1">
        <f>IFERROR(__xludf.DUMMYFUNCTION("""COMPUTED_VALUE"""),2157.1)</f>
        <v>2157.1</v>
      </c>
      <c r="C4977" s="1">
        <f>IFERROR(__xludf.DUMMYFUNCTION("""COMPUTED_VALUE"""),2272.0)</f>
        <v>2272</v>
      </c>
      <c r="D4977" s="1">
        <f>IFERROR(__xludf.DUMMYFUNCTION("""COMPUTED_VALUE"""),2155.0)</f>
        <v>2155</v>
      </c>
      <c r="E4977" s="1">
        <f>IFERROR(__xludf.DUMMYFUNCTION("""COMPUTED_VALUE"""),2260.35)</f>
        <v>2260.35</v>
      </c>
      <c r="F4977" s="1">
        <f>IFERROR(__xludf.DUMMYFUNCTION("""COMPUTED_VALUE"""),4753325.0)</f>
        <v>4753325</v>
      </c>
    </row>
    <row r="4978">
      <c r="A4978" s="2">
        <f>IFERROR(__xludf.DUMMYFUNCTION("""COMPUTED_VALUE"""),43874.64583333333)</f>
        <v>43874.64583</v>
      </c>
      <c r="B4978" s="1">
        <f>IFERROR(__xludf.DUMMYFUNCTION("""COMPUTED_VALUE"""),2256.0)</f>
        <v>2256</v>
      </c>
      <c r="C4978" s="1">
        <f>IFERROR(__xludf.DUMMYFUNCTION("""COMPUTED_VALUE"""),2288.95)</f>
        <v>2288.95</v>
      </c>
      <c r="D4978" s="1">
        <f>IFERROR(__xludf.DUMMYFUNCTION("""COMPUTED_VALUE"""),2233.05)</f>
        <v>2233.05</v>
      </c>
      <c r="E4978" s="1">
        <f>IFERROR(__xludf.DUMMYFUNCTION("""COMPUTED_VALUE"""),2283.4)</f>
        <v>2283.4</v>
      </c>
      <c r="F4978" s="1">
        <f>IFERROR(__xludf.DUMMYFUNCTION("""COMPUTED_VALUE"""),2950407.0)</f>
        <v>2950407</v>
      </c>
    </row>
    <row r="4979">
      <c r="A4979" s="2">
        <f>IFERROR(__xludf.DUMMYFUNCTION("""COMPUTED_VALUE"""),43875.64583333333)</f>
        <v>43875.64583</v>
      </c>
      <c r="B4979" s="1">
        <f>IFERROR(__xludf.DUMMYFUNCTION("""COMPUTED_VALUE"""),2273.0)</f>
        <v>2273</v>
      </c>
      <c r="C4979" s="1">
        <f>IFERROR(__xludf.DUMMYFUNCTION("""COMPUTED_VALUE"""),2297.6)</f>
        <v>2297.6</v>
      </c>
      <c r="D4979" s="1">
        <f>IFERROR(__xludf.DUMMYFUNCTION("""COMPUTED_VALUE"""),2246.25)</f>
        <v>2246.25</v>
      </c>
      <c r="E4979" s="1">
        <f>IFERROR(__xludf.DUMMYFUNCTION("""COMPUTED_VALUE"""),2255.05)</f>
        <v>2255.05</v>
      </c>
      <c r="F4979" s="1">
        <f>IFERROR(__xludf.DUMMYFUNCTION("""COMPUTED_VALUE"""),1728651.0)</f>
        <v>1728651</v>
      </c>
    </row>
    <row r="4980">
      <c r="A4980" s="2">
        <f>IFERROR(__xludf.DUMMYFUNCTION("""COMPUTED_VALUE"""),43878.64583333333)</f>
        <v>43878.64583</v>
      </c>
      <c r="B4980" s="1">
        <f>IFERROR(__xludf.DUMMYFUNCTION("""COMPUTED_VALUE"""),2248.0)</f>
        <v>2248</v>
      </c>
      <c r="C4980" s="1">
        <f>IFERROR(__xludf.DUMMYFUNCTION("""COMPUTED_VALUE"""),2289.0)</f>
        <v>2289</v>
      </c>
      <c r="D4980" s="1">
        <f>IFERROR(__xludf.DUMMYFUNCTION("""COMPUTED_VALUE"""),2243.2)</f>
        <v>2243.2</v>
      </c>
      <c r="E4980" s="1">
        <f>IFERROR(__xludf.DUMMYFUNCTION("""COMPUTED_VALUE"""),2252.6)</f>
        <v>2252.6</v>
      </c>
      <c r="F4980" s="1">
        <f>IFERROR(__xludf.DUMMYFUNCTION("""COMPUTED_VALUE"""),1420851.0)</f>
        <v>1420851</v>
      </c>
    </row>
    <row r="4981">
      <c r="A4981" s="2">
        <f>IFERROR(__xludf.DUMMYFUNCTION("""COMPUTED_VALUE"""),43879.64583333333)</f>
        <v>43879.64583</v>
      </c>
      <c r="B4981" s="1">
        <f>IFERROR(__xludf.DUMMYFUNCTION("""COMPUTED_VALUE"""),2252.6)</f>
        <v>2252.6</v>
      </c>
      <c r="C4981" s="1">
        <f>IFERROR(__xludf.DUMMYFUNCTION("""COMPUTED_VALUE"""),2262.95)</f>
        <v>2262.95</v>
      </c>
      <c r="D4981" s="1">
        <f>IFERROR(__xludf.DUMMYFUNCTION("""COMPUTED_VALUE"""),2222.1)</f>
        <v>2222.1</v>
      </c>
      <c r="E4981" s="1">
        <f>IFERROR(__xludf.DUMMYFUNCTION("""COMPUTED_VALUE"""),2234.4)</f>
        <v>2234.4</v>
      </c>
      <c r="F4981" s="1">
        <f>IFERROR(__xludf.DUMMYFUNCTION("""COMPUTED_VALUE"""),1194605.0)</f>
        <v>1194605</v>
      </c>
    </row>
    <row r="4982">
      <c r="A4982" s="2">
        <f>IFERROR(__xludf.DUMMYFUNCTION("""COMPUTED_VALUE"""),43880.64583333333)</f>
        <v>43880.64583</v>
      </c>
      <c r="B4982" s="1">
        <f>IFERROR(__xludf.DUMMYFUNCTION("""COMPUTED_VALUE"""),2250.2)</f>
        <v>2250.2</v>
      </c>
      <c r="C4982" s="1">
        <f>IFERROR(__xludf.DUMMYFUNCTION("""COMPUTED_VALUE"""),2308.2)</f>
        <v>2308.2</v>
      </c>
      <c r="D4982" s="1">
        <f>IFERROR(__xludf.DUMMYFUNCTION("""COMPUTED_VALUE"""),2241.25)</f>
        <v>2241.25</v>
      </c>
      <c r="E4982" s="1">
        <f>IFERROR(__xludf.DUMMYFUNCTION("""COMPUTED_VALUE"""),2292.15)</f>
        <v>2292.15</v>
      </c>
      <c r="F4982" s="1">
        <f>IFERROR(__xludf.DUMMYFUNCTION("""COMPUTED_VALUE"""),1299800.0)</f>
        <v>1299800</v>
      </c>
    </row>
    <row r="4983">
      <c r="A4983" s="2">
        <f>IFERROR(__xludf.DUMMYFUNCTION("""COMPUTED_VALUE"""),43881.64583333333)</f>
        <v>43881.64583</v>
      </c>
      <c r="B4983" s="1">
        <f>IFERROR(__xludf.DUMMYFUNCTION("""COMPUTED_VALUE"""),2282.2)</f>
        <v>2282.2</v>
      </c>
      <c r="C4983" s="1">
        <f>IFERROR(__xludf.DUMMYFUNCTION("""COMPUTED_VALUE"""),2289.95)</f>
        <v>2289.95</v>
      </c>
      <c r="D4983" s="1">
        <f>IFERROR(__xludf.DUMMYFUNCTION("""COMPUTED_VALUE"""),2242.5)</f>
        <v>2242.5</v>
      </c>
      <c r="E4983" s="1">
        <f>IFERROR(__xludf.DUMMYFUNCTION("""COMPUTED_VALUE"""),2248.25)</f>
        <v>2248.25</v>
      </c>
      <c r="F4983" s="1">
        <f>IFERROR(__xludf.DUMMYFUNCTION("""COMPUTED_VALUE"""),1555224.0)</f>
        <v>1555224</v>
      </c>
    </row>
    <row r="4984">
      <c r="A4984" s="2">
        <f>IFERROR(__xludf.DUMMYFUNCTION("""COMPUTED_VALUE"""),43885.64583333333)</f>
        <v>43885.64583</v>
      </c>
      <c r="B4984" s="1">
        <f>IFERROR(__xludf.DUMMYFUNCTION("""COMPUTED_VALUE"""),2236.8)</f>
        <v>2236.8</v>
      </c>
      <c r="C4984" s="1">
        <f>IFERROR(__xludf.DUMMYFUNCTION("""COMPUTED_VALUE"""),2262.0)</f>
        <v>2262</v>
      </c>
      <c r="D4984" s="1">
        <f>IFERROR(__xludf.DUMMYFUNCTION("""COMPUTED_VALUE"""),2210.1)</f>
        <v>2210.1</v>
      </c>
      <c r="E4984" s="1">
        <f>IFERROR(__xludf.DUMMYFUNCTION("""COMPUTED_VALUE"""),2215.15)</f>
        <v>2215.15</v>
      </c>
      <c r="F4984" s="1">
        <f>IFERROR(__xludf.DUMMYFUNCTION("""COMPUTED_VALUE"""),1409245.0)</f>
        <v>1409245</v>
      </c>
    </row>
    <row r="4985">
      <c r="A4985" s="2">
        <f>IFERROR(__xludf.DUMMYFUNCTION("""COMPUTED_VALUE"""),43886.64583333333)</f>
        <v>43886.64583</v>
      </c>
      <c r="B4985" s="1">
        <f>IFERROR(__xludf.DUMMYFUNCTION("""COMPUTED_VALUE"""),2239.9)</f>
        <v>2239.9</v>
      </c>
      <c r="C4985" s="1">
        <f>IFERROR(__xludf.DUMMYFUNCTION("""COMPUTED_VALUE"""),2279.7)</f>
        <v>2279.7</v>
      </c>
      <c r="D4985" s="1">
        <f>IFERROR(__xludf.DUMMYFUNCTION("""COMPUTED_VALUE"""),2225.75)</f>
        <v>2225.75</v>
      </c>
      <c r="E4985" s="1">
        <f>IFERROR(__xludf.DUMMYFUNCTION("""COMPUTED_VALUE"""),2233.6)</f>
        <v>2233.6</v>
      </c>
      <c r="F4985" s="1">
        <f>IFERROR(__xludf.DUMMYFUNCTION("""COMPUTED_VALUE"""),2237493.0)</f>
        <v>2237493</v>
      </c>
    </row>
    <row r="4986">
      <c r="A4986" s="2">
        <f>IFERROR(__xludf.DUMMYFUNCTION("""COMPUTED_VALUE"""),43887.64583333333)</f>
        <v>43887.64583</v>
      </c>
      <c r="B4986" s="1">
        <f>IFERROR(__xludf.DUMMYFUNCTION("""COMPUTED_VALUE"""),2238.8)</f>
        <v>2238.8</v>
      </c>
      <c r="C4986" s="1">
        <f>IFERROR(__xludf.DUMMYFUNCTION("""COMPUTED_VALUE"""),2255.7)</f>
        <v>2255.7</v>
      </c>
      <c r="D4986" s="1">
        <f>IFERROR(__xludf.DUMMYFUNCTION("""COMPUTED_VALUE"""),2202.35)</f>
        <v>2202.35</v>
      </c>
      <c r="E4986" s="1">
        <f>IFERROR(__xludf.DUMMYFUNCTION("""COMPUTED_VALUE"""),2236.2)</f>
        <v>2236.2</v>
      </c>
      <c r="F4986" s="1">
        <f>IFERROR(__xludf.DUMMYFUNCTION("""COMPUTED_VALUE"""),2896154.0)</f>
        <v>2896154</v>
      </c>
    </row>
    <row r="4987">
      <c r="A4987" s="2">
        <f>IFERROR(__xludf.DUMMYFUNCTION("""COMPUTED_VALUE"""),43888.64583333333)</f>
        <v>43888.64583</v>
      </c>
      <c r="B4987" s="1">
        <f>IFERROR(__xludf.DUMMYFUNCTION("""COMPUTED_VALUE"""),2241.95)</f>
        <v>2241.95</v>
      </c>
      <c r="C4987" s="1">
        <f>IFERROR(__xludf.DUMMYFUNCTION("""COMPUTED_VALUE"""),2259.7)</f>
        <v>2259.7</v>
      </c>
      <c r="D4987" s="1">
        <f>IFERROR(__xludf.DUMMYFUNCTION("""COMPUTED_VALUE"""),2200.0)</f>
        <v>2200</v>
      </c>
      <c r="E4987" s="1">
        <f>IFERROR(__xludf.DUMMYFUNCTION("""COMPUTED_VALUE"""),2254.95)</f>
        <v>2254.95</v>
      </c>
      <c r="F4987" s="1">
        <f>IFERROR(__xludf.DUMMYFUNCTION("""COMPUTED_VALUE"""),2446802.0)</f>
        <v>2446802</v>
      </c>
    </row>
    <row r="4988">
      <c r="A4988" s="2">
        <f>IFERROR(__xludf.DUMMYFUNCTION("""COMPUTED_VALUE"""),43889.64583333333)</f>
        <v>43889.64583</v>
      </c>
      <c r="B4988" s="1">
        <f>IFERROR(__xludf.DUMMYFUNCTION("""COMPUTED_VALUE"""),2191.1)</f>
        <v>2191.1</v>
      </c>
      <c r="C4988" s="1">
        <f>IFERROR(__xludf.DUMMYFUNCTION("""COMPUTED_VALUE"""),2229.4)</f>
        <v>2229.4</v>
      </c>
      <c r="D4988" s="1">
        <f>IFERROR(__xludf.DUMMYFUNCTION("""COMPUTED_VALUE"""),2155.0)</f>
        <v>2155</v>
      </c>
      <c r="E4988" s="1">
        <f>IFERROR(__xludf.DUMMYFUNCTION("""COMPUTED_VALUE"""),2174.75)</f>
        <v>2174.75</v>
      </c>
      <c r="F4988" s="1">
        <f>IFERROR(__xludf.DUMMYFUNCTION("""COMPUTED_VALUE"""),3837330.0)</f>
        <v>3837330</v>
      </c>
    </row>
    <row r="4989">
      <c r="A4989" s="2">
        <f>IFERROR(__xludf.DUMMYFUNCTION("""COMPUTED_VALUE"""),43892.64583333333)</f>
        <v>43892.64583</v>
      </c>
      <c r="B4989" s="1">
        <f>IFERROR(__xludf.DUMMYFUNCTION("""COMPUTED_VALUE"""),2190.0)</f>
        <v>2190</v>
      </c>
      <c r="C4989" s="1">
        <f>IFERROR(__xludf.DUMMYFUNCTION("""COMPUTED_VALUE"""),2241.95)</f>
        <v>2241.95</v>
      </c>
      <c r="D4989" s="1">
        <f>IFERROR(__xludf.DUMMYFUNCTION("""COMPUTED_VALUE"""),2141.85)</f>
        <v>2141.85</v>
      </c>
      <c r="E4989" s="1">
        <f>IFERROR(__xludf.DUMMYFUNCTION("""COMPUTED_VALUE"""),2159.45)</f>
        <v>2159.45</v>
      </c>
      <c r="F4989" s="1">
        <f>IFERROR(__xludf.DUMMYFUNCTION("""COMPUTED_VALUE"""),1707337.0)</f>
        <v>1707337</v>
      </c>
    </row>
    <row r="4990">
      <c r="A4990" s="2">
        <f>IFERROR(__xludf.DUMMYFUNCTION("""COMPUTED_VALUE"""),43893.64583333333)</f>
        <v>43893.64583</v>
      </c>
      <c r="B4990" s="1">
        <f>IFERROR(__xludf.DUMMYFUNCTION("""COMPUTED_VALUE"""),2171.9)</f>
        <v>2171.9</v>
      </c>
      <c r="C4990" s="1">
        <f>IFERROR(__xludf.DUMMYFUNCTION("""COMPUTED_VALUE"""),2189.6)</f>
        <v>2189.6</v>
      </c>
      <c r="D4990" s="1">
        <f>IFERROR(__xludf.DUMMYFUNCTION("""COMPUTED_VALUE"""),2141.7)</f>
        <v>2141.7</v>
      </c>
      <c r="E4990" s="1">
        <f>IFERROR(__xludf.DUMMYFUNCTION("""COMPUTED_VALUE"""),2166.65)</f>
        <v>2166.65</v>
      </c>
      <c r="F4990" s="1">
        <f>IFERROR(__xludf.DUMMYFUNCTION("""COMPUTED_VALUE"""),1753148.0)</f>
        <v>1753148</v>
      </c>
    </row>
    <row r="4991">
      <c r="A4991" s="2">
        <f>IFERROR(__xludf.DUMMYFUNCTION("""COMPUTED_VALUE"""),43894.64583333333)</f>
        <v>43894.64583</v>
      </c>
      <c r="B4991" s="1">
        <f>IFERROR(__xludf.DUMMYFUNCTION("""COMPUTED_VALUE"""),2179.0)</f>
        <v>2179</v>
      </c>
      <c r="C4991" s="1">
        <f>IFERROR(__xludf.DUMMYFUNCTION("""COMPUTED_VALUE"""),2185.05)</f>
        <v>2185.05</v>
      </c>
      <c r="D4991" s="1">
        <f>IFERROR(__xludf.DUMMYFUNCTION("""COMPUTED_VALUE"""),2152.0)</f>
        <v>2152</v>
      </c>
      <c r="E4991" s="1">
        <f>IFERROR(__xludf.DUMMYFUNCTION("""COMPUTED_VALUE"""),2175.85)</f>
        <v>2175.85</v>
      </c>
      <c r="F4991" s="1">
        <f>IFERROR(__xludf.DUMMYFUNCTION("""COMPUTED_VALUE"""),1515878.0)</f>
        <v>1515878</v>
      </c>
    </row>
    <row r="4992">
      <c r="A4992" s="2">
        <f>IFERROR(__xludf.DUMMYFUNCTION("""COMPUTED_VALUE"""),43895.64583333333)</f>
        <v>43895.64583</v>
      </c>
      <c r="B4992" s="1">
        <f>IFERROR(__xludf.DUMMYFUNCTION("""COMPUTED_VALUE"""),2185.0)</f>
        <v>2185</v>
      </c>
      <c r="C4992" s="1">
        <f>IFERROR(__xludf.DUMMYFUNCTION("""COMPUTED_VALUE"""),2258.65)</f>
        <v>2258.65</v>
      </c>
      <c r="D4992" s="1">
        <f>IFERROR(__xludf.DUMMYFUNCTION("""COMPUTED_VALUE"""),2181.85)</f>
        <v>2181.85</v>
      </c>
      <c r="E4992" s="1">
        <f>IFERROR(__xludf.DUMMYFUNCTION("""COMPUTED_VALUE"""),2218.0)</f>
        <v>2218</v>
      </c>
      <c r="F4992" s="1">
        <f>IFERROR(__xludf.DUMMYFUNCTION("""COMPUTED_VALUE"""),2272645.0)</f>
        <v>2272645</v>
      </c>
    </row>
    <row r="4993">
      <c r="A4993" s="2">
        <f>IFERROR(__xludf.DUMMYFUNCTION("""COMPUTED_VALUE"""),43896.64583333333)</f>
        <v>43896.64583</v>
      </c>
      <c r="B4993" s="1">
        <f>IFERROR(__xludf.DUMMYFUNCTION("""COMPUTED_VALUE"""),2185.0)</f>
        <v>2185</v>
      </c>
      <c r="C4993" s="1">
        <f>IFERROR(__xludf.DUMMYFUNCTION("""COMPUTED_VALUE"""),2250.0)</f>
        <v>2250</v>
      </c>
      <c r="D4993" s="1">
        <f>IFERROR(__xludf.DUMMYFUNCTION("""COMPUTED_VALUE"""),2159.25)</f>
        <v>2159.25</v>
      </c>
      <c r="E4993" s="1">
        <f>IFERROR(__xludf.DUMMYFUNCTION("""COMPUTED_VALUE"""),2188.9)</f>
        <v>2188.9</v>
      </c>
      <c r="F4993" s="1">
        <f>IFERROR(__xludf.DUMMYFUNCTION("""COMPUTED_VALUE"""),2479414.0)</f>
        <v>2479414</v>
      </c>
    </row>
    <row r="4994">
      <c r="A4994" s="2">
        <f>IFERROR(__xludf.DUMMYFUNCTION("""COMPUTED_VALUE"""),43899.64583333333)</f>
        <v>43899.64583</v>
      </c>
      <c r="B4994" s="1">
        <f>IFERROR(__xludf.DUMMYFUNCTION("""COMPUTED_VALUE"""),2140.0)</f>
        <v>2140</v>
      </c>
      <c r="C4994" s="1">
        <f>IFERROR(__xludf.DUMMYFUNCTION("""COMPUTED_VALUE"""),2169.6)</f>
        <v>2169.6</v>
      </c>
      <c r="D4994" s="1">
        <f>IFERROR(__xludf.DUMMYFUNCTION("""COMPUTED_VALUE"""),2112.0)</f>
        <v>2112</v>
      </c>
      <c r="E4994" s="1">
        <f>IFERROR(__xludf.DUMMYFUNCTION("""COMPUTED_VALUE"""),2121.5)</f>
        <v>2121.5</v>
      </c>
      <c r="F4994" s="1">
        <f>IFERROR(__xludf.DUMMYFUNCTION("""COMPUTED_VALUE"""),2485208.0)</f>
        <v>2485208</v>
      </c>
    </row>
    <row r="4995">
      <c r="A4995" s="2">
        <f>IFERROR(__xludf.DUMMYFUNCTION("""COMPUTED_VALUE"""),43901.64583333333)</f>
        <v>43901.64583</v>
      </c>
      <c r="B4995" s="1">
        <f>IFERROR(__xludf.DUMMYFUNCTION("""COMPUTED_VALUE"""),2066.0)</f>
        <v>2066</v>
      </c>
      <c r="C4995" s="1">
        <f>IFERROR(__xludf.DUMMYFUNCTION("""COMPUTED_VALUE"""),2169.45)</f>
        <v>2169.45</v>
      </c>
      <c r="D4995" s="1">
        <f>IFERROR(__xludf.DUMMYFUNCTION("""COMPUTED_VALUE"""),2066.0)</f>
        <v>2066</v>
      </c>
      <c r="E4995" s="1">
        <f>IFERROR(__xludf.DUMMYFUNCTION("""COMPUTED_VALUE"""),2155.0)</f>
        <v>2155</v>
      </c>
      <c r="F4995" s="1">
        <f>IFERROR(__xludf.DUMMYFUNCTION("""COMPUTED_VALUE"""),2861649.0)</f>
        <v>2861649</v>
      </c>
    </row>
    <row r="4996">
      <c r="A4996" s="2">
        <f>IFERROR(__xludf.DUMMYFUNCTION("""COMPUTED_VALUE"""),43902.64583333333)</f>
        <v>43902.64583</v>
      </c>
      <c r="B4996" s="1">
        <f>IFERROR(__xludf.DUMMYFUNCTION("""COMPUTED_VALUE"""),2102.4)</f>
        <v>2102.4</v>
      </c>
      <c r="C4996" s="1">
        <f>IFERROR(__xludf.DUMMYFUNCTION("""COMPUTED_VALUE"""),2123.0)</f>
        <v>2123</v>
      </c>
      <c r="D4996" s="1">
        <f>IFERROR(__xludf.DUMMYFUNCTION("""COMPUTED_VALUE"""),2031.65)</f>
        <v>2031.65</v>
      </c>
      <c r="E4996" s="1">
        <f>IFERROR(__xludf.DUMMYFUNCTION("""COMPUTED_VALUE"""),2055.95)</f>
        <v>2055.95</v>
      </c>
      <c r="F4996" s="1">
        <f>IFERROR(__xludf.DUMMYFUNCTION("""COMPUTED_VALUE"""),3655792.0)</f>
        <v>3655792</v>
      </c>
    </row>
    <row r="4997">
      <c r="A4997" s="2">
        <f>IFERROR(__xludf.DUMMYFUNCTION("""COMPUTED_VALUE"""),43903.64583333333)</f>
        <v>43903.64583</v>
      </c>
      <c r="B4997" s="1">
        <f>IFERROR(__xludf.DUMMYFUNCTION("""COMPUTED_VALUE"""),1970.0)</f>
        <v>1970</v>
      </c>
      <c r="C4997" s="1">
        <f>IFERROR(__xludf.DUMMYFUNCTION("""COMPUTED_VALUE"""),2120.0)</f>
        <v>2120</v>
      </c>
      <c r="D4997" s="1">
        <f>IFERROR(__xludf.DUMMYFUNCTION("""COMPUTED_VALUE"""),1888.1)</f>
        <v>1888.1</v>
      </c>
      <c r="E4997" s="1">
        <f>IFERROR(__xludf.DUMMYFUNCTION("""COMPUTED_VALUE"""),2033.2)</f>
        <v>2033.2</v>
      </c>
      <c r="F4997" s="1">
        <f>IFERROR(__xludf.DUMMYFUNCTION("""COMPUTED_VALUE"""),3667035.0)</f>
        <v>3667035</v>
      </c>
    </row>
    <row r="4998">
      <c r="A4998" s="2">
        <f>IFERROR(__xludf.DUMMYFUNCTION("""COMPUTED_VALUE"""),43906.64583333333)</f>
        <v>43906.64583</v>
      </c>
      <c r="B4998" s="1">
        <f>IFERROR(__xludf.DUMMYFUNCTION("""COMPUTED_VALUE"""),2000.0)</f>
        <v>2000</v>
      </c>
      <c r="C4998" s="1">
        <f>IFERROR(__xludf.DUMMYFUNCTION("""COMPUTED_VALUE"""),2039.2)</f>
        <v>2039.2</v>
      </c>
      <c r="D4998" s="1">
        <f>IFERROR(__xludf.DUMMYFUNCTION("""COMPUTED_VALUE"""),1933.9)</f>
        <v>1933.9</v>
      </c>
      <c r="E4998" s="1">
        <f>IFERROR(__xludf.DUMMYFUNCTION("""COMPUTED_VALUE"""),1941.9)</f>
        <v>1941.9</v>
      </c>
      <c r="F4998" s="1">
        <f>IFERROR(__xludf.DUMMYFUNCTION("""COMPUTED_VALUE"""),2948704.0)</f>
        <v>2948704</v>
      </c>
    </row>
    <row r="4999">
      <c r="A4999" s="2">
        <f>IFERROR(__xludf.DUMMYFUNCTION("""COMPUTED_VALUE"""),43907.64583333333)</f>
        <v>43907.64583</v>
      </c>
      <c r="B4999" s="1">
        <f>IFERROR(__xludf.DUMMYFUNCTION("""COMPUTED_VALUE"""),1955.55)</f>
        <v>1955.55</v>
      </c>
      <c r="C4999" s="1">
        <f>IFERROR(__xludf.DUMMYFUNCTION("""COMPUTED_VALUE"""),2088.0)</f>
        <v>2088</v>
      </c>
      <c r="D4999" s="1">
        <f>IFERROR(__xludf.DUMMYFUNCTION("""COMPUTED_VALUE"""),1951.95)</f>
        <v>1951.95</v>
      </c>
      <c r="E4999" s="1">
        <f>IFERROR(__xludf.DUMMYFUNCTION("""COMPUTED_VALUE"""),2004.05)</f>
        <v>2004.05</v>
      </c>
      <c r="F4999" s="1">
        <f>IFERROR(__xludf.DUMMYFUNCTION("""COMPUTED_VALUE"""),3732415.0)</f>
        <v>3732415</v>
      </c>
    </row>
    <row r="5000">
      <c r="A5000" s="2">
        <f>IFERROR(__xludf.DUMMYFUNCTION("""COMPUTED_VALUE"""),43908.64583333333)</f>
        <v>43908.64583</v>
      </c>
      <c r="B5000" s="1">
        <f>IFERROR(__xludf.DUMMYFUNCTION("""COMPUTED_VALUE"""),2034.05)</f>
        <v>2034.05</v>
      </c>
      <c r="C5000" s="1">
        <f>IFERROR(__xludf.DUMMYFUNCTION("""COMPUTED_VALUE"""),2063.8)</f>
        <v>2063.8</v>
      </c>
      <c r="D5000" s="1">
        <f>IFERROR(__xludf.DUMMYFUNCTION("""COMPUTED_VALUE"""),1909.35)</f>
        <v>1909.35</v>
      </c>
      <c r="E5000" s="1">
        <f>IFERROR(__xludf.DUMMYFUNCTION("""COMPUTED_VALUE"""),1923.8)</f>
        <v>1923.8</v>
      </c>
      <c r="F5000" s="1">
        <f>IFERROR(__xludf.DUMMYFUNCTION("""COMPUTED_VALUE"""),3911480.0)</f>
        <v>3911480</v>
      </c>
    </row>
    <row r="5001">
      <c r="A5001" s="2">
        <f>IFERROR(__xludf.DUMMYFUNCTION("""COMPUTED_VALUE"""),43909.64583333333)</f>
        <v>43909.64583</v>
      </c>
      <c r="B5001" s="1">
        <f>IFERROR(__xludf.DUMMYFUNCTION("""COMPUTED_VALUE"""),1894.3)</f>
        <v>1894.3</v>
      </c>
      <c r="C5001" s="1">
        <f>IFERROR(__xludf.DUMMYFUNCTION("""COMPUTED_VALUE"""),1899.0)</f>
        <v>1899</v>
      </c>
      <c r="D5001" s="1">
        <f>IFERROR(__xludf.DUMMYFUNCTION("""COMPUTED_VALUE"""),1757.3)</f>
        <v>1757.3</v>
      </c>
      <c r="E5001" s="1">
        <f>IFERROR(__xludf.DUMMYFUNCTION("""COMPUTED_VALUE"""),1838.3)</f>
        <v>1838.3</v>
      </c>
      <c r="F5001" s="1">
        <f>IFERROR(__xludf.DUMMYFUNCTION("""COMPUTED_VALUE"""),5095023.0)</f>
        <v>5095023</v>
      </c>
    </row>
    <row r="5002">
      <c r="A5002" s="2">
        <f>IFERROR(__xludf.DUMMYFUNCTION("""COMPUTED_VALUE"""),43910.64583333333)</f>
        <v>43910.64583</v>
      </c>
      <c r="B5002" s="1">
        <f>IFERROR(__xludf.DUMMYFUNCTION("""COMPUTED_VALUE"""),1850.0)</f>
        <v>1850</v>
      </c>
      <c r="C5002" s="1">
        <f>IFERROR(__xludf.DUMMYFUNCTION("""COMPUTED_VALUE"""),2078.9)</f>
        <v>2078.9</v>
      </c>
      <c r="D5002" s="1">
        <f>IFERROR(__xludf.DUMMYFUNCTION("""COMPUTED_VALUE"""),1850.0)</f>
        <v>1850</v>
      </c>
      <c r="E5002" s="1">
        <f>IFERROR(__xludf.DUMMYFUNCTION("""COMPUTED_VALUE"""),2051.7)</f>
        <v>2051.7</v>
      </c>
      <c r="F5002" s="1">
        <f>IFERROR(__xludf.DUMMYFUNCTION("""COMPUTED_VALUE"""),4252263.0)</f>
        <v>4252263</v>
      </c>
    </row>
    <row r="5003">
      <c r="A5003" s="2">
        <f>IFERROR(__xludf.DUMMYFUNCTION("""COMPUTED_VALUE"""),43913.64583333333)</f>
        <v>43913.64583</v>
      </c>
      <c r="B5003" s="1">
        <f>IFERROR(__xludf.DUMMYFUNCTION("""COMPUTED_VALUE"""),1950.0)</f>
        <v>1950</v>
      </c>
      <c r="C5003" s="1">
        <f>IFERROR(__xludf.DUMMYFUNCTION("""COMPUTED_VALUE"""),1985.05)</f>
        <v>1985.05</v>
      </c>
      <c r="D5003" s="1">
        <f>IFERROR(__xludf.DUMMYFUNCTION("""COMPUTED_VALUE"""),1850.0)</f>
        <v>1850</v>
      </c>
      <c r="E5003" s="1">
        <f>IFERROR(__xludf.DUMMYFUNCTION("""COMPUTED_VALUE"""),1869.7)</f>
        <v>1869.7</v>
      </c>
      <c r="F5003" s="1">
        <f>IFERROR(__xludf.DUMMYFUNCTION("""COMPUTED_VALUE"""),3574682.0)</f>
        <v>3574682</v>
      </c>
    </row>
    <row r="5004">
      <c r="A5004" s="2">
        <f>IFERROR(__xludf.DUMMYFUNCTION("""COMPUTED_VALUE"""),43914.64583333333)</f>
        <v>43914.64583</v>
      </c>
      <c r="B5004" s="1">
        <f>IFERROR(__xludf.DUMMYFUNCTION("""COMPUTED_VALUE"""),1975.0)</f>
        <v>1975</v>
      </c>
      <c r="C5004" s="1">
        <f>IFERROR(__xludf.DUMMYFUNCTION("""COMPUTED_VALUE"""),2070.95)</f>
        <v>2070.95</v>
      </c>
      <c r="D5004" s="1">
        <f>IFERROR(__xludf.DUMMYFUNCTION("""COMPUTED_VALUE"""),1930.0)</f>
        <v>1930</v>
      </c>
      <c r="E5004" s="1">
        <f>IFERROR(__xludf.DUMMYFUNCTION("""COMPUTED_VALUE"""),2027.85)</f>
        <v>2027.85</v>
      </c>
      <c r="F5004" s="1">
        <f>IFERROR(__xludf.DUMMYFUNCTION("""COMPUTED_VALUE"""),5789906.0)</f>
        <v>5789906</v>
      </c>
    </row>
    <row r="5005">
      <c r="A5005" s="2">
        <f>IFERROR(__xludf.DUMMYFUNCTION("""COMPUTED_VALUE"""),43915.64583333333)</f>
        <v>43915.64583</v>
      </c>
      <c r="B5005" s="1">
        <f>IFERROR(__xludf.DUMMYFUNCTION("""COMPUTED_VALUE"""),2010.05)</f>
        <v>2010.05</v>
      </c>
      <c r="C5005" s="1">
        <f>IFERROR(__xludf.DUMMYFUNCTION("""COMPUTED_VALUE"""),2138.95)</f>
        <v>2138.95</v>
      </c>
      <c r="D5005" s="1">
        <f>IFERROR(__xludf.DUMMYFUNCTION("""COMPUTED_VALUE"""),2001.65)</f>
        <v>2001.65</v>
      </c>
      <c r="E5005" s="1">
        <f>IFERROR(__xludf.DUMMYFUNCTION("""COMPUTED_VALUE"""),2088.15)</f>
        <v>2088.15</v>
      </c>
      <c r="F5005" s="1">
        <f>IFERROR(__xludf.DUMMYFUNCTION("""COMPUTED_VALUE"""),3959038.0)</f>
        <v>3959038</v>
      </c>
    </row>
    <row r="5006">
      <c r="A5006" s="2">
        <f>IFERROR(__xludf.DUMMYFUNCTION("""COMPUTED_VALUE"""),43916.64583333333)</f>
        <v>43916.64583</v>
      </c>
      <c r="B5006" s="1">
        <f>IFERROR(__xludf.DUMMYFUNCTION("""COMPUTED_VALUE"""),2089.0)</f>
        <v>2089</v>
      </c>
      <c r="C5006" s="1">
        <f>IFERROR(__xludf.DUMMYFUNCTION("""COMPUTED_VALUE"""),2250.0)</f>
        <v>2250</v>
      </c>
      <c r="D5006" s="1">
        <f>IFERROR(__xludf.DUMMYFUNCTION("""COMPUTED_VALUE"""),2060.0)</f>
        <v>2060</v>
      </c>
      <c r="E5006" s="1">
        <f>IFERROR(__xludf.DUMMYFUNCTION("""COMPUTED_VALUE"""),2194.9)</f>
        <v>2194.9</v>
      </c>
      <c r="F5006" s="1">
        <f>IFERROR(__xludf.DUMMYFUNCTION("""COMPUTED_VALUE"""),3201566.0)</f>
        <v>3201566</v>
      </c>
    </row>
    <row r="5007">
      <c r="A5007" s="2">
        <f>IFERROR(__xludf.DUMMYFUNCTION("""COMPUTED_VALUE"""),43917.64583333333)</f>
        <v>43917.64583</v>
      </c>
      <c r="B5007" s="1">
        <f>IFERROR(__xludf.DUMMYFUNCTION("""COMPUTED_VALUE"""),2239.0)</f>
        <v>2239</v>
      </c>
      <c r="C5007" s="1">
        <f>IFERROR(__xludf.DUMMYFUNCTION("""COMPUTED_VALUE"""),2267.65)</f>
        <v>2267.65</v>
      </c>
      <c r="D5007" s="1">
        <f>IFERROR(__xludf.DUMMYFUNCTION("""COMPUTED_VALUE"""),2120.5)</f>
        <v>2120.5</v>
      </c>
      <c r="E5007" s="1">
        <f>IFERROR(__xludf.DUMMYFUNCTION("""COMPUTED_VALUE"""),2140.55)</f>
        <v>2140.55</v>
      </c>
      <c r="F5007" s="1">
        <f>IFERROR(__xludf.DUMMYFUNCTION("""COMPUTED_VALUE"""),2918796.0)</f>
        <v>2918796</v>
      </c>
    </row>
    <row r="5008">
      <c r="A5008" s="2">
        <f>IFERROR(__xludf.DUMMYFUNCTION("""COMPUTED_VALUE"""),43920.64583333333)</f>
        <v>43920.64583</v>
      </c>
      <c r="B5008" s="1">
        <f>IFERROR(__xludf.DUMMYFUNCTION("""COMPUTED_VALUE"""),2123.0)</f>
        <v>2123</v>
      </c>
      <c r="C5008" s="1">
        <f>IFERROR(__xludf.DUMMYFUNCTION("""COMPUTED_VALUE"""),2213.0)</f>
        <v>2213</v>
      </c>
      <c r="D5008" s="1">
        <f>IFERROR(__xludf.DUMMYFUNCTION("""COMPUTED_VALUE"""),2102.85)</f>
        <v>2102.85</v>
      </c>
      <c r="E5008" s="1">
        <f>IFERROR(__xludf.DUMMYFUNCTION("""COMPUTED_VALUE"""),2184.35)</f>
        <v>2184.35</v>
      </c>
      <c r="F5008" s="1">
        <f>IFERROR(__xludf.DUMMYFUNCTION("""COMPUTED_VALUE"""),2809611.0)</f>
        <v>2809611</v>
      </c>
    </row>
    <row r="5009">
      <c r="A5009" s="2">
        <f>IFERROR(__xludf.DUMMYFUNCTION("""COMPUTED_VALUE"""),43921.64583333333)</f>
        <v>43921.64583</v>
      </c>
      <c r="B5009" s="1">
        <f>IFERROR(__xludf.DUMMYFUNCTION("""COMPUTED_VALUE"""),2234.8)</f>
        <v>2234.8</v>
      </c>
      <c r="C5009" s="1">
        <f>IFERROR(__xludf.DUMMYFUNCTION("""COMPUTED_VALUE"""),2313.0)</f>
        <v>2313</v>
      </c>
      <c r="D5009" s="1">
        <f>IFERROR(__xludf.DUMMYFUNCTION("""COMPUTED_VALUE"""),2185.0)</f>
        <v>2185</v>
      </c>
      <c r="E5009" s="1">
        <f>IFERROR(__xludf.DUMMYFUNCTION("""COMPUTED_VALUE"""),2298.5)</f>
        <v>2298.5</v>
      </c>
      <c r="F5009" s="1">
        <f>IFERROR(__xludf.DUMMYFUNCTION("""COMPUTED_VALUE"""),2809285.0)</f>
        <v>2809285</v>
      </c>
    </row>
    <row r="5010">
      <c r="A5010" s="2">
        <f>IFERROR(__xludf.DUMMYFUNCTION("""COMPUTED_VALUE"""),43922.64583333333)</f>
        <v>43922.64583</v>
      </c>
      <c r="B5010" s="1">
        <f>IFERROR(__xludf.DUMMYFUNCTION("""COMPUTED_VALUE"""),2293.2)</f>
        <v>2293.2</v>
      </c>
      <c r="C5010" s="1">
        <f>IFERROR(__xludf.DUMMYFUNCTION("""COMPUTED_VALUE"""),2324.9)</f>
        <v>2324.9</v>
      </c>
      <c r="D5010" s="1">
        <f>IFERROR(__xludf.DUMMYFUNCTION("""COMPUTED_VALUE"""),2158.05)</f>
        <v>2158.05</v>
      </c>
      <c r="E5010" s="1">
        <f>IFERROR(__xludf.DUMMYFUNCTION("""COMPUTED_VALUE"""),2179.65)</f>
        <v>2179.65</v>
      </c>
      <c r="F5010" s="1">
        <f>IFERROR(__xludf.DUMMYFUNCTION("""COMPUTED_VALUE"""),2774689.0)</f>
        <v>2774689</v>
      </c>
    </row>
    <row r="5011">
      <c r="A5011" s="2">
        <f>IFERROR(__xludf.DUMMYFUNCTION("""COMPUTED_VALUE"""),43924.64583333333)</f>
        <v>43924.64583</v>
      </c>
      <c r="B5011" s="1">
        <f>IFERROR(__xludf.DUMMYFUNCTION("""COMPUTED_VALUE"""),2234.0)</f>
        <v>2234</v>
      </c>
      <c r="C5011" s="1">
        <f>IFERROR(__xludf.DUMMYFUNCTION("""COMPUTED_VALUE"""),2254.1)</f>
        <v>2254.1</v>
      </c>
      <c r="D5011" s="1">
        <f>IFERROR(__xludf.DUMMYFUNCTION("""COMPUTED_VALUE"""),2127.95)</f>
        <v>2127.95</v>
      </c>
      <c r="E5011" s="1">
        <f>IFERROR(__xludf.DUMMYFUNCTION("""COMPUTED_VALUE"""),2154.1)</f>
        <v>2154.1</v>
      </c>
      <c r="F5011" s="1">
        <f>IFERROR(__xludf.DUMMYFUNCTION("""COMPUTED_VALUE"""),4121462.0)</f>
        <v>4121462</v>
      </c>
    </row>
    <row r="5012">
      <c r="A5012" s="2">
        <f>IFERROR(__xludf.DUMMYFUNCTION("""COMPUTED_VALUE"""),43928.64583333333)</f>
        <v>43928.64583</v>
      </c>
      <c r="B5012" s="1">
        <f>IFERROR(__xludf.DUMMYFUNCTION("""COMPUTED_VALUE"""),2220.0)</f>
        <v>2220</v>
      </c>
      <c r="C5012" s="1">
        <f>IFERROR(__xludf.DUMMYFUNCTION("""COMPUTED_VALUE"""),2460.0)</f>
        <v>2460</v>
      </c>
      <c r="D5012" s="1">
        <f>IFERROR(__xludf.DUMMYFUNCTION("""COMPUTED_VALUE"""),2220.0)</f>
        <v>2220</v>
      </c>
      <c r="E5012" s="1">
        <f>IFERROR(__xludf.DUMMYFUNCTION("""COMPUTED_VALUE"""),2444.9)</f>
        <v>2444.9</v>
      </c>
      <c r="F5012" s="1">
        <f>IFERROR(__xludf.DUMMYFUNCTION("""COMPUTED_VALUE"""),8510183.0)</f>
        <v>8510183</v>
      </c>
    </row>
    <row r="5013">
      <c r="A5013" s="2">
        <f>IFERROR(__xludf.DUMMYFUNCTION("""COMPUTED_VALUE"""),43929.64583333333)</f>
        <v>43929.64583</v>
      </c>
      <c r="B5013" s="1">
        <f>IFERROR(__xludf.DUMMYFUNCTION("""COMPUTED_VALUE"""),2432.0)</f>
        <v>2432</v>
      </c>
      <c r="C5013" s="1">
        <f>IFERROR(__xludf.DUMMYFUNCTION("""COMPUTED_VALUE"""),2614.3)</f>
        <v>2614.3</v>
      </c>
      <c r="D5013" s="1">
        <f>IFERROR(__xludf.DUMMYFUNCTION("""COMPUTED_VALUE"""),2417.4)</f>
        <v>2417.4</v>
      </c>
      <c r="E5013" s="1">
        <f>IFERROR(__xludf.DUMMYFUNCTION("""COMPUTED_VALUE"""),2460.85)</f>
        <v>2460.85</v>
      </c>
      <c r="F5013" s="1">
        <f>IFERROR(__xludf.DUMMYFUNCTION("""COMPUTED_VALUE"""),9791892.0)</f>
        <v>9791892</v>
      </c>
    </row>
    <row r="5014">
      <c r="A5014" s="2">
        <f>IFERROR(__xludf.DUMMYFUNCTION("""COMPUTED_VALUE"""),43930.64583333333)</f>
        <v>43930.64583</v>
      </c>
      <c r="B5014" s="1">
        <f>IFERROR(__xludf.DUMMYFUNCTION("""COMPUTED_VALUE"""),2499.95)</f>
        <v>2499.95</v>
      </c>
      <c r="C5014" s="1">
        <f>IFERROR(__xludf.DUMMYFUNCTION("""COMPUTED_VALUE"""),2500.0)</f>
        <v>2500</v>
      </c>
      <c r="D5014" s="1">
        <f>IFERROR(__xludf.DUMMYFUNCTION("""COMPUTED_VALUE"""),2345.0)</f>
        <v>2345</v>
      </c>
      <c r="E5014" s="1">
        <f>IFERROR(__xludf.DUMMYFUNCTION("""COMPUTED_VALUE"""),2372.25)</f>
        <v>2372.25</v>
      </c>
      <c r="F5014" s="1">
        <f>IFERROR(__xludf.DUMMYFUNCTION("""COMPUTED_VALUE"""),4770083.0)</f>
        <v>4770083</v>
      </c>
    </row>
    <row r="5015">
      <c r="A5015" s="2">
        <f>IFERROR(__xludf.DUMMYFUNCTION("""COMPUTED_VALUE"""),43934.64583333333)</f>
        <v>43934.64583</v>
      </c>
      <c r="B5015" s="1">
        <f>IFERROR(__xludf.DUMMYFUNCTION("""COMPUTED_VALUE"""),2381.0)</f>
        <v>2381</v>
      </c>
      <c r="C5015" s="1">
        <f>IFERROR(__xludf.DUMMYFUNCTION("""COMPUTED_VALUE"""),2423.0)</f>
        <v>2423</v>
      </c>
      <c r="D5015" s="1">
        <f>IFERROR(__xludf.DUMMYFUNCTION("""COMPUTED_VALUE"""),2315.0)</f>
        <v>2315</v>
      </c>
      <c r="E5015" s="1">
        <f>IFERROR(__xludf.DUMMYFUNCTION("""COMPUTED_VALUE"""),2346.45)</f>
        <v>2346.45</v>
      </c>
      <c r="F5015" s="1">
        <f>IFERROR(__xludf.DUMMYFUNCTION("""COMPUTED_VALUE"""),3249562.0)</f>
        <v>3249562</v>
      </c>
    </row>
    <row r="5016">
      <c r="A5016" s="2">
        <f>IFERROR(__xludf.DUMMYFUNCTION("""COMPUTED_VALUE"""),43936.64583333333)</f>
        <v>43936.64583</v>
      </c>
      <c r="B5016" s="1">
        <f>IFERROR(__xludf.DUMMYFUNCTION("""COMPUTED_VALUE"""),2425.95)</f>
        <v>2425.95</v>
      </c>
      <c r="C5016" s="1">
        <f>IFERROR(__xludf.DUMMYFUNCTION("""COMPUTED_VALUE"""),2516.6)</f>
        <v>2516.6</v>
      </c>
      <c r="D5016" s="1">
        <f>IFERROR(__xludf.DUMMYFUNCTION("""COMPUTED_VALUE"""),2381.5)</f>
        <v>2381.5</v>
      </c>
      <c r="E5016" s="1">
        <f>IFERROR(__xludf.DUMMYFUNCTION("""COMPUTED_VALUE"""),2487.55)</f>
        <v>2487.55</v>
      </c>
      <c r="F5016" s="1">
        <f>IFERROR(__xludf.DUMMYFUNCTION("""COMPUTED_VALUE"""),2.9485532E7)</f>
        <v>29485532</v>
      </c>
    </row>
    <row r="5017">
      <c r="A5017" s="2">
        <f>IFERROR(__xludf.DUMMYFUNCTION("""COMPUTED_VALUE"""),43937.64583333333)</f>
        <v>43937.64583</v>
      </c>
      <c r="B5017" s="1">
        <f>IFERROR(__xludf.DUMMYFUNCTION("""COMPUTED_VALUE"""),2466.0)</f>
        <v>2466</v>
      </c>
      <c r="C5017" s="1">
        <f>IFERROR(__xludf.DUMMYFUNCTION("""COMPUTED_VALUE"""),2526.15)</f>
        <v>2526.15</v>
      </c>
      <c r="D5017" s="1">
        <f>IFERROR(__xludf.DUMMYFUNCTION("""COMPUTED_VALUE"""),2421.1)</f>
        <v>2421.1</v>
      </c>
      <c r="E5017" s="1">
        <f>IFERROR(__xludf.DUMMYFUNCTION("""COMPUTED_VALUE"""),2436.1)</f>
        <v>2436.1</v>
      </c>
      <c r="F5017" s="1">
        <f>IFERROR(__xludf.DUMMYFUNCTION("""COMPUTED_VALUE"""),5388258.0)</f>
        <v>5388258</v>
      </c>
    </row>
    <row r="5018">
      <c r="A5018" s="2">
        <f>IFERROR(__xludf.DUMMYFUNCTION("""COMPUTED_VALUE"""),43938.64583333333)</f>
        <v>43938.64583</v>
      </c>
      <c r="B5018" s="1">
        <f>IFERROR(__xludf.DUMMYFUNCTION("""COMPUTED_VALUE"""),2498.8)</f>
        <v>2498.8</v>
      </c>
      <c r="C5018" s="1">
        <f>IFERROR(__xludf.DUMMYFUNCTION("""COMPUTED_VALUE"""),2498.8)</f>
        <v>2498.8</v>
      </c>
      <c r="D5018" s="1">
        <f>IFERROR(__xludf.DUMMYFUNCTION("""COMPUTED_VALUE"""),2354.05)</f>
        <v>2354.05</v>
      </c>
      <c r="E5018" s="1">
        <f>IFERROR(__xludf.DUMMYFUNCTION("""COMPUTED_VALUE"""),2385.0)</f>
        <v>2385</v>
      </c>
      <c r="F5018" s="1">
        <f>IFERROR(__xludf.DUMMYFUNCTION("""COMPUTED_VALUE"""),4540967.0)</f>
        <v>4540967</v>
      </c>
    </row>
    <row r="5019">
      <c r="A5019" s="2">
        <f>IFERROR(__xludf.DUMMYFUNCTION("""COMPUTED_VALUE"""),43941.64583333333)</f>
        <v>43941.64583</v>
      </c>
      <c r="B5019" s="1">
        <f>IFERROR(__xludf.DUMMYFUNCTION("""COMPUTED_VALUE"""),2420.0)</f>
        <v>2420</v>
      </c>
      <c r="C5019" s="1">
        <f>IFERROR(__xludf.DUMMYFUNCTION("""COMPUTED_VALUE"""),2420.0)</f>
        <v>2420</v>
      </c>
      <c r="D5019" s="1">
        <f>IFERROR(__xludf.DUMMYFUNCTION("""COMPUTED_VALUE"""),2321.0)</f>
        <v>2321</v>
      </c>
      <c r="E5019" s="1">
        <f>IFERROR(__xludf.DUMMYFUNCTION("""COMPUTED_VALUE"""),2336.55)</f>
        <v>2336.55</v>
      </c>
      <c r="F5019" s="1">
        <f>IFERROR(__xludf.DUMMYFUNCTION("""COMPUTED_VALUE"""),2985278.0)</f>
        <v>2985278</v>
      </c>
    </row>
    <row r="5020">
      <c r="A5020" s="2">
        <f>IFERROR(__xludf.DUMMYFUNCTION("""COMPUTED_VALUE"""),43942.64583333333)</f>
        <v>43942.64583</v>
      </c>
      <c r="B5020" s="1">
        <f>IFERROR(__xludf.DUMMYFUNCTION("""COMPUTED_VALUE"""),2283.0)</f>
        <v>2283</v>
      </c>
      <c r="C5020" s="1">
        <f>IFERROR(__xludf.DUMMYFUNCTION("""COMPUTED_VALUE"""),2378.0)</f>
        <v>2378</v>
      </c>
      <c r="D5020" s="1">
        <f>IFERROR(__xludf.DUMMYFUNCTION("""COMPUTED_VALUE"""),2282.0)</f>
        <v>2282</v>
      </c>
      <c r="E5020" s="1">
        <f>IFERROR(__xludf.DUMMYFUNCTION("""COMPUTED_VALUE"""),2317.4)</f>
        <v>2317.4</v>
      </c>
      <c r="F5020" s="1">
        <f>IFERROR(__xludf.DUMMYFUNCTION("""COMPUTED_VALUE"""),3227339.0)</f>
        <v>3227339</v>
      </c>
    </row>
    <row r="5021">
      <c r="A5021" s="2">
        <f>IFERROR(__xludf.DUMMYFUNCTION("""COMPUTED_VALUE"""),43943.64583333333)</f>
        <v>43943.64583</v>
      </c>
      <c r="B5021" s="1">
        <f>IFERROR(__xludf.DUMMYFUNCTION("""COMPUTED_VALUE"""),2317.95)</f>
        <v>2317.95</v>
      </c>
      <c r="C5021" s="1">
        <f>IFERROR(__xludf.DUMMYFUNCTION("""COMPUTED_VALUE"""),2399.95)</f>
        <v>2399.95</v>
      </c>
      <c r="D5021" s="1">
        <f>IFERROR(__xludf.DUMMYFUNCTION("""COMPUTED_VALUE"""),2275.65)</f>
        <v>2275.65</v>
      </c>
      <c r="E5021" s="1">
        <f>IFERROR(__xludf.DUMMYFUNCTION("""COMPUTED_VALUE"""),2386.15)</f>
        <v>2386.15</v>
      </c>
      <c r="F5021" s="1">
        <f>IFERROR(__xludf.DUMMYFUNCTION("""COMPUTED_VALUE"""),2837835.0)</f>
        <v>2837835</v>
      </c>
    </row>
    <row r="5022">
      <c r="A5022" s="2">
        <f>IFERROR(__xludf.DUMMYFUNCTION("""COMPUTED_VALUE"""),43944.64583333333)</f>
        <v>43944.64583</v>
      </c>
      <c r="B5022" s="1">
        <f>IFERROR(__xludf.DUMMYFUNCTION("""COMPUTED_VALUE"""),2389.0)</f>
        <v>2389</v>
      </c>
      <c r="C5022" s="1">
        <f>IFERROR(__xludf.DUMMYFUNCTION("""COMPUTED_VALUE"""),2413.0)</f>
        <v>2413</v>
      </c>
      <c r="D5022" s="1">
        <f>IFERROR(__xludf.DUMMYFUNCTION("""COMPUTED_VALUE"""),2308.05)</f>
        <v>2308.05</v>
      </c>
      <c r="E5022" s="1">
        <f>IFERROR(__xludf.DUMMYFUNCTION("""COMPUTED_VALUE"""),2317.5)</f>
        <v>2317.5</v>
      </c>
      <c r="F5022" s="1">
        <f>IFERROR(__xludf.DUMMYFUNCTION("""COMPUTED_VALUE"""),4095595.0)</f>
        <v>4095595</v>
      </c>
    </row>
    <row r="5023">
      <c r="A5023" s="2">
        <f>IFERROR(__xludf.DUMMYFUNCTION("""COMPUTED_VALUE"""),43945.64583333333)</f>
        <v>43945.64583</v>
      </c>
      <c r="B5023" s="1">
        <f>IFERROR(__xludf.DUMMYFUNCTION("""COMPUTED_VALUE"""),2311.0)</f>
        <v>2311</v>
      </c>
      <c r="C5023" s="1">
        <f>IFERROR(__xludf.DUMMYFUNCTION("""COMPUTED_VALUE"""),2338.0)</f>
        <v>2338</v>
      </c>
      <c r="D5023" s="1">
        <f>IFERROR(__xludf.DUMMYFUNCTION("""COMPUTED_VALUE"""),2280.0)</f>
        <v>2280</v>
      </c>
      <c r="E5023" s="1">
        <f>IFERROR(__xludf.DUMMYFUNCTION("""COMPUTED_VALUE"""),2283.1)</f>
        <v>2283.1</v>
      </c>
      <c r="F5023" s="1">
        <f>IFERROR(__xludf.DUMMYFUNCTION("""COMPUTED_VALUE"""),2169013.0)</f>
        <v>2169013</v>
      </c>
    </row>
    <row r="5024">
      <c r="A5024" s="2">
        <f>IFERROR(__xludf.DUMMYFUNCTION("""COMPUTED_VALUE"""),43948.64583333333)</f>
        <v>43948.64583</v>
      </c>
      <c r="B5024" s="1">
        <f>IFERROR(__xludf.DUMMYFUNCTION("""COMPUTED_VALUE"""),2305.0)</f>
        <v>2305</v>
      </c>
      <c r="C5024" s="1">
        <f>IFERROR(__xludf.DUMMYFUNCTION("""COMPUTED_VALUE"""),2329.4)</f>
        <v>2329.4</v>
      </c>
      <c r="D5024" s="1">
        <f>IFERROR(__xludf.DUMMYFUNCTION("""COMPUTED_VALUE"""),2283.25)</f>
        <v>2283.25</v>
      </c>
      <c r="E5024" s="1">
        <f>IFERROR(__xludf.DUMMYFUNCTION("""COMPUTED_VALUE"""),2320.45)</f>
        <v>2320.45</v>
      </c>
      <c r="F5024" s="1">
        <f>IFERROR(__xludf.DUMMYFUNCTION("""COMPUTED_VALUE"""),2013737.0)</f>
        <v>2013737</v>
      </c>
    </row>
    <row r="5025">
      <c r="A5025" s="2">
        <f>IFERROR(__xludf.DUMMYFUNCTION("""COMPUTED_VALUE"""),43949.64583333333)</f>
        <v>43949.64583</v>
      </c>
      <c r="B5025" s="1">
        <f>IFERROR(__xludf.DUMMYFUNCTION("""COMPUTED_VALUE"""),2338.65)</f>
        <v>2338.65</v>
      </c>
      <c r="C5025" s="1">
        <f>IFERROR(__xludf.DUMMYFUNCTION("""COMPUTED_VALUE"""),2338.65)</f>
        <v>2338.65</v>
      </c>
      <c r="D5025" s="1">
        <f>IFERROR(__xludf.DUMMYFUNCTION("""COMPUTED_VALUE"""),2267.0)</f>
        <v>2267</v>
      </c>
      <c r="E5025" s="1">
        <f>IFERROR(__xludf.DUMMYFUNCTION("""COMPUTED_VALUE"""),2289.95)</f>
        <v>2289.95</v>
      </c>
      <c r="F5025" s="1">
        <f>IFERROR(__xludf.DUMMYFUNCTION("""COMPUTED_VALUE"""),2164048.0)</f>
        <v>2164048</v>
      </c>
    </row>
    <row r="5026">
      <c r="A5026" s="2">
        <f>IFERROR(__xludf.DUMMYFUNCTION("""COMPUTED_VALUE"""),43950.64583333333)</f>
        <v>43950.64583</v>
      </c>
      <c r="B5026" s="1">
        <f>IFERROR(__xludf.DUMMYFUNCTION("""COMPUTED_VALUE"""),2290.0)</f>
        <v>2290</v>
      </c>
      <c r="C5026" s="1">
        <f>IFERROR(__xludf.DUMMYFUNCTION("""COMPUTED_VALUE"""),2291.7)</f>
        <v>2291.7</v>
      </c>
      <c r="D5026" s="1">
        <f>IFERROR(__xludf.DUMMYFUNCTION("""COMPUTED_VALUE"""),2221.0)</f>
        <v>2221</v>
      </c>
      <c r="E5026" s="1">
        <f>IFERROR(__xludf.DUMMYFUNCTION("""COMPUTED_VALUE"""),2231.75)</f>
        <v>2231.75</v>
      </c>
      <c r="F5026" s="1">
        <f>IFERROR(__xludf.DUMMYFUNCTION("""COMPUTED_VALUE"""),3642216.0)</f>
        <v>3642216</v>
      </c>
    </row>
    <row r="5027">
      <c r="A5027" s="2">
        <f>IFERROR(__xludf.DUMMYFUNCTION("""COMPUTED_VALUE"""),43951.64583333333)</f>
        <v>43951.64583</v>
      </c>
      <c r="B5027" s="1">
        <f>IFERROR(__xludf.DUMMYFUNCTION("""COMPUTED_VALUE"""),2272.0)</f>
        <v>2272</v>
      </c>
      <c r="C5027" s="1">
        <f>IFERROR(__xludf.DUMMYFUNCTION("""COMPUTED_VALUE"""),2272.0)</f>
        <v>2272</v>
      </c>
      <c r="D5027" s="1">
        <f>IFERROR(__xludf.DUMMYFUNCTION("""COMPUTED_VALUE"""),2160.0)</f>
        <v>2160</v>
      </c>
      <c r="E5027" s="1">
        <f>IFERROR(__xludf.DUMMYFUNCTION("""COMPUTED_VALUE"""),2195.0)</f>
        <v>2195</v>
      </c>
      <c r="F5027" s="1">
        <f>IFERROR(__xludf.DUMMYFUNCTION("""COMPUTED_VALUE"""),8448104.0)</f>
        <v>8448104</v>
      </c>
    </row>
    <row r="5028">
      <c r="A5028" s="2">
        <f>IFERROR(__xludf.DUMMYFUNCTION("""COMPUTED_VALUE"""),43955.64583333333)</f>
        <v>43955.64583</v>
      </c>
      <c r="B5028" s="1">
        <f>IFERROR(__xludf.DUMMYFUNCTION("""COMPUTED_VALUE"""),2130.0)</f>
        <v>2130</v>
      </c>
      <c r="C5028" s="1">
        <f>IFERROR(__xludf.DUMMYFUNCTION("""COMPUTED_VALUE"""),2160.0)</f>
        <v>2160</v>
      </c>
      <c r="D5028" s="1">
        <f>IFERROR(__xludf.DUMMYFUNCTION("""COMPUTED_VALUE"""),2066.0)</f>
        <v>2066</v>
      </c>
      <c r="E5028" s="1">
        <f>IFERROR(__xludf.DUMMYFUNCTION("""COMPUTED_VALUE"""),2082.65)</f>
        <v>2082.65</v>
      </c>
      <c r="F5028" s="1">
        <f>IFERROR(__xludf.DUMMYFUNCTION("""COMPUTED_VALUE"""),8474699.0)</f>
        <v>8474699</v>
      </c>
    </row>
    <row r="5029">
      <c r="A5029" s="2">
        <f>IFERROR(__xludf.DUMMYFUNCTION("""COMPUTED_VALUE"""),43956.64583333333)</f>
        <v>43956.64583</v>
      </c>
      <c r="B5029" s="1">
        <f>IFERROR(__xludf.DUMMYFUNCTION("""COMPUTED_VALUE"""),2101.2)</f>
        <v>2101.2</v>
      </c>
      <c r="C5029" s="1">
        <f>IFERROR(__xludf.DUMMYFUNCTION("""COMPUTED_VALUE"""),2121.0)</f>
        <v>2121</v>
      </c>
      <c r="D5029" s="1">
        <f>IFERROR(__xludf.DUMMYFUNCTION("""COMPUTED_VALUE"""),2033.1)</f>
        <v>2033.1</v>
      </c>
      <c r="E5029" s="1">
        <f>IFERROR(__xludf.DUMMYFUNCTION("""COMPUTED_VALUE"""),2041.5)</f>
        <v>2041.5</v>
      </c>
      <c r="F5029" s="1">
        <f>IFERROR(__xludf.DUMMYFUNCTION("""COMPUTED_VALUE"""),4304146.0)</f>
        <v>4304146</v>
      </c>
    </row>
    <row r="5030">
      <c r="A5030" s="2">
        <f>IFERROR(__xludf.DUMMYFUNCTION("""COMPUTED_VALUE"""),43957.64583333333)</f>
        <v>43957.64583</v>
      </c>
      <c r="B5030" s="1">
        <f>IFERROR(__xludf.DUMMYFUNCTION("""COMPUTED_VALUE"""),2049.95)</f>
        <v>2049.95</v>
      </c>
      <c r="C5030" s="1">
        <f>IFERROR(__xludf.DUMMYFUNCTION("""COMPUTED_VALUE"""),2073.0)</f>
        <v>2073</v>
      </c>
      <c r="D5030" s="1">
        <f>IFERROR(__xludf.DUMMYFUNCTION("""COMPUTED_VALUE"""),2000.0)</f>
        <v>2000</v>
      </c>
      <c r="E5030" s="1">
        <f>IFERROR(__xludf.DUMMYFUNCTION("""COMPUTED_VALUE"""),2010.2)</f>
        <v>2010.2</v>
      </c>
      <c r="F5030" s="1">
        <f>IFERROR(__xludf.DUMMYFUNCTION("""COMPUTED_VALUE"""),5127756.0)</f>
        <v>5127756</v>
      </c>
    </row>
    <row r="5031">
      <c r="A5031" s="2">
        <f>IFERROR(__xludf.DUMMYFUNCTION("""COMPUTED_VALUE"""),43958.64583333333)</f>
        <v>43958.64583</v>
      </c>
      <c r="B5031" s="1">
        <f>IFERROR(__xludf.DUMMYFUNCTION("""COMPUTED_VALUE"""),1950.1)</f>
        <v>1950.1</v>
      </c>
      <c r="C5031" s="1">
        <f>IFERROR(__xludf.DUMMYFUNCTION("""COMPUTED_VALUE"""),2007.0)</f>
        <v>2007</v>
      </c>
      <c r="D5031" s="1">
        <f>IFERROR(__xludf.DUMMYFUNCTION("""COMPUTED_VALUE"""),1902.0)</f>
        <v>1902</v>
      </c>
      <c r="E5031" s="1">
        <f>IFERROR(__xludf.DUMMYFUNCTION("""COMPUTED_VALUE"""),1992.05)</f>
        <v>1992.05</v>
      </c>
      <c r="F5031" s="1">
        <f>IFERROR(__xludf.DUMMYFUNCTION("""COMPUTED_VALUE"""),1.85670048E8)</f>
        <v>185670048</v>
      </c>
    </row>
    <row r="5032">
      <c r="A5032" s="2">
        <f>IFERROR(__xludf.DUMMYFUNCTION("""COMPUTED_VALUE"""),43959.64583333333)</f>
        <v>43959.64583</v>
      </c>
      <c r="B5032" s="1">
        <f>IFERROR(__xludf.DUMMYFUNCTION("""COMPUTED_VALUE"""),2074.95)</f>
        <v>2074.95</v>
      </c>
      <c r="C5032" s="1">
        <f>IFERROR(__xludf.DUMMYFUNCTION("""COMPUTED_VALUE"""),2098.0)</f>
        <v>2098</v>
      </c>
      <c r="D5032" s="1">
        <f>IFERROR(__xludf.DUMMYFUNCTION("""COMPUTED_VALUE"""),2036.0)</f>
        <v>2036</v>
      </c>
      <c r="E5032" s="1">
        <f>IFERROR(__xludf.DUMMYFUNCTION("""COMPUTED_VALUE"""),2089.45)</f>
        <v>2089.45</v>
      </c>
      <c r="F5032" s="1">
        <f>IFERROR(__xludf.DUMMYFUNCTION("""COMPUTED_VALUE"""),1.6100488E7)</f>
        <v>16100488</v>
      </c>
    </row>
    <row r="5033">
      <c r="A5033" s="2">
        <f>IFERROR(__xludf.DUMMYFUNCTION("""COMPUTED_VALUE"""),43962.64583333333)</f>
        <v>43962.64583</v>
      </c>
      <c r="B5033" s="1">
        <f>IFERROR(__xludf.DUMMYFUNCTION("""COMPUTED_VALUE"""),2083.0)</f>
        <v>2083</v>
      </c>
      <c r="C5033" s="1">
        <f>IFERROR(__xludf.DUMMYFUNCTION("""COMPUTED_VALUE"""),2116.55)</f>
        <v>2116.55</v>
      </c>
      <c r="D5033" s="1">
        <f>IFERROR(__xludf.DUMMYFUNCTION("""COMPUTED_VALUE"""),2035.95)</f>
        <v>2035.95</v>
      </c>
      <c r="E5033" s="1">
        <f>IFERROR(__xludf.DUMMYFUNCTION("""COMPUTED_VALUE"""),2048.0)</f>
        <v>2048</v>
      </c>
      <c r="F5033" s="1">
        <f>IFERROR(__xludf.DUMMYFUNCTION("""COMPUTED_VALUE"""),1.1158836E7)</f>
        <v>11158836</v>
      </c>
    </row>
    <row r="5034">
      <c r="A5034" s="2">
        <f>IFERROR(__xludf.DUMMYFUNCTION("""COMPUTED_VALUE"""),43963.64583333333)</f>
        <v>43963.64583</v>
      </c>
      <c r="B5034" s="1">
        <f>IFERROR(__xludf.DUMMYFUNCTION("""COMPUTED_VALUE"""),2020.0)</f>
        <v>2020</v>
      </c>
      <c r="C5034" s="1">
        <f>IFERROR(__xludf.DUMMYFUNCTION("""COMPUTED_VALUE"""),2027.85)</f>
        <v>2027.85</v>
      </c>
      <c r="D5034" s="1">
        <f>IFERROR(__xludf.DUMMYFUNCTION("""COMPUTED_VALUE"""),1985.0)</f>
        <v>1985</v>
      </c>
      <c r="E5034" s="1">
        <f>IFERROR(__xludf.DUMMYFUNCTION("""COMPUTED_VALUE"""),2011.55)</f>
        <v>2011.55</v>
      </c>
      <c r="F5034" s="1">
        <f>IFERROR(__xludf.DUMMYFUNCTION("""COMPUTED_VALUE"""),1.4881259E7)</f>
        <v>14881259</v>
      </c>
    </row>
    <row r="5035">
      <c r="A5035" s="2">
        <f>IFERROR(__xludf.DUMMYFUNCTION("""COMPUTED_VALUE"""),43964.64583333333)</f>
        <v>43964.64583</v>
      </c>
      <c r="B5035" s="1">
        <f>IFERROR(__xludf.DUMMYFUNCTION("""COMPUTED_VALUE"""),2075.0)</f>
        <v>2075</v>
      </c>
      <c r="C5035" s="1">
        <f>IFERROR(__xludf.DUMMYFUNCTION("""COMPUTED_VALUE"""),2075.0)</f>
        <v>2075</v>
      </c>
      <c r="D5035" s="1">
        <f>IFERROR(__xludf.DUMMYFUNCTION("""COMPUTED_VALUE"""),1975.4)</f>
        <v>1975.4</v>
      </c>
      <c r="E5035" s="1">
        <f>IFERROR(__xludf.DUMMYFUNCTION("""COMPUTED_VALUE"""),1995.75)</f>
        <v>1995.75</v>
      </c>
      <c r="F5035" s="1">
        <f>IFERROR(__xludf.DUMMYFUNCTION("""COMPUTED_VALUE"""),8432991.0)</f>
        <v>8432991</v>
      </c>
    </row>
    <row r="5036">
      <c r="A5036" s="2">
        <f>IFERROR(__xludf.DUMMYFUNCTION("""COMPUTED_VALUE"""),43965.64583333333)</f>
        <v>43965.64583</v>
      </c>
      <c r="B5036" s="1">
        <f>IFERROR(__xludf.DUMMYFUNCTION("""COMPUTED_VALUE"""),1988.0)</f>
        <v>1988</v>
      </c>
      <c r="C5036" s="1">
        <f>IFERROR(__xludf.DUMMYFUNCTION("""COMPUTED_VALUE"""),2026.55)</f>
        <v>2026.55</v>
      </c>
      <c r="D5036" s="1">
        <f>IFERROR(__xludf.DUMMYFUNCTION("""COMPUTED_VALUE"""),1980.65)</f>
        <v>1980.65</v>
      </c>
      <c r="E5036" s="1">
        <f>IFERROR(__xludf.DUMMYFUNCTION("""COMPUTED_VALUE"""),2006.05)</f>
        <v>2006.05</v>
      </c>
      <c r="F5036" s="1">
        <f>IFERROR(__xludf.DUMMYFUNCTION("""COMPUTED_VALUE"""),8510097.0)</f>
        <v>8510097</v>
      </c>
    </row>
    <row r="5037">
      <c r="A5037" s="2">
        <f>IFERROR(__xludf.DUMMYFUNCTION("""COMPUTED_VALUE"""),43966.64583333333)</f>
        <v>43966.64583</v>
      </c>
      <c r="B5037" s="1">
        <f>IFERROR(__xludf.DUMMYFUNCTION("""COMPUTED_VALUE"""),2015.0)</f>
        <v>2015</v>
      </c>
      <c r="C5037" s="1">
        <f>IFERROR(__xludf.DUMMYFUNCTION("""COMPUTED_VALUE"""),2037.65)</f>
        <v>2037.65</v>
      </c>
      <c r="D5037" s="1">
        <f>IFERROR(__xludf.DUMMYFUNCTION("""COMPUTED_VALUE"""),2006.0)</f>
        <v>2006</v>
      </c>
      <c r="E5037" s="1">
        <f>IFERROR(__xludf.DUMMYFUNCTION("""COMPUTED_VALUE"""),2032.1)</f>
        <v>2032.1</v>
      </c>
      <c r="F5037" s="1">
        <f>IFERROR(__xludf.DUMMYFUNCTION("""COMPUTED_VALUE"""),5491176.0)</f>
        <v>5491176</v>
      </c>
    </row>
    <row r="5038">
      <c r="A5038" s="2">
        <f>IFERROR(__xludf.DUMMYFUNCTION("""COMPUTED_VALUE"""),43969.64583333333)</f>
        <v>43969.64583</v>
      </c>
      <c r="B5038" s="1">
        <f>IFERROR(__xludf.DUMMYFUNCTION("""COMPUTED_VALUE"""),2041.5)</f>
        <v>2041.5</v>
      </c>
      <c r="C5038" s="1">
        <f>IFERROR(__xludf.DUMMYFUNCTION("""COMPUTED_VALUE"""),2047.85)</f>
        <v>2047.85</v>
      </c>
      <c r="D5038" s="1">
        <f>IFERROR(__xludf.DUMMYFUNCTION("""COMPUTED_VALUE"""),1988.6)</f>
        <v>1988.6</v>
      </c>
      <c r="E5038" s="1">
        <f>IFERROR(__xludf.DUMMYFUNCTION("""COMPUTED_VALUE"""),2005.25)</f>
        <v>2005.25</v>
      </c>
      <c r="F5038" s="1">
        <f>IFERROR(__xludf.DUMMYFUNCTION("""COMPUTED_VALUE"""),7675796.0)</f>
        <v>7675796</v>
      </c>
    </row>
    <row r="5039">
      <c r="A5039" s="2">
        <f>IFERROR(__xludf.DUMMYFUNCTION("""COMPUTED_VALUE"""),43970.64583333333)</f>
        <v>43970.64583</v>
      </c>
      <c r="B5039" s="1">
        <f>IFERROR(__xludf.DUMMYFUNCTION("""COMPUTED_VALUE"""),2018.0)</f>
        <v>2018</v>
      </c>
      <c r="C5039" s="1">
        <f>IFERROR(__xludf.DUMMYFUNCTION("""COMPUTED_VALUE"""),2024.8)</f>
        <v>2024.8</v>
      </c>
      <c r="D5039" s="1">
        <f>IFERROR(__xludf.DUMMYFUNCTION("""COMPUTED_VALUE"""),1968.1)</f>
        <v>1968.1</v>
      </c>
      <c r="E5039" s="1">
        <f>IFERROR(__xludf.DUMMYFUNCTION("""COMPUTED_VALUE"""),1975.55)</f>
        <v>1975.55</v>
      </c>
      <c r="F5039" s="1">
        <f>IFERROR(__xludf.DUMMYFUNCTION("""COMPUTED_VALUE"""),5963269.0)</f>
        <v>5963269</v>
      </c>
    </row>
    <row r="5040">
      <c r="A5040" s="2">
        <f>IFERROR(__xludf.DUMMYFUNCTION("""COMPUTED_VALUE"""),43971.64583333333)</f>
        <v>43971.64583</v>
      </c>
      <c r="B5040" s="1">
        <f>IFERROR(__xludf.DUMMYFUNCTION("""COMPUTED_VALUE"""),1975.55)</f>
        <v>1975.55</v>
      </c>
      <c r="C5040" s="1">
        <f>IFERROR(__xludf.DUMMYFUNCTION("""COMPUTED_VALUE"""),2010.0)</f>
        <v>2010</v>
      </c>
      <c r="D5040" s="1">
        <f>IFERROR(__xludf.DUMMYFUNCTION("""COMPUTED_VALUE"""),1975.0)</f>
        <v>1975</v>
      </c>
      <c r="E5040" s="1">
        <f>IFERROR(__xludf.DUMMYFUNCTION("""COMPUTED_VALUE"""),1990.85)</f>
        <v>1990.85</v>
      </c>
      <c r="F5040" s="1">
        <f>IFERROR(__xludf.DUMMYFUNCTION("""COMPUTED_VALUE"""),3927076.0)</f>
        <v>3927076</v>
      </c>
    </row>
    <row r="5041">
      <c r="A5041" s="2">
        <f>IFERROR(__xludf.DUMMYFUNCTION("""COMPUTED_VALUE"""),43972.64583333333)</f>
        <v>43972.64583</v>
      </c>
      <c r="B5041" s="1">
        <f>IFERROR(__xludf.DUMMYFUNCTION("""COMPUTED_VALUE"""),1999.0)</f>
        <v>1999</v>
      </c>
      <c r="C5041" s="1">
        <f>IFERROR(__xludf.DUMMYFUNCTION("""COMPUTED_VALUE"""),2003.4)</f>
        <v>2003.4</v>
      </c>
      <c r="D5041" s="1">
        <f>IFERROR(__xludf.DUMMYFUNCTION("""COMPUTED_VALUE"""),1955.2)</f>
        <v>1955.2</v>
      </c>
      <c r="E5041" s="1">
        <f>IFERROR(__xludf.DUMMYFUNCTION("""COMPUTED_VALUE"""),1970.9)</f>
        <v>1970.9</v>
      </c>
      <c r="F5041" s="1">
        <f>IFERROR(__xludf.DUMMYFUNCTION("""COMPUTED_VALUE"""),4261738.0)</f>
        <v>4261738</v>
      </c>
    </row>
    <row r="5042">
      <c r="A5042" s="2">
        <f>IFERROR(__xludf.DUMMYFUNCTION("""COMPUTED_VALUE"""),43973.64583333333)</f>
        <v>43973.64583</v>
      </c>
      <c r="B5042" s="1">
        <f>IFERROR(__xludf.DUMMYFUNCTION("""COMPUTED_VALUE"""),1975.0)</f>
        <v>1975</v>
      </c>
      <c r="C5042" s="1">
        <f>IFERROR(__xludf.DUMMYFUNCTION("""COMPUTED_VALUE"""),1995.05)</f>
        <v>1995.05</v>
      </c>
      <c r="D5042" s="1">
        <f>IFERROR(__xludf.DUMMYFUNCTION("""COMPUTED_VALUE"""),1958.0)</f>
        <v>1958</v>
      </c>
      <c r="E5042" s="1">
        <f>IFERROR(__xludf.DUMMYFUNCTION("""COMPUTED_VALUE"""),1987.9)</f>
        <v>1987.9</v>
      </c>
      <c r="F5042" s="1">
        <f>IFERROR(__xludf.DUMMYFUNCTION("""COMPUTED_VALUE"""),5340153.0)</f>
        <v>5340153</v>
      </c>
    </row>
    <row r="5043">
      <c r="A5043" s="2">
        <f>IFERROR(__xludf.DUMMYFUNCTION("""COMPUTED_VALUE"""),43977.64583333333)</f>
        <v>43977.64583</v>
      </c>
      <c r="B5043" s="1">
        <f>IFERROR(__xludf.DUMMYFUNCTION("""COMPUTED_VALUE"""),2004.95)</f>
        <v>2004.95</v>
      </c>
      <c r="C5043" s="1">
        <f>IFERROR(__xludf.DUMMYFUNCTION("""COMPUTED_VALUE"""),2020.0)</f>
        <v>2020</v>
      </c>
      <c r="D5043" s="1">
        <f>IFERROR(__xludf.DUMMYFUNCTION("""COMPUTED_VALUE"""),1975.0)</f>
        <v>1975</v>
      </c>
      <c r="E5043" s="1">
        <f>IFERROR(__xludf.DUMMYFUNCTION("""COMPUTED_VALUE"""),1977.8)</f>
        <v>1977.8</v>
      </c>
      <c r="F5043" s="1">
        <f>IFERROR(__xludf.DUMMYFUNCTION("""COMPUTED_VALUE"""),4629114.0)</f>
        <v>4629114</v>
      </c>
    </row>
    <row r="5044">
      <c r="A5044" s="2">
        <f>IFERROR(__xludf.DUMMYFUNCTION("""COMPUTED_VALUE"""),43978.64583333333)</f>
        <v>43978.64583</v>
      </c>
      <c r="B5044" s="1">
        <f>IFERROR(__xludf.DUMMYFUNCTION("""COMPUTED_VALUE"""),1990.0)</f>
        <v>1990</v>
      </c>
      <c r="C5044" s="1">
        <f>IFERROR(__xludf.DUMMYFUNCTION("""COMPUTED_VALUE"""),2005.1)</f>
        <v>2005.1</v>
      </c>
      <c r="D5044" s="1">
        <f>IFERROR(__xludf.DUMMYFUNCTION("""COMPUTED_VALUE"""),1961.0)</f>
        <v>1961</v>
      </c>
      <c r="E5044" s="1">
        <f>IFERROR(__xludf.DUMMYFUNCTION("""COMPUTED_VALUE"""),1998.1)</f>
        <v>1998.1</v>
      </c>
      <c r="F5044" s="1">
        <f>IFERROR(__xludf.DUMMYFUNCTION("""COMPUTED_VALUE"""),4261646.0)</f>
        <v>4261646</v>
      </c>
    </row>
    <row r="5045">
      <c r="A5045" s="2">
        <f>IFERROR(__xludf.DUMMYFUNCTION("""COMPUTED_VALUE"""),43979.64583333333)</f>
        <v>43979.64583</v>
      </c>
      <c r="B5045" s="1">
        <f>IFERROR(__xludf.DUMMYFUNCTION("""COMPUTED_VALUE"""),2000.0)</f>
        <v>2000</v>
      </c>
      <c r="C5045" s="1">
        <f>IFERROR(__xludf.DUMMYFUNCTION("""COMPUTED_VALUE"""),2015.0)</f>
        <v>2015</v>
      </c>
      <c r="D5045" s="1">
        <f>IFERROR(__xludf.DUMMYFUNCTION("""COMPUTED_VALUE"""),1990.0)</f>
        <v>1990</v>
      </c>
      <c r="E5045" s="1">
        <f>IFERROR(__xludf.DUMMYFUNCTION("""COMPUTED_VALUE"""),2009.95)</f>
        <v>2009.95</v>
      </c>
      <c r="F5045" s="1">
        <f>IFERROR(__xludf.DUMMYFUNCTION("""COMPUTED_VALUE"""),5500915.0)</f>
        <v>5500915</v>
      </c>
    </row>
    <row r="5046">
      <c r="A5046" s="2">
        <f>IFERROR(__xludf.DUMMYFUNCTION("""COMPUTED_VALUE"""),43980.64583333333)</f>
        <v>43980.64583</v>
      </c>
      <c r="B5046" s="1">
        <f>IFERROR(__xludf.DUMMYFUNCTION("""COMPUTED_VALUE"""),2009.0)</f>
        <v>2009</v>
      </c>
      <c r="C5046" s="1">
        <f>IFERROR(__xludf.DUMMYFUNCTION("""COMPUTED_VALUE"""),2068.0)</f>
        <v>2068</v>
      </c>
      <c r="D5046" s="1">
        <f>IFERROR(__xludf.DUMMYFUNCTION("""COMPUTED_VALUE"""),2000.0)</f>
        <v>2000</v>
      </c>
      <c r="E5046" s="1">
        <f>IFERROR(__xludf.DUMMYFUNCTION("""COMPUTED_VALUE"""),2057.35)</f>
        <v>2057.35</v>
      </c>
      <c r="F5046" s="1">
        <f>IFERROR(__xludf.DUMMYFUNCTION("""COMPUTED_VALUE"""),8779010.0)</f>
        <v>8779010</v>
      </c>
    </row>
    <row r="5047">
      <c r="A5047" s="2">
        <f>IFERROR(__xludf.DUMMYFUNCTION("""COMPUTED_VALUE"""),43983.64583333333)</f>
        <v>43983.64583</v>
      </c>
      <c r="B5047" s="1">
        <f>IFERROR(__xludf.DUMMYFUNCTION("""COMPUTED_VALUE"""),2075.0)</f>
        <v>2075</v>
      </c>
      <c r="C5047" s="1">
        <f>IFERROR(__xludf.DUMMYFUNCTION("""COMPUTED_VALUE"""),2143.0)</f>
        <v>2143</v>
      </c>
      <c r="D5047" s="1">
        <f>IFERROR(__xludf.DUMMYFUNCTION("""COMPUTED_VALUE"""),2071.2)</f>
        <v>2071.2</v>
      </c>
      <c r="E5047" s="1">
        <f>IFERROR(__xludf.DUMMYFUNCTION("""COMPUTED_VALUE"""),2108.55)</f>
        <v>2108.55</v>
      </c>
      <c r="F5047" s="1">
        <f>IFERROR(__xludf.DUMMYFUNCTION("""COMPUTED_VALUE"""),6592707.0)</f>
        <v>6592707</v>
      </c>
    </row>
    <row r="5048">
      <c r="A5048" s="2">
        <f>IFERROR(__xludf.DUMMYFUNCTION("""COMPUTED_VALUE"""),43984.64583333333)</f>
        <v>43984.64583</v>
      </c>
      <c r="B5048" s="1">
        <f>IFERROR(__xludf.DUMMYFUNCTION("""COMPUTED_VALUE"""),2122.0)</f>
        <v>2122</v>
      </c>
      <c r="C5048" s="1">
        <f>IFERROR(__xludf.DUMMYFUNCTION("""COMPUTED_VALUE"""),2125.0)</f>
        <v>2125</v>
      </c>
      <c r="D5048" s="1">
        <f>IFERROR(__xludf.DUMMYFUNCTION("""COMPUTED_VALUE"""),2090.0)</f>
        <v>2090</v>
      </c>
      <c r="E5048" s="1">
        <f>IFERROR(__xludf.DUMMYFUNCTION("""COMPUTED_VALUE"""),2107.4)</f>
        <v>2107.4</v>
      </c>
      <c r="F5048" s="1">
        <f>IFERROR(__xludf.DUMMYFUNCTION("""COMPUTED_VALUE"""),3268736.0)</f>
        <v>3268736</v>
      </c>
    </row>
    <row r="5049">
      <c r="A5049" s="2">
        <f>IFERROR(__xludf.DUMMYFUNCTION("""COMPUTED_VALUE"""),43985.64583333333)</f>
        <v>43985.64583</v>
      </c>
      <c r="B5049" s="1">
        <f>IFERROR(__xludf.DUMMYFUNCTION("""COMPUTED_VALUE"""),2115.0)</f>
        <v>2115</v>
      </c>
      <c r="C5049" s="1">
        <f>IFERROR(__xludf.DUMMYFUNCTION("""COMPUTED_VALUE"""),2149.0)</f>
        <v>2149</v>
      </c>
      <c r="D5049" s="1">
        <f>IFERROR(__xludf.DUMMYFUNCTION("""COMPUTED_VALUE"""),2085.0)</f>
        <v>2085</v>
      </c>
      <c r="E5049" s="1">
        <f>IFERROR(__xludf.DUMMYFUNCTION("""COMPUTED_VALUE"""),2120.5)</f>
        <v>2120.5</v>
      </c>
      <c r="F5049" s="1">
        <f>IFERROR(__xludf.DUMMYFUNCTION("""COMPUTED_VALUE"""),4895141.0)</f>
        <v>4895141</v>
      </c>
    </row>
    <row r="5050">
      <c r="A5050" s="2">
        <f>IFERROR(__xludf.DUMMYFUNCTION("""COMPUTED_VALUE"""),43986.64583333333)</f>
        <v>43986.64583</v>
      </c>
      <c r="B5050" s="1">
        <f>IFERROR(__xludf.DUMMYFUNCTION("""COMPUTED_VALUE"""),2115.0)</f>
        <v>2115</v>
      </c>
      <c r="C5050" s="1">
        <f>IFERROR(__xludf.DUMMYFUNCTION("""COMPUTED_VALUE"""),2132.4)</f>
        <v>2132.4</v>
      </c>
      <c r="D5050" s="1">
        <f>IFERROR(__xludf.DUMMYFUNCTION("""COMPUTED_VALUE"""),2105.25)</f>
        <v>2105.25</v>
      </c>
      <c r="E5050" s="1">
        <f>IFERROR(__xludf.DUMMYFUNCTION("""COMPUTED_VALUE"""),2120.6)</f>
        <v>2120.6</v>
      </c>
      <c r="F5050" s="1">
        <f>IFERROR(__xludf.DUMMYFUNCTION("""COMPUTED_VALUE"""),3264780.0)</f>
        <v>3264780</v>
      </c>
    </row>
    <row r="5051">
      <c r="A5051" s="2">
        <f>IFERROR(__xludf.DUMMYFUNCTION("""COMPUTED_VALUE"""),43987.64583333333)</f>
        <v>43987.64583</v>
      </c>
      <c r="B5051" s="1">
        <f>IFERROR(__xludf.DUMMYFUNCTION("""COMPUTED_VALUE"""),2124.0)</f>
        <v>2124</v>
      </c>
      <c r="C5051" s="1">
        <f>IFERROR(__xludf.DUMMYFUNCTION("""COMPUTED_VALUE"""),2128.0)</f>
        <v>2128</v>
      </c>
      <c r="D5051" s="1">
        <f>IFERROR(__xludf.DUMMYFUNCTION("""COMPUTED_VALUE"""),2085.0)</f>
        <v>2085</v>
      </c>
      <c r="E5051" s="1">
        <f>IFERROR(__xludf.DUMMYFUNCTION("""COMPUTED_VALUE"""),2087.6)</f>
        <v>2087.6</v>
      </c>
      <c r="F5051" s="1">
        <f>IFERROR(__xludf.DUMMYFUNCTION("""COMPUTED_VALUE"""),2981896.0)</f>
        <v>2981896</v>
      </c>
    </row>
    <row r="5052">
      <c r="A5052" s="2">
        <f>IFERROR(__xludf.DUMMYFUNCTION("""COMPUTED_VALUE"""),43990.64583333333)</f>
        <v>43990.64583</v>
      </c>
      <c r="B5052" s="1">
        <f>IFERROR(__xludf.DUMMYFUNCTION("""COMPUTED_VALUE"""),2107.0)</f>
        <v>2107</v>
      </c>
      <c r="C5052" s="1">
        <f>IFERROR(__xludf.DUMMYFUNCTION("""COMPUTED_VALUE"""),2124.5)</f>
        <v>2124.5</v>
      </c>
      <c r="D5052" s="1">
        <f>IFERROR(__xludf.DUMMYFUNCTION("""COMPUTED_VALUE"""),2078.1)</f>
        <v>2078.1</v>
      </c>
      <c r="E5052" s="1">
        <f>IFERROR(__xludf.DUMMYFUNCTION("""COMPUTED_VALUE"""),2111.7)</f>
        <v>2111.7</v>
      </c>
      <c r="F5052" s="1">
        <f>IFERROR(__xludf.DUMMYFUNCTION("""COMPUTED_VALUE"""),4298517.0)</f>
        <v>4298517</v>
      </c>
    </row>
    <row r="5053">
      <c r="A5053" s="2">
        <f>IFERROR(__xludf.DUMMYFUNCTION("""COMPUTED_VALUE"""),43991.64583333333)</f>
        <v>43991.64583</v>
      </c>
      <c r="B5053" s="1">
        <f>IFERROR(__xludf.DUMMYFUNCTION("""COMPUTED_VALUE"""),2100.0)</f>
        <v>2100</v>
      </c>
      <c r="C5053" s="1">
        <f>IFERROR(__xludf.DUMMYFUNCTION("""COMPUTED_VALUE"""),2144.8)</f>
        <v>2144.8</v>
      </c>
      <c r="D5053" s="1">
        <f>IFERROR(__xludf.DUMMYFUNCTION("""COMPUTED_VALUE"""),2095.05)</f>
        <v>2095.05</v>
      </c>
      <c r="E5053" s="1">
        <f>IFERROR(__xludf.DUMMYFUNCTION("""COMPUTED_VALUE"""),2106.5)</f>
        <v>2106.5</v>
      </c>
      <c r="F5053" s="1">
        <f>IFERROR(__xludf.DUMMYFUNCTION("""COMPUTED_VALUE"""),3128155.0)</f>
        <v>3128155</v>
      </c>
    </row>
    <row r="5054">
      <c r="A5054" s="2">
        <f>IFERROR(__xludf.DUMMYFUNCTION("""COMPUTED_VALUE"""),43992.64583333333)</f>
        <v>43992.64583</v>
      </c>
      <c r="B5054" s="1">
        <f>IFERROR(__xludf.DUMMYFUNCTION("""COMPUTED_VALUE"""),2115.9)</f>
        <v>2115.9</v>
      </c>
      <c r="C5054" s="1">
        <f>IFERROR(__xludf.DUMMYFUNCTION("""COMPUTED_VALUE"""),2130.0)</f>
        <v>2130</v>
      </c>
      <c r="D5054" s="1">
        <f>IFERROR(__xludf.DUMMYFUNCTION("""COMPUTED_VALUE"""),2096.0)</f>
        <v>2096</v>
      </c>
      <c r="E5054" s="1">
        <f>IFERROR(__xludf.DUMMYFUNCTION("""COMPUTED_VALUE"""),2119.6)</f>
        <v>2119.6</v>
      </c>
      <c r="F5054" s="1">
        <f>IFERROR(__xludf.DUMMYFUNCTION("""COMPUTED_VALUE"""),2421672.0)</f>
        <v>2421672</v>
      </c>
    </row>
    <row r="5055">
      <c r="A5055" s="2">
        <f>IFERROR(__xludf.DUMMYFUNCTION("""COMPUTED_VALUE"""),43993.64583333333)</f>
        <v>43993.64583</v>
      </c>
      <c r="B5055" s="1">
        <f>IFERROR(__xludf.DUMMYFUNCTION("""COMPUTED_VALUE"""),2115.0)</f>
        <v>2115</v>
      </c>
      <c r="C5055" s="1">
        <f>IFERROR(__xludf.DUMMYFUNCTION("""COMPUTED_VALUE"""),2138.2)</f>
        <v>2138.2</v>
      </c>
      <c r="D5055" s="1">
        <f>IFERROR(__xludf.DUMMYFUNCTION("""COMPUTED_VALUE"""),2095.65)</f>
        <v>2095.65</v>
      </c>
      <c r="E5055" s="1">
        <f>IFERROR(__xludf.DUMMYFUNCTION("""COMPUTED_VALUE"""),2106.9)</f>
        <v>2106.9</v>
      </c>
      <c r="F5055" s="1">
        <f>IFERROR(__xludf.DUMMYFUNCTION("""COMPUTED_VALUE"""),2566963.0)</f>
        <v>2566963</v>
      </c>
    </row>
    <row r="5056">
      <c r="A5056" s="2">
        <f>IFERROR(__xludf.DUMMYFUNCTION("""COMPUTED_VALUE"""),43994.64583333333)</f>
        <v>43994.64583</v>
      </c>
      <c r="B5056" s="1">
        <f>IFERROR(__xludf.DUMMYFUNCTION("""COMPUTED_VALUE"""),2065.25)</f>
        <v>2065.25</v>
      </c>
      <c r="C5056" s="1">
        <f>IFERROR(__xludf.DUMMYFUNCTION("""COMPUTED_VALUE"""),2119.0)</f>
        <v>2119</v>
      </c>
      <c r="D5056" s="1">
        <f>IFERROR(__xludf.DUMMYFUNCTION("""COMPUTED_VALUE"""),2065.0)</f>
        <v>2065</v>
      </c>
      <c r="E5056" s="1">
        <f>IFERROR(__xludf.DUMMYFUNCTION("""COMPUTED_VALUE"""),2107.25)</f>
        <v>2107.25</v>
      </c>
      <c r="F5056" s="1">
        <f>IFERROR(__xludf.DUMMYFUNCTION("""COMPUTED_VALUE"""),2338562.0)</f>
        <v>2338562</v>
      </c>
    </row>
    <row r="5057">
      <c r="A5057" s="2">
        <f>IFERROR(__xludf.DUMMYFUNCTION("""COMPUTED_VALUE"""),43997.64583333333)</f>
        <v>43997.64583</v>
      </c>
      <c r="B5057" s="1">
        <f>IFERROR(__xludf.DUMMYFUNCTION("""COMPUTED_VALUE"""),2114.85)</f>
        <v>2114.85</v>
      </c>
      <c r="C5057" s="1">
        <f>IFERROR(__xludf.DUMMYFUNCTION("""COMPUTED_VALUE"""),2131.7)</f>
        <v>2131.7</v>
      </c>
      <c r="D5057" s="1">
        <f>IFERROR(__xludf.DUMMYFUNCTION("""COMPUTED_VALUE"""),2056.8)</f>
        <v>2056.8</v>
      </c>
      <c r="E5057" s="1">
        <f>IFERROR(__xludf.DUMMYFUNCTION("""COMPUTED_VALUE"""),2084.3)</f>
        <v>2084.3</v>
      </c>
      <c r="F5057" s="1">
        <f>IFERROR(__xludf.DUMMYFUNCTION("""COMPUTED_VALUE"""),2830788.0)</f>
        <v>2830788</v>
      </c>
    </row>
    <row r="5058">
      <c r="A5058" s="2">
        <f>IFERROR(__xludf.DUMMYFUNCTION("""COMPUTED_VALUE"""),43998.64583333333)</f>
        <v>43998.64583</v>
      </c>
      <c r="B5058" s="1">
        <f>IFERROR(__xludf.DUMMYFUNCTION("""COMPUTED_VALUE"""),2109.8)</f>
        <v>2109.8</v>
      </c>
      <c r="C5058" s="1">
        <f>IFERROR(__xludf.DUMMYFUNCTION("""COMPUTED_VALUE"""),2120.0)</f>
        <v>2120</v>
      </c>
      <c r="D5058" s="1">
        <f>IFERROR(__xludf.DUMMYFUNCTION("""COMPUTED_VALUE"""),2057.0)</f>
        <v>2057</v>
      </c>
      <c r="E5058" s="1">
        <f>IFERROR(__xludf.DUMMYFUNCTION("""COMPUTED_VALUE"""),2076.35)</f>
        <v>2076.35</v>
      </c>
      <c r="F5058" s="1">
        <f>IFERROR(__xludf.DUMMYFUNCTION("""COMPUTED_VALUE"""),2806804.0)</f>
        <v>2806804</v>
      </c>
    </row>
    <row r="5059">
      <c r="A5059" s="2">
        <f>IFERROR(__xludf.DUMMYFUNCTION("""COMPUTED_VALUE"""),43999.64583333333)</f>
        <v>43999.64583</v>
      </c>
      <c r="B5059" s="1">
        <f>IFERROR(__xludf.DUMMYFUNCTION("""COMPUTED_VALUE"""),2076.0)</f>
        <v>2076</v>
      </c>
      <c r="C5059" s="1">
        <f>IFERROR(__xludf.DUMMYFUNCTION("""COMPUTED_VALUE"""),2099.0)</f>
        <v>2099</v>
      </c>
      <c r="D5059" s="1">
        <f>IFERROR(__xludf.DUMMYFUNCTION("""COMPUTED_VALUE"""),2062.3)</f>
        <v>2062.3</v>
      </c>
      <c r="E5059" s="1">
        <f>IFERROR(__xludf.DUMMYFUNCTION("""COMPUTED_VALUE"""),2078.25)</f>
        <v>2078.25</v>
      </c>
      <c r="F5059" s="1">
        <f>IFERROR(__xludf.DUMMYFUNCTION("""COMPUTED_VALUE"""),2293343.0)</f>
        <v>2293343</v>
      </c>
    </row>
    <row r="5060">
      <c r="A5060" s="2">
        <f>IFERROR(__xludf.DUMMYFUNCTION("""COMPUTED_VALUE"""),44000.64583333333)</f>
        <v>44000.64583</v>
      </c>
      <c r="B5060" s="1">
        <f>IFERROR(__xludf.DUMMYFUNCTION("""COMPUTED_VALUE"""),2070.25)</f>
        <v>2070.25</v>
      </c>
      <c r="C5060" s="1">
        <f>IFERROR(__xludf.DUMMYFUNCTION("""COMPUTED_VALUE"""),2084.85)</f>
        <v>2084.85</v>
      </c>
      <c r="D5060" s="1">
        <f>IFERROR(__xludf.DUMMYFUNCTION("""COMPUTED_VALUE"""),2054.05)</f>
        <v>2054.05</v>
      </c>
      <c r="E5060" s="1">
        <f>IFERROR(__xludf.DUMMYFUNCTION("""COMPUTED_VALUE"""),2065.35)</f>
        <v>2065.35</v>
      </c>
      <c r="F5060" s="1">
        <f>IFERROR(__xludf.DUMMYFUNCTION("""COMPUTED_VALUE"""),2326992.0)</f>
        <v>2326992</v>
      </c>
    </row>
    <row r="5061">
      <c r="A5061" s="2">
        <f>IFERROR(__xludf.DUMMYFUNCTION("""COMPUTED_VALUE"""),44001.64583333333)</f>
        <v>44001.64583</v>
      </c>
      <c r="B5061" s="1">
        <f>IFERROR(__xludf.DUMMYFUNCTION("""COMPUTED_VALUE"""),2079.0)</f>
        <v>2079</v>
      </c>
      <c r="C5061" s="1">
        <f>IFERROR(__xludf.DUMMYFUNCTION("""COMPUTED_VALUE"""),2100.0)</f>
        <v>2100</v>
      </c>
      <c r="D5061" s="1">
        <f>IFERROR(__xludf.DUMMYFUNCTION("""COMPUTED_VALUE"""),2057.0)</f>
        <v>2057</v>
      </c>
      <c r="E5061" s="1">
        <f>IFERROR(__xludf.DUMMYFUNCTION("""COMPUTED_VALUE"""),2092.75)</f>
        <v>2092.75</v>
      </c>
      <c r="F5061" s="1">
        <f>IFERROR(__xludf.DUMMYFUNCTION("""COMPUTED_VALUE"""),4673557.0)</f>
        <v>4673557</v>
      </c>
    </row>
    <row r="5062">
      <c r="A5062" s="2">
        <f>IFERROR(__xludf.DUMMYFUNCTION("""COMPUTED_VALUE"""),44004.64583333333)</f>
        <v>44004.64583</v>
      </c>
      <c r="B5062" s="1">
        <f>IFERROR(__xludf.DUMMYFUNCTION("""COMPUTED_VALUE"""),2110.0)</f>
        <v>2110</v>
      </c>
      <c r="C5062" s="1">
        <f>IFERROR(__xludf.DUMMYFUNCTION("""COMPUTED_VALUE"""),2118.9)</f>
        <v>2118.9</v>
      </c>
      <c r="D5062" s="1">
        <f>IFERROR(__xludf.DUMMYFUNCTION("""COMPUTED_VALUE"""),2087.0)</f>
        <v>2087</v>
      </c>
      <c r="E5062" s="1">
        <f>IFERROR(__xludf.DUMMYFUNCTION("""COMPUTED_VALUE"""),2100.8)</f>
        <v>2100.8</v>
      </c>
      <c r="F5062" s="1">
        <f>IFERROR(__xludf.DUMMYFUNCTION("""COMPUTED_VALUE"""),2487252.0)</f>
        <v>2487252</v>
      </c>
    </row>
    <row r="5063">
      <c r="A5063" s="2">
        <f>IFERROR(__xludf.DUMMYFUNCTION("""COMPUTED_VALUE"""),44005.64583333333)</f>
        <v>44005.64583</v>
      </c>
      <c r="B5063" s="1">
        <f>IFERROR(__xludf.DUMMYFUNCTION("""COMPUTED_VALUE"""),2115.0)</f>
        <v>2115</v>
      </c>
      <c r="C5063" s="1">
        <f>IFERROR(__xludf.DUMMYFUNCTION("""COMPUTED_VALUE"""),2172.0)</f>
        <v>2172</v>
      </c>
      <c r="D5063" s="1">
        <f>IFERROR(__xludf.DUMMYFUNCTION("""COMPUTED_VALUE"""),2101.6)</f>
        <v>2101.6</v>
      </c>
      <c r="E5063" s="1">
        <f>IFERROR(__xludf.DUMMYFUNCTION("""COMPUTED_VALUE"""),2155.95)</f>
        <v>2155.95</v>
      </c>
      <c r="F5063" s="1">
        <f>IFERROR(__xludf.DUMMYFUNCTION("""COMPUTED_VALUE"""),4309193.0)</f>
        <v>4309193</v>
      </c>
    </row>
    <row r="5064">
      <c r="A5064" s="2">
        <f>IFERROR(__xludf.DUMMYFUNCTION("""COMPUTED_VALUE"""),44006.64583333333)</f>
        <v>44006.64583</v>
      </c>
      <c r="B5064" s="1">
        <f>IFERROR(__xludf.DUMMYFUNCTION("""COMPUTED_VALUE"""),2172.0)</f>
        <v>2172</v>
      </c>
      <c r="C5064" s="1">
        <f>IFERROR(__xludf.DUMMYFUNCTION("""COMPUTED_VALUE"""),2176.9)</f>
        <v>2176.9</v>
      </c>
      <c r="D5064" s="1">
        <f>IFERROR(__xludf.DUMMYFUNCTION("""COMPUTED_VALUE"""),2125.0)</f>
        <v>2125</v>
      </c>
      <c r="E5064" s="1">
        <f>IFERROR(__xludf.DUMMYFUNCTION("""COMPUTED_VALUE"""),2130.3)</f>
        <v>2130.3</v>
      </c>
      <c r="F5064" s="1">
        <f>IFERROR(__xludf.DUMMYFUNCTION("""COMPUTED_VALUE"""),3023031.0)</f>
        <v>3023031</v>
      </c>
    </row>
    <row r="5065">
      <c r="A5065" s="2">
        <f>IFERROR(__xludf.DUMMYFUNCTION("""COMPUTED_VALUE"""),44007.64583333333)</f>
        <v>44007.64583</v>
      </c>
      <c r="B5065" s="1">
        <f>IFERROR(__xludf.DUMMYFUNCTION("""COMPUTED_VALUE"""),2114.3)</f>
        <v>2114.3</v>
      </c>
      <c r="C5065" s="1">
        <f>IFERROR(__xludf.DUMMYFUNCTION("""COMPUTED_VALUE"""),2189.9)</f>
        <v>2189.9</v>
      </c>
      <c r="D5065" s="1">
        <f>IFERROR(__xludf.DUMMYFUNCTION("""COMPUTED_VALUE"""),2112.0)</f>
        <v>2112</v>
      </c>
      <c r="E5065" s="1">
        <f>IFERROR(__xludf.DUMMYFUNCTION("""COMPUTED_VALUE"""),2173.15)</f>
        <v>2173.15</v>
      </c>
      <c r="F5065" s="1">
        <f>IFERROR(__xludf.DUMMYFUNCTION("""COMPUTED_VALUE"""),8208083.0)</f>
        <v>8208083</v>
      </c>
    </row>
    <row r="5066">
      <c r="A5066" s="2">
        <f>IFERROR(__xludf.DUMMYFUNCTION("""COMPUTED_VALUE"""),44008.64583333333)</f>
        <v>44008.64583</v>
      </c>
      <c r="B5066" s="1">
        <f>IFERROR(__xludf.DUMMYFUNCTION("""COMPUTED_VALUE"""),2179.95)</f>
        <v>2179.95</v>
      </c>
      <c r="C5066" s="1">
        <f>IFERROR(__xludf.DUMMYFUNCTION("""COMPUTED_VALUE"""),2179.95)</f>
        <v>2179.95</v>
      </c>
      <c r="D5066" s="1">
        <f>IFERROR(__xludf.DUMMYFUNCTION("""COMPUTED_VALUE"""),2138.1)</f>
        <v>2138.1</v>
      </c>
      <c r="E5066" s="1">
        <f>IFERROR(__xludf.DUMMYFUNCTION("""COMPUTED_VALUE"""),2154.2)</f>
        <v>2154.2</v>
      </c>
      <c r="F5066" s="1">
        <f>IFERROR(__xludf.DUMMYFUNCTION("""COMPUTED_VALUE"""),3176495.0)</f>
        <v>3176495</v>
      </c>
    </row>
    <row r="5067">
      <c r="A5067" s="2">
        <f>IFERROR(__xludf.DUMMYFUNCTION("""COMPUTED_VALUE"""),44011.64583333333)</f>
        <v>44011.64583</v>
      </c>
      <c r="B5067" s="1">
        <f>IFERROR(__xludf.DUMMYFUNCTION("""COMPUTED_VALUE"""),2151.35)</f>
        <v>2151.35</v>
      </c>
      <c r="C5067" s="1">
        <f>IFERROR(__xludf.DUMMYFUNCTION("""COMPUTED_VALUE"""),2195.9)</f>
        <v>2195.9</v>
      </c>
      <c r="D5067" s="1">
        <f>IFERROR(__xludf.DUMMYFUNCTION("""COMPUTED_VALUE"""),2140.0)</f>
        <v>2140</v>
      </c>
      <c r="E5067" s="1">
        <f>IFERROR(__xludf.DUMMYFUNCTION("""COMPUTED_VALUE"""),2182.95)</f>
        <v>2182.95</v>
      </c>
      <c r="F5067" s="1">
        <f>IFERROR(__xludf.DUMMYFUNCTION("""COMPUTED_VALUE"""),3295050.0)</f>
        <v>3295050</v>
      </c>
    </row>
    <row r="5068">
      <c r="A5068" s="2">
        <f>IFERROR(__xludf.DUMMYFUNCTION("""COMPUTED_VALUE"""),44012.64583333333)</f>
        <v>44012.64583</v>
      </c>
      <c r="B5068" s="1">
        <f>IFERROR(__xludf.DUMMYFUNCTION("""COMPUTED_VALUE"""),2193.8)</f>
        <v>2193.8</v>
      </c>
      <c r="C5068" s="1">
        <f>IFERROR(__xludf.DUMMYFUNCTION("""COMPUTED_VALUE"""),2199.95)</f>
        <v>2199.95</v>
      </c>
      <c r="D5068" s="1">
        <f>IFERROR(__xludf.DUMMYFUNCTION("""COMPUTED_VALUE"""),2170.0)</f>
        <v>2170</v>
      </c>
      <c r="E5068" s="1">
        <f>IFERROR(__xludf.DUMMYFUNCTION("""COMPUTED_VALUE"""),2180.0)</f>
        <v>2180</v>
      </c>
      <c r="F5068" s="1">
        <f>IFERROR(__xludf.DUMMYFUNCTION("""COMPUTED_VALUE"""),2373121.0)</f>
        <v>2373121</v>
      </c>
    </row>
    <row r="5069">
      <c r="A5069" s="2">
        <f>IFERROR(__xludf.DUMMYFUNCTION("""COMPUTED_VALUE"""),44013.64583333333)</f>
        <v>44013.64583</v>
      </c>
      <c r="B5069" s="1">
        <f>IFERROR(__xludf.DUMMYFUNCTION("""COMPUTED_VALUE"""),2183.0)</f>
        <v>2183</v>
      </c>
      <c r="C5069" s="1">
        <f>IFERROR(__xludf.DUMMYFUNCTION("""COMPUTED_VALUE"""),2191.8)</f>
        <v>2191.8</v>
      </c>
      <c r="D5069" s="1">
        <f>IFERROR(__xludf.DUMMYFUNCTION("""COMPUTED_VALUE"""),2160.1)</f>
        <v>2160.1</v>
      </c>
      <c r="E5069" s="1">
        <f>IFERROR(__xludf.DUMMYFUNCTION("""COMPUTED_VALUE"""),2170.4)</f>
        <v>2170.4</v>
      </c>
      <c r="F5069" s="1">
        <f>IFERROR(__xludf.DUMMYFUNCTION("""COMPUTED_VALUE"""),1532935.0)</f>
        <v>1532935</v>
      </c>
    </row>
    <row r="5070">
      <c r="A5070" s="2">
        <f>IFERROR(__xludf.DUMMYFUNCTION("""COMPUTED_VALUE"""),44014.64583333333)</f>
        <v>44014.64583</v>
      </c>
      <c r="B5070" s="1">
        <f>IFERROR(__xludf.DUMMYFUNCTION("""COMPUTED_VALUE"""),2167.75)</f>
        <v>2167.75</v>
      </c>
      <c r="C5070" s="1">
        <f>IFERROR(__xludf.DUMMYFUNCTION("""COMPUTED_VALUE"""),2177.65)</f>
        <v>2177.65</v>
      </c>
      <c r="D5070" s="1">
        <f>IFERROR(__xludf.DUMMYFUNCTION("""COMPUTED_VALUE"""),2145.0)</f>
        <v>2145</v>
      </c>
      <c r="E5070" s="1">
        <f>IFERROR(__xludf.DUMMYFUNCTION("""COMPUTED_VALUE"""),2151.75)</f>
        <v>2151.75</v>
      </c>
      <c r="F5070" s="1">
        <f>IFERROR(__xludf.DUMMYFUNCTION("""COMPUTED_VALUE"""),2588845.0)</f>
        <v>2588845</v>
      </c>
    </row>
    <row r="5071">
      <c r="A5071" s="2">
        <f>IFERROR(__xludf.DUMMYFUNCTION("""COMPUTED_VALUE"""),44015.64583333333)</f>
        <v>44015.64583</v>
      </c>
      <c r="B5071" s="1">
        <f>IFERROR(__xludf.DUMMYFUNCTION("""COMPUTED_VALUE"""),2165.5)</f>
        <v>2165.5</v>
      </c>
      <c r="C5071" s="1">
        <f>IFERROR(__xludf.DUMMYFUNCTION("""COMPUTED_VALUE"""),2188.0)</f>
        <v>2188</v>
      </c>
      <c r="D5071" s="1">
        <f>IFERROR(__xludf.DUMMYFUNCTION("""COMPUTED_VALUE"""),2156.35)</f>
        <v>2156.35</v>
      </c>
      <c r="E5071" s="1">
        <f>IFERROR(__xludf.DUMMYFUNCTION("""COMPUTED_VALUE"""),2173.7)</f>
        <v>2173.7</v>
      </c>
      <c r="F5071" s="1">
        <f>IFERROR(__xludf.DUMMYFUNCTION("""COMPUTED_VALUE"""),1946326.0)</f>
        <v>1946326</v>
      </c>
    </row>
    <row r="5072">
      <c r="A5072" s="2">
        <f>IFERROR(__xludf.DUMMYFUNCTION("""COMPUTED_VALUE"""),44018.64583333333)</f>
        <v>44018.64583</v>
      </c>
      <c r="B5072" s="1">
        <f>IFERROR(__xludf.DUMMYFUNCTION("""COMPUTED_VALUE"""),2180.0)</f>
        <v>2180</v>
      </c>
      <c r="C5072" s="1">
        <f>IFERROR(__xludf.DUMMYFUNCTION("""COMPUTED_VALUE"""),2180.0)</f>
        <v>2180</v>
      </c>
      <c r="D5072" s="1">
        <f>IFERROR(__xludf.DUMMYFUNCTION("""COMPUTED_VALUE"""),2153.0)</f>
        <v>2153</v>
      </c>
      <c r="E5072" s="1">
        <f>IFERROR(__xludf.DUMMYFUNCTION("""COMPUTED_VALUE"""),2161.6)</f>
        <v>2161.6</v>
      </c>
      <c r="F5072" s="1">
        <f>IFERROR(__xludf.DUMMYFUNCTION("""COMPUTED_VALUE"""),2375701.0)</f>
        <v>2375701</v>
      </c>
    </row>
    <row r="5073">
      <c r="A5073" s="2">
        <f>IFERROR(__xludf.DUMMYFUNCTION("""COMPUTED_VALUE"""),44019.64583333333)</f>
        <v>44019.64583</v>
      </c>
      <c r="B5073" s="1">
        <f>IFERROR(__xludf.DUMMYFUNCTION("""COMPUTED_VALUE"""),2175.5)</f>
        <v>2175.5</v>
      </c>
      <c r="C5073" s="1">
        <f>IFERROR(__xludf.DUMMYFUNCTION("""COMPUTED_VALUE"""),2175.5)</f>
        <v>2175.5</v>
      </c>
      <c r="D5073" s="1">
        <f>IFERROR(__xludf.DUMMYFUNCTION("""COMPUTED_VALUE"""),2151.65)</f>
        <v>2151.65</v>
      </c>
      <c r="E5073" s="1">
        <f>IFERROR(__xludf.DUMMYFUNCTION("""COMPUTED_VALUE"""),2154.15)</f>
        <v>2154.15</v>
      </c>
      <c r="F5073" s="1">
        <f>IFERROR(__xludf.DUMMYFUNCTION("""COMPUTED_VALUE"""),2014697.0)</f>
        <v>2014697</v>
      </c>
    </row>
    <row r="5074">
      <c r="A5074" s="2">
        <f>IFERROR(__xludf.DUMMYFUNCTION("""COMPUTED_VALUE"""),44020.64583333333)</f>
        <v>44020.64583</v>
      </c>
      <c r="B5074" s="1">
        <f>IFERROR(__xludf.DUMMYFUNCTION("""COMPUTED_VALUE"""),2153.6)</f>
        <v>2153.6</v>
      </c>
      <c r="C5074" s="1">
        <f>IFERROR(__xludf.DUMMYFUNCTION("""COMPUTED_VALUE"""),2194.0)</f>
        <v>2194</v>
      </c>
      <c r="D5074" s="1">
        <f>IFERROR(__xludf.DUMMYFUNCTION("""COMPUTED_VALUE"""),2125.0)</f>
        <v>2125</v>
      </c>
      <c r="E5074" s="1">
        <f>IFERROR(__xludf.DUMMYFUNCTION("""COMPUTED_VALUE"""),2186.05)</f>
        <v>2186.05</v>
      </c>
      <c r="F5074" s="1">
        <f>IFERROR(__xludf.DUMMYFUNCTION("""COMPUTED_VALUE"""),3350115.0)</f>
        <v>3350115</v>
      </c>
    </row>
    <row r="5075">
      <c r="A5075" s="2">
        <f>IFERROR(__xludf.DUMMYFUNCTION("""COMPUTED_VALUE"""),44021.64583333333)</f>
        <v>44021.64583</v>
      </c>
      <c r="B5075" s="1">
        <f>IFERROR(__xludf.DUMMYFUNCTION("""COMPUTED_VALUE"""),2183.0)</f>
        <v>2183</v>
      </c>
      <c r="C5075" s="1">
        <f>IFERROR(__xludf.DUMMYFUNCTION("""COMPUTED_VALUE"""),2219.95)</f>
        <v>2219.95</v>
      </c>
      <c r="D5075" s="1">
        <f>IFERROR(__xludf.DUMMYFUNCTION("""COMPUTED_VALUE"""),2171.05)</f>
        <v>2171.05</v>
      </c>
      <c r="E5075" s="1">
        <f>IFERROR(__xludf.DUMMYFUNCTION("""COMPUTED_VALUE"""),2175.85)</f>
        <v>2175.85</v>
      </c>
      <c r="F5075" s="1">
        <f>IFERROR(__xludf.DUMMYFUNCTION("""COMPUTED_VALUE"""),3039821.0)</f>
        <v>3039821</v>
      </c>
    </row>
    <row r="5076">
      <c r="A5076" s="2">
        <f>IFERROR(__xludf.DUMMYFUNCTION("""COMPUTED_VALUE"""),44022.64583333333)</f>
        <v>44022.64583</v>
      </c>
      <c r="B5076" s="1">
        <f>IFERROR(__xludf.DUMMYFUNCTION("""COMPUTED_VALUE"""),2170.0)</f>
        <v>2170</v>
      </c>
      <c r="C5076" s="1">
        <f>IFERROR(__xludf.DUMMYFUNCTION("""COMPUTED_VALUE"""),2232.0)</f>
        <v>2232</v>
      </c>
      <c r="D5076" s="1">
        <f>IFERROR(__xludf.DUMMYFUNCTION("""COMPUTED_VALUE"""),2167.45)</f>
        <v>2167.45</v>
      </c>
      <c r="E5076" s="1">
        <f>IFERROR(__xludf.DUMMYFUNCTION("""COMPUTED_VALUE"""),2223.8)</f>
        <v>2223.8</v>
      </c>
      <c r="F5076" s="1">
        <f>IFERROR(__xludf.DUMMYFUNCTION("""COMPUTED_VALUE"""),3179517.0)</f>
        <v>3179517</v>
      </c>
    </row>
    <row r="5077">
      <c r="A5077" s="2">
        <f>IFERROR(__xludf.DUMMYFUNCTION("""COMPUTED_VALUE"""),44025.64583333333)</f>
        <v>44025.64583</v>
      </c>
      <c r="B5077" s="1">
        <f>IFERROR(__xludf.DUMMYFUNCTION("""COMPUTED_VALUE"""),2239.0)</f>
        <v>2239</v>
      </c>
      <c r="C5077" s="1">
        <f>IFERROR(__xludf.DUMMYFUNCTION("""COMPUTED_VALUE"""),2275.0)</f>
        <v>2275</v>
      </c>
      <c r="D5077" s="1">
        <f>IFERROR(__xludf.DUMMYFUNCTION("""COMPUTED_VALUE"""),2235.0)</f>
        <v>2235</v>
      </c>
      <c r="E5077" s="1">
        <f>IFERROR(__xludf.DUMMYFUNCTION("""COMPUTED_VALUE"""),2265.25)</f>
        <v>2265.25</v>
      </c>
      <c r="F5077" s="1">
        <f>IFERROR(__xludf.DUMMYFUNCTION("""COMPUTED_VALUE"""),4556688.0)</f>
        <v>4556688</v>
      </c>
    </row>
    <row r="5078">
      <c r="A5078" s="2">
        <f>IFERROR(__xludf.DUMMYFUNCTION("""COMPUTED_VALUE"""),44026.64583333333)</f>
        <v>44026.64583</v>
      </c>
      <c r="B5078" s="1">
        <f>IFERROR(__xludf.DUMMYFUNCTION("""COMPUTED_VALUE"""),2264.8)</f>
        <v>2264.8</v>
      </c>
      <c r="C5078" s="1">
        <f>IFERROR(__xludf.DUMMYFUNCTION("""COMPUTED_VALUE"""),2269.95)</f>
        <v>2269.95</v>
      </c>
      <c r="D5078" s="1">
        <f>IFERROR(__xludf.DUMMYFUNCTION("""COMPUTED_VALUE"""),2226.6)</f>
        <v>2226.6</v>
      </c>
      <c r="E5078" s="1">
        <f>IFERROR(__xludf.DUMMYFUNCTION("""COMPUTED_VALUE"""),2234.75)</f>
        <v>2234.75</v>
      </c>
      <c r="F5078" s="1">
        <f>IFERROR(__xludf.DUMMYFUNCTION("""COMPUTED_VALUE"""),2403257.0)</f>
        <v>2403257</v>
      </c>
    </row>
    <row r="5079">
      <c r="A5079" s="2">
        <f>IFERROR(__xludf.DUMMYFUNCTION("""COMPUTED_VALUE"""),44027.64583333333)</f>
        <v>44027.64583</v>
      </c>
      <c r="B5079" s="1">
        <f>IFERROR(__xludf.DUMMYFUNCTION("""COMPUTED_VALUE"""),2237.25)</f>
        <v>2237.25</v>
      </c>
      <c r="C5079" s="1">
        <f>IFERROR(__xludf.DUMMYFUNCTION("""COMPUTED_VALUE"""),2291.0)</f>
        <v>2291</v>
      </c>
      <c r="D5079" s="1">
        <f>IFERROR(__xludf.DUMMYFUNCTION("""COMPUTED_VALUE"""),2235.05)</f>
        <v>2235.05</v>
      </c>
      <c r="E5079" s="1">
        <f>IFERROR(__xludf.DUMMYFUNCTION("""COMPUTED_VALUE"""),2275.15)</f>
        <v>2275.15</v>
      </c>
      <c r="F5079" s="1">
        <f>IFERROR(__xludf.DUMMYFUNCTION("""COMPUTED_VALUE"""),2474553.0)</f>
        <v>2474553</v>
      </c>
    </row>
    <row r="5080">
      <c r="A5080" s="2">
        <f>IFERROR(__xludf.DUMMYFUNCTION("""COMPUTED_VALUE"""),44028.64583333333)</f>
        <v>44028.64583</v>
      </c>
      <c r="B5080" s="1">
        <f>IFERROR(__xludf.DUMMYFUNCTION("""COMPUTED_VALUE"""),2275.25)</f>
        <v>2275.25</v>
      </c>
      <c r="C5080" s="1">
        <f>IFERROR(__xludf.DUMMYFUNCTION("""COMPUTED_VALUE"""),2291.3)</f>
        <v>2291.3</v>
      </c>
      <c r="D5080" s="1">
        <f>IFERROR(__xludf.DUMMYFUNCTION("""COMPUTED_VALUE"""),2238.0)</f>
        <v>2238</v>
      </c>
      <c r="E5080" s="1">
        <f>IFERROR(__xludf.DUMMYFUNCTION("""COMPUTED_VALUE"""),2287.85)</f>
        <v>2287.85</v>
      </c>
      <c r="F5080" s="1">
        <f>IFERROR(__xludf.DUMMYFUNCTION("""COMPUTED_VALUE"""),2495150.0)</f>
        <v>2495150</v>
      </c>
    </row>
    <row r="5081">
      <c r="A5081" s="2">
        <f>IFERROR(__xludf.DUMMYFUNCTION("""COMPUTED_VALUE"""),44029.64583333333)</f>
        <v>44029.64583</v>
      </c>
      <c r="B5081" s="1">
        <f>IFERROR(__xludf.DUMMYFUNCTION("""COMPUTED_VALUE"""),2285.0)</f>
        <v>2285</v>
      </c>
      <c r="C5081" s="1">
        <f>IFERROR(__xludf.DUMMYFUNCTION("""COMPUTED_VALUE"""),2340.0)</f>
        <v>2340</v>
      </c>
      <c r="D5081" s="1">
        <f>IFERROR(__xludf.DUMMYFUNCTION("""COMPUTED_VALUE"""),2281.0)</f>
        <v>2281</v>
      </c>
      <c r="E5081" s="1">
        <f>IFERROR(__xludf.DUMMYFUNCTION("""COMPUTED_VALUE"""),2334.55)</f>
        <v>2334.55</v>
      </c>
      <c r="F5081" s="1">
        <f>IFERROR(__xludf.DUMMYFUNCTION("""COMPUTED_VALUE"""),3088773.0)</f>
        <v>3088773</v>
      </c>
    </row>
    <row r="5082">
      <c r="A5082" s="2">
        <f>IFERROR(__xludf.DUMMYFUNCTION("""COMPUTED_VALUE"""),44032.64583333333)</f>
        <v>44032.64583</v>
      </c>
      <c r="B5082" s="1">
        <f>IFERROR(__xludf.DUMMYFUNCTION("""COMPUTED_VALUE"""),2334.55)</f>
        <v>2334.55</v>
      </c>
      <c r="C5082" s="1">
        <f>IFERROR(__xludf.DUMMYFUNCTION("""COMPUTED_VALUE"""),2343.3)</f>
        <v>2343.3</v>
      </c>
      <c r="D5082" s="1">
        <f>IFERROR(__xludf.DUMMYFUNCTION("""COMPUTED_VALUE"""),2300.6)</f>
        <v>2300.6</v>
      </c>
      <c r="E5082" s="1">
        <f>IFERROR(__xludf.DUMMYFUNCTION("""COMPUTED_VALUE"""),2330.95)</f>
        <v>2330.95</v>
      </c>
      <c r="F5082" s="1">
        <f>IFERROR(__xludf.DUMMYFUNCTION("""COMPUTED_VALUE"""),2816285.0)</f>
        <v>2816285</v>
      </c>
    </row>
    <row r="5083">
      <c r="A5083" s="2">
        <f>IFERROR(__xludf.DUMMYFUNCTION("""COMPUTED_VALUE"""),44033.64583333333)</f>
        <v>44033.64583</v>
      </c>
      <c r="B5083" s="1">
        <f>IFERROR(__xludf.DUMMYFUNCTION("""COMPUTED_VALUE"""),2348.0)</f>
        <v>2348</v>
      </c>
      <c r="C5083" s="1">
        <f>IFERROR(__xludf.DUMMYFUNCTION("""COMPUTED_VALUE"""),2350.0)</f>
        <v>2350</v>
      </c>
      <c r="D5083" s="1">
        <f>IFERROR(__xludf.DUMMYFUNCTION("""COMPUTED_VALUE"""),2308.0)</f>
        <v>2308</v>
      </c>
      <c r="E5083" s="1">
        <f>IFERROR(__xludf.DUMMYFUNCTION("""COMPUTED_VALUE"""),2318.0)</f>
        <v>2318</v>
      </c>
      <c r="F5083" s="1">
        <f>IFERROR(__xludf.DUMMYFUNCTION("""COMPUTED_VALUE"""),3037830.0)</f>
        <v>3037830</v>
      </c>
    </row>
    <row r="5084">
      <c r="A5084" s="2">
        <f>IFERROR(__xludf.DUMMYFUNCTION("""COMPUTED_VALUE"""),44034.64583333333)</f>
        <v>44034.64583</v>
      </c>
      <c r="B5084" s="1">
        <f>IFERROR(__xludf.DUMMYFUNCTION("""COMPUTED_VALUE"""),2330.0)</f>
        <v>2330</v>
      </c>
      <c r="C5084" s="1">
        <f>IFERROR(__xludf.DUMMYFUNCTION("""COMPUTED_VALUE"""),2330.0)</f>
        <v>2330</v>
      </c>
      <c r="D5084" s="1">
        <f>IFERROR(__xludf.DUMMYFUNCTION("""COMPUTED_VALUE"""),2241.25)</f>
        <v>2241.25</v>
      </c>
      <c r="E5084" s="1">
        <f>IFERROR(__xludf.DUMMYFUNCTION("""COMPUTED_VALUE"""),2248.5)</f>
        <v>2248.5</v>
      </c>
      <c r="F5084" s="1">
        <f>IFERROR(__xludf.DUMMYFUNCTION("""COMPUTED_VALUE"""),6950011.0)</f>
        <v>6950011</v>
      </c>
    </row>
    <row r="5085">
      <c r="A5085" s="2">
        <f>IFERROR(__xludf.DUMMYFUNCTION("""COMPUTED_VALUE"""),44035.64583333333)</f>
        <v>44035.64583</v>
      </c>
      <c r="B5085" s="1">
        <f>IFERROR(__xludf.DUMMYFUNCTION("""COMPUTED_VALUE"""),2260.0)</f>
        <v>2260</v>
      </c>
      <c r="C5085" s="1">
        <f>IFERROR(__xludf.DUMMYFUNCTION("""COMPUTED_VALUE"""),2267.15)</f>
        <v>2267.15</v>
      </c>
      <c r="D5085" s="1">
        <f>IFERROR(__xludf.DUMMYFUNCTION("""COMPUTED_VALUE"""),2205.55)</f>
        <v>2205.55</v>
      </c>
      <c r="E5085" s="1">
        <f>IFERROR(__xludf.DUMMYFUNCTION("""COMPUTED_VALUE"""),2211.35)</f>
        <v>2211.35</v>
      </c>
      <c r="F5085" s="1">
        <f>IFERROR(__xludf.DUMMYFUNCTION("""COMPUTED_VALUE"""),3936886.0)</f>
        <v>3936886</v>
      </c>
    </row>
    <row r="5086">
      <c r="A5086" s="2">
        <f>IFERROR(__xludf.DUMMYFUNCTION("""COMPUTED_VALUE"""),44036.64583333333)</f>
        <v>44036.64583</v>
      </c>
      <c r="B5086" s="1">
        <f>IFERROR(__xludf.DUMMYFUNCTION("""COMPUTED_VALUE"""),2200.0)</f>
        <v>2200</v>
      </c>
      <c r="C5086" s="1">
        <f>IFERROR(__xludf.DUMMYFUNCTION("""COMPUTED_VALUE"""),2220.0)</f>
        <v>2220</v>
      </c>
      <c r="D5086" s="1">
        <f>IFERROR(__xludf.DUMMYFUNCTION("""COMPUTED_VALUE"""),2168.05)</f>
        <v>2168.05</v>
      </c>
      <c r="E5086" s="1">
        <f>IFERROR(__xludf.DUMMYFUNCTION("""COMPUTED_VALUE"""),2209.3)</f>
        <v>2209.3</v>
      </c>
      <c r="F5086" s="1">
        <f>IFERROR(__xludf.DUMMYFUNCTION("""COMPUTED_VALUE"""),4203390.0)</f>
        <v>4203390</v>
      </c>
    </row>
    <row r="5087">
      <c r="A5087" s="2">
        <f>IFERROR(__xludf.DUMMYFUNCTION("""COMPUTED_VALUE"""),44039.64583333333)</f>
        <v>44039.64583</v>
      </c>
      <c r="B5087" s="1">
        <f>IFERROR(__xludf.DUMMYFUNCTION("""COMPUTED_VALUE"""),2217.75)</f>
        <v>2217.75</v>
      </c>
      <c r="C5087" s="1">
        <f>IFERROR(__xludf.DUMMYFUNCTION("""COMPUTED_VALUE"""),2235.95)</f>
        <v>2235.95</v>
      </c>
      <c r="D5087" s="1">
        <f>IFERROR(__xludf.DUMMYFUNCTION("""COMPUTED_VALUE"""),2184.75)</f>
        <v>2184.75</v>
      </c>
      <c r="E5087" s="1">
        <f>IFERROR(__xludf.DUMMYFUNCTION("""COMPUTED_VALUE"""),2221.5)</f>
        <v>2221.5</v>
      </c>
      <c r="F5087" s="1">
        <f>IFERROR(__xludf.DUMMYFUNCTION("""COMPUTED_VALUE"""),2209431.0)</f>
        <v>2209431</v>
      </c>
    </row>
    <row r="5088">
      <c r="A5088" s="2">
        <f>IFERROR(__xludf.DUMMYFUNCTION("""COMPUTED_VALUE"""),44040.64583333333)</f>
        <v>44040.64583</v>
      </c>
      <c r="B5088" s="1">
        <f>IFERROR(__xludf.DUMMYFUNCTION("""COMPUTED_VALUE"""),2230.95)</f>
        <v>2230.95</v>
      </c>
      <c r="C5088" s="1">
        <f>IFERROR(__xludf.DUMMYFUNCTION("""COMPUTED_VALUE"""),2244.9)</f>
        <v>2244.9</v>
      </c>
      <c r="D5088" s="1">
        <f>IFERROR(__xludf.DUMMYFUNCTION("""COMPUTED_VALUE"""),2211.05)</f>
        <v>2211.05</v>
      </c>
      <c r="E5088" s="1">
        <f>IFERROR(__xludf.DUMMYFUNCTION("""COMPUTED_VALUE"""),2242.55)</f>
        <v>2242.55</v>
      </c>
      <c r="F5088" s="1">
        <f>IFERROR(__xludf.DUMMYFUNCTION("""COMPUTED_VALUE"""),1567889.0)</f>
        <v>1567889</v>
      </c>
    </row>
    <row r="5089">
      <c r="A5089" s="2">
        <f>IFERROR(__xludf.DUMMYFUNCTION("""COMPUTED_VALUE"""),44041.64583333333)</f>
        <v>44041.64583</v>
      </c>
      <c r="B5089" s="1">
        <f>IFERROR(__xludf.DUMMYFUNCTION("""COMPUTED_VALUE"""),2235.0)</f>
        <v>2235</v>
      </c>
      <c r="C5089" s="1">
        <f>IFERROR(__xludf.DUMMYFUNCTION("""COMPUTED_VALUE"""),2262.2)</f>
        <v>2262.2</v>
      </c>
      <c r="D5089" s="1">
        <f>IFERROR(__xludf.DUMMYFUNCTION("""COMPUTED_VALUE"""),2215.0)</f>
        <v>2215</v>
      </c>
      <c r="E5089" s="1">
        <f>IFERROR(__xludf.DUMMYFUNCTION("""COMPUTED_VALUE"""),2231.3)</f>
        <v>2231.3</v>
      </c>
      <c r="F5089" s="1">
        <f>IFERROR(__xludf.DUMMYFUNCTION("""COMPUTED_VALUE"""),2404989.0)</f>
        <v>2404989</v>
      </c>
    </row>
    <row r="5090">
      <c r="A5090" s="2">
        <f>IFERROR(__xludf.DUMMYFUNCTION("""COMPUTED_VALUE"""),44042.64583333333)</f>
        <v>44042.64583</v>
      </c>
      <c r="B5090" s="1">
        <f>IFERROR(__xludf.DUMMYFUNCTION("""COMPUTED_VALUE"""),2231.3)</f>
        <v>2231.3</v>
      </c>
      <c r="C5090" s="1">
        <f>IFERROR(__xludf.DUMMYFUNCTION("""COMPUTED_VALUE"""),2238.05)</f>
        <v>2238.05</v>
      </c>
      <c r="D5090" s="1">
        <f>IFERROR(__xludf.DUMMYFUNCTION("""COMPUTED_VALUE"""),2190.1)</f>
        <v>2190.1</v>
      </c>
      <c r="E5090" s="1">
        <f>IFERROR(__xludf.DUMMYFUNCTION("""COMPUTED_VALUE"""),2195.6)</f>
        <v>2195.6</v>
      </c>
      <c r="F5090" s="1">
        <f>IFERROR(__xludf.DUMMYFUNCTION("""COMPUTED_VALUE"""),2046188.0)</f>
        <v>2046188</v>
      </c>
    </row>
    <row r="5091">
      <c r="A5091" s="2">
        <f>IFERROR(__xludf.DUMMYFUNCTION("""COMPUTED_VALUE"""),44043.64583333333)</f>
        <v>44043.64583</v>
      </c>
      <c r="B5091" s="1">
        <f>IFERROR(__xludf.DUMMYFUNCTION("""COMPUTED_VALUE"""),2197.5)</f>
        <v>2197.5</v>
      </c>
      <c r="C5091" s="1">
        <f>IFERROR(__xludf.DUMMYFUNCTION("""COMPUTED_VALUE"""),2221.95)</f>
        <v>2221.95</v>
      </c>
      <c r="D5091" s="1">
        <f>IFERROR(__xludf.DUMMYFUNCTION("""COMPUTED_VALUE"""),2178.0)</f>
        <v>2178</v>
      </c>
      <c r="E5091" s="1">
        <f>IFERROR(__xludf.DUMMYFUNCTION("""COMPUTED_VALUE"""),2209.9)</f>
        <v>2209.9</v>
      </c>
      <c r="F5091" s="1">
        <f>IFERROR(__xludf.DUMMYFUNCTION("""COMPUTED_VALUE"""),1715834.0)</f>
        <v>1715834</v>
      </c>
    </row>
    <row r="5092">
      <c r="A5092" s="2">
        <f>IFERROR(__xludf.DUMMYFUNCTION("""COMPUTED_VALUE"""),44046.64583333333)</f>
        <v>44046.64583</v>
      </c>
      <c r="B5092" s="1">
        <f>IFERROR(__xludf.DUMMYFUNCTION("""COMPUTED_VALUE"""),2209.8)</f>
        <v>2209.8</v>
      </c>
      <c r="C5092" s="1">
        <f>IFERROR(__xludf.DUMMYFUNCTION("""COMPUTED_VALUE"""),2223.05)</f>
        <v>2223.05</v>
      </c>
      <c r="D5092" s="1">
        <f>IFERROR(__xludf.DUMMYFUNCTION("""COMPUTED_VALUE"""),2188.55)</f>
        <v>2188.55</v>
      </c>
      <c r="E5092" s="1">
        <f>IFERROR(__xludf.DUMMYFUNCTION("""COMPUTED_VALUE"""),2204.5)</f>
        <v>2204.5</v>
      </c>
      <c r="F5092" s="1">
        <f>IFERROR(__xludf.DUMMYFUNCTION("""COMPUTED_VALUE"""),1683798.0)</f>
        <v>1683798</v>
      </c>
    </row>
    <row r="5093">
      <c r="A5093" s="2">
        <f>IFERROR(__xludf.DUMMYFUNCTION("""COMPUTED_VALUE"""),44047.64583333333)</f>
        <v>44047.64583</v>
      </c>
      <c r="B5093" s="1">
        <f>IFERROR(__xludf.DUMMYFUNCTION("""COMPUTED_VALUE"""),2209.9)</f>
        <v>2209.9</v>
      </c>
      <c r="C5093" s="1">
        <f>IFERROR(__xludf.DUMMYFUNCTION("""COMPUTED_VALUE"""),2218.9)</f>
        <v>2218.9</v>
      </c>
      <c r="D5093" s="1">
        <f>IFERROR(__xludf.DUMMYFUNCTION("""COMPUTED_VALUE"""),2175.1)</f>
        <v>2175.1</v>
      </c>
      <c r="E5093" s="1">
        <f>IFERROR(__xludf.DUMMYFUNCTION("""COMPUTED_VALUE"""),2197.8)</f>
        <v>2197.8</v>
      </c>
      <c r="F5093" s="1">
        <f>IFERROR(__xludf.DUMMYFUNCTION("""COMPUTED_VALUE"""),1981721.0)</f>
        <v>1981721</v>
      </c>
    </row>
    <row r="5094">
      <c r="A5094" s="2">
        <f>IFERROR(__xludf.DUMMYFUNCTION("""COMPUTED_VALUE"""),44048.64583333333)</f>
        <v>44048.64583</v>
      </c>
      <c r="B5094" s="1">
        <f>IFERROR(__xludf.DUMMYFUNCTION("""COMPUTED_VALUE"""),2202.0)</f>
        <v>2202</v>
      </c>
      <c r="C5094" s="1">
        <f>IFERROR(__xludf.DUMMYFUNCTION("""COMPUTED_VALUE"""),2209.9)</f>
        <v>2209.9</v>
      </c>
      <c r="D5094" s="1">
        <f>IFERROR(__xludf.DUMMYFUNCTION("""COMPUTED_VALUE"""),2181.05)</f>
        <v>2181.05</v>
      </c>
      <c r="E5094" s="1">
        <f>IFERROR(__xludf.DUMMYFUNCTION("""COMPUTED_VALUE"""),2194.55)</f>
        <v>2194.55</v>
      </c>
      <c r="F5094" s="1">
        <f>IFERROR(__xludf.DUMMYFUNCTION("""COMPUTED_VALUE"""),1715481.0)</f>
        <v>1715481</v>
      </c>
    </row>
    <row r="5095">
      <c r="A5095" s="2">
        <f>IFERROR(__xludf.DUMMYFUNCTION("""COMPUTED_VALUE"""),44049.64583333333)</f>
        <v>44049.64583</v>
      </c>
      <c r="B5095" s="1">
        <f>IFERROR(__xludf.DUMMYFUNCTION("""COMPUTED_VALUE"""),2200.0)</f>
        <v>2200</v>
      </c>
      <c r="C5095" s="1">
        <f>IFERROR(__xludf.DUMMYFUNCTION("""COMPUTED_VALUE"""),2229.0)</f>
        <v>2229</v>
      </c>
      <c r="D5095" s="1">
        <f>IFERROR(__xludf.DUMMYFUNCTION("""COMPUTED_VALUE"""),2192.05)</f>
        <v>2192.05</v>
      </c>
      <c r="E5095" s="1">
        <f>IFERROR(__xludf.DUMMYFUNCTION("""COMPUTED_VALUE"""),2220.45)</f>
        <v>2220.45</v>
      </c>
      <c r="F5095" s="1">
        <f>IFERROR(__xludf.DUMMYFUNCTION("""COMPUTED_VALUE"""),1824540.0)</f>
        <v>1824540</v>
      </c>
    </row>
    <row r="5096">
      <c r="A5096" s="2">
        <f>IFERROR(__xludf.DUMMYFUNCTION("""COMPUTED_VALUE"""),44050.64583333333)</f>
        <v>44050.64583</v>
      </c>
      <c r="B5096" s="1">
        <f>IFERROR(__xludf.DUMMYFUNCTION("""COMPUTED_VALUE"""),2223.0)</f>
        <v>2223</v>
      </c>
      <c r="C5096" s="1">
        <f>IFERROR(__xludf.DUMMYFUNCTION("""COMPUTED_VALUE"""),2234.8)</f>
        <v>2234.8</v>
      </c>
      <c r="D5096" s="1">
        <f>IFERROR(__xludf.DUMMYFUNCTION("""COMPUTED_VALUE"""),2205.0)</f>
        <v>2205</v>
      </c>
      <c r="E5096" s="1">
        <f>IFERROR(__xludf.DUMMYFUNCTION("""COMPUTED_VALUE"""),2210.55)</f>
        <v>2210.55</v>
      </c>
      <c r="F5096" s="1">
        <f>IFERROR(__xludf.DUMMYFUNCTION("""COMPUTED_VALUE"""),1778051.0)</f>
        <v>1778051</v>
      </c>
    </row>
    <row r="5097">
      <c r="A5097" s="2">
        <f>IFERROR(__xludf.DUMMYFUNCTION("""COMPUTED_VALUE"""),44053.64583333333)</f>
        <v>44053.64583</v>
      </c>
      <c r="B5097" s="1">
        <f>IFERROR(__xludf.DUMMYFUNCTION("""COMPUTED_VALUE"""),2218.0)</f>
        <v>2218</v>
      </c>
      <c r="C5097" s="1">
        <f>IFERROR(__xludf.DUMMYFUNCTION("""COMPUTED_VALUE"""),2226.75)</f>
        <v>2226.75</v>
      </c>
      <c r="D5097" s="1">
        <f>IFERROR(__xludf.DUMMYFUNCTION("""COMPUTED_VALUE"""),2198.8)</f>
        <v>2198.8</v>
      </c>
      <c r="E5097" s="1">
        <f>IFERROR(__xludf.DUMMYFUNCTION("""COMPUTED_VALUE"""),2206.75)</f>
        <v>2206.75</v>
      </c>
      <c r="F5097" s="1">
        <f>IFERROR(__xludf.DUMMYFUNCTION("""COMPUTED_VALUE"""),1476389.0)</f>
        <v>1476389</v>
      </c>
    </row>
    <row r="5098">
      <c r="A5098" s="2">
        <f>IFERROR(__xludf.DUMMYFUNCTION("""COMPUTED_VALUE"""),44054.64583333333)</f>
        <v>44054.64583</v>
      </c>
      <c r="B5098" s="1">
        <f>IFERROR(__xludf.DUMMYFUNCTION("""COMPUTED_VALUE"""),2209.05)</f>
        <v>2209.05</v>
      </c>
      <c r="C5098" s="1">
        <f>IFERROR(__xludf.DUMMYFUNCTION("""COMPUTED_VALUE"""),2233.0)</f>
        <v>2233</v>
      </c>
      <c r="D5098" s="1">
        <f>IFERROR(__xludf.DUMMYFUNCTION("""COMPUTED_VALUE"""),2206.0)</f>
        <v>2206</v>
      </c>
      <c r="E5098" s="1">
        <f>IFERROR(__xludf.DUMMYFUNCTION("""COMPUTED_VALUE"""),2210.65)</f>
        <v>2210.65</v>
      </c>
      <c r="F5098" s="1">
        <f>IFERROR(__xludf.DUMMYFUNCTION("""COMPUTED_VALUE"""),1665204.0)</f>
        <v>1665204</v>
      </c>
    </row>
    <row r="5099">
      <c r="A5099" s="2">
        <f>IFERROR(__xludf.DUMMYFUNCTION("""COMPUTED_VALUE"""),44055.64583333333)</f>
        <v>44055.64583</v>
      </c>
      <c r="B5099" s="1">
        <f>IFERROR(__xludf.DUMMYFUNCTION("""COMPUTED_VALUE"""),2200.05)</f>
        <v>2200.05</v>
      </c>
      <c r="C5099" s="1">
        <f>IFERROR(__xludf.DUMMYFUNCTION("""COMPUTED_VALUE"""),2209.05)</f>
        <v>2209.05</v>
      </c>
      <c r="D5099" s="1">
        <f>IFERROR(__xludf.DUMMYFUNCTION("""COMPUTED_VALUE"""),2190.0)</f>
        <v>2190</v>
      </c>
      <c r="E5099" s="1">
        <f>IFERROR(__xludf.DUMMYFUNCTION("""COMPUTED_VALUE"""),2195.1)</f>
        <v>2195.1</v>
      </c>
      <c r="F5099" s="1">
        <f>IFERROR(__xludf.DUMMYFUNCTION("""COMPUTED_VALUE"""),1170455.0)</f>
        <v>1170455</v>
      </c>
    </row>
    <row r="5100">
      <c r="A5100" s="2">
        <f>IFERROR(__xludf.DUMMYFUNCTION("""COMPUTED_VALUE"""),44056.64583333333)</f>
        <v>44056.64583</v>
      </c>
      <c r="B5100" s="1">
        <f>IFERROR(__xludf.DUMMYFUNCTION("""COMPUTED_VALUE"""),2200.0)</f>
        <v>2200</v>
      </c>
      <c r="C5100" s="1">
        <f>IFERROR(__xludf.DUMMYFUNCTION("""COMPUTED_VALUE"""),2217.0)</f>
        <v>2217</v>
      </c>
      <c r="D5100" s="1">
        <f>IFERROR(__xludf.DUMMYFUNCTION("""COMPUTED_VALUE"""),2190.95)</f>
        <v>2190.95</v>
      </c>
      <c r="E5100" s="1">
        <f>IFERROR(__xludf.DUMMYFUNCTION("""COMPUTED_VALUE"""),2198.65)</f>
        <v>2198.65</v>
      </c>
      <c r="F5100" s="1">
        <f>IFERROR(__xludf.DUMMYFUNCTION("""COMPUTED_VALUE"""),1453429.0)</f>
        <v>1453429</v>
      </c>
    </row>
    <row r="5101">
      <c r="A5101" s="2">
        <f>IFERROR(__xludf.DUMMYFUNCTION("""COMPUTED_VALUE"""),44057.64583333333)</f>
        <v>44057.64583</v>
      </c>
      <c r="B5101" s="1">
        <f>IFERROR(__xludf.DUMMYFUNCTION("""COMPUTED_VALUE"""),2204.0)</f>
        <v>2204</v>
      </c>
      <c r="C5101" s="1">
        <f>IFERROR(__xludf.DUMMYFUNCTION("""COMPUTED_VALUE"""),2216.0)</f>
        <v>2216</v>
      </c>
      <c r="D5101" s="1">
        <f>IFERROR(__xludf.DUMMYFUNCTION("""COMPUTED_VALUE"""),2165.05)</f>
        <v>2165.05</v>
      </c>
      <c r="E5101" s="1">
        <f>IFERROR(__xludf.DUMMYFUNCTION("""COMPUTED_VALUE"""),2173.9)</f>
        <v>2173.9</v>
      </c>
      <c r="F5101" s="1">
        <f>IFERROR(__xludf.DUMMYFUNCTION("""COMPUTED_VALUE"""),1341691.0)</f>
        <v>1341691</v>
      </c>
    </row>
    <row r="5102">
      <c r="A5102" s="2">
        <f>IFERROR(__xludf.DUMMYFUNCTION("""COMPUTED_VALUE"""),44060.64583333333)</f>
        <v>44060.64583</v>
      </c>
      <c r="B5102" s="1">
        <f>IFERROR(__xludf.DUMMYFUNCTION("""COMPUTED_VALUE"""),2181.0)</f>
        <v>2181</v>
      </c>
      <c r="C5102" s="1">
        <f>IFERROR(__xludf.DUMMYFUNCTION("""COMPUTED_VALUE"""),2203.65)</f>
        <v>2203.65</v>
      </c>
      <c r="D5102" s="1">
        <f>IFERROR(__xludf.DUMMYFUNCTION("""COMPUTED_VALUE"""),2168.4)</f>
        <v>2168.4</v>
      </c>
      <c r="E5102" s="1">
        <f>IFERROR(__xludf.DUMMYFUNCTION("""COMPUTED_VALUE"""),2196.05)</f>
        <v>2196.05</v>
      </c>
      <c r="F5102" s="1">
        <f>IFERROR(__xludf.DUMMYFUNCTION("""COMPUTED_VALUE"""),1559579.0)</f>
        <v>1559579</v>
      </c>
    </row>
    <row r="5103">
      <c r="A5103" s="2">
        <f>IFERROR(__xludf.DUMMYFUNCTION("""COMPUTED_VALUE"""),44061.64583333333)</f>
        <v>44061.64583</v>
      </c>
      <c r="B5103" s="1">
        <f>IFERROR(__xludf.DUMMYFUNCTION("""COMPUTED_VALUE"""),2204.0)</f>
        <v>2204</v>
      </c>
      <c r="C5103" s="1">
        <f>IFERROR(__xludf.DUMMYFUNCTION("""COMPUTED_VALUE"""),2216.8)</f>
        <v>2216.8</v>
      </c>
      <c r="D5103" s="1">
        <f>IFERROR(__xludf.DUMMYFUNCTION("""COMPUTED_VALUE"""),2189.0)</f>
        <v>2189</v>
      </c>
      <c r="E5103" s="1">
        <f>IFERROR(__xludf.DUMMYFUNCTION("""COMPUTED_VALUE"""),2214.35)</f>
        <v>2214.35</v>
      </c>
      <c r="F5103" s="1">
        <f>IFERROR(__xludf.DUMMYFUNCTION("""COMPUTED_VALUE"""),1339002.0)</f>
        <v>1339002</v>
      </c>
    </row>
    <row r="5104">
      <c r="A5104" s="2">
        <f>IFERROR(__xludf.DUMMYFUNCTION("""COMPUTED_VALUE"""),44062.64583333333)</f>
        <v>44062.64583</v>
      </c>
      <c r="B5104" s="1">
        <f>IFERROR(__xludf.DUMMYFUNCTION("""COMPUTED_VALUE"""),2206.0)</f>
        <v>2206</v>
      </c>
      <c r="C5104" s="1">
        <f>IFERROR(__xludf.DUMMYFUNCTION("""COMPUTED_VALUE"""),2221.5)</f>
        <v>2221.5</v>
      </c>
      <c r="D5104" s="1">
        <f>IFERROR(__xludf.DUMMYFUNCTION("""COMPUTED_VALUE"""),2190.0)</f>
        <v>2190</v>
      </c>
      <c r="E5104" s="1">
        <f>IFERROR(__xludf.DUMMYFUNCTION("""COMPUTED_VALUE"""),2193.6)</f>
        <v>2193.6</v>
      </c>
      <c r="F5104" s="1">
        <f>IFERROR(__xludf.DUMMYFUNCTION("""COMPUTED_VALUE"""),1585132.0)</f>
        <v>1585132</v>
      </c>
    </row>
    <row r="5105">
      <c r="A5105" s="2">
        <f>IFERROR(__xludf.DUMMYFUNCTION("""COMPUTED_VALUE"""),44063.64583333333)</f>
        <v>44063.64583</v>
      </c>
      <c r="B5105" s="1">
        <f>IFERROR(__xludf.DUMMYFUNCTION("""COMPUTED_VALUE"""),2186.0)</f>
        <v>2186</v>
      </c>
      <c r="C5105" s="1">
        <f>IFERROR(__xludf.DUMMYFUNCTION("""COMPUTED_VALUE"""),2197.8)</f>
        <v>2197.8</v>
      </c>
      <c r="D5105" s="1">
        <f>IFERROR(__xludf.DUMMYFUNCTION("""COMPUTED_VALUE"""),2176.15)</f>
        <v>2176.15</v>
      </c>
      <c r="E5105" s="1">
        <f>IFERROR(__xludf.DUMMYFUNCTION("""COMPUTED_VALUE"""),2185.7)</f>
        <v>2185.7</v>
      </c>
      <c r="F5105" s="1">
        <f>IFERROR(__xludf.DUMMYFUNCTION("""COMPUTED_VALUE"""),1768939.0)</f>
        <v>1768939</v>
      </c>
    </row>
    <row r="5106">
      <c r="A5106" s="2">
        <f>IFERROR(__xludf.DUMMYFUNCTION("""COMPUTED_VALUE"""),44064.64583333333)</f>
        <v>44064.64583</v>
      </c>
      <c r="B5106" s="1">
        <f>IFERROR(__xludf.DUMMYFUNCTION("""COMPUTED_VALUE"""),2199.0)</f>
        <v>2199</v>
      </c>
      <c r="C5106" s="1">
        <f>IFERROR(__xludf.DUMMYFUNCTION("""COMPUTED_VALUE"""),2208.7)</f>
        <v>2208.7</v>
      </c>
      <c r="D5106" s="1">
        <f>IFERROR(__xludf.DUMMYFUNCTION("""COMPUTED_VALUE"""),2187.45)</f>
        <v>2187.45</v>
      </c>
      <c r="E5106" s="1">
        <f>IFERROR(__xludf.DUMMYFUNCTION("""COMPUTED_VALUE"""),2202.05)</f>
        <v>2202.05</v>
      </c>
      <c r="F5106" s="1">
        <f>IFERROR(__xludf.DUMMYFUNCTION("""COMPUTED_VALUE"""),1374412.0)</f>
        <v>1374412</v>
      </c>
    </row>
    <row r="5107">
      <c r="A5107" s="2">
        <f>IFERROR(__xludf.DUMMYFUNCTION("""COMPUTED_VALUE"""),44067.64583333333)</f>
        <v>44067.64583</v>
      </c>
      <c r="B5107" s="1">
        <f>IFERROR(__xludf.DUMMYFUNCTION("""COMPUTED_VALUE"""),2206.0)</f>
        <v>2206</v>
      </c>
      <c r="C5107" s="1">
        <f>IFERROR(__xludf.DUMMYFUNCTION("""COMPUTED_VALUE"""),2211.65)</f>
        <v>2211.65</v>
      </c>
      <c r="D5107" s="1">
        <f>IFERROR(__xludf.DUMMYFUNCTION("""COMPUTED_VALUE"""),2191.2)</f>
        <v>2191.2</v>
      </c>
      <c r="E5107" s="1">
        <f>IFERROR(__xludf.DUMMYFUNCTION("""COMPUTED_VALUE"""),2194.4)</f>
        <v>2194.4</v>
      </c>
      <c r="F5107" s="1">
        <f>IFERROR(__xludf.DUMMYFUNCTION("""COMPUTED_VALUE"""),1665474.0)</f>
        <v>1665474</v>
      </c>
    </row>
    <row r="5108">
      <c r="A5108" s="2">
        <f>IFERROR(__xludf.DUMMYFUNCTION("""COMPUTED_VALUE"""),44068.64583333333)</f>
        <v>44068.64583</v>
      </c>
      <c r="B5108" s="1">
        <f>IFERROR(__xludf.DUMMYFUNCTION("""COMPUTED_VALUE"""),2194.4)</f>
        <v>2194.4</v>
      </c>
      <c r="C5108" s="1">
        <f>IFERROR(__xludf.DUMMYFUNCTION("""COMPUTED_VALUE"""),2197.9)</f>
        <v>2197.9</v>
      </c>
      <c r="D5108" s="1">
        <f>IFERROR(__xludf.DUMMYFUNCTION("""COMPUTED_VALUE"""),2175.0)</f>
        <v>2175</v>
      </c>
      <c r="E5108" s="1">
        <f>IFERROR(__xludf.DUMMYFUNCTION("""COMPUTED_VALUE"""),2179.1)</f>
        <v>2179.1</v>
      </c>
      <c r="F5108" s="1">
        <f>IFERROR(__xludf.DUMMYFUNCTION("""COMPUTED_VALUE"""),1774886.0)</f>
        <v>1774886</v>
      </c>
    </row>
    <row r="5109">
      <c r="A5109" s="2">
        <f>IFERROR(__xludf.DUMMYFUNCTION("""COMPUTED_VALUE"""),44069.64583333333)</f>
        <v>44069.64583</v>
      </c>
      <c r="B5109" s="1">
        <f>IFERROR(__xludf.DUMMYFUNCTION("""COMPUTED_VALUE"""),2182.1)</f>
        <v>2182.1</v>
      </c>
      <c r="C5109" s="1">
        <f>IFERROR(__xludf.DUMMYFUNCTION("""COMPUTED_VALUE"""),2186.0)</f>
        <v>2186</v>
      </c>
      <c r="D5109" s="1">
        <f>IFERROR(__xludf.DUMMYFUNCTION("""COMPUTED_VALUE"""),2160.0)</f>
        <v>2160</v>
      </c>
      <c r="E5109" s="1">
        <f>IFERROR(__xludf.DUMMYFUNCTION("""COMPUTED_VALUE"""),2182.8)</f>
        <v>2182.8</v>
      </c>
      <c r="F5109" s="1">
        <f>IFERROR(__xludf.DUMMYFUNCTION("""COMPUTED_VALUE"""),2148246.0)</f>
        <v>2148246</v>
      </c>
    </row>
    <row r="5110">
      <c r="A5110" s="2">
        <f>IFERROR(__xludf.DUMMYFUNCTION("""COMPUTED_VALUE"""),44070.64583333333)</f>
        <v>44070.64583</v>
      </c>
      <c r="B5110" s="1">
        <f>IFERROR(__xludf.DUMMYFUNCTION("""COMPUTED_VALUE"""),2182.1)</f>
        <v>2182.1</v>
      </c>
      <c r="C5110" s="1">
        <f>IFERROR(__xludf.DUMMYFUNCTION("""COMPUTED_VALUE"""),2188.0)</f>
        <v>2188</v>
      </c>
      <c r="D5110" s="1">
        <f>IFERROR(__xludf.DUMMYFUNCTION("""COMPUTED_VALUE"""),2165.0)</f>
        <v>2165</v>
      </c>
      <c r="E5110" s="1">
        <f>IFERROR(__xludf.DUMMYFUNCTION("""COMPUTED_VALUE"""),2171.25)</f>
        <v>2171.25</v>
      </c>
      <c r="F5110" s="1">
        <f>IFERROR(__xludf.DUMMYFUNCTION("""COMPUTED_VALUE"""),2172278.0)</f>
        <v>2172278</v>
      </c>
    </row>
    <row r="5111">
      <c r="A5111" s="2">
        <f>IFERROR(__xludf.DUMMYFUNCTION("""COMPUTED_VALUE"""),44071.64583333333)</f>
        <v>44071.64583</v>
      </c>
      <c r="B5111" s="1">
        <f>IFERROR(__xludf.DUMMYFUNCTION("""COMPUTED_VALUE"""),2179.0)</f>
        <v>2179</v>
      </c>
      <c r="C5111" s="1">
        <f>IFERROR(__xludf.DUMMYFUNCTION("""COMPUTED_VALUE"""),2182.4)</f>
        <v>2182.4</v>
      </c>
      <c r="D5111" s="1">
        <f>IFERROR(__xludf.DUMMYFUNCTION("""COMPUTED_VALUE"""),2145.0)</f>
        <v>2145</v>
      </c>
      <c r="E5111" s="1">
        <f>IFERROR(__xludf.DUMMYFUNCTION("""COMPUTED_VALUE"""),2151.95)</f>
        <v>2151.95</v>
      </c>
      <c r="F5111" s="1">
        <f>IFERROR(__xludf.DUMMYFUNCTION("""COMPUTED_VALUE"""),1939848.0)</f>
        <v>1939848</v>
      </c>
    </row>
    <row r="5112">
      <c r="A5112" s="2">
        <f>IFERROR(__xludf.DUMMYFUNCTION("""COMPUTED_VALUE"""),44074.64583333333)</f>
        <v>44074.64583</v>
      </c>
      <c r="B5112" s="1">
        <f>IFERROR(__xludf.DUMMYFUNCTION("""COMPUTED_VALUE"""),2152.0)</f>
        <v>2152</v>
      </c>
      <c r="C5112" s="1">
        <f>IFERROR(__xludf.DUMMYFUNCTION("""COMPUTED_VALUE"""),2167.5)</f>
        <v>2167.5</v>
      </c>
      <c r="D5112" s="1">
        <f>IFERROR(__xludf.DUMMYFUNCTION("""COMPUTED_VALUE"""),2100.65)</f>
        <v>2100.65</v>
      </c>
      <c r="E5112" s="1">
        <f>IFERROR(__xludf.DUMMYFUNCTION("""COMPUTED_VALUE"""),2117.35)</f>
        <v>2117.35</v>
      </c>
      <c r="F5112" s="1">
        <f>IFERROR(__xludf.DUMMYFUNCTION("""COMPUTED_VALUE"""),3534525.0)</f>
        <v>3534525</v>
      </c>
    </row>
    <row r="5113">
      <c r="A5113" s="2">
        <f>IFERROR(__xludf.DUMMYFUNCTION("""COMPUTED_VALUE"""),44075.64583333333)</f>
        <v>44075.64583</v>
      </c>
      <c r="B5113" s="1">
        <f>IFERROR(__xludf.DUMMYFUNCTION("""COMPUTED_VALUE"""),2149.95)</f>
        <v>2149.95</v>
      </c>
      <c r="C5113" s="1">
        <f>IFERROR(__xludf.DUMMYFUNCTION("""COMPUTED_VALUE"""),2174.9)</f>
        <v>2174.9</v>
      </c>
      <c r="D5113" s="1">
        <f>IFERROR(__xludf.DUMMYFUNCTION("""COMPUTED_VALUE"""),2111.75)</f>
        <v>2111.75</v>
      </c>
      <c r="E5113" s="1">
        <f>IFERROR(__xludf.DUMMYFUNCTION("""COMPUTED_VALUE"""),2161.65)</f>
        <v>2161.65</v>
      </c>
      <c r="F5113" s="1">
        <f>IFERROR(__xludf.DUMMYFUNCTION("""COMPUTED_VALUE"""),1738013.0)</f>
        <v>1738013</v>
      </c>
    </row>
    <row r="5114">
      <c r="A5114" s="2">
        <f>IFERROR(__xludf.DUMMYFUNCTION("""COMPUTED_VALUE"""),44076.64583333333)</f>
        <v>44076.64583</v>
      </c>
      <c r="B5114" s="1">
        <f>IFERROR(__xludf.DUMMYFUNCTION("""COMPUTED_VALUE"""),2171.0)</f>
        <v>2171</v>
      </c>
      <c r="C5114" s="1">
        <f>IFERROR(__xludf.DUMMYFUNCTION("""COMPUTED_VALUE"""),2185.0)</f>
        <v>2185</v>
      </c>
      <c r="D5114" s="1">
        <f>IFERROR(__xludf.DUMMYFUNCTION("""COMPUTED_VALUE"""),2136.55)</f>
        <v>2136.55</v>
      </c>
      <c r="E5114" s="1">
        <f>IFERROR(__xludf.DUMMYFUNCTION("""COMPUTED_VALUE"""),2141.65)</f>
        <v>2141.65</v>
      </c>
      <c r="F5114" s="1">
        <f>IFERROR(__xludf.DUMMYFUNCTION("""COMPUTED_VALUE"""),1667810.0)</f>
        <v>1667810</v>
      </c>
    </row>
    <row r="5115">
      <c r="A5115" s="2">
        <f>IFERROR(__xludf.DUMMYFUNCTION("""COMPUTED_VALUE"""),44077.64583333333)</f>
        <v>44077.64583</v>
      </c>
      <c r="B5115" s="1">
        <f>IFERROR(__xludf.DUMMYFUNCTION("""COMPUTED_VALUE"""),2153.0)</f>
        <v>2153</v>
      </c>
      <c r="C5115" s="1">
        <f>IFERROR(__xludf.DUMMYFUNCTION("""COMPUTED_VALUE"""),2154.45)</f>
        <v>2154.45</v>
      </c>
      <c r="D5115" s="1">
        <f>IFERROR(__xludf.DUMMYFUNCTION("""COMPUTED_VALUE"""),2128.05)</f>
        <v>2128.05</v>
      </c>
      <c r="E5115" s="1">
        <f>IFERROR(__xludf.DUMMYFUNCTION("""COMPUTED_VALUE"""),2139.15)</f>
        <v>2139.15</v>
      </c>
      <c r="F5115" s="1">
        <f>IFERROR(__xludf.DUMMYFUNCTION("""COMPUTED_VALUE"""),1590711.0)</f>
        <v>1590711</v>
      </c>
    </row>
    <row r="5116">
      <c r="A5116" s="2">
        <f>IFERROR(__xludf.DUMMYFUNCTION("""COMPUTED_VALUE"""),44078.64583333333)</f>
        <v>44078.64583</v>
      </c>
      <c r="B5116" s="1">
        <f>IFERROR(__xludf.DUMMYFUNCTION("""COMPUTED_VALUE"""),2115.0)</f>
        <v>2115</v>
      </c>
      <c r="C5116" s="1">
        <f>IFERROR(__xludf.DUMMYFUNCTION("""COMPUTED_VALUE"""),2140.9)</f>
        <v>2140.9</v>
      </c>
      <c r="D5116" s="1">
        <f>IFERROR(__xludf.DUMMYFUNCTION("""COMPUTED_VALUE"""),2114.0)</f>
        <v>2114</v>
      </c>
      <c r="E5116" s="1">
        <f>IFERROR(__xludf.DUMMYFUNCTION("""COMPUTED_VALUE"""),2124.65)</f>
        <v>2124.65</v>
      </c>
      <c r="F5116" s="1">
        <f>IFERROR(__xludf.DUMMYFUNCTION("""COMPUTED_VALUE"""),1590491.0)</f>
        <v>1590491</v>
      </c>
    </row>
    <row r="5117">
      <c r="A5117" s="2">
        <f>IFERROR(__xludf.DUMMYFUNCTION("""COMPUTED_VALUE"""),44081.64583333333)</f>
        <v>44081.64583</v>
      </c>
      <c r="B5117" s="1">
        <f>IFERROR(__xludf.DUMMYFUNCTION("""COMPUTED_VALUE"""),2126.0)</f>
        <v>2126</v>
      </c>
      <c r="C5117" s="1">
        <f>IFERROR(__xludf.DUMMYFUNCTION("""COMPUTED_VALUE"""),2174.0)</f>
        <v>2174</v>
      </c>
      <c r="D5117" s="1">
        <f>IFERROR(__xludf.DUMMYFUNCTION("""COMPUTED_VALUE"""),2103.75)</f>
        <v>2103.75</v>
      </c>
      <c r="E5117" s="1">
        <f>IFERROR(__xludf.DUMMYFUNCTION("""COMPUTED_VALUE"""),2162.6)</f>
        <v>2162.6</v>
      </c>
      <c r="F5117" s="1">
        <f>IFERROR(__xludf.DUMMYFUNCTION("""COMPUTED_VALUE"""),2363028.0)</f>
        <v>2363028</v>
      </c>
    </row>
    <row r="5118">
      <c r="A5118" s="2">
        <f>IFERROR(__xludf.DUMMYFUNCTION("""COMPUTED_VALUE"""),44082.64583333333)</f>
        <v>44082.64583</v>
      </c>
      <c r="B5118" s="1">
        <f>IFERROR(__xludf.DUMMYFUNCTION("""COMPUTED_VALUE"""),2154.0)</f>
        <v>2154</v>
      </c>
      <c r="C5118" s="1">
        <f>IFERROR(__xludf.DUMMYFUNCTION("""COMPUTED_VALUE"""),2171.35)</f>
        <v>2171.35</v>
      </c>
      <c r="D5118" s="1">
        <f>IFERROR(__xludf.DUMMYFUNCTION("""COMPUTED_VALUE"""),2131.15)</f>
        <v>2131.15</v>
      </c>
      <c r="E5118" s="1">
        <f>IFERROR(__xludf.DUMMYFUNCTION("""COMPUTED_VALUE"""),2142.25)</f>
        <v>2142.25</v>
      </c>
      <c r="F5118" s="1">
        <f>IFERROR(__xludf.DUMMYFUNCTION("""COMPUTED_VALUE"""),1804240.0)</f>
        <v>1804240</v>
      </c>
    </row>
    <row r="5119">
      <c r="A5119" s="2">
        <f>IFERROR(__xludf.DUMMYFUNCTION("""COMPUTED_VALUE"""),44083.64583333333)</f>
        <v>44083.64583</v>
      </c>
      <c r="B5119" s="1">
        <f>IFERROR(__xludf.DUMMYFUNCTION("""COMPUTED_VALUE"""),2122.0)</f>
        <v>2122</v>
      </c>
      <c r="C5119" s="1">
        <f>IFERROR(__xludf.DUMMYFUNCTION("""COMPUTED_VALUE"""),2144.2)</f>
        <v>2144.2</v>
      </c>
      <c r="D5119" s="1">
        <f>IFERROR(__xludf.DUMMYFUNCTION("""COMPUTED_VALUE"""),2110.0)</f>
        <v>2110</v>
      </c>
      <c r="E5119" s="1">
        <f>IFERROR(__xludf.DUMMYFUNCTION("""COMPUTED_VALUE"""),2132.25)</f>
        <v>2132.25</v>
      </c>
      <c r="F5119" s="1">
        <f>IFERROR(__xludf.DUMMYFUNCTION("""COMPUTED_VALUE"""),2009945.0)</f>
        <v>2009945</v>
      </c>
    </row>
    <row r="5120">
      <c r="A5120" s="2">
        <f>IFERROR(__xludf.DUMMYFUNCTION("""COMPUTED_VALUE"""),44084.64583333333)</f>
        <v>44084.64583</v>
      </c>
      <c r="B5120" s="1">
        <f>IFERROR(__xludf.DUMMYFUNCTION("""COMPUTED_VALUE"""),2142.0)</f>
        <v>2142</v>
      </c>
      <c r="C5120" s="1">
        <f>IFERROR(__xludf.DUMMYFUNCTION("""COMPUTED_VALUE"""),2143.6)</f>
        <v>2143.6</v>
      </c>
      <c r="D5120" s="1">
        <f>IFERROR(__xludf.DUMMYFUNCTION("""COMPUTED_VALUE"""),2118.2)</f>
        <v>2118.2</v>
      </c>
      <c r="E5120" s="1">
        <f>IFERROR(__xludf.DUMMYFUNCTION("""COMPUTED_VALUE"""),2133.9)</f>
        <v>2133.9</v>
      </c>
      <c r="F5120" s="1">
        <f>IFERROR(__xludf.DUMMYFUNCTION("""COMPUTED_VALUE"""),2137794.0)</f>
        <v>2137794</v>
      </c>
    </row>
    <row r="5121">
      <c r="A5121" s="2">
        <f>IFERROR(__xludf.DUMMYFUNCTION("""COMPUTED_VALUE"""),44085.64583333333)</f>
        <v>44085.64583</v>
      </c>
      <c r="B5121" s="1">
        <f>IFERROR(__xludf.DUMMYFUNCTION("""COMPUTED_VALUE"""),2125.0)</f>
        <v>2125</v>
      </c>
      <c r="C5121" s="1">
        <f>IFERROR(__xludf.DUMMYFUNCTION("""COMPUTED_VALUE"""),2169.0)</f>
        <v>2169</v>
      </c>
      <c r="D5121" s="1">
        <f>IFERROR(__xludf.DUMMYFUNCTION("""COMPUTED_VALUE"""),2124.5)</f>
        <v>2124.5</v>
      </c>
      <c r="E5121" s="1">
        <f>IFERROR(__xludf.DUMMYFUNCTION("""COMPUTED_VALUE"""),2159.25)</f>
        <v>2159.25</v>
      </c>
      <c r="F5121" s="1">
        <f>IFERROR(__xludf.DUMMYFUNCTION("""COMPUTED_VALUE"""),1934716.0)</f>
        <v>1934716</v>
      </c>
    </row>
    <row r="5122">
      <c r="A5122" s="2">
        <f>IFERROR(__xludf.DUMMYFUNCTION("""COMPUTED_VALUE"""),44088.64583333333)</f>
        <v>44088.64583</v>
      </c>
      <c r="B5122" s="1">
        <f>IFERROR(__xludf.DUMMYFUNCTION("""COMPUTED_VALUE"""),2167.0)</f>
        <v>2167</v>
      </c>
      <c r="C5122" s="1">
        <f>IFERROR(__xludf.DUMMYFUNCTION("""COMPUTED_VALUE"""),2169.7)</f>
        <v>2169.7</v>
      </c>
      <c r="D5122" s="1">
        <f>IFERROR(__xludf.DUMMYFUNCTION("""COMPUTED_VALUE"""),2115.0)</f>
        <v>2115</v>
      </c>
      <c r="E5122" s="1">
        <f>IFERROR(__xludf.DUMMYFUNCTION("""COMPUTED_VALUE"""),2123.5)</f>
        <v>2123.5</v>
      </c>
      <c r="F5122" s="1">
        <f>IFERROR(__xludf.DUMMYFUNCTION("""COMPUTED_VALUE"""),2096976.0)</f>
        <v>2096976</v>
      </c>
    </row>
    <row r="5123">
      <c r="A5123" s="2">
        <f>IFERROR(__xludf.DUMMYFUNCTION("""COMPUTED_VALUE"""),44089.64583333333)</f>
        <v>44089.64583</v>
      </c>
      <c r="B5123" s="1">
        <f>IFERROR(__xludf.DUMMYFUNCTION("""COMPUTED_VALUE"""),2136.9)</f>
        <v>2136.9</v>
      </c>
      <c r="C5123" s="1">
        <f>IFERROR(__xludf.DUMMYFUNCTION("""COMPUTED_VALUE"""),2137.0)</f>
        <v>2137</v>
      </c>
      <c r="D5123" s="1">
        <f>IFERROR(__xludf.DUMMYFUNCTION("""COMPUTED_VALUE"""),2109.0)</f>
        <v>2109</v>
      </c>
      <c r="E5123" s="1">
        <f>IFERROR(__xludf.DUMMYFUNCTION("""COMPUTED_VALUE"""),2124.45)</f>
        <v>2124.45</v>
      </c>
      <c r="F5123" s="1">
        <f>IFERROR(__xludf.DUMMYFUNCTION("""COMPUTED_VALUE"""),1224059.0)</f>
        <v>1224059</v>
      </c>
    </row>
    <row r="5124">
      <c r="A5124" s="2">
        <f>IFERROR(__xludf.DUMMYFUNCTION("""COMPUTED_VALUE"""),44090.64583333333)</f>
        <v>44090.64583</v>
      </c>
      <c r="B5124" s="1">
        <f>IFERROR(__xludf.DUMMYFUNCTION("""COMPUTED_VALUE"""),2125.0)</f>
        <v>2125</v>
      </c>
      <c r="C5124" s="1">
        <f>IFERROR(__xludf.DUMMYFUNCTION("""COMPUTED_VALUE"""),2158.95)</f>
        <v>2158.95</v>
      </c>
      <c r="D5124" s="1">
        <f>IFERROR(__xludf.DUMMYFUNCTION("""COMPUTED_VALUE"""),2112.7)</f>
        <v>2112.7</v>
      </c>
      <c r="E5124" s="1">
        <f>IFERROR(__xludf.DUMMYFUNCTION("""COMPUTED_VALUE"""),2143.5)</f>
        <v>2143.5</v>
      </c>
      <c r="F5124" s="1">
        <f>IFERROR(__xludf.DUMMYFUNCTION("""COMPUTED_VALUE"""),2087842.0)</f>
        <v>2087842</v>
      </c>
    </row>
    <row r="5125">
      <c r="A5125" s="2">
        <f>IFERROR(__xludf.DUMMYFUNCTION("""COMPUTED_VALUE"""),44091.64583333333)</f>
        <v>44091.64583</v>
      </c>
      <c r="B5125" s="1">
        <f>IFERROR(__xludf.DUMMYFUNCTION("""COMPUTED_VALUE"""),2135.0)</f>
        <v>2135</v>
      </c>
      <c r="C5125" s="1">
        <f>IFERROR(__xludf.DUMMYFUNCTION("""COMPUTED_VALUE"""),2145.05)</f>
        <v>2145.05</v>
      </c>
      <c r="D5125" s="1">
        <f>IFERROR(__xludf.DUMMYFUNCTION("""COMPUTED_VALUE"""),2122.25)</f>
        <v>2122.25</v>
      </c>
      <c r="E5125" s="1">
        <f>IFERROR(__xludf.DUMMYFUNCTION("""COMPUTED_VALUE"""),2128.2)</f>
        <v>2128.2</v>
      </c>
      <c r="F5125" s="1">
        <f>IFERROR(__xludf.DUMMYFUNCTION("""COMPUTED_VALUE"""),1741644.0)</f>
        <v>1741644</v>
      </c>
    </row>
    <row r="5126">
      <c r="A5126" s="2">
        <f>IFERROR(__xludf.DUMMYFUNCTION("""COMPUTED_VALUE"""),44092.64583333333)</f>
        <v>44092.64583</v>
      </c>
      <c r="B5126" s="1">
        <f>IFERROR(__xludf.DUMMYFUNCTION("""COMPUTED_VALUE"""),2120.0)</f>
        <v>2120</v>
      </c>
      <c r="C5126" s="1">
        <f>IFERROR(__xludf.DUMMYFUNCTION("""COMPUTED_VALUE"""),2127.55)</f>
        <v>2127.55</v>
      </c>
      <c r="D5126" s="1">
        <f>IFERROR(__xludf.DUMMYFUNCTION("""COMPUTED_VALUE"""),2090.0)</f>
        <v>2090</v>
      </c>
      <c r="E5126" s="1">
        <f>IFERROR(__xludf.DUMMYFUNCTION("""COMPUTED_VALUE"""),2098.7)</f>
        <v>2098.7</v>
      </c>
      <c r="F5126" s="1">
        <f>IFERROR(__xludf.DUMMYFUNCTION("""COMPUTED_VALUE"""),4475209.0)</f>
        <v>4475209</v>
      </c>
    </row>
    <row r="5127">
      <c r="A5127" s="2">
        <f>IFERROR(__xludf.DUMMYFUNCTION("""COMPUTED_VALUE"""),44095.64583333333)</f>
        <v>44095.64583</v>
      </c>
      <c r="B5127" s="1">
        <f>IFERROR(__xludf.DUMMYFUNCTION("""COMPUTED_VALUE"""),2098.7)</f>
        <v>2098.7</v>
      </c>
      <c r="C5127" s="1">
        <f>IFERROR(__xludf.DUMMYFUNCTION("""COMPUTED_VALUE"""),2099.0)</f>
        <v>2099</v>
      </c>
      <c r="D5127" s="1">
        <f>IFERROR(__xludf.DUMMYFUNCTION("""COMPUTED_VALUE"""),2022.1)</f>
        <v>2022.1</v>
      </c>
      <c r="E5127" s="1">
        <f>IFERROR(__xludf.DUMMYFUNCTION("""COMPUTED_VALUE"""),2037.8)</f>
        <v>2037.8</v>
      </c>
      <c r="F5127" s="1">
        <f>IFERROR(__xludf.DUMMYFUNCTION("""COMPUTED_VALUE"""),3483981.0)</f>
        <v>3483981</v>
      </c>
    </row>
    <row r="5128">
      <c r="A5128" s="2">
        <f>IFERROR(__xludf.DUMMYFUNCTION("""COMPUTED_VALUE"""),44096.64583333333)</f>
        <v>44096.64583</v>
      </c>
      <c r="B5128" s="1">
        <f>IFERROR(__xludf.DUMMYFUNCTION("""COMPUTED_VALUE"""),2040.55)</f>
        <v>2040.55</v>
      </c>
      <c r="C5128" s="1">
        <f>IFERROR(__xludf.DUMMYFUNCTION("""COMPUTED_VALUE"""),2054.75)</f>
        <v>2054.75</v>
      </c>
      <c r="D5128" s="1">
        <f>IFERROR(__xludf.DUMMYFUNCTION("""COMPUTED_VALUE"""),2000.05)</f>
        <v>2000.05</v>
      </c>
      <c r="E5128" s="1">
        <f>IFERROR(__xludf.DUMMYFUNCTION("""COMPUTED_VALUE"""),2026.8)</f>
        <v>2026.8</v>
      </c>
      <c r="F5128" s="1">
        <f>IFERROR(__xludf.DUMMYFUNCTION("""COMPUTED_VALUE"""),2345712.0)</f>
        <v>2345712</v>
      </c>
    </row>
    <row r="5129">
      <c r="A5129" s="2">
        <f>IFERROR(__xludf.DUMMYFUNCTION("""COMPUTED_VALUE"""),44097.64583333333)</f>
        <v>44097.64583</v>
      </c>
      <c r="B5129" s="1">
        <f>IFERROR(__xludf.DUMMYFUNCTION("""COMPUTED_VALUE"""),2035.0)</f>
        <v>2035</v>
      </c>
      <c r="C5129" s="1">
        <f>IFERROR(__xludf.DUMMYFUNCTION("""COMPUTED_VALUE"""),2060.0)</f>
        <v>2060</v>
      </c>
      <c r="D5129" s="1">
        <f>IFERROR(__xludf.DUMMYFUNCTION("""COMPUTED_VALUE"""),2025.85)</f>
        <v>2025.85</v>
      </c>
      <c r="E5129" s="1">
        <f>IFERROR(__xludf.DUMMYFUNCTION("""COMPUTED_VALUE"""),2052.55)</f>
        <v>2052.55</v>
      </c>
      <c r="F5129" s="1">
        <f>IFERROR(__xludf.DUMMYFUNCTION("""COMPUTED_VALUE"""),2410305.0)</f>
        <v>2410305</v>
      </c>
    </row>
    <row r="5130">
      <c r="A5130" s="2">
        <f>IFERROR(__xludf.DUMMYFUNCTION("""COMPUTED_VALUE"""),44098.64583333333)</f>
        <v>44098.64583</v>
      </c>
      <c r="B5130" s="1">
        <f>IFERROR(__xludf.DUMMYFUNCTION("""COMPUTED_VALUE"""),2044.0)</f>
        <v>2044</v>
      </c>
      <c r="C5130" s="1">
        <f>IFERROR(__xludf.DUMMYFUNCTION("""COMPUTED_VALUE"""),2081.0)</f>
        <v>2081</v>
      </c>
      <c r="D5130" s="1">
        <f>IFERROR(__xludf.DUMMYFUNCTION("""COMPUTED_VALUE"""),2035.05)</f>
        <v>2035.05</v>
      </c>
      <c r="E5130" s="1">
        <f>IFERROR(__xludf.DUMMYFUNCTION("""COMPUTED_VALUE"""),2060.9)</f>
        <v>2060.9</v>
      </c>
      <c r="F5130" s="1">
        <f>IFERROR(__xludf.DUMMYFUNCTION("""COMPUTED_VALUE"""),3798394.0)</f>
        <v>3798394</v>
      </c>
    </row>
    <row r="5131">
      <c r="A5131" s="2">
        <f>IFERROR(__xludf.DUMMYFUNCTION("""COMPUTED_VALUE"""),44099.64583333333)</f>
        <v>44099.64583</v>
      </c>
      <c r="B5131" s="1">
        <f>IFERROR(__xludf.DUMMYFUNCTION("""COMPUTED_VALUE"""),2082.0)</f>
        <v>2082</v>
      </c>
      <c r="C5131" s="1">
        <f>IFERROR(__xludf.DUMMYFUNCTION("""COMPUTED_VALUE"""),2111.0)</f>
        <v>2111</v>
      </c>
      <c r="D5131" s="1">
        <f>IFERROR(__xludf.DUMMYFUNCTION("""COMPUTED_VALUE"""),2070.85)</f>
        <v>2070.85</v>
      </c>
      <c r="E5131" s="1">
        <f>IFERROR(__xludf.DUMMYFUNCTION("""COMPUTED_VALUE"""),2079.05)</f>
        <v>2079.05</v>
      </c>
      <c r="F5131" s="1">
        <f>IFERROR(__xludf.DUMMYFUNCTION("""COMPUTED_VALUE"""),2528928.0)</f>
        <v>2528928</v>
      </c>
    </row>
    <row r="5132">
      <c r="A5132" s="2">
        <f>IFERROR(__xludf.DUMMYFUNCTION("""COMPUTED_VALUE"""),44102.64583333333)</f>
        <v>44102.64583</v>
      </c>
      <c r="B5132" s="1">
        <f>IFERROR(__xludf.DUMMYFUNCTION("""COMPUTED_VALUE"""),2083.0)</f>
        <v>2083</v>
      </c>
      <c r="C5132" s="1">
        <f>IFERROR(__xludf.DUMMYFUNCTION("""COMPUTED_VALUE"""),2092.35)</f>
        <v>2092.35</v>
      </c>
      <c r="D5132" s="1">
        <f>IFERROR(__xludf.DUMMYFUNCTION("""COMPUTED_VALUE"""),2060.0)</f>
        <v>2060</v>
      </c>
      <c r="E5132" s="1">
        <f>IFERROR(__xludf.DUMMYFUNCTION("""COMPUTED_VALUE"""),2063.3)</f>
        <v>2063.3</v>
      </c>
      <c r="F5132" s="1">
        <f>IFERROR(__xludf.DUMMYFUNCTION("""COMPUTED_VALUE"""),1524037.0)</f>
        <v>1524037</v>
      </c>
    </row>
    <row r="5133">
      <c r="A5133" s="2">
        <f>IFERROR(__xludf.DUMMYFUNCTION("""COMPUTED_VALUE"""),44103.64583333333)</f>
        <v>44103.64583</v>
      </c>
      <c r="B5133" s="1">
        <f>IFERROR(__xludf.DUMMYFUNCTION("""COMPUTED_VALUE"""),2065.0)</f>
        <v>2065</v>
      </c>
      <c r="C5133" s="1">
        <f>IFERROR(__xludf.DUMMYFUNCTION("""COMPUTED_VALUE"""),2069.25)</f>
        <v>2069.25</v>
      </c>
      <c r="D5133" s="1">
        <f>IFERROR(__xludf.DUMMYFUNCTION("""COMPUTED_VALUE"""),2024.75)</f>
        <v>2024.75</v>
      </c>
      <c r="E5133" s="1">
        <f>IFERROR(__xludf.DUMMYFUNCTION("""COMPUTED_VALUE"""),2033.2)</f>
        <v>2033.2</v>
      </c>
      <c r="F5133" s="1">
        <f>IFERROR(__xludf.DUMMYFUNCTION("""COMPUTED_VALUE"""),2298854.0)</f>
        <v>2298854</v>
      </c>
    </row>
    <row r="5134">
      <c r="A5134" s="2">
        <f>IFERROR(__xludf.DUMMYFUNCTION("""COMPUTED_VALUE"""),44104.64583333333)</f>
        <v>44104.64583</v>
      </c>
      <c r="B5134" s="1">
        <f>IFERROR(__xludf.DUMMYFUNCTION("""COMPUTED_VALUE"""),2038.95)</f>
        <v>2038.95</v>
      </c>
      <c r="C5134" s="1">
        <f>IFERROR(__xludf.DUMMYFUNCTION("""COMPUTED_VALUE"""),2097.0)</f>
        <v>2097</v>
      </c>
      <c r="D5134" s="1">
        <f>IFERROR(__xludf.DUMMYFUNCTION("""COMPUTED_VALUE"""),2034.0)</f>
        <v>2034</v>
      </c>
      <c r="E5134" s="1">
        <f>IFERROR(__xludf.DUMMYFUNCTION("""COMPUTED_VALUE"""),2068.25)</f>
        <v>2068.25</v>
      </c>
      <c r="F5134" s="1">
        <f>IFERROR(__xludf.DUMMYFUNCTION("""COMPUTED_VALUE"""),2417400.0)</f>
        <v>2417400</v>
      </c>
    </row>
    <row r="5135">
      <c r="A5135" s="2">
        <f>IFERROR(__xludf.DUMMYFUNCTION("""COMPUTED_VALUE"""),44105.64583333333)</f>
        <v>44105.64583</v>
      </c>
      <c r="B5135" s="1">
        <f>IFERROR(__xludf.DUMMYFUNCTION("""COMPUTED_VALUE"""),2090.0)</f>
        <v>2090</v>
      </c>
      <c r="C5135" s="1">
        <f>IFERROR(__xludf.DUMMYFUNCTION("""COMPUTED_VALUE"""),2108.9)</f>
        <v>2108.9</v>
      </c>
      <c r="D5135" s="1">
        <f>IFERROR(__xludf.DUMMYFUNCTION("""COMPUTED_VALUE"""),2070.0)</f>
        <v>2070</v>
      </c>
      <c r="E5135" s="1">
        <f>IFERROR(__xludf.DUMMYFUNCTION("""COMPUTED_VALUE"""),2095.0)</f>
        <v>2095</v>
      </c>
      <c r="F5135" s="1">
        <f>IFERROR(__xludf.DUMMYFUNCTION("""COMPUTED_VALUE"""),2131593.0)</f>
        <v>2131593</v>
      </c>
    </row>
    <row r="5136">
      <c r="A5136" s="2">
        <f>IFERROR(__xludf.DUMMYFUNCTION("""COMPUTED_VALUE"""),44109.64583333333)</f>
        <v>44109.64583</v>
      </c>
      <c r="B5136" s="1">
        <f>IFERROR(__xludf.DUMMYFUNCTION("""COMPUTED_VALUE"""),2100.0)</f>
        <v>2100</v>
      </c>
      <c r="C5136" s="1">
        <f>IFERROR(__xludf.DUMMYFUNCTION("""COMPUTED_VALUE"""),2123.3)</f>
        <v>2123.3</v>
      </c>
      <c r="D5136" s="1">
        <f>IFERROR(__xludf.DUMMYFUNCTION("""COMPUTED_VALUE"""),2082.2)</f>
        <v>2082.2</v>
      </c>
      <c r="E5136" s="1">
        <f>IFERROR(__xludf.DUMMYFUNCTION("""COMPUTED_VALUE"""),2111.05)</f>
        <v>2111.05</v>
      </c>
      <c r="F5136" s="1">
        <f>IFERROR(__xludf.DUMMYFUNCTION("""COMPUTED_VALUE"""),1646114.0)</f>
        <v>1646114</v>
      </c>
    </row>
    <row r="5137">
      <c r="A5137" s="2">
        <f>IFERROR(__xludf.DUMMYFUNCTION("""COMPUTED_VALUE"""),44110.64583333333)</f>
        <v>44110.64583</v>
      </c>
      <c r="B5137" s="1">
        <f>IFERROR(__xludf.DUMMYFUNCTION("""COMPUTED_VALUE"""),2119.0)</f>
        <v>2119</v>
      </c>
      <c r="C5137" s="1">
        <f>IFERROR(__xludf.DUMMYFUNCTION("""COMPUTED_VALUE"""),2140.0)</f>
        <v>2140</v>
      </c>
      <c r="D5137" s="1">
        <f>IFERROR(__xludf.DUMMYFUNCTION("""COMPUTED_VALUE"""),2108.05)</f>
        <v>2108.05</v>
      </c>
      <c r="E5137" s="1">
        <f>IFERROR(__xludf.DUMMYFUNCTION("""COMPUTED_VALUE"""),2115.9)</f>
        <v>2115.9</v>
      </c>
      <c r="F5137" s="1">
        <f>IFERROR(__xludf.DUMMYFUNCTION("""COMPUTED_VALUE"""),1679500.0)</f>
        <v>1679500</v>
      </c>
    </row>
    <row r="5138">
      <c r="A5138" s="2">
        <f>IFERROR(__xludf.DUMMYFUNCTION("""COMPUTED_VALUE"""),44111.64583333333)</f>
        <v>44111.64583</v>
      </c>
      <c r="B5138" s="1">
        <f>IFERROR(__xludf.DUMMYFUNCTION("""COMPUTED_VALUE"""),2123.0)</f>
        <v>2123</v>
      </c>
      <c r="C5138" s="1">
        <f>IFERROR(__xludf.DUMMYFUNCTION("""COMPUTED_VALUE"""),2150.0)</f>
        <v>2150</v>
      </c>
      <c r="D5138" s="1">
        <f>IFERROR(__xludf.DUMMYFUNCTION("""COMPUTED_VALUE"""),2113.0)</f>
        <v>2113</v>
      </c>
      <c r="E5138" s="1">
        <f>IFERROR(__xludf.DUMMYFUNCTION("""COMPUTED_VALUE"""),2139.35)</f>
        <v>2139.35</v>
      </c>
      <c r="F5138" s="1">
        <f>IFERROR(__xludf.DUMMYFUNCTION("""COMPUTED_VALUE"""),2428598.0)</f>
        <v>2428598</v>
      </c>
    </row>
    <row r="5139">
      <c r="A5139" s="2">
        <f>IFERROR(__xludf.DUMMYFUNCTION("""COMPUTED_VALUE"""),44112.64583333333)</f>
        <v>44112.64583</v>
      </c>
      <c r="B5139" s="1">
        <f>IFERROR(__xludf.DUMMYFUNCTION("""COMPUTED_VALUE"""),2147.0)</f>
        <v>2147</v>
      </c>
      <c r="C5139" s="1">
        <f>IFERROR(__xludf.DUMMYFUNCTION("""COMPUTED_VALUE"""),2165.0)</f>
        <v>2165</v>
      </c>
      <c r="D5139" s="1">
        <f>IFERROR(__xludf.DUMMYFUNCTION("""COMPUTED_VALUE"""),2146.25)</f>
        <v>2146.25</v>
      </c>
      <c r="E5139" s="1">
        <f>IFERROR(__xludf.DUMMYFUNCTION("""COMPUTED_VALUE"""),2160.8)</f>
        <v>2160.8</v>
      </c>
      <c r="F5139" s="1">
        <f>IFERROR(__xludf.DUMMYFUNCTION("""COMPUTED_VALUE"""),1617382.0)</f>
        <v>1617382</v>
      </c>
    </row>
    <row r="5140">
      <c r="A5140" s="2">
        <f>IFERROR(__xludf.DUMMYFUNCTION("""COMPUTED_VALUE"""),44113.64583333333)</f>
        <v>44113.64583</v>
      </c>
      <c r="B5140" s="1">
        <f>IFERROR(__xludf.DUMMYFUNCTION("""COMPUTED_VALUE"""),2150.0)</f>
        <v>2150</v>
      </c>
      <c r="C5140" s="1">
        <f>IFERROR(__xludf.DUMMYFUNCTION("""COMPUTED_VALUE"""),2166.95)</f>
        <v>2166.95</v>
      </c>
      <c r="D5140" s="1">
        <f>IFERROR(__xludf.DUMMYFUNCTION("""COMPUTED_VALUE"""),2121.1)</f>
        <v>2121.1</v>
      </c>
      <c r="E5140" s="1">
        <f>IFERROR(__xludf.DUMMYFUNCTION("""COMPUTED_VALUE"""),2139.65)</f>
        <v>2139.65</v>
      </c>
      <c r="F5140" s="1">
        <f>IFERROR(__xludf.DUMMYFUNCTION("""COMPUTED_VALUE"""),2001031.0)</f>
        <v>2001031</v>
      </c>
    </row>
    <row r="5141">
      <c r="A5141" s="2">
        <f>IFERROR(__xludf.DUMMYFUNCTION("""COMPUTED_VALUE"""),44116.64583333333)</f>
        <v>44116.64583</v>
      </c>
      <c r="B5141" s="1">
        <f>IFERROR(__xludf.DUMMYFUNCTION("""COMPUTED_VALUE"""),2145.2)</f>
        <v>2145.2</v>
      </c>
      <c r="C5141" s="1">
        <f>IFERROR(__xludf.DUMMYFUNCTION("""COMPUTED_VALUE"""),2147.6)</f>
        <v>2147.6</v>
      </c>
      <c r="D5141" s="1">
        <f>IFERROR(__xludf.DUMMYFUNCTION("""COMPUTED_VALUE"""),2123.3)</f>
        <v>2123.3</v>
      </c>
      <c r="E5141" s="1">
        <f>IFERROR(__xludf.DUMMYFUNCTION("""COMPUTED_VALUE"""),2138.4)</f>
        <v>2138.4</v>
      </c>
      <c r="F5141" s="1">
        <f>IFERROR(__xludf.DUMMYFUNCTION("""COMPUTED_VALUE"""),1741171.0)</f>
        <v>1741171</v>
      </c>
    </row>
    <row r="5142">
      <c r="A5142" s="2">
        <f>IFERROR(__xludf.DUMMYFUNCTION("""COMPUTED_VALUE"""),44117.64583333333)</f>
        <v>44117.64583</v>
      </c>
      <c r="B5142" s="1">
        <f>IFERROR(__xludf.DUMMYFUNCTION("""COMPUTED_VALUE"""),2137.95)</f>
        <v>2137.95</v>
      </c>
      <c r="C5142" s="1">
        <f>IFERROR(__xludf.DUMMYFUNCTION("""COMPUTED_VALUE"""),2153.25)</f>
        <v>2153.25</v>
      </c>
      <c r="D5142" s="1">
        <f>IFERROR(__xludf.DUMMYFUNCTION("""COMPUTED_VALUE"""),2128.0)</f>
        <v>2128</v>
      </c>
      <c r="E5142" s="1">
        <f>IFERROR(__xludf.DUMMYFUNCTION("""COMPUTED_VALUE"""),2138.2)</f>
        <v>2138.2</v>
      </c>
      <c r="F5142" s="1">
        <f>IFERROR(__xludf.DUMMYFUNCTION("""COMPUTED_VALUE"""),1679176.0)</f>
        <v>1679176</v>
      </c>
    </row>
    <row r="5143">
      <c r="A5143" s="2">
        <f>IFERROR(__xludf.DUMMYFUNCTION("""COMPUTED_VALUE"""),44118.64583333333)</f>
        <v>44118.64583</v>
      </c>
      <c r="B5143" s="1">
        <f>IFERROR(__xludf.DUMMYFUNCTION("""COMPUTED_VALUE"""),2132.6)</f>
        <v>2132.6</v>
      </c>
      <c r="C5143" s="1">
        <f>IFERROR(__xludf.DUMMYFUNCTION("""COMPUTED_VALUE"""),2165.0)</f>
        <v>2165</v>
      </c>
      <c r="D5143" s="1">
        <f>IFERROR(__xludf.DUMMYFUNCTION("""COMPUTED_VALUE"""),2131.0)</f>
        <v>2131</v>
      </c>
      <c r="E5143" s="1">
        <f>IFERROR(__xludf.DUMMYFUNCTION("""COMPUTED_VALUE"""),2158.15)</f>
        <v>2158.15</v>
      </c>
      <c r="F5143" s="1">
        <f>IFERROR(__xludf.DUMMYFUNCTION("""COMPUTED_VALUE"""),2123033.0)</f>
        <v>2123033</v>
      </c>
    </row>
    <row r="5144">
      <c r="A5144" s="2">
        <f>IFERROR(__xludf.DUMMYFUNCTION("""COMPUTED_VALUE"""),44119.64583333333)</f>
        <v>44119.64583</v>
      </c>
      <c r="B5144" s="1">
        <f>IFERROR(__xludf.DUMMYFUNCTION("""COMPUTED_VALUE"""),2160.0)</f>
        <v>2160</v>
      </c>
      <c r="C5144" s="1">
        <f>IFERROR(__xludf.DUMMYFUNCTION("""COMPUTED_VALUE"""),2179.7)</f>
        <v>2179.7</v>
      </c>
      <c r="D5144" s="1">
        <f>IFERROR(__xludf.DUMMYFUNCTION("""COMPUTED_VALUE"""),2141.05)</f>
        <v>2141.05</v>
      </c>
      <c r="E5144" s="1">
        <f>IFERROR(__xludf.DUMMYFUNCTION("""COMPUTED_VALUE"""),2152.55)</f>
        <v>2152.55</v>
      </c>
      <c r="F5144" s="1">
        <f>IFERROR(__xludf.DUMMYFUNCTION("""COMPUTED_VALUE"""),2344440.0)</f>
        <v>2344440</v>
      </c>
    </row>
    <row r="5145">
      <c r="A5145" s="2">
        <f>IFERROR(__xludf.DUMMYFUNCTION("""COMPUTED_VALUE"""),44120.64583333333)</f>
        <v>44120.64583</v>
      </c>
      <c r="B5145" s="1">
        <f>IFERROR(__xludf.DUMMYFUNCTION("""COMPUTED_VALUE"""),2171.9)</f>
        <v>2171.9</v>
      </c>
      <c r="C5145" s="1">
        <f>IFERROR(__xludf.DUMMYFUNCTION("""COMPUTED_VALUE"""),2171.9)</f>
        <v>2171.9</v>
      </c>
      <c r="D5145" s="1">
        <f>IFERROR(__xludf.DUMMYFUNCTION("""COMPUTED_VALUE"""),2144.05)</f>
        <v>2144.05</v>
      </c>
      <c r="E5145" s="1">
        <f>IFERROR(__xludf.DUMMYFUNCTION("""COMPUTED_VALUE"""),2150.55)</f>
        <v>2150.55</v>
      </c>
      <c r="F5145" s="1">
        <f>IFERROR(__xludf.DUMMYFUNCTION("""COMPUTED_VALUE"""),1640402.0)</f>
        <v>1640402</v>
      </c>
    </row>
    <row r="5146">
      <c r="A5146" s="2">
        <f>IFERROR(__xludf.DUMMYFUNCTION("""COMPUTED_VALUE"""),44123.64583333333)</f>
        <v>44123.64583</v>
      </c>
      <c r="B5146" s="1">
        <f>IFERROR(__xludf.DUMMYFUNCTION("""COMPUTED_VALUE"""),2153.55)</f>
        <v>2153.55</v>
      </c>
      <c r="C5146" s="1">
        <f>IFERROR(__xludf.DUMMYFUNCTION("""COMPUTED_VALUE"""),2185.0)</f>
        <v>2185</v>
      </c>
      <c r="D5146" s="1">
        <f>IFERROR(__xludf.DUMMYFUNCTION("""COMPUTED_VALUE"""),2152.1)</f>
        <v>2152.1</v>
      </c>
      <c r="E5146" s="1">
        <f>IFERROR(__xludf.DUMMYFUNCTION("""COMPUTED_VALUE"""),2177.8)</f>
        <v>2177.8</v>
      </c>
      <c r="F5146" s="1">
        <f>IFERROR(__xludf.DUMMYFUNCTION("""COMPUTED_VALUE"""),1606069.0)</f>
        <v>1606069</v>
      </c>
    </row>
    <row r="5147">
      <c r="A5147" s="2">
        <f>IFERROR(__xludf.DUMMYFUNCTION("""COMPUTED_VALUE"""),44124.64583333333)</f>
        <v>44124.64583</v>
      </c>
      <c r="B5147" s="1">
        <f>IFERROR(__xludf.DUMMYFUNCTION("""COMPUTED_VALUE"""),2182.1)</f>
        <v>2182.1</v>
      </c>
      <c r="C5147" s="1">
        <f>IFERROR(__xludf.DUMMYFUNCTION("""COMPUTED_VALUE"""),2208.5)</f>
        <v>2208.5</v>
      </c>
      <c r="D5147" s="1">
        <f>IFERROR(__xludf.DUMMYFUNCTION("""COMPUTED_VALUE"""),2132.55)</f>
        <v>2132.55</v>
      </c>
      <c r="E5147" s="1">
        <f>IFERROR(__xludf.DUMMYFUNCTION("""COMPUTED_VALUE"""),2173.1)</f>
        <v>2173.1</v>
      </c>
      <c r="F5147" s="1">
        <f>IFERROR(__xludf.DUMMYFUNCTION("""COMPUTED_VALUE"""),5855301.0)</f>
        <v>5855301</v>
      </c>
    </row>
    <row r="5148">
      <c r="A5148" s="2">
        <f>IFERROR(__xludf.DUMMYFUNCTION("""COMPUTED_VALUE"""),44125.64583333333)</f>
        <v>44125.64583</v>
      </c>
      <c r="B5148" s="1">
        <f>IFERROR(__xludf.DUMMYFUNCTION("""COMPUTED_VALUE"""),2190.0)</f>
        <v>2190</v>
      </c>
      <c r="C5148" s="1">
        <f>IFERROR(__xludf.DUMMYFUNCTION("""COMPUTED_VALUE"""),2196.75)</f>
        <v>2196.75</v>
      </c>
      <c r="D5148" s="1">
        <f>IFERROR(__xludf.DUMMYFUNCTION("""COMPUTED_VALUE"""),2136.0)</f>
        <v>2136</v>
      </c>
      <c r="E5148" s="1">
        <f>IFERROR(__xludf.DUMMYFUNCTION("""COMPUTED_VALUE"""),2163.15)</f>
        <v>2163.15</v>
      </c>
      <c r="F5148" s="1">
        <f>IFERROR(__xludf.DUMMYFUNCTION("""COMPUTED_VALUE"""),3954247.0)</f>
        <v>3954247</v>
      </c>
    </row>
    <row r="5149">
      <c r="A5149" s="2">
        <f>IFERROR(__xludf.DUMMYFUNCTION("""COMPUTED_VALUE"""),44126.64583333333)</f>
        <v>44126.64583</v>
      </c>
      <c r="B5149" s="1">
        <f>IFERROR(__xludf.DUMMYFUNCTION("""COMPUTED_VALUE"""),2160.0)</f>
        <v>2160</v>
      </c>
      <c r="C5149" s="1">
        <f>IFERROR(__xludf.DUMMYFUNCTION("""COMPUTED_VALUE"""),2187.25)</f>
        <v>2187.25</v>
      </c>
      <c r="D5149" s="1">
        <f>IFERROR(__xludf.DUMMYFUNCTION("""COMPUTED_VALUE"""),2153.2)</f>
        <v>2153.2</v>
      </c>
      <c r="E5149" s="1">
        <f>IFERROR(__xludf.DUMMYFUNCTION("""COMPUTED_VALUE"""),2179.35)</f>
        <v>2179.35</v>
      </c>
      <c r="F5149" s="1">
        <f>IFERROR(__xludf.DUMMYFUNCTION("""COMPUTED_VALUE"""),2632959.0)</f>
        <v>2632959</v>
      </c>
    </row>
    <row r="5150">
      <c r="A5150" s="2">
        <f>IFERROR(__xludf.DUMMYFUNCTION("""COMPUTED_VALUE"""),44127.64583333333)</f>
        <v>44127.64583</v>
      </c>
      <c r="B5150" s="1">
        <f>IFERROR(__xludf.DUMMYFUNCTION("""COMPUTED_VALUE"""),2188.9)</f>
        <v>2188.9</v>
      </c>
      <c r="C5150" s="1">
        <f>IFERROR(__xludf.DUMMYFUNCTION("""COMPUTED_VALUE"""),2188.9)</f>
        <v>2188.9</v>
      </c>
      <c r="D5150" s="1">
        <f>IFERROR(__xludf.DUMMYFUNCTION("""COMPUTED_VALUE"""),2140.0)</f>
        <v>2140</v>
      </c>
      <c r="E5150" s="1">
        <f>IFERROR(__xludf.DUMMYFUNCTION("""COMPUTED_VALUE"""),2143.85)</f>
        <v>2143.85</v>
      </c>
      <c r="F5150" s="1">
        <f>IFERROR(__xludf.DUMMYFUNCTION("""COMPUTED_VALUE"""),2805734.0)</f>
        <v>2805734</v>
      </c>
    </row>
    <row r="5151">
      <c r="A5151" s="2">
        <f>IFERROR(__xludf.DUMMYFUNCTION("""COMPUTED_VALUE"""),44130.64583333333)</f>
        <v>44130.64583</v>
      </c>
      <c r="B5151" s="1">
        <f>IFERROR(__xludf.DUMMYFUNCTION("""COMPUTED_VALUE"""),2150.0)</f>
        <v>2150</v>
      </c>
      <c r="C5151" s="1">
        <f>IFERROR(__xludf.DUMMYFUNCTION("""COMPUTED_VALUE"""),2172.0)</f>
        <v>2172</v>
      </c>
      <c r="D5151" s="1">
        <f>IFERROR(__xludf.DUMMYFUNCTION("""COMPUTED_VALUE"""),2142.3)</f>
        <v>2142.3</v>
      </c>
      <c r="E5151" s="1">
        <f>IFERROR(__xludf.DUMMYFUNCTION("""COMPUTED_VALUE"""),2166.75)</f>
        <v>2166.75</v>
      </c>
      <c r="F5151" s="1">
        <f>IFERROR(__xludf.DUMMYFUNCTION("""COMPUTED_VALUE"""),1646050.0)</f>
        <v>1646050</v>
      </c>
    </row>
    <row r="5152">
      <c r="A5152" s="2">
        <f>IFERROR(__xludf.DUMMYFUNCTION("""COMPUTED_VALUE"""),44131.64583333333)</f>
        <v>44131.64583</v>
      </c>
      <c r="B5152" s="1">
        <f>IFERROR(__xludf.DUMMYFUNCTION("""COMPUTED_VALUE"""),2157.0)</f>
        <v>2157</v>
      </c>
      <c r="C5152" s="1">
        <f>IFERROR(__xludf.DUMMYFUNCTION("""COMPUTED_VALUE"""),2189.0)</f>
        <v>2189</v>
      </c>
      <c r="D5152" s="1">
        <f>IFERROR(__xludf.DUMMYFUNCTION("""COMPUTED_VALUE"""),2152.45)</f>
        <v>2152.45</v>
      </c>
      <c r="E5152" s="1">
        <f>IFERROR(__xludf.DUMMYFUNCTION("""COMPUTED_VALUE"""),2176.7)</f>
        <v>2176.7</v>
      </c>
      <c r="F5152" s="1">
        <f>IFERROR(__xludf.DUMMYFUNCTION("""COMPUTED_VALUE"""),2334908.0)</f>
        <v>2334908</v>
      </c>
    </row>
    <row r="5153">
      <c r="A5153" s="2">
        <f>IFERROR(__xludf.DUMMYFUNCTION("""COMPUTED_VALUE"""),44132.64583333333)</f>
        <v>44132.64583</v>
      </c>
      <c r="B5153" s="1">
        <f>IFERROR(__xludf.DUMMYFUNCTION("""COMPUTED_VALUE"""),2183.95)</f>
        <v>2183.95</v>
      </c>
      <c r="C5153" s="1">
        <f>IFERROR(__xludf.DUMMYFUNCTION("""COMPUTED_VALUE"""),2183.95)</f>
        <v>2183.95</v>
      </c>
      <c r="D5153" s="1">
        <f>IFERROR(__xludf.DUMMYFUNCTION("""COMPUTED_VALUE"""),2144.1)</f>
        <v>2144.1</v>
      </c>
      <c r="E5153" s="1">
        <f>IFERROR(__xludf.DUMMYFUNCTION("""COMPUTED_VALUE"""),2164.35)</f>
        <v>2164.35</v>
      </c>
      <c r="F5153" s="1">
        <f>IFERROR(__xludf.DUMMYFUNCTION("""COMPUTED_VALUE"""),1555484.0)</f>
        <v>1555484</v>
      </c>
    </row>
    <row r="5154">
      <c r="A5154" s="2">
        <f>IFERROR(__xludf.DUMMYFUNCTION("""COMPUTED_VALUE"""),44133.64583333333)</f>
        <v>44133.64583</v>
      </c>
      <c r="B5154" s="1">
        <f>IFERROR(__xludf.DUMMYFUNCTION("""COMPUTED_VALUE"""),2142.0)</f>
        <v>2142</v>
      </c>
      <c r="C5154" s="1">
        <f>IFERROR(__xludf.DUMMYFUNCTION("""COMPUTED_VALUE"""),2160.0)</f>
        <v>2160</v>
      </c>
      <c r="D5154" s="1">
        <f>IFERROR(__xludf.DUMMYFUNCTION("""COMPUTED_VALUE"""),2116.0)</f>
        <v>2116</v>
      </c>
      <c r="E5154" s="1">
        <f>IFERROR(__xludf.DUMMYFUNCTION("""COMPUTED_VALUE"""),2122.1)</f>
        <v>2122.1</v>
      </c>
      <c r="F5154" s="1">
        <f>IFERROR(__xludf.DUMMYFUNCTION("""COMPUTED_VALUE"""),1934403.0)</f>
        <v>1934403</v>
      </c>
    </row>
    <row r="5155">
      <c r="A5155" s="2">
        <f>IFERROR(__xludf.DUMMYFUNCTION("""COMPUTED_VALUE"""),44134.64583333333)</f>
        <v>44134.64583</v>
      </c>
      <c r="B5155" s="1">
        <f>IFERROR(__xludf.DUMMYFUNCTION("""COMPUTED_VALUE"""),2118.2)</f>
        <v>2118.2</v>
      </c>
      <c r="C5155" s="1">
        <f>IFERROR(__xludf.DUMMYFUNCTION("""COMPUTED_VALUE"""),2120.0)</f>
        <v>2120</v>
      </c>
      <c r="D5155" s="1">
        <f>IFERROR(__xludf.DUMMYFUNCTION("""COMPUTED_VALUE"""),2068.0)</f>
        <v>2068</v>
      </c>
      <c r="E5155" s="1">
        <f>IFERROR(__xludf.DUMMYFUNCTION("""COMPUTED_VALUE"""),2071.3)</f>
        <v>2071.3</v>
      </c>
      <c r="F5155" s="1">
        <f>IFERROR(__xludf.DUMMYFUNCTION("""COMPUTED_VALUE"""),2414328.0)</f>
        <v>2414328</v>
      </c>
    </row>
    <row r="5156">
      <c r="A5156" s="2">
        <f>IFERROR(__xludf.DUMMYFUNCTION("""COMPUTED_VALUE"""),44137.64583333333)</f>
        <v>44137.64583</v>
      </c>
      <c r="B5156" s="1">
        <f>IFERROR(__xludf.DUMMYFUNCTION("""COMPUTED_VALUE"""),2072.0)</f>
        <v>2072</v>
      </c>
      <c r="C5156" s="1">
        <f>IFERROR(__xludf.DUMMYFUNCTION("""COMPUTED_VALUE"""),2087.65)</f>
        <v>2087.65</v>
      </c>
      <c r="D5156" s="1">
        <f>IFERROR(__xludf.DUMMYFUNCTION("""COMPUTED_VALUE"""),2056.0)</f>
        <v>2056</v>
      </c>
      <c r="E5156" s="1">
        <f>IFERROR(__xludf.DUMMYFUNCTION("""COMPUTED_VALUE"""),2072.0)</f>
        <v>2072</v>
      </c>
      <c r="F5156" s="1">
        <f>IFERROR(__xludf.DUMMYFUNCTION("""COMPUTED_VALUE"""),1486077.0)</f>
        <v>1486077</v>
      </c>
    </row>
    <row r="5157">
      <c r="A5157" s="2">
        <f>IFERROR(__xludf.DUMMYFUNCTION("""COMPUTED_VALUE"""),44138.64583333333)</f>
        <v>44138.64583</v>
      </c>
      <c r="B5157" s="1">
        <f>IFERROR(__xludf.DUMMYFUNCTION("""COMPUTED_VALUE"""),2091.8)</f>
        <v>2091.8</v>
      </c>
      <c r="C5157" s="1">
        <f>IFERROR(__xludf.DUMMYFUNCTION("""COMPUTED_VALUE"""),2091.8)</f>
        <v>2091.8</v>
      </c>
      <c r="D5157" s="1">
        <f>IFERROR(__xludf.DUMMYFUNCTION("""COMPUTED_VALUE"""),2043.0)</f>
        <v>2043</v>
      </c>
      <c r="E5157" s="1">
        <f>IFERROR(__xludf.DUMMYFUNCTION("""COMPUTED_VALUE"""),2055.7)</f>
        <v>2055.7</v>
      </c>
      <c r="F5157" s="1">
        <f>IFERROR(__xludf.DUMMYFUNCTION("""COMPUTED_VALUE"""),2227402.0)</f>
        <v>2227402</v>
      </c>
    </row>
    <row r="5158">
      <c r="A5158" s="2">
        <f>IFERROR(__xludf.DUMMYFUNCTION("""COMPUTED_VALUE"""),44139.64583333333)</f>
        <v>44139.64583</v>
      </c>
      <c r="B5158" s="1">
        <f>IFERROR(__xludf.DUMMYFUNCTION("""COMPUTED_VALUE"""),2050.0)</f>
        <v>2050</v>
      </c>
      <c r="C5158" s="1">
        <f>IFERROR(__xludf.DUMMYFUNCTION("""COMPUTED_VALUE"""),2085.0)</f>
        <v>2085</v>
      </c>
      <c r="D5158" s="1">
        <f>IFERROR(__xludf.DUMMYFUNCTION("""COMPUTED_VALUE"""),2049.95)</f>
        <v>2049.95</v>
      </c>
      <c r="E5158" s="1">
        <f>IFERROR(__xludf.DUMMYFUNCTION("""COMPUTED_VALUE"""),2060.05)</f>
        <v>2060.05</v>
      </c>
      <c r="F5158" s="1">
        <f>IFERROR(__xludf.DUMMYFUNCTION("""COMPUTED_VALUE"""),1479878.0)</f>
        <v>1479878</v>
      </c>
    </row>
    <row r="5159">
      <c r="A5159" s="2">
        <f>IFERROR(__xludf.DUMMYFUNCTION("""COMPUTED_VALUE"""),44140.64583333333)</f>
        <v>44140.64583</v>
      </c>
      <c r="B5159" s="1">
        <f>IFERROR(__xludf.DUMMYFUNCTION("""COMPUTED_VALUE"""),2087.0)</f>
        <v>2087</v>
      </c>
      <c r="C5159" s="1">
        <f>IFERROR(__xludf.DUMMYFUNCTION("""COMPUTED_VALUE"""),2112.0)</f>
        <v>2112</v>
      </c>
      <c r="D5159" s="1">
        <f>IFERROR(__xludf.DUMMYFUNCTION("""COMPUTED_VALUE"""),2061.3)</f>
        <v>2061.3</v>
      </c>
      <c r="E5159" s="1">
        <f>IFERROR(__xludf.DUMMYFUNCTION("""COMPUTED_VALUE"""),2102.35)</f>
        <v>2102.35</v>
      </c>
      <c r="F5159" s="1">
        <f>IFERROR(__xludf.DUMMYFUNCTION("""COMPUTED_VALUE"""),2083827.0)</f>
        <v>2083827</v>
      </c>
    </row>
    <row r="5160">
      <c r="A5160" s="2">
        <f>IFERROR(__xludf.DUMMYFUNCTION("""COMPUTED_VALUE"""),44141.64583333333)</f>
        <v>44141.64583</v>
      </c>
      <c r="B5160" s="1">
        <f>IFERROR(__xludf.DUMMYFUNCTION("""COMPUTED_VALUE"""),2105.0)</f>
        <v>2105</v>
      </c>
      <c r="C5160" s="1">
        <f>IFERROR(__xludf.DUMMYFUNCTION("""COMPUTED_VALUE"""),2123.95)</f>
        <v>2123.95</v>
      </c>
      <c r="D5160" s="1">
        <f>IFERROR(__xludf.DUMMYFUNCTION("""COMPUTED_VALUE"""),2086.0)</f>
        <v>2086</v>
      </c>
      <c r="E5160" s="1">
        <f>IFERROR(__xludf.DUMMYFUNCTION("""COMPUTED_VALUE"""),2094.15)</f>
        <v>2094.15</v>
      </c>
      <c r="F5160" s="1">
        <f>IFERROR(__xludf.DUMMYFUNCTION("""COMPUTED_VALUE"""),2127821.0)</f>
        <v>2127821</v>
      </c>
    </row>
    <row r="5161">
      <c r="A5161" s="2">
        <f>IFERROR(__xludf.DUMMYFUNCTION("""COMPUTED_VALUE"""),44144.64583333333)</f>
        <v>44144.64583</v>
      </c>
      <c r="B5161" s="1">
        <f>IFERROR(__xludf.DUMMYFUNCTION("""COMPUTED_VALUE"""),2120.0)</f>
        <v>2120</v>
      </c>
      <c r="C5161" s="1">
        <f>IFERROR(__xludf.DUMMYFUNCTION("""COMPUTED_VALUE"""),2137.65)</f>
        <v>2137.65</v>
      </c>
      <c r="D5161" s="1">
        <f>IFERROR(__xludf.DUMMYFUNCTION("""COMPUTED_VALUE"""),2108.05)</f>
        <v>2108.05</v>
      </c>
      <c r="E5161" s="1">
        <f>IFERROR(__xludf.DUMMYFUNCTION("""COMPUTED_VALUE"""),2132.55)</f>
        <v>2132.55</v>
      </c>
      <c r="F5161" s="1">
        <f>IFERROR(__xludf.DUMMYFUNCTION("""COMPUTED_VALUE"""),2194404.0)</f>
        <v>2194404</v>
      </c>
    </row>
    <row r="5162">
      <c r="A5162" s="2">
        <f>IFERROR(__xludf.DUMMYFUNCTION("""COMPUTED_VALUE"""),44145.64583333333)</f>
        <v>44145.64583</v>
      </c>
      <c r="B5162" s="1">
        <f>IFERROR(__xludf.DUMMYFUNCTION("""COMPUTED_VALUE"""),2140.0)</f>
        <v>2140</v>
      </c>
      <c r="C5162" s="1">
        <f>IFERROR(__xludf.DUMMYFUNCTION("""COMPUTED_VALUE"""),2144.2)</f>
        <v>2144.2</v>
      </c>
      <c r="D5162" s="1">
        <f>IFERROR(__xludf.DUMMYFUNCTION("""COMPUTED_VALUE"""),2092.5)</f>
        <v>2092.5</v>
      </c>
      <c r="E5162" s="1">
        <f>IFERROR(__xludf.DUMMYFUNCTION("""COMPUTED_VALUE"""),2136.6)</f>
        <v>2136.6</v>
      </c>
      <c r="F5162" s="1">
        <f>IFERROR(__xludf.DUMMYFUNCTION("""COMPUTED_VALUE"""),2471703.0)</f>
        <v>2471703</v>
      </c>
    </row>
    <row r="5163">
      <c r="A5163" s="2">
        <f>IFERROR(__xludf.DUMMYFUNCTION("""COMPUTED_VALUE"""),44146.64583333333)</f>
        <v>44146.64583</v>
      </c>
      <c r="B5163" s="1">
        <f>IFERROR(__xludf.DUMMYFUNCTION("""COMPUTED_VALUE"""),2136.6)</f>
        <v>2136.6</v>
      </c>
      <c r="C5163" s="1">
        <f>IFERROR(__xludf.DUMMYFUNCTION("""COMPUTED_VALUE"""),2138.6)</f>
        <v>2138.6</v>
      </c>
      <c r="D5163" s="1">
        <f>IFERROR(__xludf.DUMMYFUNCTION("""COMPUTED_VALUE"""),2104.6)</f>
        <v>2104.6</v>
      </c>
      <c r="E5163" s="1">
        <f>IFERROR(__xludf.DUMMYFUNCTION("""COMPUTED_VALUE"""),2131.15)</f>
        <v>2131.15</v>
      </c>
      <c r="F5163" s="1">
        <f>IFERROR(__xludf.DUMMYFUNCTION("""COMPUTED_VALUE"""),2759942.0)</f>
        <v>2759942</v>
      </c>
    </row>
    <row r="5164">
      <c r="A5164" s="2">
        <f>IFERROR(__xludf.DUMMYFUNCTION("""COMPUTED_VALUE"""),44147.64583333333)</f>
        <v>44147.64583</v>
      </c>
      <c r="B5164" s="1">
        <f>IFERROR(__xludf.DUMMYFUNCTION("""COMPUTED_VALUE"""),2129.0)</f>
        <v>2129</v>
      </c>
      <c r="C5164" s="1">
        <f>IFERROR(__xludf.DUMMYFUNCTION("""COMPUTED_VALUE"""),2204.0)</f>
        <v>2204</v>
      </c>
      <c r="D5164" s="1">
        <f>IFERROR(__xludf.DUMMYFUNCTION("""COMPUTED_VALUE"""),2123.25)</f>
        <v>2123.25</v>
      </c>
      <c r="E5164" s="1">
        <f>IFERROR(__xludf.DUMMYFUNCTION("""COMPUTED_VALUE"""),2192.1)</f>
        <v>2192.1</v>
      </c>
      <c r="F5164" s="1">
        <f>IFERROR(__xludf.DUMMYFUNCTION("""COMPUTED_VALUE"""),3010512.0)</f>
        <v>3010512</v>
      </c>
    </row>
    <row r="5165">
      <c r="A5165" s="2">
        <f>IFERROR(__xludf.DUMMYFUNCTION("""COMPUTED_VALUE"""),44148.64583333333)</f>
        <v>44148.64583</v>
      </c>
      <c r="B5165" s="1">
        <f>IFERROR(__xludf.DUMMYFUNCTION("""COMPUTED_VALUE"""),2205.0)</f>
        <v>2205</v>
      </c>
      <c r="C5165" s="1">
        <f>IFERROR(__xludf.DUMMYFUNCTION("""COMPUTED_VALUE"""),2218.4)</f>
        <v>2218.4</v>
      </c>
      <c r="D5165" s="1">
        <f>IFERROR(__xludf.DUMMYFUNCTION("""COMPUTED_VALUE"""),2178.25)</f>
        <v>2178.25</v>
      </c>
      <c r="E5165" s="1">
        <f>IFERROR(__xludf.DUMMYFUNCTION("""COMPUTED_VALUE"""),2185.35)</f>
        <v>2185.35</v>
      </c>
      <c r="F5165" s="1">
        <f>IFERROR(__xludf.DUMMYFUNCTION("""COMPUTED_VALUE"""),2799165.0)</f>
        <v>2799165</v>
      </c>
    </row>
    <row r="5166">
      <c r="A5166" s="2">
        <f>IFERROR(__xludf.DUMMYFUNCTION("""COMPUTED_VALUE"""),44152.64583333333)</f>
        <v>44152.64583</v>
      </c>
      <c r="B5166" s="1">
        <f>IFERROR(__xludf.DUMMYFUNCTION("""COMPUTED_VALUE"""),2220.35)</f>
        <v>2220.35</v>
      </c>
      <c r="C5166" s="1">
        <f>IFERROR(__xludf.DUMMYFUNCTION("""COMPUTED_VALUE"""),2220.35)</f>
        <v>2220.35</v>
      </c>
      <c r="D5166" s="1">
        <f>IFERROR(__xludf.DUMMYFUNCTION("""COMPUTED_VALUE"""),2172.0)</f>
        <v>2172</v>
      </c>
      <c r="E5166" s="1">
        <f>IFERROR(__xludf.DUMMYFUNCTION("""COMPUTED_VALUE"""),2177.6)</f>
        <v>2177.6</v>
      </c>
      <c r="F5166" s="1">
        <f>IFERROR(__xludf.DUMMYFUNCTION("""COMPUTED_VALUE"""),2733542.0)</f>
        <v>2733542</v>
      </c>
    </row>
    <row r="5167">
      <c r="A5167" s="2">
        <f>IFERROR(__xludf.DUMMYFUNCTION("""COMPUTED_VALUE"""),44153.64583333333)</f>
        <v>44153.64583</v>
      </c>
      <c r="B5167" s="1">
        <f>IFERROR(__xludf.DUMMYFUNCTION("""COMPUTED_VALUE"""),2170.0)</f>
        <v>2170</v>
      </c>
      <c r="C5167" s="1">
        <f>IFERROR(__xludf.DUMMYFUNCTION("""COMPUTED_VALUE"""),2170.0)</f>
        <v>2170</v>
      </c>
      <c r="D5167" s="1">
        <f>IFERROR(__xludf.DUMMYFUNCTION("""COMPUTED_VALUE"""),2125.9)</f>
        <v>2125.9</v>
      </c>
      <c r="E5167" s="1">
        <f>IFERROR(__xludf.DUMMYFUNCTION("""COMPUTED_VALUE"""),2132.1)</f>
        <v>2132.1</v>
      </c>
      <c r="F5167" s="1">
        <f>IFERROR(__xludf.DUMMYFUNCTION("""COMPUTED_VALUE"""),3315051.0)</f>
        <v>3315051</v>
      </c>
    </row>
    <row r="5168">
      <c r="A5168" s="2">
        <f>IFERROR(__xludf.DUMMYFUNCTION("""COMPUTED_VALUE"""),44154.64583333333)</f>
        <v>44154.64583</v>
      </c>
      <c r="B5168" s="1">
        <f>IFERROR(__xludf.DUMMYFUNCTION("""COMPUTED_VALUE"""),2125.8)</f>
        <v>2125.8</v>
      </c>
      <c r="C5168" s="1">
        <f>IFERROR(__xludf.DUMMYFUNCTION("""COMPUTED_VALUE"""),2147.4)</f>
        <v>2147.4</v>
      </c>
      <c r="D5168" s="1">
        <f>IFERROR(__xludf.DUMMYFUNCTION("""COMPUTED_VALUE"""),2114.5)</f>
        <v>2114.5</v>
      </c>
      <c r="E5168" s="1">
        <f>IFERROR(__xludf.DUMMYFUNCTION("""COMPUTED_VALUE"""),2130.75)</f>
        <v>2130.75</v>
      </c>
      <c r="F5168" s="1">
        <f>IFERROR(__xludf.DUMMYFUNCTION("""COMPUTED_VALUE"""),2704650.0)</f>
        <v>2704650</v>
      </c>
    </row>
    <row r="5169">
      <c r="A5169" s="2">
        <f>IFERROR(__xludf.DUMMYFUNCTION("""COMPUTED_VALUE"""),44155.64583333333)</f>
        <v>44155.64583</v>
      </c>
      <c r="B5169" s="1">
        <f>IFERROR(__xludf.DUMMYFUNCTION("""COMPUTED_VALUE"""),2135.0)</f>
        <v>2135</v>
      </c>
      <c r="C5169" s="1">
        <f>IFERROR(__xludf.DUMMYFUNCTION("""COMPUTED_VALUE"""),2142.0)</f>
        <v>2142</v>
      </c>
      <c r="D5169" s="1">
        <f>IFERROR(__xludf.DUMMYFUNCTION("""COMPUTED_VALUE"""),2100.5)</f>
        <v>2100.5</v>
      </c>
      <c r="E5169" s="1">
        <f>IFERROR(__xludf.DUMMYFUNCTION("""COMPUTED_VALUE"""),2120.25)</f>
        <v>2120.25</v>
      </c>
      <c r="F5169" s="1">
        <f>IFERROR(__xludf.DUMMYFUNCTION("""COMPUTED_VALUE"""),2827038.0)</f>
        <v>2827038</v>
      </c>
    </row>
    <row r="5170">
      <c r="A5170" s="2">
        <f>IFERROR(__xludf.DUMMYFUNCTION("""COMPUTED_VALUE"""),44158.64583333333)</f>
        <v>44158.64583</v>
      </c>
      <c r="B5170" s="1">
        <f>IFERROR(__xludf.DUMMYFUNCTION("""COMPUTED_VALUE"""),2140.0)</f>
        <v>2140</v>
      </c>
      <c r="C5170" s="1">
        <f>IFERROR(__xludf.DUMMYFUNCTION("""COMPUTED_VALUE"""),2140.0)</f>
        <v>2140</v>
      </c>
      <c r="D5170" s="1">
        <f>IFERROR(__xludf.DUMMYFUNCTION("""COMPUTED_VALUE"""),2095.0)</f>
        <v>2095</v>
      </c>
      <c r="E5170" s="1">
        <f>IFERROR(__xludf.DUMMYFUNCTION("""COMPUTED_VALUE"""),2129.4)</f>
        <v>2129.4</v>
      </c>
      <c r="F5170" s="1">
        <f>IFERROR(__xludf.DUMMYFUNCTION("""COMPUTED_VALUE"""),3244576.0)</f>
        <v>3244576</v>
      </c>
    </row>
    <row r="5171">
      <c r="A5171" s="2">
        <f>IFERROR(__xludf.DUMMYFUNCTION("""COMPUTED_VALUE"""),44159.64583333333)</f>
        <v>44159.64583</v>
      </c>
      <c r="B5171" s="1">
        <f>IFERROR(__xludf.DUMMYFUNCTION("""COMPUTED_VALUE"""),2132.0)</f>
        <v>2132</v>
      </c>
      <c r="C5171" s="1">
        <f>IFERROR(__xludf.DUMMYFUNCTION("""COMPUTED_VALUE"""),2161.0)</f>
        <v>2161</v>
      </c>
      <c r="D5171" s="1">
        <f>IFERROR(__xludf.DUMMYFUNCTION("""COMPUTED_VALUE"""),2122.4)</f>
        <v>2122.4</v>
      </c>
      <c r="E5171" s="1">
        <f>IFERROR(__xludf.DUMMYFUNCTION("""COMPUTED_VALUE"""),2157.35)</f>
        <v>2157.35</v>
      </c>
      <c r="F5171" s="1">
        <f>IFERROR(__xludf.DUMMYFUNCTION("""COMPUTED_VALUE"""),1989749.0)</f>
        <v>1989749</v>
      </c>
    </row>
    <row r="5172">
      <c r="A5172" s="2">
        <f>IFERROR(__xludf.DUMMYFUNCTION("""COMPUTED_VALUE"""),44160.64583333333)</f>
        <v>44160.64583</v>
      </c>
      <c r="B5172" s="1">
        <f>IFERROR(__xludf.DUMMYFUNCTION("""COMPUTED_VALUE"""),2162.0)</f>
        <v>2162</v>
      </c>
      <c r="C5172" s="1">
        <f>IFERROR(__xludf.DUMMYFUNCTION("""COMPUTED_VALUE"""),2171.0)</f>
        <v>2171</v>
      </c>
      <c r="D5172" s="1">
        <f>IFERROR(__xludf.DUMMYFUNCTION("""COMPUTED_VALUE"""),2128.0)</f>
        <v>2128</v>
      </c>
      <c r="E5172" s="1">
        <f>IFERROR(__xludf.DUMMYFUNCTION("""COMPUTED_VALUE"""),2135.85)</f>
        <v>2135.85</v>
      </c>
      <c r="F5172" s="1">
        <f>IFERROR(__xludf.DUMMYFUNCTION("""COMPUTED_VALUE"""),1786536.0)</f>
        <v>1786536</v>
      </c>
    </row>
    <row r="5173">
      <c r="A5173" s="2">
        <f>IFERROR(__xludf.DUMMYFUNCTION("""COMPUTED_VALUE"""),44161.64583333333)</f>
        <v>44161.64583</v>
      </c>
      <c r="B5173" s="1">
        <f>IFERROR(__xludf.DUMMYFUNCTION("""COMPUTED_VALUE"""),2140.0)</f>
        <v>2140</v>
      </c>
      <c r="C5173" s="1">
        <f>IFERROR(__xludf.DUMMYFUNCTION("""COMPUTED_VALUE"""),2162.0)</f>
        <v>2162</v>
      </c>
      <c r="D5173" s="1">
        <f>IFERROR(__xludf.DUMMYFUNCTION("""COMPUTED_VALUE"""),2122.55)</f>
        <v>2122.55</v>
      </c>
      <c r="E5173" s="1">
        <f>IFERROR(__xludf.DUMMYFUNCTION("""COMPUTED_VALUE"""),2154.2)</f>
        <v>2154.2</v>
      </c>
      <c r="F5173" s="1">
        <f>IFERROR(__xludf.DUMMYFUNCTION("""COMPUTED_VALUE"""),1630887.0)</f>
        <v>1630887</v>
      </c>
    </row>
    <row r="5174">
      <c r="A5174" s="2">
        <f>IFERROR(__xludf.DUMMYFUNCTION("""COMPUTED_VALUE"""),44162.64583333333)</f>
        <v>44162.64583</v>
      </c>
      <c r="B5174" s="1">
        <f>IFERROR(__xludf.DUMMYFUNCTION("""COMPUTED_VALUE"""),2167.0)</f>
        <v>2167</v>
      </c>
      <c r="C5174" s="1">
        <f>IFERROR(__xludf.DUMMYFUNCTION("""COMPUTED_VALUE"""),2167.5)</f>
        <v>2167.5</v>
      </c>
      <c r="D5174" s="1">
        <f>IFERROR(__xludf.DUMMYFUNCTION("""COMPUTED_VALUE"""),2126.0)</f>
        <v>2126</v>
      </c>
      <c r="E5174" s="1">
        <f>IFERROR(__xludf.DUMMYFUNCTION("""COMPUTED_VALUE"""),2138.2)</f>
        <v>2138.2</v>
      </c>
      <c r="F5174" s="1">
        <f>IFERROR(__xludf.DUMMYFUNCTION("""COMPUTED_VALUE"""),5687861.0)</f>
        <v>5687861</v>
      </c>
    </row>
    <row r="5175">
      <c r="A5175" s="2">
        <f>IFERROR(__xludf.DUMMYFUNCTION("""COMPUTED_VALUE"""),44166.64583333333)</f>
        <v>44166.64583</v>
      </c>
      <c r="B5175" s="1">
        <f>IFERROR(__xludf.DUMMYFUNCTION("""COMPUTED_VALUE"""),2159.0)</f>
        <v>2159</v>
      </c>
      <c r="C5175" s="1">
        <f>IFERROR(__xludf.DUMMYFUNCTION("""COMPUTED_VALUE"""),2159.0)</f>
        <v>2159</v>
      </c>
      <c r="D5175" s="1">
        <f>IFERROR(__xludf.DUMMYFUNCTION("""COMPUTED_VALUE"""),2129.6)</f>
        <v>2129.6</v>
      </c>
      <c r="E5175" s="1">
        <f>IFERROR(__xludf.DUMMYFUNCTION("""COMPUTED_VALUE"""),2133.05)</f>
        <v>2133.05</v>
      </c>
      <c r="F5175" s="1">
        <f>IFERROR(__xludf.DUMMYFUNCTION("""COMPUTED_VALUE"""),2226742.0)</f>
        <v>2226742</v>
      </c>
    </row>
    <row r="5176">
      <c r="A5176" s="2">
        <f>IFERROR(__xludf.DUMMYFUNCTION("""COMPUTED_VALUE"""),44167.64583333333)</f>
        <v>44167.64583</v>
      </c>
      <c r="B5176" s="1">
        <f>IFERROR(__xludf.DUMMYFUNCTION("""COMPUTED_VALUE"""),2145.0)</f>
        <v>2145</v>
      </c>
      <c r="C5176" s="1">
        <f>IFERROR(__xludf.DUMMYFUNCTION("""COMPUTED_VALUE"""),2149.9)</f>
        <v>2149.9</v>
      </c>
      <c r="D5176" s="1">
        <f>IFERROR(__xludf.DUMMYFUNCTION("""COMPUTED_VALUE"""),2122.1)</f>
        <v>2122.1</v>
      </c>
      <c r="E5176" s="1">
        <f>IFERROR(__xludf.DUMMYFUNCTION("""COMPUTED_VALUE"""),2139.3)</f>
        <v>2139.3</v>
      </c>
      <c r="F5176" s="1">
        <f>IFERROR(__xludf.DUMMYFUNCTION("""COMPUTED_VALUE"""),1634682.0)</f>
        <v>1634682</v>
      </c>
    </row>
    <row r="5177">
      <c r="A5177" s="2">
        <f>IFERROR(__xludf.DUMMYFUNCTION("""COMPUTED_VALUE"""),44168.64583333333)</f>
        <v>44168.64583</v>
      </c>
      <c r="B5177" s="1">
        <f>IFERROR(__xludf.DUMMYFUNCTION("""COMPUTED_VALUE"""),2153.0)</f>
        <v>2153</v>
      </c>
      <c r="C5177" s="1">
        <f>IFERROR(__xludf.DUMMYFUNCTION("""COMPUTED_VALUE"""),2156.4)</f>
        <v>2156.4</v>
      </c>
      <c r="D5177" s="1">
        <f>IFERROR(__xludf.DUMMYFUNCTION("""COMPUTED_VALUE"""),2120.1)</f>
        <v>2120.1</v>
      </c>
      <c r="E5177" s="1">
        <f>IFERROR(__xludf.DUMMYFUNCTION("""COMPUTED_VALUE"""),2127.75)</f>
        <v>2127.75</v>
      </c>
      <c r="F5177" s="1">
        <f>IFERROR(__xludf.DUMMYFUNCTION("""COMPUTED_VALUE"""),3469163.0)</f>
        <v>3469163</v>
      </c>
    </row>
    <row r="5178">
      <c r="A5178" s="2">
        <f>IFERROR(__xludf.DUMMYFUNCTION("""COMPUTED_VALUE"""),44169.64583333333)</f>
        <v>44169.64583</v>
      </c>
      <c r="B5178" s="1">
        <f>IFERROR(__xludf.DUMMYFUNCTION("""COMPUTED_VALUE"""),2141.0)</f>
        <v>2141</v>
      </c>
      <c r="C5178" s="1">
        <f>IFERROR(__xludf.DUMMYFUNCTION("""COMPUTED_VALUE"""),2195.4)</f>
        <v>2195.4</v>
      </c>
      <c r="D5178" s="1">
        <f>IFERROR(__xludf.DUMMYFUNCTION("""COMPUTED_VALUE"""),2133.6)</f>
        <v>2133.6</v>
      </c>
      <c r="E5178" s="1">
        <f>IFERROR(__xludf.DUMMYFUNCTION("""COMPUTED_VALUE"""),2184.2)</f>
        <v>2184.2</v>
      </c>
      <c r="F5178" s="1">
        <f>IFERROR(__xludf.DUMMYFUNCTION("""COMPUTED_VALUE"""),3712143.0)</f>
        <v>3712143</v>
      </c>
    </row>
    <row r="5179">
      <c r="A5179" s="2">
        <f>IFERROR(__xludf.DUMMYFUNCTION("""COMPUTED_VALUE"""),44172.64583333333)</f>
        <v>44172.64583</v>
      </c>
      <c r="B5179" s="1">
        <f>IFERROR(__xludf.DUMMYFUNCTION("""COMPUTED_VALUE"""),2189.25)</f>
        <v>2189.25</v>
      </c>
      <c r="C5179" s="1">
        <f>IFERROR(__xludf.DUMMYFUNCTION("""COMPUTED_VALUE"""),2259.6)</f>
        <v>2259.6</v>
      </c>
      <c r="D5179" s="1">
        <f>IFERROR(__xludf.DUMMYFUNCTION("""COMPUTED_VALUE"""),2187.0)</f>
        <v>2187</v>
      </c>
      <c r="E5179" s="1">
        <f>IFERROR(__xludf.DUMMYFUNCTION("""COMPUTED_VALUE"""),2256.15)</f>
        <v>2256.15</v>
      </c>
      <c r="F5179" s="1">
        <f>IFERROR(__xludf.DUMMYFUNCTION("""COMPUTED_VALUE"""),4147649.0)</f>
        <v>4147649</v>
      </c>
    </row>
    <row r="5180">
      <c r="A5180" s="2">
        <f>IFERROR(__xludf.DUMMYFUNCTION("""COMPUTED_VALUE"""),44173.64583333333)</f>
        <v>44173.64583</v>
      </c>
      <c r="B5180" s="1">
        <f>IFERROR(__xludf.DUMMYFUNCTION("""COMPUTED_VALUE"""),2259.5)</f>
        <v>2259.5</v>
      </c>
      <c r="C5180" s="1">
        <f>IFERROR(__xludf.DUMMYFUNCTION("""COMPUTED_VALUE"""),2278.2)</f>
        <v>2278.2</v>
      </c>
      <c r="D5180" s="1">
        <f>IFERROR(__xludf.DUMMYFUNCTION("""COMPUTED_VALUE"""),2240.15)</f>
        <v>2240.15</v>
      </c>
      <c r="E5180" s="1">
        <f>IFERROR(__xludf.DUMMYFUNCTION("""COMPUTED_VALUE"""),2260.0)</f>
        <v>2260</v>
      </c>
      <c r="F5180" s="1">
        <f>IFERROR(__xludf.DUMMYFUNCTION("""COMPUTED_VALUE"""),2768211.0)</f>
        <v>2768211</v>
      </c>
    </row>
    <row r="5181">
      <c r="A5181" s="2">
        <f>IFERROR(__xludf.DUMMYFUNCTION("""COMPUTED_VALUE"""),44174.64583333333)</f>
        <v>44174.64583</v>
      </c>
      <c r="B5181" s="1">
        <f>IFERROR(__xludf.DUMMYFUNCTION("""COMPUTED_VALUE"""),2260.0)</f>
        <v>2260</v>
      </c>
      <c r="C5181" s="1">
        <f>IFERROR(__xludf.DUMMYFUNCTION("""COMPUTED_VALUE"""),2296.0)</f>
        <v>2296</v>
      </c>
      <c r="D5181" s="1">
        <f>IFERROR(__xludf.DUMMYFUNCTION("""COMPUTED_VALUE"""),2243.25)</f>
        <v>2243.25</v>
      </c>
      <c r="E5181" s="1">
        <f>IFERROR(__xludf.DUMMYFUNCTION("""COMPUTED_VALUE"""),2292.2)</f>
        <v>2292.2</v>
      </c>
      <c r="F5181" s="1">
        <f>IFERROR(__xludf.DUMMYFUNCTION("""COMPUTED_VALUE"""),2123890.0)</f>
        <v>2123890</v>
      </c>
    </row>
    <row r="5182">
      <c r="A5182" s="2">
        <f>IFERROR(__xludf.DUMMYFUNCTION("""COMPUTED_VALUE"""),44175.64583333333)</f>
        <v>44175.64583</v>
      </c>
      <c r="B5182" s="1">
        <f>IFERROR(__xludf.DUMMYFUNCTION("""COMPUTED_VALUE"""),2290.0)</f>
        <v>2290</v>
      </c>
      <c r="C5182" s="1">
        <f>IFERROR(__xludf.DUMMYFUNCTION("""COMPUTED_VALUE"""),2357.9)</f>
        <v>2357.9</v>
      </c>
      <c r="D5182" s="1">
        <f>IFERROR(__xludf.DUMMYFUNCTION("""COMPUTED_VALUE"""),2275.05)</f>
        <v>2275.05</v>
      </c>
      <c r="E5182" s="1">
        <f>IFERROR(__xludf.DUMMYFUNCTION("""COMPUTED_VALUE"""),2350.45)</f>
        <v>2350.45</v>
      </c>
      <c r="F5182" s="1">
        <f>IFERROR(__xludf.DUMMYFUNCTION("""COMPUTED_VALUE"""),3041370.0)</f>
        <v>3041370</v>
      </c>
    </row>
    <row r="5183">
      <c r="A5183" s="2">
        <f>IFERROR(__xludf.DUMMYFUNCTION("""COMPUTED_VALUE"""),44176.64583333333)</f>
        <v>44176.64583</v>
      </c>
      <c r="B5183" s="1">
        <f>IFERROR(__xludf.DUMMYFUNCTION("""COMPUTED_VALUE"""),2366.25)</f>
        <v>2366.25</v>
      </c>
      <c r="C5183" s="1">
        <f>IFERROR(__xludf.DUMMYFUNCTION("""COMPUTED_VALUE"""),2385.0)</f>
        <v>2385</v>
      </c>
      <c r="D5183" s="1">
        <f>IFERROR(__xludf.DUMMYFUNCTION("""COMPUTED_VALUE"""),2333.0)</f>
        <v>2333</v>
      </c>
      <c r="E5183" s="1">
        <f>IFERROR(__xludf.DUMMYFUNCTION("""COMPUTED_VALUE"""),2374.75)</f>
        <v>2374.75</v>
      </c>
      <c r="F5183" s="1">
        <f>IFERROR(__xludf.DUMMYFUNCTION("""COMPUTED_VALUE"""),2611218.0)</f>
        <v>2611218</v>
      </c>
    </row>
    <row r="5184">
      <c r="A5184" s="2">
        <f>IFERROR(__xludf.DUMMYFUNCTION("""COMPUTED_VALUE"""),44179.64583333333)</f>
        <v>44179.64583</v>
      </c>
      <c r="B5184" s="1">
        <f>IFERROR(__xludf.DUMMYFUNCTION("""COMPUTED_VALUE"""),2380.95)</f>
        <v>2380.95</v>
      </c>
      <c r="C5184" s="1">
        <f>IFERROR(__xludf.DUMMYFUNCTION("""COMPUTED_VALUE"""),2391.4)</f>
        <v>2391.4</v>
      </c>
      <c r="D5184" s="1">
        <f>IFERROR(__xludf.DUMMYFUNCTION("""COMPUTED_VALUE"""),2356.15)</f>
        <v>2356.15</v>
      </c>
      <c r="E5184" s="1">
        <f>IFERROR(__xludf.DUMMYFUNCTION("""COMPUTED_VALUE"""),2370.75)</f>
        <v>2370.75</v>
      </c>
      <c r="F5184" s="1">
        <f>IFERROR(__xludf.DUMMYFUNCTION("""COMPUTED_VALUE"""),1575632.0)</f>
        <v>1575632</v>
      </c>
    </row>
    <row r="5185">
      <c r="A5185" s="2">
        <f>IFERROR(__xludf.DUMMYFUNCTION("""COMPUTED_VALUE"""),44180.64583333333)</f>
        <v>44180.64583</v>
      </c>
      <c r="B5185" s="1">
        <f>IFERROR(__xludf.DUMMYFUNCTION("""COMPUTED_VALUE"""),2361.0)</f>
        <v>2361</v>
      </c>
      <c r="C5185" s="1">
        <f>IFERROR(__xludf.DUMMYFUNCTION("""COMPUTED_VALUE"""),2363.95)</f>
        <v>2363.95</v>
      </c>
      <c r="D5185" s="1">
        <f>IFERROR(__xludf.DUMMYFUNCTION("""COMPUTED_VALUE"""),2307.3)</f>
        <v>2307.3</v>
      </c>
      <c r="E5185" s="1">
        <f>IFERROR(__xludf.DUMMYFUNCTION("""COMPUTED_VALUE"""),2320.05)</f>
        <v>2320.05</v>
      </c>
      <c r="F5185" s="1">
        <f>IFERROR(__xludf.DUMMYFUNCTION("""COMPUTED_VALUE"""),2207176.0)</f>
        <v>2207176</v>
      </c>
    </row>
    <row r="5186">
      <c r="A5186" s="2">
        <f>IFERROR(__xludf.DUMMYFUNCTION("""COMPUTED_VALUE"""),44181.64583333333)</f>
        <v>44181.64583</v>
      </c>
      <c r="B5186" s="1">
        <f>IFERROR(__xludf.DUMMYFUNCTION("""COMPUTED_VALUE"""),2317.1)</f>
        <v>2317.1</v>
      </c>
      <c r="C5186" s="1">
        <f>IFERROR(__xludf.DUMMYFUNCTION("""COMPUTED_VALUE"""),2354.9)</f>
        <v>2354.9</v>
      </c>
      <c r="D5186" s="1">
        <f>IFERROR(__xludf.DUMMYFUNCTION("""COMPUTED_VALUE"""),2303.0)</f>
        <v>2303</v>
      </c>
      <c r="E5186" s="1">
        <f>IFERROR(__xludf.DUMMYFUNCTION("""COMPUTED_VALUE"""),2343.95)</f>
        <v>2343.95</v>
      </c>
      <c r="F5186" s="1">
        <f>IFERROR(__xludf.DUMMYFUNCTION("""COMPUTED_VALUE"""),1748634.0)</f>
        <v>1748634</v>
      </c>
    </row>
    <row r="5187">
      <c r="A5187" s="2">
        <f>IFERROR(__xludf.DUMMYFUNCTION("""COMPUTED_VALUE"""),44182.64583333333)</f>
        <v>44182.64583</v>
      </c>
      <c r="B5187" s="1">
        <f>IFERROR(__xludf.DUMMYFUNCTION("""COMPUTED_VALUE"""),2342.0)</f>
        <v>2342</v>
      </c>
      <c r="C5187" s="1">
        <f>IFERROR(__xludf.DUMMYFUNCTION("""COMPUTED_VALUE"""),2342.0)</f>
        <v>2342</v>
      </c>
      <c r="D5187" s="1">
        <f>IFERROR(__xludf.DUMMYFUNCTION("""COMPUTED_VALUE"""),2310.0)</f>
        <v>2310</v>
      </c>
      <c r="E5187" s="1">
        <f>IFERROR(__xludf.DUMMYFUNCTION("""COMPUTED_VALUE"""),2315.3)</f>
        <v>2315.3</v>
      </c>
      <c r="F5187" s="1">
        <f>IFERROR(__xludf.DUMMYFUNCTION("""COMPUTED_VALUE"""),1912868.0)</f>
        <v>1912868</v>
      </c>
    </row>
    <row r="5188">
      <c r="A5188" s="2">
        <f>IFERROR(__xludf.DUMMYFUNCTION("""COMPUTED_VALUE"""),44183.64583333333)</f>
        <v>44183.64583</v>
      </c>
      <c r="B5188" s="1">
        <f>IFERROR(__xludf.DUMMYFUNCTION("""COMPUTED_VALUE"""),2322.0)</f>
        <v>2322</v>
      </c>
      <c r="C5188" s="1">
        <f>IFERROR(__xludf.DUMMYFUNCTION("""COMPUTED_VALUE"""),2343.9)</f>
        <v>2343.9</v>
      </c>
      <c r="D5188" s="1">
        <f>IFERROR(__xludf.DUMMYFUNCTION("""COMPUTED_VALUE"""),2312.0)</f>
        <v>2312</v>
      </c>
      <c r="E5188" s="1">
        <f>IFERROR(__xludf.DUMMYFUNCTION("""COMPUTED_VALUE"""),2333.45)</f>
        <v>2333.45</v>
      </c>
      <c r="F5188" s="1">
        <f>IFERROR(__xludf.DUMMYFUNCTION("""COMPUTED_VALUE"""),2229891.0)</f>
        <v>2229891</v>
      </c>
    </row>
    <row r="5189">
      <c r="A5189" s="2">
        <f>IFERROR(__xludf.DUMMYFUNCTION("""COMPUTED_VALUE"""),44186.64583333333)</f>
        <v>44186.64583</v>
      </c>
      <c r="B5189" s="1">
        <f>IFERROR(__xludf.DUMMYFUNCTION("""COMPUTED_VALUE"""),2343.0)</f>
        <v>2343</v>
      </c>
      <c r="C5189" s="1">
        <f>IFERROR(__xludf.DUMMYFUNCTION("""COMPUTED_VALUE"""),2350.0)</f>
        <v>2350</v>
      </c>
      <c r="D5189" s="1">
        <f>IFERROR(__xludf.DUMMYFUNCTION("""COMPUTED_VALUE"""),2265.1)</f>
        <v>2265.1</v>
      </c>
      <c r="E5189" s="1">
        <f>IFERROR(__xludf.DUMMYFUNCTION("""COMPUTED_VALUE"""),2305.95)</f>
        <v>2305.95</v>
      </c>
      <c r="F5189" s="1">
        <f>IFERROR(__xludf.DUMMYFUNCTION("""COMPUTED_VALUE"""),2003069.0)</f>
        <v>2003069</v>
      </c>
    </row>
    <row r="5190">
      <c r="A5190" s="2">
        <f>IFERROR(__xludf.DUMMYFUNCTION("""COMPUTED_VALUE"""),44187.64583333333)</f>
        <v>44187.64583</v>
      </c>
      <c r="B5190" s="1">
        <f>IFERROR(__xludf.DUMMYFUNCTION("""COMPUTED_VALUE"""),2310.0)</f>
        <v>2310</v>
      </c>
      <c r="C5190" s="1">
        <f>IFERROR(__xludf.DUMMYFUNCTION("""COMPUTED_VALUE"""),2333.3)</f>
        <v>2333.3</v>
      </c>
      <c r="D5190" s="1">
        <f>IFERROR(__xludf.DUMMYFUNCTION("""COMPUTED_VALUE"""),2281.0)</f>
        <v>2281</v>
      </c>
      <c r="E5190" s="1">
        <f>IFERROR(__xludf.DUMMYFUNCTION("""COMPUTED_VALUE"""),2311.0)</f>
        <v>2311</v>
      </c>
      <c r="F5190" s="1">
        <f>IFERROR(__xludf.DUMMYFUNCTION("""COMPUTED_VALUE"""),1764488.0)</f>
        <v>1764488</v>
      </c>
    </row>
    <row r="5191">
      <c r="A5191" s="2">
        <f>IFERROR(__xludf.DUMMYFUNCTION("""COMPUTED_VALUE"""),44188.64583333333)</f>
        <v>44188.64583</v>
      </c>
      <c r="B5191" s="1">
        <f>IFERROR(__xludf.DUMMYFUNCTION("""COMPUTED_VALUE"""),2320.0)</f>
        <v>2320</v>
      </c>
      <c r="C5191" s="1">
        <f>IFERROR(__xludf.DUMMYFUNCTION("""COMPUTED_VALUE"""),2377.3)</f>
        <v>2377.3</v>
      </c>
      <c r="D5191" s="1">
        <f>IFERROR(__xludf.DUMMYFUNCTION("""COMPUTED_VALUE"""),2303.25)</f>
        <v>2303.25</v>
      </c>
      <c r="E5191" s="1">
        <f>IFERROR(__xludf.DUMMYFUNCTION("""COMPUTED_VALUE"""),2370.35)</f>
        <v>2370.35</v>
      </c>
      <c r="F5191" s="1">
        <f>IFERROR(__xludf.DUMMYFUNCTION("""COMPUTED_VALUE"""),1559556.0)</f>
        <v>1559556</v>
      </c>
    </row>
    <row r="5192">
      <c r="A5192" s="2">
        <f>IFERROR(__xludf.DUMMYFUNCTION("""COMPUTED_VALUE"""),44189.64583333333)</f>
        <v>44189.64583</v>
      </c>
      <c r="B5192" s="1">
        <f>IFERROR(__xludf.DUMMYFUNCTION("""COMPUTED_VALUE"""),2382.5)</f>
        <v>2382.5</v>
      </c>
      <c r="C5192" s="1">
        <f>IFERROR(__xludf.DUMMYFUNCTION("""COMPUTED_VALUE"""),2410.0)</f>
        <v>2410</v>
      </c>
      <c r="D5192" s="1">
        <f>IFERROR(__xludf.DUMMYFUNCTION("""COMPUTED_VALUE"""),2360.05)</f>
        <v>2360.05</v>
      </c>
      <c r="E5192" s="1">
        <f>IFERROR(__xludf.DUMMYFUNCTION("""COMPUTED_VALUE"""),2402.25)</f>
        <v>2402.25</v>
      </c>
      <c r="F5192" s="1">
        <f>IFERROR(__xludf.DUMMYFUNCTION("""COMPUTED_VALUE"""),2489444.0)</f>
        <v>2489444</v>
      </c>
    </row>
    <row r="5193">
      <c r="A5193" s="2">
        <f>IFERROR(__xludf.DUMMYFUNCTION("""COMPUTED_VALUE"""),44193.64583333333)</f>
        <v>44193.64583</v>
      </c>
      <c r="B5193" s="1">
        <f>IFERROR(__xludf.DUMMYFUNCTION("""COMPUTED_VALUE"""),2405.0)</f>
        <v>2405</v>
      </c>
      <c r="C5193" s="1">
        <f>IFERROR(__xludf.DUMMYFUNCTION("""COMPUTED_VALUE"""),2417.4)</f>
        <v>2417.4</v>
      </c>
      <c r="D5193" s="1">
        <f>IFERROR(__xludf.DUMMYFUNCTION("""COMPUTED_VALUE"""),2376.05)</f>
        <v>2376.05</v>
      </c>
      <c r="E5193" s="1">
        <f>IFERROR(__xludf.DUMMYFUNCTION("""COMPUTED_VALUE"""),2388.9)</f>
        <v>2388.9</v>
      </c>
      <c r="F5193" s="1">
        <f>IFERROR(__xludf.DUMMYFUNCTION("""COMPUTED_VALUE"""),1532477.0)</f>
        <v>1532477</v>
      </c>
    </row>
    <row r="5194">
      <c r="A5194" s="2">
        <f>IFERROR(__xludf.DUMMYFUNCTION("""COMPUTED_VALUE"""),44194.64583333333)</f>
        <v>44194.64583</v>
      </c>
      <c r="B5194" s="1">
        <f>IFERROR(__xludf.DUMMYFUNCTION("""COMPUTED_VALUE"""),2395.0)</f>
        <v>2395</v>
      </c>
      <c r="C5194" s="1">
        <f>IFERROR(__xludf.DUMMYFUNCTION("""COMPUTED_VALUE"""),2403.0)</f>
        <v>2403</v>
      </c>
      <c r="D5194" s="1">
        <f>IFERROR(__xludf.DUMMYFUNCTION("""COMPUTED_VALUE"""),2354.2)</f>
        <v>2354.2</v>
      </c>
      <c r="E5194" s="1">
        <f>IFERROR(__xludf.DUMMYFUNCTION("""COMPUTED_VALUE"""),2384.3)</f>
        <v>2384.3</v>
      </c>
      <c r="F5194" s="1">
        <f>IFERROR(__xludf.DUMMYFUNCTION("""COMPUTED_VALUE"""),1749013.0)</f>
        <v>1749013</v>
      </c>
    </row>
    <row r="5195">
      <c r="A5195" s="2">
        <f>IFERROR(__xludf.DUMMYFUNCTION("""COMPUTED_VALUE"""),44195.64583333333)</f>
        <v>44195.64583</v>
      </c>
      <c r="B5195" s="1">
        <f>IFERROR(__xludf.DUMMYFUNCTION("""COMPUTED_VALUE"""),2390.0)</f>
        <v>2390</v>
      </c>
      <c r="C5195" s="1">
        <f>IFERROR(__xludf.DUMMYFUNCTION("""COMPUTED_VALUE"""),2414.65)</f>
        <v>2414.65</v>
      </c>
      <c r="D5195" s="1">
        <f>IFERROR(__xludf.DUMMYFUNCTION("""COMPUTED_VALUE"""),2376.0)</f>
        <v>2376</v>
      </c>
      <c r="E5195" s="1">
        <f>IFERROR(__xludf.DUMMYFUNCTION("""COMPUTED_VALUE"""),2406.6)</f>
        <v>2406.6</v>
      </c>
      <c r="F5195" s="1">
        <f>IFERROR(__xludf.DUMMYFUNCTION("""COMPUTED_VALUE"""),1924886.0)</f>
        <v>1924886</v>
      </c>
    </row>
    <row r="5196">
      <c r="A5196" s="2">
        <f>IFERROR(__xludf.DUMMYFUNCTION("""COMPUTED_VALUE"""),44196.64583333333)</f>
        <v>44196.64583</v>
      </c>
      <c r="B5196" s="1">
        <f>IFERROR(__xludf.DUMMYFUNCTION("""COMPUTED_VALUE"""),2396.0)</f>
        <v>2396</v>
      </c>
      <c r="C5196" s="1">
        <f>IFERROR(__xludf.DUMMYFUNCTION("""COMPUTED_VALUE"""),2417.0)</f>
        <v>2417</v>
      </c>
      <c r="D5196" s="1">
        <f>IFERROR(__xludf.DUMMYFUNCTION("""COMPUTED_VALUE"""),2387.0)</f>
        <v>2387</v>
      </c>
      <c r="E5196" s="1">
        <f>IFERROR(__xludf.DUMMYFUNCTION("""COMPUTED_VALUE"""),2395.4)</f>
        <v>2395.4</v>
      </c>
      <c r="F5196" s="1">
        <f>IFERROR(__xludf.DUMMYFUNCTION("""COMPUTED_VALUE"""),1709836.0)</f>
        <v>1709836</v>
      </c>
    </row>
    <row r="5197">
      <c r="A5197" s="2">
        <f>IFERROR(__xludf.DUMMYFUNCTION("""COMPUTED_VALUE"""),44197.64583333333)</f>
        <v>44197.64583</v>
      </c>
      <c r="B5197" s="1">
        <f>IFERROR(__xludf.DUMMYFUNCTION("""COMPUTED_VALUE"""),2395.4)</f>
        <v>2395.4</v>
      </c>
      <c r="C5197" s="1">
        <f>IFERROR(__xludf.DUMMYFUNCTION("""COMPUTED_VALUE"""),2404.0)</f>
        <v>2404</v>
      </c>
      <c r="D5197" s="1">
        <f>IFERROR(__xludf.DUMMYFUNCTION("""COMPUTED_VALUE"""),2382.0)</f>
        <v>2382</v>
      </c>
      <c r="E5197" s="1">
        <f>IFERROR(__xludf.DUMMYFUNCTION("""COMPUTED_VALUE"""),2387.55)</f>
        <v>2387.55</v>
      </c>
      <c r="F5197" s="1">
        <f>IFERROR(__xludf.DUMMYFUNCTION("""COMPUTED_VALUE"""),830096.0)</f>
        <v>830096</v>
      </c>
    </row>
    <row r="5198">
      <c r="A5198" s="2">
        <f>IFERROR(__xludf.DUMMYFUNCTION("""COMPUTED_VALUE"""),44200.64583333333)</f>
        <v>44200.64583</v>
      </c>
      <c r="B5198" s="1">
        <f>IFERROR(__xludf.DUMMYFUNCTION("""COMPUTED_VALUE"""),2405.0)</f>
        <v>2405</v>
      </c>
      <c r="C5198" s="1">
        <f>IFERROR(__xludf.DUMMYFUNCTION("""COMPUTED_VALUE"""),2430.0)</f>
        <v>2430</v>
      </c>
      <c r="D5198" s="1">
        <f>IFERROR(__xludf.DUMMYFUNCTION("""COMPUTED_VALUE"""),2400.7)</f>
        <v>2400.7</v>
      </c>
      <c r="E5198" s="1">
        <f>IFERROR(__xludf.DUMMYFUNCTION("""COMPUTED_VALUE"""),2426.5)</f>
        <v>2426.5</v>
      </c>
      <c r="F5198" s="1">
        <f>IFERROR(__xludf.DUMMYFUNCTION("""COMPUTED_VALUE"""),1614486.0)</f>
        <v>1614486</v>
      </c>
    </row>
    <row r="5199">
      <c r="A5199" s="2">
        <f>IFERROR(__xludf.DUMMYFUNCTION("""COMPUTED_VALUE"""),44201.64583333333)</f>
        <v>44201.64583</v>
      </c>
      <c r="B5199" s="1">
        <f>IFERROR(__xludf.DUMMYFUNCTION("""COMPUTED_VALUE"""),2405.0)</f>
        <v>2405</v>
      </c>
      <c r="C5199" s="1">
        <f>IFERROR(__xludf.DUMMYFUNCTION("""COMPUTED_VALUE"""),2456.95)</f>
        <v>2456.95</v>
      </c>
      <c r="D5199" s="1">
        <f>IFERROR(__xludf.DUMMYFUNCTION("""COMPUTED_VALUE"""),2405.0)</f>
        <v>2405</v>
      </c>
      <c r="E5199" s="1">
        <f>IFERROR(__xludf.DUMMYFUNCTION("""COMPUTED_VALUE"""),2450.55)</f>
        <v>2450.55</v>
      </c>
      <c r="F5199" s="1">
        <f>IFERROR(__xludf.DUMMYFUNCTION("""COMPUTED_VALUE"""),2356303.0)</f>
        <v>2356303</v>
      </c>
    </row>
    <row r="5200">
      <c r="A5200" s="2">
        <f>IFERROR(__xludf.DUMMYFUNCTION("""COMPUTED_VALUE"""),44202.64583333333)</f>
        <v>44202.64583</v>
      </c>
      <c r="B5200" s="1">
        <f>IFERROR(__xludf.DUMMYFUNCTION("""COMPUTED_VALUE"""),2445.8)</f>
        <v>2445.8</v>
      </c>
      <c r="C5200" s="1">
        <f>IFERROR(__xludf.DUMMYFUNCTION("""COMPUTED_VALUE"""),2450.0)</f>
        <v>2450</v>
      </c>
      <c r="D5200" s="1">
        <f>IFERROR(__xludf.DUMMYFUNCTION("""COMPUTED_VALUE"""),2401.6)</f>
        <v>2401.6</v>
      </c>
      <c r="E5200" s="1">
        <f>IFERROR(__xludf.DUMMYFUNCTION("""COMPUTED_VALUE"""),2417.3)</f>
        <v>2417.3</v>
      </c>
      <c r="F5200" s="1">
        <f>IFERROR(__xludf.DUMMYFUNCTION("""COMPUTED_VALUE"""),1641627.0)</f>
        <v>1641627</v>
      </c>
    </row>
    <row r="5201">
      <c r="A5201" s="2">
        <f>IFERROR(__xludf.DUMMYFUNCTION("""COMPUTED_VALUE"""),44203.64583333333)</f>
        <v>44203.64583</v>
      </c>
      <c r="B5201" s="1">
        <f>IFERROR(__xludf.DUMMYFUNCTION("""COMPUTED_VALUE"""),2432.0)</f>
        <v>2432</v>
      </c>
      <c r="C5201" s="1">
        <f>IFERROR(__xludf.DUMMYFUNCTION("""COMPUTED_VALUE"""),2432.7)</f>
        <v>2432.7</v>
      </c>
      <c r="D5201" s="1">
        <f>IFERROR(__xludf.DUMMYFUNCTION("""COMPUTED_VALUE"""),2365.0)</f>
        <v>2365</v>
      </c>
      <c r="E5201" s="1">
        <f>IFERROR(__xludf.DUMMYFUNCTION("""COMPUTED_VALUE"""),2368.85)</f>
        <v>2368.85</v>
      </c>
      <c r="F5201" s="1">
        <f>IFERROR(__xludf.DUMMYFUNCTION("""COMPUTED_VALUE"""),2403881.0)</f>
        <v>2403881</v>
      </c>
    </row>
    <row r="5202">
      <c r="A5202" s="2">
        <f>IFERROR(__xludf.DUMMYFUNCTION("""COMPUTED_VALUE"""),44204.64583333333)</f>
        <v>44204.64583</v>
      </c>
      <c r="B5202" s="1">
        <f>IFERROR(__xludf.DUMMYFUNCTION("""COMPUTED_VALUE"""),2390.0)</f>
        <v>2390</v>
      </c>
      <c r="C5202" s="1">
        <f>IFERROR(__xludf.DUMMYFUNCTION("""COMPUTED_VALUE"""),2400.0)</f>
        <v>2400</v>
      </c>
      <c r="D5202" s="1">
        <f>IFERROR(__xludf.DUMMYFUNCTION("""COMPUTED_VALUE"""),2360.8)</f>
        <v>2360.8</v>
      </c>
      <c r="E5202" s="1">
        <f>IFERROR(__xludf.DUMMYFUNCTION("""COMPUTED_VALUE"""),2391.2)</f>
        <v>2391.2</v>
      </c>
      <c r="F5202" s="1">
        <f>IFERROR(__xludf.DUMMYFUNCTION("""COMPUTED_VALUE"""),2797948.0)</f>
        <v>2797948</v>
      </c>
    </row>
    <row r="5203">
      <c r="A5203" s="2">
        <f>IFERROR(__xludf.DUMMYFUNCTION("""COMPUTED_VALUE"""),44207.64583333333)</f>
        <v>44207.64583</v>
      </c>
      <c r="B5203" s="1">
        <f>IFERROR(__xludf.DUMMYFUNCTION("""COMPUTED_VALUE"""),2425.0)</f>
        <v>2425</v>
      </c>
      <c r="C5203" s="1">
        <f>IFERROR(__xludf.DUMMYFUNCTION("""COMPUTED_VALUE"""),2441.95)</f>
        <v>2441.95</v>
      </c>
      <c r="D5203" s="1">
        <f>IFERROR(__xludf.DUMMYFUNCTION("""COMPUTED_VALUE"""),2402.1)</f>
        <v>2402.1</v>
      </c>
      <c r="E5203" s="1">
        <f>IFERROR(__xludf.DUMMYFUNCTION("""COMPUTED_VALUE"""),2429.1)</f>
        <v>2429.1</v>
      </c>
      <c r="F5203" s="1">
        <f>IFERROR(__xludf.DUMMYFUNCTION("""COMPUTED_VALUE"""),2787672.0)</f>
        <v>2787672</v>
      </c>
    </row>
    <row r="5204">
      <c r="A5204" s="2">
        <f>IFERROR(__xludf.DUMMYFUNCTION("""COMPUTED_VALUE"""),44208.64583333333)</f>
        <v>44208.64583</v>
      </c>
      <c r="B5204" s="1">
        <f>IFERROR(__xludf.DUMMYFUNCTION("""COMPUTED_VALUE"""),2429.8)</f>
        <v>2429.8</v>
      </c>
      <c r="C5204" s="1">
        <f>IFERROR(__xludf.DUMMYFUNCTION("""COMPUTED_VALUE"""),2433.1)</f>
        <v>2433.1</v>
      </c>
      <c r="D5204" s="1">
        <f>IFERROR(__xludf.DUMMYFUNCTION("""COMPUTED_VALUE"""),2372.0)</f>
        <v>2372</v>
      </c>
      <c r="E5204" s="1">
        <f>IFERROR(__xludf.DUMMYFUNCTION("""COMPUTED_VALUE"""),2375.9)</f>
        <v>2375.9</v>
      </c>
      <c r="F5204" s="1">
        <f>IFERROR(__xludf.DUMMYFUNCTION("""COMPUTED_VALUE"""),2036708.0)</f>
        <v>2036708</v>
      </c>
    </row>
    <row r="5205">
      <c r="A5205" s="2">
        <f>IFERROR(__xludf.DUMMYFUNCTION("""COMPUTED_VALUE"""),44209.64583333333)</f>
        <v>44209.64583</v>
      </c>
      <c r="B5205" s="1">
        <f>IFERROR(__xludf.DUMMYFUNCTION("""COMPUTED_VALUE"""),2381.9)</f>
        <v>2381.9</v>
      </c>
      <c r="C5205" s="1">
        <f>IFERROR(__xludf.DUMMYFUNCTION("""COMPUTED_VALUE"""),2398.0)</f>
        <v>2398</v>
      </c>
      <c r="D5205" s="1">
        <f>IFERROR(__xludf.DUMMYFUNCTION("""COMPUTED_VALUE"""),2364.6)</f>
        <v>2364.6</v>
      </c>
      <c r="E5205" s="1">
        <f>IFERROR(__xludf.DUMMYFUNCTION("""COMPUTED_VALUE"""),2372.35)</f>
        <v>2372.35</v>
      </c>
      <c r="F5205" s="1">
        <f>IFERROR(__xludf.DUMMYFUNCTION("""COMPUTED_VALUE"""),1702740.0)</f>
        <v>1702740</v>
      </c>
    </row>
    <row r="5206">
      <c r="A5206" s="2">
        <f>IFERROR(__xludf.DUMMYFUNCTION("""COMPUTED_VALUE"""),44210.64583333333)</f>
        <v>44210.64583</v>
      </c>
      <c r="B5206" s="1">
        <f>IFERROR(__xludf.DUMMYFUNCTION("""COMPUTED_VALUE"""),2366.0)</f>
        <v>2366</v>
      </c>
      <c r="C5206" s="1">
        <f>IFERROR(__xludf.DUMMYFUNCTION("""COMPUTED_VALUE"""),2406.0)</f>
        <v>2406</v>
      </c>
      <c r="D5206" s="1">
        <f>IFERROR(__xludf.DUMMYFUNCTION("""COMPUTED_VALUE"""),2351.15)</f>
        <v>2351.15</v>
      </c>
      <c r="E5206" s="1">
        <f>IFERROR(__xludf.DUMMYFUNCTION("""COMPUTED_VALUE"""),2398.55)</f>
        <v>2398.55</v>
      </c>
      <c r="F5206" s="1">
        <f>IFERROR(__xludf.DUMMYFUNCTION("""COMPUTED_VALUE"""),2120413.0)</f>
        <v>2120413</v>
      </c>
    </row>
    <row r="5207">
      <c r="A5207" s="2">
        <f>IFERROR(__xludf.DUMMYFUNCTION("""COMPUTED_VALUE"""),44211.64583333333)</f>
        <v>44211.64583</v>
      </c>
      <c r="B5207" s="1">
        <f>IFERROR(__xludf.DUMMYFUNCTION("""COMPUTED_VALUE"""),2392.5)</f>
        <v>2392.5</v>
      </c>
      <c r="C5207" s="1">
        <f>IFERROR(__xludf.DUMMYFUNCTION("""COMPUTED_VALUE"""),2407.0)</f>
        <v>2407</v>
      </c>
      <c r="D5207" s="1">
        <f>IFERROR(__xludf.DUMMYFUNCTION("""COMPUTED_VALUE"""),2342.8)</f>
        <v>2342.8</v>
      </c>
      <c r="E5207" s="1">
        <f>IFERROR(__xludf.DUMMYFUNCTION("""COMPUTED_VALUE"""),2351.15)</f>
        <v>2351.15</v>
      </c>
      <c r="F5207" s="1">
        <f>IFERROR(__xludf.DUMMYFUNCTION("""COMPUTED_VALUE"""),2042957.0)</f>
        <v>2042957</v>
      </c>
    </row>
    <row r="5208">
      <c r="A5208" s="2">
        <f>IFERROR(__xludf.DUMMYFUNCTION("""COMPUTED_VALUE"""),44214.64583333333)</f>
        <v>44214.64583</v>
      </c>
      <c r="B5208" s="1">
        <f>IFERROR(__xludf.DUMMYFUNCTION("""COMPUTED_VALUE"""),2374.5)</f>
        <v>2374.5</v>
      </c>
      <c r="C5208" s="1">
        <f>IFERROR(__xludf.DUMMYFUNCTION("""COMPUTED_VALUE"""),2374.5)</f>
        <v>2374.5</v>
      </c>
      <c r="D5208" s="1">
        <f>IFERROR(__xludf.DUMMYFUNCTION("""COMPUTED_VALUE"""),2320.65)</f>
        <v>2320.65</v>
      </c>
      <c r="E5208" s="1">
        <f>IFERROR(__xludf.DUMMYFUNCTION("""COMPUTED_VALUE"""),2332.6)</f>
        <v>2332.6</v>
      </c>
      <c r="F5208" s="1">
        <f>IFERROR(__xludf.DUMMYFUNCTION("""COMPUTED_VALUE"""),1733797.0)</f>
        <v>1733797</v>
      </c>
    </row>
    <row r="5209">
      <c r="A5209" s="2">
        <f>IFERROR(__xludf.DUMMYFUNCTION("""COMPUTED_VALUE"""),44215.64583333333)</f>
        <v>44215.64583</v>
      </c>
      <c r="B5209" s="1">
        <f>IFERROR(__xludf.DUMMYFUNCTION("""COMPUTED_VALUE"""),2342.0)</f>
        <v>2342</v>
      </c>
      <c r="C5209" s="1">
        <f>IFERROR(__xludf.DUMMYFUNCTION("""COMPUTED_VALUE"""),2382.1)</f>
        <v>2382.1</v>
      </c>
      <c r="D5209" s="1">
        <f>IFERROR(__xludf.DUMMYFUNCTION("""COMPUTED_VALUE"""),2323.25)</f>
        <v>2323.25</v>
      </c>
      <c r="E5209" s="1">
        <f>IFERROR(__xludf.DUMMYFUNCTION("""COMPUTED_VALUE"""),2363.15)</f>
        <v>2363.15</v>
      </c>
      <c r="F5209" s="1">
        <f>IFERROR(__xludf.DUMMYFUNCTION("""COMPUTED_VALUE"""),1495269.0)</f>
        <v>1495269</v>
      </c>
    </row>
    <row r="5210">
      <c r="A5210" s="2">
        <f>IFERROR(__xludf.DUMMYFUNCTION("""COMPUTED_VALUE"""),44216.64583333333)</f>
        <v>44216.64583</v>
      </c>
      <c r="B5210" s="1">
        <f>IFERROR(__xludf.DUMMYFUNCTION("""COMPUTED_VALUE"""),2357.0)</f>
        <v>2357</v>
      </c>
      <c r="C5210" s="1">
        <f>IFERROR(__xludf.DUMMYFUNCTION("""COMPUTED_VALUE"""),2373.95)</f>
        <v>2373.95</v>
      </c>
      <c r="D5210" s="1">
        <f>IFERROR(__xludf.DUMMYFUNCTION("""COMPUTED_VALUE"""),2346.3)</f>
        <v>2346.3</v>
      </c>
      <c r="E5210" s="1">
        <f>IFERROR(__xludf.DUMMYFUNCTION("""COMPUTED_VALUE"""),2355.95)</f>
        <v>2355.95</v>
      </c>
      <c r="F5210" s="1">
        <f>IFERROR(__xludf.DUMMYFUNCTION("""COMPUTED_VALUE"""),1380562.0)</f>
        <v>1380562</v>
      </c>
    </row>
    <row r="5211">
      <c r="A5211" s="2">
        <f>IFERROR(__xludf.DUMMYFUNCTION("""COMPUTED_VALUE"""),44217.64583333333)</f>
        <v>44217.64583</v>
      </c>
      <c r="B5211" s="1">
        <f>IFERROR(__xludf.DUMMYFUNCTION("""COMPUTED_VALUE"""),2376.0)</f>
        <v>2376</v>
      </c>
      <c r="C5211" s="1">
        <f>IFERROR(__xludf.DUMMYFUNCTION("""COMPUTED_VALUE"""),2399.9)</f>
        <v>2399.9</v>
      </c>
      <c r="D5211" s="1">
        <f>IFERROR(__xludf.DUMMYFUNCTION("""COMPUTED_VALUE"""),2350.0)</f>
        <v>2350</v>
      </c>
      <c r="E5211" s="1">
        <f>IFERROR(__xludf.DUMMYFUNCTION("""COMPUTED_VALUE"""),2367.65)</f>
        <v>2367.65</v>
      </c>
      <c r="F5211" s="1">
        <f>IFERROR(__xludf.DUMMYFUNCTION("""COMPUTED_VALUE"""),1521133.0)</f>
        <v>1521133</v>
      </c>
    </row>
    <row r="5212">
      <c r="A5212" s="2">
        <f>IFERROR(__xludf.DUMMYFUNCTION("""COMPUTED_VALUE"""),44218.64583333333)</f>
        <v>44218.64583</v>
      </c>
      <c r="B5212" s="1">
        <f>IFERROR(__xludf.DUMMYFUNCTION("""COMPUTED_VALUE"""),2359.0)</f>
        <v>2359</v>
      </c>
      <c r="C5212" s="1">
        <f>IFERROR(__xludf.DUMMYFUNCTION("""COMPUTED_VALUE"""),2422.0)</f>
        <v>2422</v>
      </c>
      <c r="D5212" s="1">
        <f>IFERROR(__xludf.DUMMYFUNCTION("""COMPUTED_VALUE"""),2357.0)</f>
        <v>2357</v>
      </c>
      <c r="E5212" s="1">
        <f>IFERROR(__xludf.DUMMYFUNCTION("""COMPUTED_VALUE"""),2409.35)</f>
        <v>2409.35</v>
      </c>
      <c r="F5212" s="1">
        <f>IFERROR(__xludf.DUMMYFUNCTION("""COMPUTED_VALUE"""),2548089.0)</f>
        <v>2548089</v>
      </c>
    </row>
    <row r="5213">
      <c r="A5213" s="2">
        <f>IFERROR(__xludf.DUMMYFUNCTION("""COMPUTED_VALUE"""),44221.64583333333)</f>
        <v>44221.64583</v>
      </c>
      <c r="B5213" s="1">
        <f>IFERROR(__xludf.DUMMYFUNCTION("""COMPUTED_VALUE"""),2420.0)</f>
        <v>2420</v>
      </c>
      <c r="C5213" s="1">
        <f>IFERROR(__xludf.DUMMYFUNCTION("""COMPUTED_VALUE"""),2432.35)</f>
        <v>2432.35</v>
      </c>
      <c r="D5213" s="1">
        <f>IFERROR(__xludf.DUMMYFUNCTION("""COMPUTED_VALUE"""),2385.0)</f>
        <v>2385</v>
      </c>
      <c r="E5213" s="1">
        <f>IFERROR(__xludf.DUMMYFUNCTION("""COMPUTED_VALUE"""),2399.6)</f>
        <v>2399.6</v>
      </c>
      <c r="F5213" s="1">
        <f>IFERROR(__xludf.DUMMYFUNCTION("""COMPUTED_VALUE"""),2124424.0)</f>
        <v>2124424</v>
      </c>
    </row>
  </sheetData>
  <drawing r:id="rId1"/>
</worksheet>
</file>